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tils\Bank\"/>
    </mc:Choice>
  </mc:AlternateContent>
  <xr:revisionPtr revIDLastSave="0" documentId="13_ncr:1_{FD76BAF1-64CA-42F0-8CD0-2AE1712B1325}" xr6:coauthVersionLast="36" xr6:coauthVersionMax="36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Raiffeisen_formater" sheetId="1" r:id="rId1"/>
    <sheet name="Unicredit_formater" sheetId="2" r:id="rId2"/>
    <sheet name="ÖSSZEGZÉS" sheetId="3" r:id="rId3"/>
    <sheet name="Részletes" sheetId="4" r:id="rId4"/>
    <sheet name="tételek" sheetId="5" r:id="rId5"/>
    <sheet name="Költség Megoszlás" sheetId="6" r:id="rId6"/>
    <sheet name="dropdown list" sheetId="8" r:id="rId7"/>
    <sheet name="neew" sheetId="9" r:id="rId8"/>
  </sheets>
  <externalReferences>
    <externalReference r:id="rId9"/>
    <externalReference r:id="rId10"/>
  </externalReferences>
  <definedNames>
    <definedName name="_xlnm._FilterDatabase" localSheetId="4" hidden="1">tételek!$A$1:$G$4956</definedName>
    <definedName name="Egészség">'dropdown list'!$A$2:$A$8</definedName>
    <definedName name="Egyéb">'dropdown list'!$B$2:$B$5</definedName>
    <definedName name="Étterem">'dropdown list'!$C$2:$C$5</definedName>
    <definedName name="Fizetés">'dropdown list'!$D$2:$D$6</definedName>
    <definedName name="Kikapcsolódás">'dropdown list'!$E$2:$E$7</definedName>
    <definedName name="Közlekedés">'dropdown list'!$F$2:$F$12</definedName>
    <definedName name="Lakhatás">'dropdown list'!$G$2:$G$15</definedName>
    <definedName name="NativeTimeline_Dátum">#N/A</definedName>
    <definedName name="NativeTimeline_Dátum1">#N/A</definedName>
    <definedName name="NativeTimeline_Dátum2">#N/A</definedName>
    <definedName name="NativeTimeline_Dátum3">#N/A</definedName>
    <definedName name="NemKategorizalt">'dropdown list'!$J$2</definedName>
    <definedName name="Pénzügy">'dropdown list'!$H$2:$H$10</definedName>
    <definedName name="Tervezett">'Költség Megoszlás'!$B$14</definedName>
    <definedName name="Törlesztő">'Költség Megoszlás'!$B$15</definedName>
    <definedName name="Vásárlás">'dropdown list'!$I$2:$I$8</definedName>
  </definedNames>
  <calcPr calcId="191029"/>
  <pivotCaches>
    <pivotCache cacheId="15" r:id="rId11"/>
  </pivotCaches>
</workbook>
</file>

<file path=xl/calcChain.xml><?xml version="1.0" encoding="utf-8"?>
<calcChain xmlns="http://schemas.openxmlformats.org/spreadsheetml/2006/main">
  <c r="C67" i="6" l="1"/>
  <c r="C66" i="6"/>
  <c r="C65" i="6"/>
  <c r="C64" i="6"/>
  <c r="C63" i="6"/>
  <c r="C62" i="6"/>
  <c r="C61" i="6"/>
  <c r="C60" i="6"/>
  <c r="C59" i="6"/>
  <c r="N58" i="6"/>
  <c r="M58" i="6"/>
  <c r="K58" i="6"/>
  <c r="C58" i="6"/>
  <c r="N57" i="6"/>
  <c r="C57" i="6"/>
  <c r="N56" i="6"/>
  <c r="C56" i="6"/>
  <c r="N55" i="6"/>
  <c r="C55" i="6"/>
  <c r="N54" i="6"/>
  <c r="C54" i="6"/>
  <c r="N53" i="6"/>
  <c r="C53" i="6"/>
  <c r="C52" i="6"/>
  <c r="N51" i="6"/>
  <c r="C51" i="6"/>
  <c r="N50" i="6"/>
  <c r="C50" i="6"/>
  <c r="N49" i="6"/>
  <c r="C49" i="6"/>
  <c r="C48" i="6"/>
  <c r="M47" i="6"/>
  <c r="N47" i="6" s="1"/>
  <c r="K47" i="6"/>
  <c r="C47" i="6"/>
  <c r="N46" i="6"/>
  <c r="C46" i="6"/>
  <c r="N45" i="6"/>
  <c r="C45" i="6"/>
  <c r="N44" i="6"/>
  <c r="C44" i="6"/>
  <c r="N43" i="6"/>
  <c r="C43" i="6"/>
  <c r="N42" i="6"/>
  <c r="C42" i="6"/>
  <c r="N41" i="6"/>
  <c r="C41" i="6"/>
  <c r="N40" i="6"/>
  <c r="C40" i="6"/>
  <c r="N39" i="6"/>
  <c r="C39" i="6"/>
  <c r="N38" i="6"/>
  <c r="C38" i="6"/>
  <c r="C37" i="6"/>
  <c r="C36" i="6"/>
  <c r="M35" i="6"/>
  <c r="N35" i="6" s="1"/>
  <c r="K35" i="6"/>
  <c r="C35" i="6"/>
  <c r="N34" i="6"/>
  <c r="C34" i="6"/>
  <c r="N33" i="6"/>
  <c r="C33" i="6"/>
  <c r="N32" i="6"/>
  <c r="C32" i="6"/>
  <c r="N31" i="6"/>
  <c r="C31" i="6"/>
  <c r="N30" i="6"/>
  <c r="C30" i="6"/>
  <c r="N29" i="6"/>
  <c r="C29" i="6"/>
  <c r="N28" i="6"/>
  <c r="C28" i="6"/>
  <c r="N27" i="6"/>
  <c r="C27" i="6"/>
  <c r="N26" i="6"/>
  <c r="C26" i="6"/>
  <c r="C25" i="6"/>
  <c r="C24" i="6"/>
  <c r="K23" i="6"/>
  <c r="C23" i="6"/>
  <c r="C22" i="6"/>
  <c r="M21" i="6"/>
  <c r="N21" i="6" s="1"/>
  <c r="C21" i="6"/>
  <c r="M20" i="6"/>
  <c r="N20" i="6" s="1"/>
  <c r="C20" i="6"/>
  <c r="M19" i="6"/>
  <c r="N19" i="6" s="1"/>
  <c r="N18" i="6"/>
  <c r="M18" i="6"/>
  <c r="M17" i="6"/>
  <c r="N17" i="6" s="1"/>
  <c r="M16" i="6"/>
  <c r="N16" i="6" s="1"/>
  <c r="K11" i="6"/>
  <c r="C11" i="6"/>
  <c r="E10" i="6"/>
  <c r="C10" i="6"/>
  <c r="D10" i="6" s="1"/>
  <c r="B10" i="6"/>
  <c r="N9" i="6"/>
  <c r="M9" i="6"/>
  <c r="C9" i="6"/>
  <c r="E8" i="6"/>
  <c r="C8" i="6"/>
  <c r="D8" i="6" s="1"/>
  <c r="B8" i="6"/>
  <c r="N7" i="6"/>
  <c r="M7" i="6"/>
  <c r="E7" i="6"/>
  <c r="C7" i="6"/>
  <c r="D7" i="6" s="1"/>
  <c r="N6" i="6"/>
  <c r="M6" i="6"/>
  <c r="B7" i="6" s="1"/>
  <c r="C6" i="6"/>
  <c r="D6" i="6" s="1"/>
  <c r="N5" i="6"/>
  <c r="M5" i="6"/>
  <c r="C5" i="6"/>
  <c r="M4" i="6"/>
  <c r="N4" i="6" s="1"/>
  <c r="C4" i="6"/>
  <c r="M3" i="6"/>
  <c r="N3" i="6" s="1"/>
  <c r="C3" i="6"/>
  <c r="M2" i="6"/>
  <c r="N2" i="6" s="1"/>
  <c r="C3139" i="5"/>
  <c r="M14" i="6" s="1"/>
  <c r="C3136" i="5"/>
  <c r="C3135" i="5"/>
  <c r="M15" i="6" s="1"/>
  <c r="N15" i="6" s="1"/>
  <c r="C3051" i="5"/>
  <c r="M22" i="6" s="1"/>
  <c r="N22" i="6" s="1"/>
  <c r="C1718" i="5"/>
  <c r="M10" i="6" s="1"/>
  <c r="C1689" i="5"/>
  <c r="M8" i="6" s="1"/>
  <c r="BA64" i="4"/>
  <c r="AX64" i="4"/>
  <c r="AY63" i="4" s="1"/>
  <c r="AS64" i="4"/>
  <c r="AQ64" i="4"/>
  <c r="AN64" i="4"/>
  <c r="BB63" i="4"/>
  <c r="AT63" i="4"/>
  <c r="AR63" i="4"/>
  <c r="AO63" i="4"/>
  <c r="BW61" i="4"/>
  <c r="BV61" i="4"/>
  <c r="BU61" i="4"/>
  <c r="BT61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R64" i="4" s="1"/>
  <c r="S63" i="4" s="1"/>
  <c r="Q60" i="4"/>
  <c r="Q64" i="4" s="1"/>
  <c r="P60" i="4"/>
  <c r="P64" i="4" s="1"/>
  <c r="O60" i="4"/>
  <c r="O64" i="4" s="1"/>
  <c r="N60" i="4"/>
  <c r="N64" i="4" s="1"/>
  <c r="M60" i="4"/>
  <c r="M64" i="4" s="1"/>
  <c r="L60" i="4"/>
  <c r="L64" i="4" s="1"/>
  <c r="K60" i="4"/>
  <c r="K64" i="4" s="1"/>
  <c r="J60" i="4"/>
  <c r="J64" i="4" s="1"/>
  <c r="I60" i="4"/>
  <c r="I64" i="4" s="1"/>
  <c r="H60" i="4"/>
  <c r="H64" i="4" s="1"/>
  <c r="G60" i="4"/>
  <c r="G64" i="4" s="1"/>
  <c r="F60" i="4"/>
  <c r="F64" i="4" s="1"/>
  <c r="E60" i="4"/>
  <c r="E64" i="4" s="1"/>
  <c r="D60" i="4"/>
  <c r="D64" i="4" s="1"/>
  <c r="C60" i="4"/>
  <c r="C64" i="4" s="1"/>
  <c r="B60" i="4"/>
  <c r="B64" i="4" s="1"/>
  <c r="BB59" i="4"/>
  <c r="BB64" i="4" s="1"/>
  <c r="BC63" i="4" s="1"/>
  <c r="BC64" i="4" s="1"/>
  <c r="BD63" i="4" s="1"/>
  <c r="BD64" i="4" s="1"/>
  <c r="BE63" i="4" s="1"/>
  <c r="BE64" i="4" s="1"/>
  <c r="BF63" i="4" s="1"/>
  <c r="BF64" i="4" s="1"/>
  <c r="BG63" i="4" s="1"/>
  <c r="BG64" i="4" s="1"/>
  <c r="BH63" i="4" s="1"/>
  <c r="BH64" i="4" s="1"/>
  <c r="BI63" i="4" s="1"/>
  <c r="BI64" i="4" s="1"/>
  <c r="BJ63" i="4" s="1"/>
  <c r="BJ64" i="4" s="1"/>
  <c r="BK63" i="4" s="1"/>
  <c r="BK64" i="4" s="1"/>
  <c r="BL63" i="4" s="1"/>
  <c r="BL64" i="4" s="1"/>
  <c r="BM63" i="4" s="1"/>
  <c r="BM64" i="4" s="1"/>
  <c r="BN63" i="4" s="1"/>
  <c r="BN64" i="4" s="1"/>
  <c r="BO63" i="4" s="1"/>
  <c r="BO64" i="4" s="1"/>
  <c r="BP63" i="4" s="1"/>
  <c r="BP64" i="4" s="1"/>
  <c r="BQ63" i="4" s="1"/>
  <c r="BQ64" i="4" s="1"/>
  <c r="BR63" i="4" s="1"/>
  <c r="BR64" i="4" s="1"/>
  <c r="BS63" i="4" s="1"/>
  <c r="BS64" i="4" s="1"/>
  <c r="BT63" i="4" s="1"/>
  <c r="BT64" i="4" s="1"/>
  <c r="BU63" i="4" s="1"/>
  <c r="BU64" i="4" s="1"/>
  <c r="BV63" i="4" s="1"/>
  <c r="BV64" i="4" s="1"/>
  <c r="BW63" i="4" s="1"/>
  <c r="BW64" i="4" s="1"/>
  <c r="AZ59" i="4"/>
  <c r="AZ64" i="4" s="1"/>
  <c r="BA63" i="4" s="1"/>
  <c r="AY59" i="4"/>
  <c r="AY64" i="4" s="1"/>
  <c r="AZ63" i="4" s="1"/>
  <c r="AW59" i="4"/>
  <c r="AW64" i="4" s="1"/>
  <c r="AX63" i="4" s="1"/>
  <c r="AV59" i="4"/>
  <c r="AV64" i="4" s="1"/>
  <c r="AW63" i="4" s="1"/>
  <c r="AU59" i="4"/>
  <c r="AU64" i="4" s="1"/>
  <c r="AV63" i="4" s="1"/>
  <c r="AT59" i="4"/>
  <c r="AT64" i="4" s="1"/>
  <c r="AU63" i="4" s="1"/>
  <c r="AR59" i="4"/>
  <c r="AR64" i="4" s="1"/>
  <c r="AS63" i="4" s="1"/>
  <c r="AP59" i="4"/>
  <c r="AP64" i="4" s="1"/>
  <c r="AQ63" i="4" s="1"/>
  <c r="AO59" i="4"/>
  <c r="AO64" i="4" s="1"/>
  <c r="AP63" i="4" s="1"/>
  <c r="AL59" i="4"/>
  <c r="AL64" i="4" s="1"/>
  <c r="AM63" i="4" s="1"/>
  <c r="AM64" i="4" s="1"/>
  <c r="AN63" i="4" s="1"/>
  <c r="AK59" i="4"/>
  <c r="AK64" i="4" s="1"/>
  <c r="AL63" i="4" s="1"/>
  <c r="AI59" i="4"/>
  <c r="AI64" i="4" s="1"/>
  <c r="AJ63" i="4" s="1"/>
  <c r="AJ64" i="4" s="1"/>
  <c r="AK63" i="4" s="1"/>
  <c r="AE59" i="4"/>
  <c r="AE64" i="4" s="1"/>
  <c r="AF63" i="4" s="1"/>
  <c r="AF64" i="4" s="1"/>
  <c r="AG63" i="4" s="1"/>
  <c r="AG64" i="4" s="1"/>
  <c r="AH63" i="4" s="1"/>
  <c r="AH64" i="4" s="1"/>
  <c r="AI63" i="4" s="1"/>
  <c r="AD59" i="4"/>
  <c r="AC59" i="4" s="1"/>
  <c r="AC64" i="4" s="1"/>
  <c r="AD63" i="4" s="1"/>
  <c r="BW54" i="4"/>
  <c r="BV54" i="4"/>
  <c r="BU54" i="4"/>
  <c r="BT54" i="4"/>
  <c r="BS54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BW53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S55" i="4" s="1"/>
  <c r="AT55" i="4" s="1"/>
  <c r="AU55" i="4" s="1"/>
  <c r="AV55" i="4" s="1"/>
  <c r="AW55" i="4" s="1"/>
  <c r="AX55" i="4" s="1"/>
  <c r="AY55" i="4" s="1"/>
  <c r="AZ55" i="4" s="1"/>
  <c r="BA55" i="4" s="1"/>
  <c r="BB55" i="4" s="1"/>
  <c r="BC55" i="4" s="1"/>
  <c r="BD55" i="4" s="1"/>
  <c r="BE55" i="4" s="1"/>
  <c r="BF55" i="4" s="1"/>
  <c r="BG55" i="4" s="1"/>
  <c r="BH55" i="4" s="1"/>
  <c r="BI55" i="4" s="1"/>
  <c r="BJ55" i="4" s="1"/>
  <c r="BK55" i="4" s="1"/>
  <c r="BL55" i="4" s="1"/>
  <c r="BM55" i="4" s="1"/>
  <c r="BN55" i="4" s="1"/>
  <c r="BO55" i="4" s="1"/>
  <c r="BP55" i="4" s="1"/>
  <c r="BQ55" i="4" s="1"/>
  <c r="BR55" i="4" s="1"/>
  <c r="BS55" i="4" s="1"/>
  <c r="BT55" i="4" s="1"/>
  <c r="BU55" i="4" s="1"/>
  <c r="BV55" i="4" s="1"/>
  <c r="BW55" i="4" s="1"/>
  <c r="AQ53" i="4"/>
  <c r="AP53" i="4"/>
  <c r="AO53" i="4"/>
  <c r="AN53" i="4"/>
  <c r="AN55" i="4" s="1"/>
  <c r="AO55" i="4" s="1"/>
  <c r="AP55" i="4" s="1"/>
  <c r="AQ55" i="4" s="1"/>
  <c r="AM53" i="4"/>
  <c r="AL53" i="4"/>
  <c r="AK53" i="4"/>
  <c r="AJ53" i="4"/>
  <c r="AI53" i="4"/>
  <c r="AH53" i="4"/>
  <c r="AG53" i="4"/>
  <c r="AF53" i="4"/>
  <c r="AF55" i="4" s="1"/>
  <c r="AG55" i="4" s="1"/>
  <c r="AH55" i="4" s="1"/>
  <c r="AI55" i="4" s="1"/>
  <c r="AE53" i="4"/>
  <c r="AD53" i="4"/>
  <c r="AC53" i="4"/>
  <c r="AB53" i="4"/>
  <c r="AA53" i="4"/>
  <c r="Z53" i="4"/>
  <c r="Y53" i="4"/>
  <c r="X53" i="4"/>
  <c r="W53" i="4"/>
  <c r="W55" i="4" s="1"/>
  <c r="V53" i="4"/>
  <c r="U53" i="4"/>
  <c r="T53" i="4"/>
  <c r="S53" i="4"/>
  <c r="R53" i="4"/>
  <c r="R55" i="4" s="1"/>
  <c r="S55" i="4" s="1"/>
  <c r="T55" i="4" s="1"/>
  <c r="U55" i="4" s="1"/>
  <c r="Q53" i="4"/>
  <c r="P53" i="4"/>
  <c r="O53" i="4"/>
  <c r="N53" i="4"/>
  <c r="M53" i="4"/>
  <c r="M55" i="4" s="1"/>
  <c r="N55" i="4" s="1"/>
  <c r="O55" i="4" s="1"/>
  <c r="P55" i="4" s="1"/>
  <c r="L53" i="4"/>
  <c r="K53" i="4"/>
  <c r="J53" i="4"/>
  <c r="I53" i="4"/>
  <c r="H53" i="4"/>
  <c r="G53" i="4"/>
  <c r="F53" i="4"/>
  <c r="E53" i="4"/>
  <c r="D53" i="4"/>
  <c r="C53" i="4"/>
  <c r="B53" i="4"/>
  <c r="AN50" i="4"/>
  <c r="AO50" i="4" s="1"/>
  <c r="AP50" i="4" s="1"/>
  <c r="AQ50" i="4" s="1"/>
  <c r="AR50" i="4" s="1"/>
  <c r="AS50" i="4" s="1"/>
  <c r="AT50" i="4" s="1"/>
  <c r="AU50" i="4" s="1"/>
  <c r="AV50" i="4" s="1"/>
  <c r="AW50" i="4" s="1"/>
  <c r="AX50" i="4" s="1"/>
  <c r="AY50" i="4" s="1"/>
  <c r="AZ50" i="4" s="1"/>
  <c r="BA50" i="4" s="1"/>
  <c r="BB50" i="4" s="1"/>
  <c r="BC50" i="4" s="1"/>
  <c r="BD50" i="4" s="1"/>
  <c r="BE50" i="4" s="1"/>
  <c r="BF50" i="4" s="1"/>
  <c r="BG50" i="4" s="1"/>
  <c r="BH50" i="4" s="1"/>
  <c r="BI50" i="4" s="1"/>
  <c r="BJ50" i="4" s="1"/>
  <c r="BK50" i="4" s="1"/>
  <c r="BL50" i="4" s="1"/>
  <c r="BM50" i="4" s="1"/>
  <c r="BN50" i="4" s="1"/>
  <c r="BO50" i="4" s="1"/>
  <c r="BP50" i="4" s="1"/>
  <c r="BQ50" i="4" s="1"/>
  <c r="BR50" i="4" s="1"/>
  <c r="BS50" i="4" s="1"/>
  <c r="BT50" i="4" s="1"/>
  <c r="BU50" i="4" s="1"/>
  <c r="BV50" i="4" s="1"/>
  <c r="BW50" i="4" s="1"/>
  <c r="AM50" i="4"/>
  <c r="AL50" i="4"/>
  <c r="AK50" i="4"/>
  <c r="AF50" i="4"/>
  <c r="AG50" i="4" s="1"/>
  <c r="AH50" i="4" s="1"/>
  <c r="AI50" i="4" s="1"/>
  <c r="AJ50" i="4" s="1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BA44" i="4" s="1"/>
  <c r="BB44" i="4" s="1"/>
  <c r="BC44" i="4" s="1"/>
  <c r="BD44" i="4" s="1"/>
  <c r="BE44" i="4" s="1"/>
  <c r="BF44" i="4" s="1"/>
  <c r="BG44" i="4" s="1"/>
  <c r="BH44" i="4" s="1"/>
  <c r="BI44" i="4" s="1"/>
  <c r="BJ44" i="4" s="1"/>
  <c r="BK44" i="4" s="1"/>
  <c r="BL44" i="4" s="1"/>
  <c r="BM44" i="4" s="1"/>
  <c r="BN44" i="4" s="1"/>
  <c r="BO44" i="4" s="1"/>
  <c r="BP44" i="4" s="1"/>
  <c r="BQ44" i="4" s="1"/>
  <c r="BR44" i="4" s="1"/>
  <c r="BS44" i="4" s="1"/>
  <c r="BT44" i="4" s="1"/>
  <c r="BU44" i="4" s="1"/>
  <c r="BV44" i="4" s="1"/>
  <c r="BW44" i="4" s="1"/>
  <c r="AZ42" i="4"/>
  <c r="AZ44" i="4" s="1"/>
  <c r="AY42" i="4"/>
  <c r="AY44" i="4" s="1"/>
  <c r="AX42" i="4"/>
  <c r="AX44" i="4" s="1"/>
  <c r="AW42" i="4"/>
  <c r="AW44" i="4" s="1"/>
  <c r="AV42" i="4"/>
  <c r="AV44" i="4" s="1"/>
  <c r="AU42" i="4"/>
  <c r="AU44" i="4" s="1"/>
  <c r="AT42" i="4"/>
  <c r="AT44" i="4" s="1"/>
  <c r="AS42" i="4"/>
  <c r="AS44" i="4" s="1"/>
  <c r="AR42" i="4"/>
  <c r="AR44" i="4" s="1"/>
  <c r="AQ42" i="4"/>
  <c r="AQ44" i="4" s="1"/>
  <c r="AP42" i="4"/>
  <c r="AP44" i="4" s="1"/>
  <c r="AO42" i="4"/>
  <c r="AO44" i="4" s="1"/>
  <c r="AN42" i="4"/>
  <c r="AN44" i="4" s="1"/>
  <c r="AM42" i="4"/>
  <c r="AM44" i="4" s="1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L41" i="4"/>
  <c r="AL44" i="4" s="1"/>
  <c r="AK41" i="4"/>
  <c r="AK44" i="4" s="1"/>
  <c r="Z41" i="4"/>
  <c r="Z44" i="4" s="1"/>
  <c r="AA44" i="4" s="1"/>
  <c r="AB44" i="4" s="1"/>
  <c r="AC44" i="4" s="1"/>
  <c r="AD44" i="4" s="1"/>
  <c r="AE44" i="4" s="1"/>
  <c r="AF44" i="4" s="1"/>
  <c r="AG44" i="4" s="1"/>
  <c r="AH44" i="4" s="1"/>
  <c r="AI44" i="4" s="1"/>
  <c r="AJ44" i="4" s="1"/>
  <c r="Y41" i="4"/>
  <c r="Y44" i="4" s="1"/>
  <c r="X41" i="4"/>
  <c r="X44" i="4" s="1"/>
  <c r="W41" i="4"/>
  <c r="W44" i="4" s="1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W38" i="4" s="1"/>
  <c r="AX38" i="4" s="1"/>
  <c r="AY38" i="4" s="1"/>
  <c r="AZ38" i="4" s="1"/>
  <c r="BA38" i="4" s="1"/>
  <c r="BB38" i="4" s="1"/>
  <c r="BC38" i="4" s="1"/>
  <c r="BD38" i="4" s="1"/>
  <c r="BE38" i="4" s="1"/>
  <c r="BF38" i="4" s="1"/>
  <c r="BG38" i="4" s="1"/>
  <c r="BH38" i="4" s="1"/>
  <c r="BI38" i="4" s="1"/>
  <c r="BJ38" i="4" s="1"/>
  <c r="BK38" i="4" s="1"/>
  <c r="BL38" i="4" s="1"/>
  <c r="BM38" i="4" s="1"/>
  <c r="BN38" i="4" s="1"/>
  <c r="BO38" i="4" s="1"/>
  <c r="BP38" i="4" s="1"/>
  <c r="BQ38" i="4" s="1"/>
  <c r="BR38" i="4" s="1"/>
  <c r="BS38" i="4" s="1"/>
  <c r="BT38" i="4" s="1"/>
  <c r="BU38" i="4" s="1"/>
  <c r="BV38" i="4" s="1"/>
  <c r="BW38" i="4" s="1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V35" i="4"/>
  <c r="AV38" i="4" s="1"/>
  <c r="AK35" i="4"/>
  <c r="BB32" i="4"/>
  <c r="BA32" i="4"/>
  <c r="AZ32" i="4"/>
  <c r="BA30" i="4" s="1"/>
  <c r="AY32" i="4"/>
  <c r="AQ32" i="4"/>
  <c r="AN32" i="4"/>
  <c r="AO30" i="4" s="1"/>
  <c r="AM32" i="4"/>
  <c r="X32" i="4"/>
  <c r="Y30" i="4" s="1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C30" i="4"/>
  <c r="BB30" i="4"/>
  <c r="O30" i="4"/>
  <c r="M30" i="4"/>
  <c r="I30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B31" i="4" s="1"/>
  <c r="BA28" i="4"/>
  <c r="BA31" i="4" s="1"/>
  <c r="AZ28" i="4"/>
  <c r="AY28" i="4"/>
  <c r="AX28" i="4"/>
  <c r="AW28" i="4"/>
  <c r="AV28" i="4"/>
  <c r="AU28" i="4"/>
  <c r="AT28" i="4"/>
  <c r="AS28" i="4"/>
  <c r="AR28" i="4"/>
  <c r="AQ28" i="4"/>
  <c r="AP28" i="4"/>
  <c r="AO28" i="4"/>
  <c r="AO31" i="4" s="1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Y31" i="4" s="1"/>
  <c r="X28" i="4"/>
  <c r="W28" i="4"/>
  <c r="V28" i="4"/>
  <c r="V31" i="4" s="1"/>
  <c r="U28" i="4"/>
  <c r="U31" i="4" s="1"/>
  <c r="T28" i="4"/>
  <c r="S28" i="4"/>
  <c r="R28" i="4"/>
  <c r="R31" i="4" s="1"/>
  <c r="Q28" i="4"/>
  <c r="Q31" i="4" s="1"/>
  <c r="P28" i="4"/>
  <c r="O28" i="4"/>
  <c r="N28" i="4"/>
  <c r="N31" i="4" s="1"/>
  <c r="M28" i="4"/>
  <c r="M31" i="4" s="1"/>
  <c r="L28" i="4"/>
  <c r="K28" i="4"/>
  <c r="J28" i="4"/>
  <c r="J31" i="4" s="1"/>
  <c r="I28" i="4"/>
  <c r="I31" i="4" s="1"/>
  <c r="H28" i="4"/>
  <c r="G28" i="4"/>
  <c r="F28" i="4"/>
  <c r="F31" i="4" s="1"/>
  <c r="E28" i="4"/>
  <c r="E31" i="4" s="1"/>
  <c r="D28" i="4"/>
  <c r="C28" i="4"/>
  <c r="B28" i="4"/>
  <c r="B32" i="4" s="1"/>
  <c r="AW27" i="4"/>
  <c r="AW32" i="4" s="1"/>
  <c r="AV27" i="4"/>
  <c r="AV32" i="4" s="1"/>
  <c r="AW30" i="4" s="1"/>
  <c r="AU27" i="4"/>
  <c r="AU32" i="4" s="1"/>
  <c r="AT27" i="4"/>
  <c r="AT32" i="4" s="1"/>
  <c r="AS27" i="4"/>
  <c r="AS32" i="4" s="1"/>
  <c r="AR27" i="4"/>
  <c r="AR32" i="4" s="1"/>
  <c r="AS30" i="4" s="1"/>
  <c r="AP27" i="4"/>
  <c r="AP32" i="4" s="1"/>
  <c r="AQ30" i="4" s="1"/>
  <c r="AO27" i="4"/>
  <c r="AO32" i="4" s="1"/>
  <c r="AL27" i="4"/>
  <c r="AL32" i="4" s="1"/>
  <c r="AK27" i="4"/>
  <c r="AK32" i="4" s="1"/>
  <c r="AI27" i="4"/>
  <c r="AI32" i="4" s="1"/>
  <c r="AF27" i="4"/>
  <c r="AF32" i="4" s="1"/>
  <c r="AG30" i="4" s="1"/>
  <c r="AE27" i="4"/>
  <c r="AE32" i="4" s="1"/>
  <c r="AD27" i="4"/>
  <c r="AD32" i="4" s="1"/>
  <c r="AA27" i="4"/>
  <c r="AA32" i="4" s="1"/>
  <c r="Z27" i="4"/>
  <c r="Z32" i="4" s="1"/>
  <c r="AA30" i="4" s="1"/>
  <c r="Y27" i="4"/>
  <c r="Y32" i="4" s="1"/>
  <c r="BB24" i="4"/>
  <c r="BA24" i="4"/>
  <c r="BB23" i="4" s="1"/>
  <c r="AZ24" i="4"/>
  <c r="BA23" i="4" s="1"/>
  <c r="AY24" i="4"/>
  <c r="AW24" i="4"/>
  <c r="AX23" i="4" s="1"/>
  <c r="AX24" i="4" s="1"/>
  <c r="AY23" i="4" s="1"/>
  <c r="AV24" i="4"/>
  <c r="AW23" i="4" s="1"/>
  <c r="AU24" i="4"/>
  <c r="AT24" i="4"/>
  <c r="AR24" i="4"/>
  <c r="AS23" i="4" s="1"/>
  <c r="AS24" i="4" s="1"/>
  <c r="AT23" i="4" s="1"/>
  <c r="AQ24" i="4"/>
  <c r="AP24" i="4"/>
  <c r="AO24" i="4"/>
  <c r="AP23" i="4" s="1"/>
  <c r="AN24" i="4"/>
  <c r="AO23" i="4" s="1"/>
  <c r="AM24" i="4"/>
  <c r="AL24" i="4"/>
  <c r="AK24" i="4"/>
  <c r="AL23" i="4" s="1"/>
  <c r="AI24" i="4"/>
  <c r="AF24" i="4"/>
  <c r="AG23" i="4" s="1"/>
  <c r="AG24" i="4" s="1"/>
  <c r="AE24" i="4"/>
  <c r="AD24" i="4"/>
  <c r="AC24" i="4"/>
  <c r="AD23" i="4" s="1"/>
  <c r="AB24" i="4"/>
  <c r="AC23" i="4" s="1"/>
  <c r="AA24" i="4"/>
  <c r="Z24" i="4"/>
  <c r="Y24" i="4"/>
  <c r="Z23" i="4" s="1"/>
  <c r="X24" i="4"/>
  <c r="Y23" i="4" s="1"/>
  <c r="W24" i="4"/>
  <c r="V24" i="4"/>
  <c r="U24" i="4"/>
  <c r="V23" i="4" s="1"/>
  <c r="T24" i="4"/>
  <c r="U23" i="4" s="1"/>
  <c r="S24" i="4"/>
  <c r="R24" i="4"/>
  <c r="Q24" i="4"/>
  <c r="R23" i="4" s="1"/>
  <c r="P24" i="4"/>
  <c r="Q23" i="4" s="1"/>
  <c r="M24" i="4"/>
  <c r="N23" i="4" s="1"/>
  <c r="L24" i="4"/>
  <c r="M23" i="4" s="1"/>
  <c r="K24" i="4"/>
  <c r="J24" i="4"/>
  <c r="I24" i="4"/>
  <c r="J23" i="4" s="1"/>
  <c r="E24" i="4"/>
  <c r="F23" i="4" s="1"/>
  <c r="D24" i="4"/>
  <c r="E23" i="4" s="1"/>
  <c r="C24" i="4"/>
  <c r="B24" i="4"/>
  <c r="BC23" i="4"/>
  <c r="BC24" i="4" s="1"/>
  <c r="BD23" i="4" s="1"/>
  <c r="BD24" i="4" s="1"/>
  <c r="BE23" i="4" s="1"/>
  <c r="BE24" i="4" s="1"/>
  <c r="BF23" i="4" s="1"/>
  <c r="BF24" i="4" s="1"/>
  <c r="BG23" i="4" s="1"/>
  <c r="BG24" i="4" s="1"/>
  <c r="BH23" i="4" s="1"/>
  <c r="BH24" i="4" s="1"/>
  <c r="BI23" i="4" s="1"/>
  <c r="BI24" i="4" s="1"/>
  <c r="BJ23" i="4" s="1"/>
  <c r="BJ24" i="4" s="1"/>
  <c r="BK23" i="4" s="1"/>
  <c r="BK24" i="4" s="1"/>
  <c r="BL23" i="4" s="1"/>
  <c r="BL24" i="4" s="1"/>
  <c r="BM23" i="4" s="1"/>
  <c r="BM24" i="4" s="1"/>
  <c r="BN23" i="4" s="1"/>
  <c r="BN24" i="4" s="1"/>
  <c r="BO23" i="4" s="1"/>
  <c r="BO24" i="4" s="1"/>
  <c r="BP23" i="4" s="1"/>
  <c r="BP24" i="4" s="1"/>
  <c r="BQ23" i="4" s="1"/>
  <c r="BQ24" i="4" s="1"/>
  <c r="BR23" i="4" s="1"/>
  <c r="BR24" i="4" s="1"/>
  <c r="BS23" i="4" s="1"/>
  <c r="BS24" i="4" s="1"/>
  <c r="BT23" i="4" s="1"/>
  <c r="BT24" i="4" s="1"/>
  <c r="BU23" i="4" s="1"/>
  <c r="BU24" i="4" s="1"/>
  <c r="BV23" i="4" s="1"/>
  <c r="BV24" i="4" s="1"/>
  <c r="BW23" i="4" s="1"/>
  <c r="BW24" i="4" s="1"/>
  <c r="AZ23" i="4"/>
  <c r="AV23" i="4"/>
  <c r="AU23" i="4"/>
  <c r="AR23" i="4"/>
  <c r="AQ23" i="4"/>
  <c r="AN23" i="4"/>
  <c r="AM23" i="4"/>
  <c r="AJ23" i="4"/>
  <c r="AJ24" i="4" s="1"/>
  <c r="AK23" i="4" s="1"/>
  <c r="AF23" i="4"/>
  <c r="AE23" i="4"/>
  <c r="AB23" i="4"/>
  <c r="AA23" i="4"/>
  <c r="X23" i="4"/>
  <c r="W23" i="4"/>
  <c r="T23" i="4"/>
  <c r="S23" i="4"/>
  <c r="L23" i="4"/>
  <c r="K23" i="4"/>
  <c r="D23" i="4"/>
  <c r="C23" i="4"/>
  <c r="H22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O19" i="4"/>
  <c r="O24" i="4" s="1"/>
  <c r="P23" i="4" s="1"/>
  <c r="N19" i="4"/>
  <c r="N24" i="4" s="1"/>
  <c r="O23" i="4" s="1"/>
  <c r="H19" i="4"/>
  <c r="H24" i="4" s="1"/>
  <c r="I23" i="4" s="1"/>
  <c r="G19" i="4"/>
  <c r="G24" i="4" s="1"/>
  <c r="H23" i="4" s="1"/>
  <c r="F19" i="4"/>
  <c r="F24" i="4" s="1"/>
  <c r="G23" i="4" s="1"/>
  <c r="BW16" i="4"/>
  <c r="BV16" i="4"/>
  <c r="BW15" i="4" s="1"/>
  <c r="BU16" i="4"/>
  <c r="BT16" i="4"/>
  <c r="BU15" i="4" s="1"/>
  <c r="BS16" i="4"/>
  <c r="BR16" i="4"/>
  <c r="BS15" i="4" s="1"/>
  <c r="BQ16" i="4"/>
  <c r="BP16" i="4"/>
  <c r="BQ15" i="4" s="1"/>
  <c r="BO16" i="4"/>
  <c r="BN16" i="4"/>
  <c r="BO15" i="4" s="1"/>
  <c r="BM16" i="4"/>
  <c r="BL16" i="4"/>
  <c r="BM15" i="4" s="1"/>
  <c r="BK16" i="4"/>
  <c r="BJ16" i="4"/>
  <c r="BK15" i="4" s="1"/>
  <c r="BI16" i="4"/>
  <c r="BH16" i="4"/>
  <c r="BI15" i="4" s="1"/>
  <c r="BG16" i="4"/>
  <c r="BF16" i="4"/>
  <c r="BG15" i="4" s="1"/>
  <c r="BE16" i="4"/>
  <c r="BD16" i="4"/>
  <c r="BE15" i="4" s="1"/>
  <c r="BC16" i="4"/>
  <c r="BB16" i="4"/>
  <c r="BC15" i="4" s="1"/>
  <c r="BA16" i="4"/>
  <c r="AZ16" i="4"/>
  <c r="BA15" i="4" s="1"/>
  <c r="AY16" i="4"/>
  <c r="AX16" i="4"/>
  <c r="AY15" i="4" s="1"/>
  <c r="AW16" i="4"/>
  <c r="AV16" i="4"/>
  <c r="AW15" i="4" s="1"/>
  <c r="AU16" i="4"/>
  <c r="AT16" i="4"/>
  <c r="AU15" i="4" s="1"/>
  <c r="AS16" i="4"/>
  <c r="AR16" i="4"/>
  <c r="AS15" i="4" s="1"/>
  <c r="AQ16" i="4"/>
  <c r="AP16" i="4"/>
  <c r="AQ15" i="4" s="1"/>
  <c r="AO16" i="4"/>
  <c r="AN16" i="4"/>
  <c r="AO15" i="4" s="1"/>
  <c r="AM16" i="4"/>
  <c r="AL16" i="4"/>
  <c r="AM15" i="4" s="1"/>
  <c r="AK16" i="4"/>
  <c r="AJ16" i="4"/>
  <c r="AK15" i="4" s="1"/>
  <c r="AI16" i="4"/>
  <c r="AH16" i="4"/>
  <c r="AI15" i="4" s="1"/>
  <c r="AG16" i="4"/>
  <c r="AF16" i="4"/>
  <c r="AG15" i="4" s="1"/>
  <c r="AE16" i="4"/>
  <c r="AD16" i="4"/>
  <c r="AE15" i="4" s="1"/>
  <c r="AC16" i="4"/>
  <c r="AB16" i="4"/>
  <c r="AC15" i="4" s="1"/>
  <c r="AA16" i="4"/>
  <c r="Z16" i="4"/>
  <c r="AA15" i="4" s="1"/>
  <c r="Y16" i="4"/>
  <c r="X16" i="4"/>
  <c r="Y15" i="4" s="1"/>
  <c r="W16" i="4"/>
  <c r="V16" i="4"/>
  <c r="W15" i="4" s="1"/>
  <c r="U16" i="4"/>
  <c r="T16" i="4"/>
  <c r="U15" i="4" s="1"/>
  <c r="S16" i="4"/>
  <c r="R16" i="4"/>
  <c r="S15" i="4" s="1"/>
  <c r="Q16" i="4"/>
  <c r="P16" i="4"/>
  <c r="Q15" i="4" s="1"/>
  <c r="O16" i="4"/>
  <c r="N16" i="4"/>
  <c r="O15" i="4" s="1"/>
  <c r="M16" i="4"/>
  <c r="L16" i="4"/>
  <c r="M15" i="4" s="1"/>
  <c r="K16" i="4"/>
  <c r="J16" i="4"/>
  <c r="K15" i="4" s="1"/>
  <c r="I16" i="4"/>
  <c r="H16" i="4"/>
  <c r="I15" i="4" s="1"/>
  <c r="G16" i="4"/>
  <c r="F16" i="4"/>
  <c r="G15" i="4" s="1"/>
  <c r="E16" i="4"/>
  <c r="D16" i="4"/>
  <c r="E15" i="4" s="1"/>
  <c r="C16" i="4"/>
  <c r="B16" i="4"/>
  <c r="C15" i="4" s="1"/>
  <c r="BV15" i="4"/>
  <c r="BT15" i="4"/>
  <c r="BR15" i="4"/>
  <c r="BP15" i="4"/>
  <c r="BN15" i="4"/>
  <c r="BL15" i="4"/>
  <c r="BJ15" i="4"/>
  <c r="BH15" i="4"/>
  <c r="BF15" i="4"/>
  <c r="BD15" i="4"/>
  <c r="BB15" i="4"/>
  <c r="AZ15" i="4"/>
  <c r="AX15" i="4"/>
  <c r="AV15" i="4"/>
  <c r="AT15" i="4"/>
  <c r="AR15" i="4"/>
  <c r="AP15" i="4"/>
  <c r="AN15" i="4"/>
  <c r="AL15" i="4"/>
  <c r="AJ15" i="4"/>
  <c r="AH15" i="4"/>
  <c r="AF15" i="4"/>
  <c r="AD15" i="4"/>
  <c r="AB15" i="4"/>
  <c r="Z15" i="4"/>
  <c r="X15" i="4"/>
  <c r="V15" i="4"/>
  <c r="T15" i="4"/>
  <c r="R15" i="4"/>
  <c r="P15" i="4"/>
  <c r="N15" i="4"/>
  <c r="L15" i="4"/>
  <c r="J15" i="4"/>
  <c r="H15" i="4"/>
  <c r="F15" i="4"/>
  <c r="D15" i="4"/>
  <c r="AQ8" i="4"/>
  <c r="AN8" i="4"/>
  <c r="P8" i="4"/>
  <c r="O8" i="4"/>
  <c r="M8" i="4"/>
  <c r="L8" i="4"/>
  <c r="K8" i="4"/>
  <c r="J8" i="4"/>
  <c r="I8" i="4"/>
  <c r="H8" i="4"/>
  <c r="G8" i="4"/>
  <c r="F8" i="4"/>
  <c r="E8" i="4"/>
  <c r="D8" i="4"/>
  <c r="C8" i="4"/>
  <c r="B8" i="4"/>
  <c r="BW5" i="4"/>
  <c r="BW74" i="4" s="1"/>
  <c r="BV5" i="4"/>
  <c r="BV74" i="4" s="1"/>
  <c r="BU5" i="4"/>
  <c r="BU74" i="4" s="1"/>
  <c r="BT5" i="4"/>
  <c r="BT74" i="4" s="1"/>
  <c r="BS5" i="4"/>
  <c r="BS74" i="4" s="1"/>
  <c r="BR5" i="4"/>
  <c r="BR74" i="4" s="1"/>
  <c r="BQ5" i="4"/>
  <c r="BQ74" i="4" s="1"/>
  <c r="BP5" i="4"/>
  <c r="BP74" i="4" s="1"/>
  <c r="BO5" i="4"/>
  <c r="BO74" i="4" s="1"/>
  <c r="BN5" i="4"/>
  <c r="BN74" i="4" s="1"/>
  <c r="BM5" i="4"/>
  <c r="BM74" i="4" s="1"/>
  <c r="BL5" i="4"/>
  <c r="BL74" i="4" s="1"/>
  <c r="BK5" i="4"/>
  <c r="BK74" i="4" s="1"/>
  <c r="BJ5" i="4"/>
  <c r="BJ74" i="4" s="1"/>
  <c r="BI5" i="4"/>
  <c r="BI74" i="4" s="1"/>
  <c r="BH5" i="4"/>
  <c r="BH74" i="4" s="1"/>
  <c r="BG5" i="4"/>
  <c r="BG74" i="4" s="1"/>
  <c r="BF5" i="4"/>
  <c r="BF74" i="4" s="1"/>
  <c r="BE5" i="4"/>
  <c r="BE74" i="4" s="1"/>
  <c r="BD5" i="4"/>
  <c r="BD74" i="4" s="1"/>
  <c r="BC5" i="4"/>
  <c r="BC74" i="4" s="1"/>
  <c r="BB5" i="4"/>
  <c r="BB74" i="4" s="1"/>
  <c r="BA5" i="4"/>
  <c r="BA74" i="4" s="1"/>
  <c r="AZ5" i="4"/>
  <c r="AZ74" i="4" s="1"/>
  <c r="AY5" i="4"/>
  <c r="AY74" i="4" s="1"/>
  <c r="AX5" i="4"/>
  <c r="AX74" i="4" s="1"/>
  <c r="AW5" i="4"/>
  <c r="AW74" i="4" s="1"/>
  <c r="AV5" i="4"/>
  <c r="AV74" i="4" s="1"/>
  <c r="AU5" i="4"/>
  <c r="AU74" i="4" s="1"/>
  <c r="AT5" i="4"/>
  <c r="AT74" i="4" s="1"/>
  <c r="AS5" i="4"/>
  <c r="AS74" i="4" s="1"/>
  <c r="AR5" i="4"/>
  <c r="AR74" i="4" s="1"/>
  <c r="AQ5" i="4"/>
  <c r="AQ74" i="4" s="1"/>
  <c r="AP5" i="4"/>
  <c r="AP74" i="4" s="1"/>
  <c r="AO5" i="4"/>
  <c r="AO74" i="4" s="1"/>
  <c r="AN5" i="4"/>
  <c r="AN74" i="4" s="1"/>
  <c r="AM5" i="4"/>
  <c r="AM74" i="4" s="1"/>
  <c r="AL5" i="4"/>
  <c r="AL74" i="4" s="1"/>
  <c r="AK5" i="4"/>
  <c r="AK74" i="4" s="1"/>
  <c r="AJ5" i="4"/>
  <c r="AJ74" i="4" s="1"/>
  <c r="AI5" i="4"/>
  <c r="AI74" i="4" s="1"/>
  <c r="AH5" i="4"/>
  <c r="AH74" i="4" s="1"/>
  <c r="AG5" i="4"/>
  <c r="AG74" i="4" s="1"/>
  <c r="AF5" i="4"/>
  <c r="AF74" i="4" s="1"/>
  <c r="AE5" i="4"/>
  <c r="AE74" i="4" s="1"/>
  <c r="AD5" i="4"/>
  <c r="AD74" i="4" s="1"/>
  <c r="AC5" i="4"/>
  <c r="AC74" i="4" s="1"/>
  <c r="AB5" i="4"/>
  <c r="AB74" i="4" s="1"/>
  <c r="AA5" i="4"/>
  <c r="AA74" i="4" s="1"/>
  <c r="Z5" i="4"/>
  <c r="Z74" i="4" s="1"/>
  <c r="Y5" i="4"/>
  <c r="Y74" i="4" s="1"/>
  <c r="X5" i="4"/>
  <c r="X74" i="4" s="1"/>
  <c r="W5" i="4"/>
  <c r="W74" i="4" s="1"/>
  <c r="V5" i="4"/>
  <c r="V74" i="4" s="1"/>
  <c r="U5" i="4"/>
  <c r="U74" i="4" s="1"/>
  <c r="T5" i="4"/>
  <c r="T74" i="4" s="1"/>
  <c r="S5" i="4"/>
  <c r="S74" i="4" s="1"/>
  <c r="R5" i="4"/>
  <c r="R74" i="4" s="1"/>
  <c r="Q5" i="4"/>
  <c r="Q74" i="4" s="1"/>
  <c r="P5" i="4"/>
  <c r="P74" i="4" s="1"/>
  <c r="O5" i="4"/>
  <c r="O74" i="4" s="1"/>
  <c r="N5" i="4"/>
  <c r="N74" i="4" s="1"/>
  <c r="M5" i="4"/>
  <c r="M74" i="4" s="1"/>
  <c r="L5" i="4"/>
  <c r="L74" i="4" s="1"/>
  <c r="K5" i="4"/>
  <c r="K74" i="4" s="1"/>
  <c r="J5" i="4"/>
  <c r="J74" i="4" s="1"/>
  <c r="I5" i="4"/>
  <c r="I74" i="4" s="1"/>
  <c r="H5" i="4"/>
  <c r="H74" i="4" s="1"/>
  <c r="G5" i="4"/>
  <c r="G74" i="4" s="1"/>
  <c r="F5" i="4"/>
  <c r="F74" i="4" s="1"/>
  <c r="E5" i="4"/>
  <c r="E74" i="4" s="1"/>
  <c r="D5" i="4"/>
  <c r="D74" i="4" s="1"/>
  <c r="C5" i="4"/>
  <c r="C74" i="4" s="1"/>
  <c r="B5" i="4"/>
  <c r="B74" i="4" s="1"/>
  <c r="BW4" i="4"/>
  <c r="BW73" i="4" s="1"/>
  <c r="BW75" i="4" s="1"/>
  <c r="BV4" i="4"/>
  <c r="BV73" i="4" s="1"/>
  <c r="BV75" i="4" s="1"/>
  <c r="BU4" i="4"/>
  <c r="BU73" i="4" s="1"/>
  <c r="BU75" i="4" s="1"/>
  <c r="BT4" i="4"/>
  <c r="BT73" i="4" s="1"/>
  <c r="BT75" i="4" s="1"/>
  <c r="BS4" i="4"/>
  <c r="BS73" i="4" s="1"/>
  <c r="BS75" i="4" s="1"/>
  <c r="BR4" i="4"/>
  <c r="BR73" i="4" s="1"/>
  <c r="BR75" i="4" s="1"/>
  <c r="BQ4" i="4"/>
  <c r="BQ73" i="4" s="1"/>
  <c r="BQ75" i="4" s="1"/>
  <c r="BP4" i="4"/>
  <c r="BP73" i="4" s="1"/>
  <c r="BP75" i="4" s="1"/>
  <c r="BO4" i="4"/>
  <c r="BO73" i="4" s="1"/>
  <c r="BO75" i="4" s="1"/>
  <c r="BN4" i="4"/>
  <c r="BN73" i="4" s="1"/>
  <c r="BN75" i="4" s="1"/>
  <c r="BM4" i="4"/>
  <c r="BM73" i="4" s="1"/>
  <c r="BM75" i="4" s="1"/>
  <c r="BL4" i="4"/>
  <c r="BL73" i="4" s="1"/>
  <c r="BL75" i="4" s="1"/>
  <c r="BK4" i="4"/>
  <c r="BK73" i="4" s="1"/>
  <c r="BK75" i="4" s="1"/>
  <c r="BJ4" i="4"/>
  <c r="BJ73" i="4" s="1"/>
  <c r="BJ75" i="4" s="1"/>
  <c r="BI4" i="4"/>
  <c r="BI73" i="4" s="1"/>
  <c r="BI75" i="4" s="1"/>
  <c r="BH4" i="4"/>
  <c r="BH73" i="4" s="1"/>
  <c r="BH75" i="4" s="1"/>
  <c r="BG4" i="4"/>
  <c r="BG73" i="4" s="1"/>
  <c r="BG75" i="4" s="1"/>
  <c r="BF4" i="4"/>
  <c r="BF73" i="4" s="1"/>
  <c r="BF75" i="4" s="1"/>
  <c r="BE4" i="4"/>
  <c r="BE73" i="4" s="1"/>
  <c r="BE75" i="4" s="1"/>
  <c r="BD4" i="4"/>
  <c r="BD73" i="4" s="1"/>
  <c r="BD75" i="4" s="1"/>
  <c r="BC4" i="4"/>
  <c r="BC73" i="4" s="1"/>
  <c r="BC75" i="4" s="1"/>
  <c r="BB4" i="4"/>
  <c r="BB73" i="4" s="1"/>
  <c r="BB75" i="4" s="1"/>
  <c r="BA4" i="4"/>
  <c r="BA73" i="4" s="1"/>
  <c r="BA75" i="4" s="1"/>
  <c r="AZ4" i="4"/>
  <c r="AZ73" i="4" s="1"/>
  <c r="AZ75" i="4" s="1"/>
  <c r="AY4" i="4"/>
  <c r="AY73" i="4" s="1"/>
  <c r="AY75" i="4" s="1"/>
  <c r="AX4" i="4"/>
  <c r="AX73" i="4" s="1"/>
  <c r="AX75" i="4" s="1"/>
  <c r="AW4" i="4"/>
  <c r="AW73" i="4" s="1"/>
  <c r="AW75" i="4" s="1"/>
  <c r="AV4" i="4"/>
  <c r="AV73" i="4" s="1"/>
  <c r="AV75" i="4" s="1"/>
  <c r="AU4" i="4"/>
  <c r="AU73" i="4" s="1"/>
  <c r="AU75" i="4" s="1"/>
  <c r="AT4" i="4"/>
  <c r="AT73" i="4" s="1"/>
  <c r="AT75" i="4" s="1"/>
  <c r="AS4" i="4"/>
  <c r="AS73" i="4" s="1"/>
  <c r="AS75" i="4" s="1"/>
  <c r="AR4" i="4"/>
  <c r="AR73" i="4" s="1"/>
  <c r="AR75" i="4" s="1"/>
  <c r="AQ4" i="4"/>
  <c r="AQ73" i="4" s="1"/>
  <c r="AQ75" i="4" s="1"/>
  <c r="AP4" i="4"/>
  <c r="AP73" i="4" s="1"/>
  <c r="AP75" i="4" s="1"/>
  <c r="AO4" i="4"/>
  <c r="AO73" i="4" s="1"/>
  <c r="AO75" i="4" s="1"/>
  <c r="AN4" i="4"/>
  <c r="AN73" i="4" s="1"/>
  <c r="AN75" i="4" s="1"/>
  <c r="AM4" i="4"/>
  <c r="AM73" i="4" s="1"/>
  <c r="AM75" i="4" s="1"/>
  <c r="AL4" i="4"/>
  <c r="AL73" i="4" s="1"/>
  <c r="AL75" i="4" s="1"/>
  <c r="AK4" i="4"/>
  <c r="AK73" i="4" s="1"/>
  <c r="AK75" i="4" s="1"/>
  <c r="AJ4" i="4"/>
  <c r="AJ73" i="4" s="1"/>
  <c r="AJ75" i="4" s="1"/>
  <c r="AI4" i="4"/>
  <c r="AI73" i="4" s="1"/>
  <c r="AI75" i="4" s="1"/>
  <c r="AH4" i="4"/>
  <c r="AH73" i="4" s="1"/>
  <c r="AH75" i="4" s="1"/>
  <c r="AG4" i="4"/>
  <c r="AG73" i="4" s="1"/>
  <c r="AG75" i="4" s="1"/>
  <c r="AF4" i="4"/>
  <c r="AF73" i="4" s="1"/>
  <c r="AF75" i="4" s="1"/>
  <c r="AE4" i="4"/>
  <c r="AE73" i="4" s="1"/>
  <c r="AE75" i="4" s="1"/>
  <c r="AD4" i="4"/>
  <c r="AD73" i="4" s="1"/>
  <c r="AD75" i="4" s="1"/>
  <c r="AC4" i="4"/>
  <c r="AC73" i="4" s="1"/>
  <c r="AC75" i="4" s="1"/>
  <c r="AB4" i="4"/>
  <c r="AB73" i="4" s="1"/>
  <c r="AB75" i="4" s="1"/>
  <c r="AA4" i="4"/>
  <c r="AA73" i="4" s="1"/>
  <c r="AA75" i="4" s="1"/>
  <c r="Z4" i="4"/>
  <c r="Z73" i="4" s="1"/>
  <c r="Z75" i="4" s="1"/>
  <c r="Y4" i="4"/>
  <c r="Y73" i="4" s="1"/>
  <c r="Y75" i="4" s="1"/>
  <c r="X4" i="4"/>
  <c r="X73" i="4" s="1"/>
  <c r="X75" i="4" s="1"/>
  <c r="W4" i="4"/>
  <c r="W73" i="4" s="1"/>
  <c r="W75" i="4" s="1"/>
  <c r="V4" i="4"/>
  <c r="V73" i="4" s="1"/>
  <c r="V75" i="4" s="1"/>
  <c r="U4" i="4"/>
  <c r="U73" i="4" s="1"/>
  <c r="U75" i="4" s="1"/>
  <c r="T4" i="4"/>
  <c r="T73" i="4" s="1"/>
  <c r="T75" i="4" s="1"/>
  <c r="S4" i="4"/>
  <c r="S73" i="4" s="1"/>
  <c r="S75" i="4" s="1"/>
  <c r="R4" i="4"/>
  <c r="R73" i="4" s="1"/>
  <c r="R75" i="4" s="1"/>
  <c r="Q4" i="4"/>
  <c r="Q73" i="4" s="1"/>
  <c r="Q75" i="4" s="1"/>
  <c r="P4" i="4"/>
  <c r="P73" i="4" s="1"/>
  <c r="P75" i="4" s="1"/>
  <c r="O4" i="4"/>
  <c r="O73" i="4" s="1"/>
  <c r="O75" i="4" s="1"/>
  <c r="N4" i="4"/>
  <c r="N73" i="4" s="1"/>
  <c r="N75" i="4" s="1"/>
  <c r="M4" i="4"/>
  <c r="M73" i="4" s="1"/>
  <c r="M75" i="4" s="1"/>
  <c r="L4" i="4"/>
  <c r="L73" i="4" s="1"/>
  <c r="L75" i="4" s="1"/>
  <c r="K4" i="4"/>
  <c r="K73" i="4" s="1"/>
  <c r="K75" i="4" s="1"/>
  <c r="J4" i="4"/>
  <c r="J73" i="4" s="1"/>
  <c r="J75" i="4" s="1"/>
  <c r="I4" i="4"/>
  <c r="I73" i="4" s="1"/>
  <c r="I75" i="4" s="1"/>
  <c r="I10" i="3" s="1"/>
  <c r="H4" i="4"/>
  <c r="H73" i="4" s="1"/>
  <c r="H75" i="4" s="1"/>
  <c r="G4" i="4"/>
  <c r="G73" i="4" s="1"/>
  <c r="G75" i="4" s="1"/>
  <c r="G10" i="3" s="1"/>
  <c r="F4" i="4"/>
  <c r="F73" i="4" s="1"/>
  <c r="F75" i="4" s="1"/>
  <c r="E4" i="4"/>
  <c r="E73" i="4" s="1"/>
  <c r="E75" i="4" s="1"/>
  <c r="E10" i="3" s="1"/>
  <c r="D4" i="4"/>
  <c r="D73" i="4" s="1"/>
  <c r="D75" i="4" s="1"/>
  <c r="D10" i="3" s="1"/>
  <c r="C4" i="4"/>
  <c r="C73" i="4" s="1"/>
  <c r="C75" i="4" s="1"/>
  <c r="C10" i="3" s="1"/>
  <c r="B4" i="4"/>
  <c r="B73" i="4" s="1"/>
  <c r="B75" i="4" s="1"/>
  <c r="BB3" i="4"/>
  <c r="BB8" i="4" s="1"/>
  <c r="BA3" i="4"/>
  <c r="BA8" i="4" s="1"/>
  <c r="BA2" i="3" s="1"/>
  <c r="AZ3" i="4"/>
  <c r="AZ8" i="4" s="1"/>
  <c r="AY3" i="4"/>
  <c r="AY8" i="4" s="1"/>
  <c r="AX3" i="4"/>
  <c r="AX8" i="4" s="1"/>
  <c r="AX2" i="3" s="1"/>
  <c r="AW3" i="4"/>
  <c r="AW8" i="4" s="1"/>
  <c r="AW2" i="3" s="1"/>
  <c r="AV3" i="4"/>
  <c r="AV8" i="4" s="1"/>
  <c r="AU3" i="4"/>
  <c r="AU8" i="4" s="1"/>
  <c r="AT3" i="4"/>
  <c r="AT8" i="4" s="1"/>
  <c r="AR3" i="4"/>
  <c r="AR8" i="4" s="1"/>
  <c r="AP3" i="4"/>
  <c r="AP8" i="4" s="1"/>
  <c r="AP2" i="3" s="1"/>
  <c r="AO3" i="4"/>
  <c r="AO8" i="4" s="1"/>
  <c r="AM3" i="4"/>
  <c r="AM8" i="4" s="1"/>
  <c r="AL3" i="4"/>
  <c r="AL8" i="4" s="1"/>
  <c r="AK3" i="4"/>
  <c r="AI3" i="4"/>
  <c r="AI8" i="4" s="1"/>
  <c r="AH3" i="4"/>
  <c r="AH8" i="4" s="1"/>
  <c r="AG3" i="4"/>
  <c r="AE3" i="4"/>
  <c r="AE8" i="4" s="1"/>
  <c r="AD3" i="4"/>
  <c r="AD8" i="4" s="1"/>
  <c r="AC3" i="4"/>
  <c r="AC8" i="4" s="1"/>
  <c r="AB3" i="4"/>
  <c r="AB8" i="4" s="1"/>
  <c r="AA3" i="4"/>
  <c r="AA8" i="4" s="1"/>
  <c r="Z3" i="4"/>
  <c r="Z8" i="4" s="1"/>
  <c r="Y3" i="4"/>
  <c r="Y8" i="4" s="1"/>
  <c r="X3" i="4"/>
  <c r="X8" i="4" s="1"/>
  <c r="W3" i="4"/>
  <c r="W8" i="4" s="1"/>
  <c r="V3" i="4"/>
  <c r="V8" i="4" s="1"/>
  <c r="U3" i="4"/>
  <c r="U8" i="4" s="1"/>
  <c r="T3" i="4"/>
  <c r="T8" i="4" s="1"/>
  <c r="S3" i="4"/>
  <c r="S8" i="4" s="1"/>
  <c r="R3" i="4"/>
  <c r="R8" i="4" s="1"/>
  <c r="Q3" i="4"/>
  <c r="Q8" i="4" s="1"/>
  <c r="N3" i="4"/>
  <c r="N8" i="4" s="1"/>
  <c r="AV14" i="3"/>
  <c r="AW14" i="3" s="1"/>
  <c r="AX14" i="3" s="1"/>
  <c r="AY14" i="3" s="1"/>
  <c r="AZ14" i="3" s="1"/>
  <c r="BA14" i="3" s="1"/>
  <c r="BB14" i="3" s="1"/>
  <c r="BC14" i="3" s="1"/>
  <c r="BD14" i="3" s="1"/>
  <c r="BE14" i="3" s="1"/>
  <c r="BF14" i="3" s="1"/>
  <c r="BG14" i="3" s="1"/>
  <c r="BH14" i="3" s="1"/>
  <c r="BI14" i="3" s="1"/>
  <c r="BJ14" i="3" s="1"/>
  <c r="BK14" i="3" s="1"/>
  <c r="BL14" i="3" s="1"/>
  <c r="BM14" i="3" s="1"/>
  <c r="BN14" i="3" s="1"/>
  <c r="BO14" i="3" s="1"/>
  <c r="BP14" i="3" s="1"/>
  <c r="BQ14" i="3" s="1"/>
  <c r="BR14" i="3" s="1"/>
  <c r="BS14" i="3" s="1"/>
  <c r="BT14" i="3" s="1"/>
  <c r="AT14" i="3"/>
  <c r="AU14" i="3" s="1"/>
  <c r="AS14" i="3"/>
  <c r="AK14" i="3"/>
  <c r="AL14" i="3" s="1"/>
  <c r="AM14" i="3" s="1"/>
  <c r="AN14" i="3" s="1"/>
  <c r="AO14" i="3" s="1"/>
  <c r="AP14" i="3" s="1"/>
  <c r="AQ14" i="3" s="1"/>
  <c r="AR14" i="3" s="1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AS13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C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H10" i="3"/>
  <c r="F10" i="3"/>
  <c r="B10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N8" i="3"/>
  <c r="AM8" i="3"/>
  <c r="AL8" i="3"/>
  <c r="AH8" i="3"/>
  <c r="AF8" i="3"/>
  <c r="AD8" i="3"/>
  <c r="AB8" i="3"/>
  <c r="Z8" i="3"/>
  <c r="X8" i="3"/>
  <c r="W8" i="3"/>
  <c r="V8" i="3"/>
  <c r="R8" i="3"/>
  <c r="P8" i="3"/>
  <c r="N8" i="3"/>
  <c r="L8" i="3"/>
  <c r="J8" i="3"/>
  <c r="H8" i="3"/>
  <c r="G8" i="3"/>
  <c r="F8" i="3"/>
  <c r="B8" i="3"/>
  <c r="BA7" i="3"/>
  <c r="BB7" i="3" s="1"/>
  <c r="AY7" i="3"/>
  <c r="AX7" i="3"/>
  <c r="AT7" i="3"/>
  <c r="AP7" i="3"/>
  <c r="AO7" i="3"/>
  <c r="AL7" i="3"/>
  <c r="AK7" i="3"/>
  <c r="Z7" i="3"/>
  <c r="Y7" i="3"/>
  <c r="AW6" i="3"/>
  <c r="AX6" i="3" s="1"/>
  <c r="AV6" i="3"/>
  <c r="AK6" i="3"/>
  <c r="AW5" i="3"/>
  <c r="AW17" i="3" s="1"/>
  <c r="AV5" i="3"/>
  <c r="AS5" i="3"/>
  <c r="AR5" i="3"/>
  <c r="AN5" i="3"/>
  <c r="AM5" i="3"/>
  <c r="AF5" i="3"/>
  <c r="X5" i="3"/>
  <c r="W5" i="3"/>
  <c r="Q5" i="3"/>
  <c r="P5" i="3"/>
  <c r="M5" i="3"/>
  <c r="L5" i="3"/>
  <c r="H5" i="3"/>
  <c r="G5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E4" i="3"/>
  <c r="D4" i="3"/>
  <c r="C4" i="3"/>
  <c r="B4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Z2" i="3"/>
  <c r="AY2" i="3"/>
  <c r="AV2" i="3"/>
  <c r="AU2" i="3"/>
  <c r="AR2" i="3"/>
  <c r="AQ2" i="3"/>
  <c r="AO2" i="3"/>
  <c r="AN2" i="3"/>
  <c r="AI2" i="3"/>
  <c r="AD2" i="3"/>
  <c r="Z2" i="3"/>
  <c r="Y2" i="3"/>
  <c r="V2" i="3"/>
  <c r="U2" i="3"/>
  <c r="R2" i="3"/>
  <c r="P2" i="3"/>
  <c r="O2" i="3"/>
  <c r="M2" i="3"/>
  <c r="L2" i="3"/>
  <c r="K2" i="3"/>
  <c r="J2" i="3"/>
  <c r="I2" i="3"/>
  <c r="H2" i="3"/>
  <c r="G2" i="3"/>
  <c r="F2" i="3"/>
  <c r="E2" i="3"/>
  <c r="D2" i="3"/>
  <c r="C2" i="3"/>
  <c r="B2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B5" i="3" s="1"/>
  <c r="BA1" i="3"/>
  <c r="AZ1" i="3"/>
  <c r="AZ7" i="3" s="1"/>
  <c r="AY1" i="3"/>
  <c r="AX1" i="3"/>
  <c r="AW1" i="3"/>
  <c r="AW7" i="3" s="1"/>
  <c r="AV1" i="3"/>
  <c r="AV7" i="3" s="1"/>
  <c r="AU1" i="3"/>
  <c r="AT1" i="3"/>
  <c r="AT5" i="3" s="1"/>
  <c r="AS1" i="3"/>
  <c r="AR1" i="3"/>
  <c r="AR7" i="3" s="1"/>
  <c r="AQ1" i="3"/>
  <c r="AP1" i="3"/>
  <c r="AP5" i="3" s="1"/>
  <c r="AO1" i="3"/>
  <c r="AO5" i="3" s="1"/>
  <c r="AN1" i="3"/>
  <c r="AN7" i="3" s="1"/>
  <c r="AM1" i="3"/>
  <c r="AL1" i="3"/>
  <c r="AL5" i="3" s="1"/>
  <c r="AK1" i="3"/>
  <c r="AK8" i="3" s="1"/>
  <c r="AJ1" i="3"/>
  <c r="AI1" i="3"/>
  <c r="AH1" i="3"/>
  <c r="AG1" i="3"/>
  <c r="AG8" i="3" s="1"/>
  <c r="AF1" i="3"/>
  <c r="AE1" i="3"/>
  <c r="AD1" i="3"/>
  <c r="AD5" i="3" s="1"/>
  <c r="AC1" i="3"/>
  <c r="AC8" i="3" s="1"/>
  <c r="AB1" i="3"/>
  <c r="AA1" i="3"/>
  <c r="Z1" i="3"/>
  <c r="Z5" i="3" s="1"/>
  <c r="Y1" i="3"/>
  <c r="Y8" i="3" s="1"/>
  <c r="X1" i="3"/>
  <c r="X7" i="3" s="1"/>
  <c r="W1" i="3"/>
  <c r="V1" i="3"/>
  <c r="V5" i="3" s="1"/>
  <c r="U1" i="3"/>
  <c r="U8" i="3" s="1"/>
  <c r="T1" i="3"/>
  <c r="S1" i="3"/>
  <c r="R1" i="3"/>
  <c r="R5" i="3" s="1"/>
  <c r="Q1" i="3"/>
  <c r="Q8" i="3" s="1"/>
  <c r="P1" i="3"/>
  <c r="O1" i="3"/>
  <c r="N1" i="3"/>
  <c r="N5" i="3" s="1"/>
  <c r="M1" i="3"/>
  <c r="M8" i="3" s="1"/>
  <c r="L1" i="3"/>
  <c r="K1" i="3"/>
  <c r="J1" i="3"/>
  <c r="J5" i="3" s="1"/>
  <c r="I1" i="3"/>
  <c r="I8" i="3" s="1"/>
  <c r="H1" i="3"/>
  <c r="G1" i="3"/>
  <c r="F1" i="3"/>
  <c r="F5" i="3" s="1"/>
  <c r="E1" i="3"/>
  <c r="E8" i="3" s="1"/>
  <c r="D1" i="3"/>
  <c r="C1" i="3"/>
  <c r="B1" i="3"/>
  <c r="B5" i="3" s="1"/>
  <c r="C175" i="2"/>
  <c r="B175" i="2"/>
  <c r="A175" i="2"/>
  <c r="C174" i="2"/>
  <c r="B174" i="2"/>
  <c r="A174" i="2"/>
  <c r="C173" i="2"/>
  <c r="B173" i="2"/>
  <c r="A173" i="2"/>
  <c r="C172" i="2"/>
  <c r="B172" i="2"/>
  <c r="A172" i="2"/>
  <c r="C171" i="2"/>
  <c r="B171" i="2"/>
  <c r="A171" i="2"/>
  <c r="C170" i="2"/>
  <c r="B170" i="2"/>
  <c r="A170" i="2"/>
  <c r="C169" i="2"/>
  <c r="B169" i="2"/>
  <c r="A169" i="2"/>
  <c r="C168" i="2"/>
  <c r="B168" i="2"/>
  <c r="A168" i="2"/>
  <c r="C167" i="2"/>
  <c r="B167" i="2"/>
  <c r="A167" i="2"/>
  <c r="C166" i="2"/>
  <c r="B166" i="2"/>
  <c r="A166" i="2"/>
  <c r="C165" i="2"/>
  <c r="B165" i="2"/>
  <c r="A165" i="2"/>
  <c r="C164" i="2"/>
  <c r="B164" i="2"/>
  <c r="A164" i="2"/>
  <c r="C163" i="2"/>
  <c r="B163" i="2"/>
  <c r="A163" i="2"/>
  <c r="C162" i="2"/>
  <c r="B162" i="2"/>
  <c r="A162" i="2"/>
  <c r="C161" i="2"/>
  <c r="B161" i="2"/>
  <c r="A161" i="2"/>
  <c r="C160" i="2"/>
  <c r="B160" i="2"/>
  <c r="A160" i="2"/>
  <c r="C159" i="2"/>
  <c r="B159" i="2"/>
  <c r="A159" i="2"/>
  <c r="C158" i="2"/>
  <c r="B158" i="2"/>
  <c r="A158" i="2"/>
  <c r="C157" i="2"/>
  <c r="B157" i="2"/>
  <c r="A157" i="2"/>
  <c r="C156" i="2"/>
  <c r="B156" i="2"/>
  <c r="A156" i="2"/>
  <c r="C155" i="2"/>
  <c r="B155" i="2"/>
  <c r="A155" i="2"/>
  <c r="C154" i="2"/>
  <c r="B154" i="2"/>
  <c r="A154" i="2"/>
  <c r="C153" i="2"/>
  <c r="B153" i="2"/>
  <c r="A153" i="2"/>
  <c r="C152" i="2"/>
  <c r="B152" i="2"/>
  <c r="A152" i="2"/>
  <c r="C151" i="2"/>
  <c r="B151" i="2"/>
  <c r="A151" i="2"/>
  <c r="C150" i="2"/>
  <c r="B150" i="2"/>
  <c r="A150" i="2"/>
  <c r="C149" i="2"/>
  <c r="B149" i="2"/>
  <c r="A149" i="2"/>
  <c r="C148" i="2"/>
  <c r="B148" i="2"/>
  <c r="A148" i="2"/>
  <c r="C147" i="2"/>
  <c r="B147" i="2"/>
  <c r="A147" i="2"/>
  <c r="C146" i="2"/>
  <c r="B146" i="2"/>
  <c r="A146" i="2"/>
  <c r="C145" i="2"/>
  <c r="B145" i="2"/>
  <c r="A145" i="2"/>
  <c r="C144" i="2"/>
  <c r="B144" i="2"/>
  <c r="A144" i="2"/>
  <c r="C143" i="2"/>
  <c r="B143" i="2"/>
  <c r="A143" i="2"/>
  <c r="C142" i="2"/>
  <c r="B142" i="2"/>
  <c r="A142" i="2"/>
  <c r="C141" i="2"/>
  <c r="B141" i="2"/>
  <c r="A141" i="2"/>
  <c r="C140" i="2"/>
  <c r="B140" i="2"/>
  <c r="A140" i="2"/>
  <c r="C139" i="2"/>
  <c r="B139" i="2"/>
  <c r="A139" i="2"/>
  <c r="C138" i="2"/>
  <c r="B138" i="2"/>
  <c r="A138" i="2"/>
  <c r="C137" i="2"/>
  <c r="B137" i="2"/>
  <c r="A137" i="2"/>
  <c r="C136" i="2"/>
  <c r="B136" i="2"/>
  <c r="A136" i="2"/>
  <c r="C135" i="2"/>
  <c r="B135" i="2"/>
  <c r="A135" i="2"/>
  <c r="C134" i="2"/>
  <c r="B134" i="2"/>
  <c r="A134" i="2"/>
  <c r="C133" i="2"/>
  <c r="B133" i="2"/>
  <c r="A133" i="2"/>
  <c r="C132" i="2"/>
  <c r="B132" i="2"/>
  <c r="A132" i="2"/>
  <c r="C131" i="2"/>
  <c r="B131" i="2"/>
  <c r="A131" i="2"/>
  <c r="C130" i="2"/>
  <c r="B130" i="2"/>
  <c r="A130" i="2"/>
  <c r="C129" i="2"/>
  <c r="B129" i="2"/>
  <c r="A129" i="2"/>
  <c r="C128" i="2"/>
  <c r="B128" i="2"/>
  <c r="A128" i="2"/>
  <c r="C127" i="2"/>
  <c r="B127" i="2"/>
  <c r="A127" i="2"/>
  <c r="C126" i="2"/>
  <c r="B126" i="2"/>
  <c r="A126" i="2"/>
  <c r="C125" i="2"/>
  <c r="B125" i="2"/>
  <c r="A125" i="2"/>
  <c r="C124" i="2"/>
  <c r="B124" i="2"/>
  <c r="A124" i="2"/>
  <c r="C123" i="2"/>
  <c r="B123" i="2"/>
  <c r="A123" i="2"/>
  <c r="C122" i="2"/>
  <c r="B122" i="2"/>
  <c r="A122" i="2"/>
  <c r="C121" i="2"/>
  <c r="B121" i="2"/>
  <c r="A121" i="2"/>
  <c r="C120" i="2"/>
  <c r="B120" i="2"/>
  <c r="A120" i="2"/>
  <c r="C119" i="2"/>
  <c r="B119" i="2"/>
  <c r="A119" i="2"/>
  <c r="C118" i="2"/>
  <c r="B118" i="2"/>
  <c r="A118" i="2"/>
  <c r="C117" i="2"/>
  <c r="B117" i="2"/>
  <c r="A117" i="2"/>
  <c r="C116" i="2"/>
  <c r="B116" i="2"/>
  <c r="A116" i="2"/>
  <c r="C115" i="2"/>
  <c r="B115" i="2"/>
  <c r="A115" i="2"/>
  <c r="C114" i="2"/>
  <c r="B114" i="2"/>
  <c r="A114" i="2"/>
  <c r="C113" i="2"/>
  <c r="B113" i="2"/>
  <c r="A113" i="2"/>
  <c r="C112" i="2"/>
  <c r="B112" i="2"/>
  <c r="A112" i="2"/>
  <c r="C111" i="2"/>
  <c r="B111" i="2"/>
  <c r="A111" i="2"/>
  <c r="C110" i="2"/>
  <c r="B110" i="2"/>
  <c r="A110" i="2"/>
  <c r="C109" i="2"/>
  <c r="B109" i="2"/>
  <c r="A109" i="2"/>
  <c r="C108" i="2"/>
  <c r="B108" i="2"/>
  <c r="A108" i="2"/>
  <c r="C107" i="2"/>
  <c r="B107" i="2"/>
  <c r="A107" i="2"/>
  <c r="C106" i="2"/>
  <c r="B106" i="2"/>
  <c r="A106" i="2"/>
  <c r="C105" i="2"/>
  <c r="B105" i="2"/>
  <c r="A105" i="2"/>
  <c r="C104" i="2"/>
  <c r="B104" i="2"/>
  <c r="A104" i="2"/>
  <c r="C103" i="2"/>
  <c r="B103" i="2"/>
  <c r="A103" i="2"/>
  <c r="C102" i="2"/>
  <c r="B102" i="2"/>
  <c r="A102" i="2"/>
  <c r="C101" i="2"/>
  <c r="B101" i="2"/>
  <c r="A101" i="2"/>
  <c r="C100" i="2"/>
  <c r="B100" i="2"/>
  <c r="A100" i="2"/>
  <c r="C99" i="2"/>
  <c r="B99" i="2"/>
  <c r="A99" i="2"/>
  <c r="C98" i="2"/>
  <c r="B98" i="2"/>
  <c r="A98" i="2"/>
  <c r="C97" i="2"/>
  <c r="B97" i="2"/>
  <c r="A97" i="2"/>
  <c r="C96" i="2"/>
  <c r="B96" i="2"/>
  <c r="A96" i="2"/>
  <c r="C95" i="2"/>
  <c r="B95" i="2"/>
  <c r="A95" i="2"/>
  <c r="C94" i="2"/>
  <c r="B94" i="2"/>
  <c r="A94" i="2"/>
  <c r="C93" i="2"/>
  <c r="B93" i="2"/>
  <c r="A93" i="2"/>
  <c r="C92" i="2"/>
  <c r="B92" i="2"/>
  <c r="A92" i="2"/>
  <c r="C91" i="2"/>
  <c r="B91" i="2"/>
  <c r="A91" i="2"/>
  <c r="C90" i="2"/>
  <c r="B90" i="2"/>
  <c r="A90" i="2"/>
  <c r="C89" i="2"/>
  <c r="B89" i="2"/>
  <c r="A89" i="2"/>
  <c r="C88" i="2"/>
  <c r="B88" i="2"/>
  <c r="A88" i="2"/>
  <c r="C87" i="2"/>
  <c r="B87" i="2"/>
  <c r="A87" i="2"/>
  <c r="C86" i="2"/>
  <c r="B86" i="2"/>
  <c r="A86" i="2"/>
  <c r="C85" i="2"/>
  <c r="B85" i="2"/>
  <c r="A85" i="2"/>
  <c r="C84" i="2"/>
  <c r="B84" i="2"/>
  <c r="A84" i="2"/>
  <c r="C83" i="2"/>
  <c r="B83" i="2"/>
  <c r="A83" i="2"/>
  <c r="C82" i="2"/>
  <c r="B82" i="2"/>
  <c r="A82" i="2"/>
  <c r="C81" i="2"/>
  <c r="B81" i="2"/>
  <c r="A81" i="2"/>
  <c r="C80" i="2"/>
  <c r="B80" i="2"/>
  <c r="A80" i="2"/>
  <c r="C79" i="2"/>
  <c r="B79" i="2"/>
  <c r="A79" i="2"/>
  <c r="C78" i="2"/>
  <c r="B78" i="2"/>
  <c r="A78" i="2"/>
  <c r="C77" i="2"/>
  <c r="B77" i="2"/>
  <c r="A77" i="2"/>
  <c r="C76" i="2"/>
  <c r="B76" i="2"/>
  <c r="A76" i="2"/>
  <c r="C75" i="2"/>
  <c r="B75" i="2"/>
  <c r="A75" i="2"/>
  <c r="C74" i="2"/>
  <c r="B74" i="2"/>
  <c r="A74" i="2"/>
  <c r="C73" i="2"/>
  <c r="B73" i="2"/>
  <c r="A73" i="2"/>
  <c r="C72" i="2"/>
  <c r="B72" i="2"/>
  <c r="A72" i="2"/>
  <c r="C71" i="2"/>
  <c r="B71" i="2"/>
  <c r="A71" i="2"/>
  <c r="C70" i="2"/>
  <c r="B70" i="2"/>
  <c r="A70" i="2"/>
  <c r="C69" i="2"/>
  <c r="B69" i="2"/>
  <c r="A69" i="2"/>
  <c r="C68" i="2"/>
  <c r="B68" i="2"/>
  <c r="A68" i="2"/>
  <c r="C67" i="2"/>
  <c r="B67" i="2"/>
  <c r="A67" i="2"/>
  <c r="C66" i="2"/>
  <c r="B66" i="2"/>
  <c r="A66" i="2"/>
  <c r="C65" i="2"/>
  <c r="B65" i="2"/>
  <c r="A65" i="2"/>
  <c r="C64" i="2"/>
  <c r="B64" i="2"/>
  <c r="A64" i="2"/>
  <c r="C63" i="2"/>
  <c r="B63" i="2"/>
  <c r="A63" i="2"/>
  <c r="C62" i="2"/>
  <c r="B62" i="2"/>
  <c r="A62" i="2"/>
  <c r="C61" i="2"/>
  <c r="B61" i="2"/>
  <c r="A61" i="2"/>
  <c r="C60" i="2"/>
  <c r="B60" i="2"/>
  <c r="A60" i="2"/>
  <c r="C59" i="2"/>
  <c r="B59" i="2"/>
  <c r="A59" i="2"/>
  <c r="C58" i="2"/>
  <c r="B58" i="2"/>
  <c r="A58" i="2"/>
  <c r="C57" i="2"/>
  <c r="B57" i="2"/>
  <c r="A57" i="2"/>
  <c r="C56" i="2"/>
  <c r="B56" i="2"/>
  <c r="A56" i="2"/>
  <c r="C55" i="2"/>
  <c r="B55" i="2"/>
  <c r="A55" i="2"/>
  <c r="C54" i="2"/>
  <c r="B54" i="2"/>
  <c r="A54" i="2"/>
  <c r="C53" i="2"/>
  <c r="B53" i="2"/>
  <c r="A53" i="2"/>
  <c r="C52" i="2"/>
  <c r="B52" i="2"/>
  <c r="A52" i="2"/>
  <c r="C51" i="2"/>
  <c r="B51" i="2"/>
  <c r="A51" i="2"/>
  <c r="C50" i="2"/>
  <c r="B50" i="2"/>
  <c r="A50" i="2"/>
  <c r="C49" i="2"/>
  <c r="B49" i="2"/>
  <c r="A49" i="2"/>
  <c r="C48" i="2"/>
  <c r="B48" i="2"/>
  <c r="A48" i="2"/>
  <c r="C47" i="2"/>
  <c r="B47" i="2"/>
  <c r="A47" i="2"/>
  <c r="C46" i="2"/>
  <c r="B46" i="2"/>
  <c r="A46" i="2"/>
  <c r="C45" i="2"/>
  <c r="B45" i="2"/>
  <c r="A45" i="2"/>
  <c r="C44" i="2"/>
  <c r="B44" i="2"/>
  <c r="A44" i="2"/>
  <c r="C43" i="2"/>
  <c r="B43" i="2"/>
  <c r="A43" i="2"/>
  <c r="C42" i="2"/>
  <c r="B42" i="2"/>
  <c r="A42" i="2"/>
  <c r="C41" i="2"/>
  <c r="B41" i="2"/>
  <c r="A41" i="2"/>
  <c r="C40" i="2"/>
  <c r="B40" i="2"/>
  <c r="A40" i="2"/>
  <c r="C39" i="2"/>
  <c r="B39" i="2"/>
  <c r="A39" i="2"/>
  <c r="C38" i="2"/>
  <c r="B38" i="2"/>
  <c r="A38" i="2"/>
  <c r="C37" i="2"/>
  <c r="B37" i="2"/>
  <c r="A37" i="2"/>
  <c r="C36" i="2"/>
  <c r="B36" i="2"/>
  <c r="A36" i="2"/>
  <c r="C35" i="2"/>
  <c r="B35" i="2"/>
  <c r="A35" i="2"/>
  <c r="C34" i="2"/>
  <c r="B34" i="2"/>
  <c r="A34" i="2"/>
  <c r="C33" i="2"/>
  <c r="B33" i="2"/>
  <c r="A33" i="2"/>
  <c r="C32" i="2"/>
  <c r="B32" i="2"/>
  <c r="A32" i="2"/>
  <c r="C31" i="2"/>
  <c r="B31" i="2"/>
  <c r="A31" i="2"/>
  <c r="C30" i="2"/>
  <c r="B30" i="2"/>
  <c r="A30" i="2"/>
  <c r="C29" i="2"/>
  <c r="B29" i="2"/>
  <c r="A29" i="2"/>
  <c r="C28" i="2"/>
  <c r="B28" i="2"/>
  <c r="A28" i="2"/>
  <c r="C27" i="2"/>
  <c r="B27" i="2"/>
  <c r="A27" i="2"/>
  <c r="C26" i="2"/>
  <c r="B26" i="2"/>
  <c r="A26" i="2"/>
  <c r="C25" i="2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16" i="2"/>
  <c r="B16" i="2"/>
  <c r="A16" i="2"/>
  <c r="C15" i="2"/>
  <c r="B15" i="2"/>
  <c r="A15" i="2"/>
  <c r="C14" i="2"/>
  <c r="B14" i="2"/>
  <c r="A14" i="2"/>
  <c r="C13" i="2"/>
  <c r="B13" i="2"/>
  <c r="A13" i="2"/>
  <c r="C12" i="2"/>
  <c r="B12" i="2"/>
  <c r="A12" i="2"/>
  <c r="C11" i="2"/>
  <c r="B11" i="2"/>
  <c r="A11" i="2"/>
  <c r="C10" i="2"/>
  <c r="B10" i="2"/>
  <c r="A10" i="2"/>
  <c r="C9" i="2"/>
  <c r="B9" i="2"/>
  <c r="A9" i="2"/>
  <c r="C8" i="2"/>
  <c r="B8" i="2"/>
  <c r="A8" i="2"/>
  <c r="C7" i="2"/>
  <c r="B7" i="2"/>
  <c r="A7" i="2"/>
  <c r="C6" i="2"/>
  <c r="B6" i="2"/>
  <c r="A6" i="2"/>
  <c r="C5" i="2"/>
  <c r="B5" i="2"/>
  <c r="A5" i="2"/>
  <c r="C4" i="2"/>
  <c r="B4" i="2"/>
  <c r="A4" i="2"/>
  <c r="C3" i="2"/>
  <c r="B3" i="2"/>
  <c r="A3" i="2"/>
  <c r="C2" i="2"/>
  <c r="B2" i="2"/>
  <c r="A2" i="2"/>
  <c r="C1" i="2"/>
  <c r="B1" i="2"/>
  <c r="A1" i="2"/>
  <c r="C172" i="1"/>
  <c r="B172" i="1"/>
  <c r="A172" i="1"/>
  <c r="A171" i="1"/>
  <c r="C171" i="1" s="1"/>
  <c r="B170" i="1"/>
  <c r="A170" i="1"/>
  <c r="C170" i="1" s="1"/>
  <c r="A169" i="1"/>
  <c r="B169" i="1" s="1"/>
  <c r="C168" i="1"/>
  <c r="B168" i="1"/>
  <c r="A168" i="1"/>
  <c r="C167" i="1"/>
  <c r="B167" i="1"/>
  <c r="A167" i="1"/>
  <c r="A166" i="1"/>
  <c r="C166" i="1" s="1"/>
  <c r="C165" i="1"/>
  <c r="A165" i="1"/>
  <c r="B165" i="1" s="1"/>
  <c r="C164" i="1"/>
  <c r="B164" i="1"/>
  <c r="A164" i="1"/>
  <c r="A163" i="1"/>
  <c r="C163" i="1" s="1"/>
  <c r="B162" i="1"/>
  <c r="A162" i="1"/>
  <c r="C162" i="1" s="1"/>
  <c r="A161" i="1"/>
  <c r="B161" i="1" s="1"/>
  <c r="C160" i="1"/>
  <c r="B160" i="1"/>
  <c r="A160" i="1"/>
  <c r="C159" i="1"/>
  <c r="B159" i="1"/>
  <c r="A159" i="1"/>
  <c r="A158" i="1"/>
  <c r="C158" i="1" s="1"/>
  <c r="C157" i="1"/>
  <c r="B157" i="1"/>
  <c r="A157" i="1"/>
  <c r="C156" i="1"/>
  <c r="B156" i="1"/>
  <c r="A156" i="1"/>
  <c r="A155" i="1"/>
  <c r="A154" i="1"/>
  <c r="C154" i="1" s="1"/>
  <c r="C153" i="1"/>
  <c r="B153" i="1"/>
  <c r="A153" i="1"/>
  <c r="C152" i="1"/>
  <c r="B152" i="1"/>
  <c r="A152" i="1"/>
  <c r="A151" i="1"/>
  <c r="A150" i="1"/>
  <c r="C150" i="1" s="1"/>
  <c r="C149" i="1"/>
  <c r="B149" i="1"/>
  <c r="A149" i="1"/>
  <c r="C148" i="1"/>
  <c r="B148" i="1"/>
  <c r="A148" i="1"/>
  <c r="A147" i="1"/>
  <c r="A146" i="1"/>
  <c r="C146" i="1" s="1"/>
  <c r="C145" i="1"/>
  <c r="B145" i="1"/>
  <c r="A145" i="1"/>
  <c r="C144" i="1"/>
  <c r="B144" i="1"/>
  <c r="A144" i="1"/>
  <c r="A143" i="1"/>
  <c r="A142" i="1"/>
  <c r="C142" i="1" s="1"/>
  <c r="C141" i="1"/>
  <c r="B141" i="1"/>
  <c r="A141" i="1"/>
  <c r="C140" i="1"/>
  <c r="B140" i="1"/>
  <c r="A140" i="1"/>
  <c r="A139" i="1"/>
  <c r="A138" i="1"/>
  <c r="C138" i="1" s="1"/>
  <c r="C137" i="1"/>
  <c r="B137" i="1"/>
  <c r="A137" i="1"/>
  <c r="C136" i="1"/>
  <c r="B136" i="1"/>
  <c r="A136" i="1"/>
  <c r="A135" i="1"/>
  <c r="A134" i="1"/>
  <c r="C134" i="1" s="1"/>
  <c r="C133" i="1"/>
  <c r="B133" i="1"/>
  <c r="A133" i="1"/>
  <c r="C132" i="1"/>
  <c r="B132" i="1"/>
  <c r="A132" i="1"/>
  <c r="A131" i="1"/>
  <c r="A130" i="1"/>
  <c r="C130" i="1" s="1"/>
  <c r="C129" i="1"/>
  <c r="B129" i="1"/>
  <c r="A129" i="1"/>
  <c r="C128" i="1"/>
  <c r="B128" i="1"/>
  <c r="A128" i="1"/>
  <c r="A127" i="1"/>
  <c r="A126" i="1"/>
  <c r="C126" i="1" s="1"/>
  <c r="C125" i="1"/>
  <c r="B125" i="1"/>
  <c r="A125" i="1"/>
  <c r="C124" i="1"/>
  <c r="B124" i="1"/>
  <c r="A124" i="1"/>
  <c r="A123" i="1"/>
  <c r="A122" i="1"/>
  <c r="C122" i="1" s="1"/>
  <c r="C121" i="1"/>
  <c r="B121" i="1"/>
  <c r="A121" i="1"/>
  <c r="C120" i="1"/>
  <c r="B120" i="1"/>
  <c r="A120" i="1"/>
  <c r="A119" i="1"/>
  <c r="A118" i="1"/>
  <c r="C118" i="1" s="1"/>
  <c r="C117" i="1"/>
  <c r="B117" i="1"/>
  <c r="A117" i="1"/>
  <c r="C116" i="1"/>
  <c r="B116" i="1"/>
  <c r="A116" i="1"/>
  <c r="A115" i="1"/>
  <c r="A114" i="1"/>
  <c r="C114" i="1" s="1"/>
  <c r="C113" i="1"/>
  <c r="B113" i="1"/>
  <c r="A113" i="1"/>
  <c r="C112" i="1"/>
  <c r="B112" i="1"/>
  <c r="A112" i="1"/>
  <c r="A111" i="1"/>
  <c r="A110" i="1"/>
  <c r="C110" i="1" s="1"/>
  <c r="C109" i="1"/>
  <c r="B109" i="1"/>
  <c r="A109" i="1"/>
  <c r="C108" i="1"/>
  <c r="B108" i="1"/>
  <c r="A108" i="1"/>
  <c r="A107" i="1"/>
  <c r="A106" i="1"/>
  <c r="C106" i="1" s="1"/>
  <c r="C105" i="1"/>
  <c r="B105" i="1"/>
  <c r="A105" i="1"/>
  <c r="C104" i="1"/>
  <c r="B104" i="1"/>
  <c r="A104" i="1"/>
  <c r="A103" i="1"/>
  <c r="A102" i="1"/>
  <c r="C102" i="1" s="1"/>
  <c r="C101" i="1"/>
  <c r="B101" i="1"/>
  <c r="A101" i="1"/>
  <c r="C100" i="1"/>
  <c r="B100" i="1"/>
  <c r="A100" i="1"/>
  <c r="A99" i="1"/>
  <c r="A98" i="1"/>
  <c r="C98" i="1" s="1"/>
  <c r="C97" i="1"/>
  <c r="B97" i="1"/>
  <c r="A97" i="1"/>
  <c r="C96" i="1"/>
  <c r="B96" i="1"/>
  <c r="A96" i="1"/>
  <c r="A95" i="1"/>
  <c r="A94" i="1"/>
  <c r="C94" i="1" s="1"/>
  <c r="C93" i="1"/>
  <c r="B93" i="1"/>
  <c r="A93" i="1"/>
  <c r="C92" i="1"/>
  <c r="B92" i="1"/>
  <c r="A92" i="1"/>
  <c r="A91" i="1"/>
  <c r="A90" i="1"/>
  <c r="C90" i="1" s="1"/>
  <c r="C89" i="1"/>
  <c r="B89" i="1"/>
  <c r="A89" i="1"/>
  <c r="C88" i="1"/>
  <c r="B88" i="1"/>
  <c r="A88" i="1"/>
  <c r="A87" i="1"/>
  <c r="A86" i="1"/>
  <c r="C86" i="1" s="1"/>
  <c r="C85" i="1"/>
  <c r="B85" i="1"/>
  <c r="A85" i="1"/>
  <c r="C84" i="1"/>
  <c r="B84" i="1"/>
  <c r="A84" i="1"/>
  <c r="A83" i="1"/>
  <c r="A82" i="1"/>
  <c r="C82" i="1" s="1"/>
  <c r="C81" i="1"/>
  <c r="B81" i="1"/>
  <c r="A81" i="1"/>
  <c r="C80" i="1"/>
  <c r="B80" i="1"/>
  <c r="A80" i="1"/>
  <c r="A79" i="1"/>
  <c r="A78" i="1"/>
  <c r="C78" i="1" s="1"/>
  <c r="C77" i="1"/>
  <c r="B77" i="1"/>
  <c r="A77" i="1"/>
  <c r="C76" i="1"/>
  <c r="B76" i="1"/>
  <c r="A76" i="1"/>
  <c r="A75" i="1"/>
  <c r="A74" i="1"/>
  <c r="C74" i="1" s="1"/>
  <c r="C73" i="1"/>
  <c r="B73" i="1"/>
  <c r="A73" i="1"/>
  <c r="C72" i="1"/>
  <c r="B72" i="1"/>
  <c r="A72" i="1"/>
  <c r="A71" i="1"/>
  <c r="A70" i="1"/>
  <c r="C70" i="1" s="1"/>
  <c r="C69" i="1"/>
  <c r="B69" i="1"/>
  <c r="A69" i="1"/>
  <c r="C68" i="1"/>
  <c r="B68" i="1"/>
  <c r="A68" i="1"/>
  <c r="A67" i="1"/>
  <c r="A66" i="1"/>
  <c r="C66" i="1" s="1"/>
  <c r="C65" i="1"/>
  <c r="B65" i="1"/>
  <c r="A65" i="1"/>
  <c r="C64" i="1"/>
  <c r="B64" i="1"/>
  <c r="A64" i="1"/>
  <c r="A63" i="1"/>
  <c r="A62" i="1"/>
  <c r="C62" i="1" s="1"/>
  <c r="C61" i="1"/>
  <c r="B61" i="1"/>
  <c r="A61" i="1"/>
  <c r="C60" i="1"/>
  <c r="B60" i="1"/>
  <c r="A60" i="1"/>
  <c r="A59" i="1"/>
  <c r="A58" i="1"/>
  <c r="C58" i="1" s="1"/>
  <c r="C57" i="1"/>
  <c r="B57" i="1"/>
  <c r="A57" i="1"/>
  <c r="C56" i="1"/>
  <c r="B56" i="1"/>
  <c r="A56" i="1"/>
  <c r="A55" i="1"/>
  <c r="A54" i="1"/>
  <c r="C54" i="1" s="1"/>
  <c r="C53" i="1"/>
  <c r="B53" i="1"/>
  <c r="A53" i="1"/>
  <c r="C52" i="1"/>
  <c r="B52" i="1"/>
  <c r="A52" i="1"/>
  <c r="A51" i="1"/>
  <c r="A50" i="1"/>
  <c r="C50" i="1" s="1"/>
  <c r="C49" i="1"/>
  <c r="B49" i="1"/>
  <c r="A49" i="1"/>
  <c r="C48" i="1"/>
  <c r="B48" i="1"/>
  <c r="A48" i="1"/>
  <c r="A47" i="1"/>
  <c r="A46" i="1"/>
  <c r="C46" i="1" s="1"/>
  <c r="C45" i="1"/>
  <c r="B45" i="1"/>
  <c r="A45" i="1"/>
  <c r="C44" i="1"/>
  <c r="B44" i="1"/>
  <c r="A44" i="1"/>
  <c r="A43" i="1"/>
  <c r="A42" i="1"/>
  <c r="C42" i="1" s="1"/>
  <c r="C41" i="1"/>
  <c r="B41" i="1"/>
  <c r="A41" i="1"/>
  <c r="C40" i="1"/>
  <c r="B40" i="1"/>
  <c r="A40" i="1"/>
  <c r="A39" i="1"/>
  <c r="A38" i="1"/>
  <c r="C38" i="1" s="1"/>
  <c r="C37" i="1"/>
  <c r="B37" i="1"/>
  <c r="A37" i="1"/>
  <c r="C36" i="1"/>
  <c r="B36" i="1"/>
  <c r="A36" i="1"/>
  <c r="A35" i="1"/>
  <c r="A34" i="1"/>
  <c r="C34" i="1" s="1"/>
  <c r="C33" i="1"/>
  <c r="B33" i="1"/>
  <c r="A33" i="1"/>
  <c r="C32" i="1"/>
  <c r="B32" i="1"/>
  <c r="A32" i="1"/>
  <c r="A31" i="1"/>
  <c r="A30" i="1"/>
  <c r="C30" i="1" s="1"/>
  <c r="C29" i="1"/>
  <c r="B29" i="1"/>
  <c r="A29" i="1"/>
  <c r="C28" i="1"/>
  <c r="B28" i="1"/>
  <c r="A28" i="1"/>
  <c r="A27" i="1"/>
  <c r="A26" i="1"/>
  <c r="C26" i="1" s="1"/>
  <c r="C25" i="1"/>
  <c r="B25" i="1"/>
  <c r="A25" i="1"/>
  <c r="C24" i="1"/>
  <c r="B24" i="1"/>
  <c r="A24" i="1"/>
  <c r="A23" i="1"/>
  <c r="A22" i="1"/>
  <c r="C22" i="1" s="1"/>
  <c r="C21" i="1"/>
  <c r="B21" i="1"/>
  <c r="A21" i="1"/>
  <c r="C20" i="1"/>
  <c r="B20" i="1"/>
  <c r="A20" i="1"/>
  <c r="A19" i="1"/>
  <c r="A18" i="1"/>
  <c r="C18" i="1" s="1"/>
  <c r="C17" i="1"/>
  <c r="B17" i="1"/>
  <c r="A17" i="1"/>
  <c r="C16" i="1"/>
  <c r="B16" i="1"/>
  <c r="A16" i="1"/>
  <c r="A15" i="1"/>
  <c r="A14" i="1"/>
  <c r="C14" i="1" s="1"/>
  <c r="C13" i="1"/>
  <c r="B13" i="1"/>
  <c r="A13" i="1"/>
  <c r="C12" i="1"/>
  <c r="B12" i="1"/>
  <c r="A12" i="1"/>
  <c r="A11" i="1"/>
  <c r="A10" i="1"/>
  <c r="C10" i="1" s="1"/>
  <c r="C9" i="1"/>
  <c r="B9" i="1"/>
  <c r="A9" i="1"/>
  <c r="C8" i="1"/>
  <c r="B8" i="1"/>
  <c r="A8" i="1"/>
  <c r="A7" i="1"/>
  <c r="A6" i="1"/>
  <c r="C6" i="1" s="1"/>
  <c r="C5" i="1"/>
  <c r="B5" i="1"/>
  <c r="A5" i="1"/>
  <c r="C4" i="1"/>
  <c r="B4" i="1"/>
  <c r="A4" i="1"/>
  <c r="A3" i="1"/>
  <c r="A2" i="1"/>
  <c r="C2" i="1" s="1"/>
  <c r="C1" i="1"/>
  <c r="B1" i="1"/>
  <c r="A1" i="1"/>
  <c r="N2" i="3" l="1"/>
  <c r="AB2" i="3"/>
  <c r="X2" i="3"/>
  <c r="AG8" i="4"/>
  <c r="AF3" i="4"/>
  <c r="AF8" i="4" s="1"/>
  <c r="C3" i="1"/>
  <c r="B3" i="1"/>
  <c r="C7" i="1"/>
  <c r="B7" i="1"/>
  <c r="C11" i="1"/>
  <c r="B11" i="1"/>
  <c r="C15" i="1"/>
  <c r="B15" i="1"/>
  <c r="C19" i="1"/>
  <c r="B19" i="1"/>
  <c r="C23" i="1"/>
  <c r="B23" i="1"/>
  <c r="C27" i="1"/>
  <c r="B27" i="1"/>
  <c r="C31" i="1"/>
  <c r="B31" i="1"/>
  <c r="C35" i="1"/>
  <c r="B35" i="1"/>
  <c r="C39" i="1"/>
  <c r="B39" i="1"/>
  <c r="C43" i="1"/>
  <c r="B43" i="1"/>
  <c r="C47" i="1"/>
  <c r="B47" i="1"/>
  <c r="C51" i="1"/>
  <c r="B51" i="1"/>
  <c r="C55" i="1"/>
  <c r="B55" i="1"/>
  <c r="C59" i="1"/>
  <c r="B59" i="1"/>
  <c r="C63" i="1"/>
  <c r="B63" i="1"/>
  <c r="C67" i="1"/>
  <c r="B67" i="1"/>
  <c r="C71" i="1"/>
  <c r="B71" i="1"/>
  <c r="C75" i="1"/>
  <c r="B75" i="1"/>
  <c r="C79" i="1"/>
  <c r="B79" i="1"/>
  <c r="C83" i="1"/>
  <c r="B83" i="1"/>
  <c r="C87" i="1"/>
  <c r="B87" i="1"/>
  <c r="C91" i="1"/>
  <c r="B91" i="1"/>
  <c r="C95" i="1"/>
  <c r="B95" i="1"/>
  <c r="C99" i="1"/>
  <c r="B99" i="1"/>
  <c r="C103" i="1"/>
  <c r="B103" i="1"/>
  <c r="C107" i="1"/>
  <c r="B107" i="1"/>
  <c r="C111" i="1"/>
  <c r="B111" i="1"/>
  <c r="C115" i="1"/>
  <c r="B115" i="1"/>
  <c r="C119" i="1"/>
  <c r="B119" i="1"/>
  <c r="C123" i="1"/>
  <c r="B123" i="1"/>
  <c r="C127" i="1"/>
  <c r="B127" i="1"/>
  <c r="C131" i="1"/>
  <c r="B131" i="1"/>
  <c r="C135" i="1"/>
  <c r="B135" i="1"/>
  <c r="C139" i="1"/>
  <c r="B139" i="1"/>
  <c r="C143" i="1"/>
  <c r="B143" i="1"/>
  <c r="C147" i="1"/>
  <c r="B147" i="1"/>
  <c r="C151" i="1"/>
  <c r="B151" i="1"/>
  <c r="C155" i="1"/>
  <c r="B155" i="1"/>
  <c r="T2" i="3"/>
  <c r="BB17" i="3"/>
  <c r="AJ30" i="4"/>
  <c r="AJ31" i="4"/>
  <c r="AJ32" i="4" s="1"/>
  <c r="AY6" i="3"/>
  <c r="AZ6" i="3" s="1"/>
  <c r="BA6" i="3" s="1"/>
  <c r="BB6" i="3" s="1"/>
  <c r="C5" i="3"/>
  <c r="AI5" i="3"/>
  <c r="AY5" i="3"/>
  <c r="AY17" i="3" s="1"/>
  <c r="AH23" i="4"/>
  <c r="AH24" i="4" s="1"/>
  <c r="AG4" i="3"/>
  <c r="AB30" i="4"/>
  <c r="AB31" i="4"/>
  <c r="AV30" i="4"/>
  <c r="AV31" i="4" s="1"/>
  <c r="BC6" i="3"/>
  <c r="S5" i="3"/>
  <c r="AU7" i="3"/>
  <c r="C8" i="3"/>
  <c r="S8" i="3"/>
  <c r="AI8" i="3"/>
  <c r="AG13" i="3"/>
  <c r="AM2" i="3"/>
  <c r="B2" i="1"/>
  <c r="B6" i="1"/>
  <c r="B10" i="1"/>
  <c r="B14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C161" i="1"/>
  <c r="B163" i="1"/>
  <c r="B166" i="1"/>
  <c r="C169" i="1"/>
  <c r="B171" i="1"/>
  <c r="BD7" i="3"/>
  <c r="BE7" i="3" s="1"/>
  <c r="BF7" i="3" s="1"/>
  <c r="BG7" i="3" s="1"/>
  <c r="BH7" i="3" s="1"/>
  <c r="BI7" i="3" s="1"/>
  <c r="BJ7" i="3" s="1"/>
  <c r="BK7" i="3" s="1"/>
  <c r="BL7" i="3" s="1"/>
  <c r="BM7" i="3" s="1"/>
  <c r="BN7" i="3" s="1"/>
  <c r="BO7" i="3" s="1"/>
  <c r="BP7" i="3" s="1"/>
  <c r="BQ7" i="3" s="1"/>
  <c r="BR7" i="3" s="1"/>
  <c r="BS7" i="3" s="1"/>
  <c r="BT7" i="3" s="1"/>
  <c r="Q2" i="3"/>
  <c r="AT2" i="3"/>
  <c r="BB2" i="3"/>
  <c r="D5" i="3"/>
  <c r="I5" i="3"/>
  <c r="O5" i="3"/>
  <c r="T5" i="3"/>
  <c r="Y5" i="3"/>
  <c r="AE5" i="3"/>
  <c r="AU5" i="3"/>
  <c r="AU17" i="3" s="1"/>
  <c r="AZ5" i="3"/>
  <c r="BD6" i="3"/>
  <c r="BE6" i="3" s="1"/>
  <c r="BF6" i="3" s="1"/>
  <c r="BG6" i="3" s="1"/>
  <c r="BH6" i="3" s="1"/>
  <c r="BI6" i="3" s="1"/>
  <c r="BJ6" i="3" s="1"/>
  <c r="BK6" i="3" s="1"/>
  <c r="BL6" i="3" s="1"/>
  <c r="BM6" i="3" s="1"/>
  <c r="BN6" i="3" s="1"/>
  <c r="BO6" i="3" s="1"/>
  <c r="BP6" i="3" s="1"/>
  <c r="BQ6" i="3" s="1"/>
  <c r="BR6" i="3" s="1"/>
  <c r="BS6" i="3" s="1"/>
  <c r="BT6" i="3" s="1"/>
  <c r="AA7" i="3"/>
  <c r="AB7" i="3" s="1"/>
  <c r="AC7" i="3" s="1"/>
  <c r="AD7" i="3" s="1"/>
  <c r="AE7" i="3" s="1"/>
  <c r="AF7" i="3" s="1"/>
  <c r="AG7" i="3" s="1"/>
  <c r="AH7" i="3" s="1"/>
  <c r="AI7" i="3" s="1"/>
  <c r="AJ7" i="3" s="1"/>
  <c r="AQ7" i="3"/>
  <c r="D8" i="3"/>
  <c r="O8" i="3"/>
  <c r="T8" i="3"/>
  <c r="AE8" i="3"/>
  <c r="AJ8" i="3"/>
  <c r="AV17" i="3"/>
  <c r="AT13" i="3"/>
  <c r="AU13" i="3" s="1"/>
  <c r="AV13" i="3" s="1"/>
  <c r="AW13" i="3" s="1"/>
  <c r="AX13" i="3" s="1"/>
  <c r="AY13" i="3" s="1"/>
  <c r="AZ13" i="3" s="1"/>
  <c r="BA13" i="3" s="1"/>
  <c r="BB13" i="3" s="1"/>
  <c r="BC13" i="3" s="1"/>
  <c r="BD13" i="3" s="1"/>
  <c r="BE13" i="3" s="1"/>
  <c r="BF13" i="3" s="1"/>
  <c r="BG13" i="3" s="1"/>
  <c r="BH13" i="3" s="1"/>
  <c r="BI13" i="3" s="1"/>
  <c r="BJ13" i="3" s="1"/>
  <c r="BK13" i="3" s="1"/>
  <c r="BL13" i="3" s="1"/>
  <c r="BM13" i="3" s="1"/>
  <c r="BN13" i="3" s="1"/>
  <c r="BO13" i="3" s="1"/>
  <c r="BP13" i="3" s="1"/>
  <c r="BQ13" i="3" s="1"/>
  <c r="BR13" i="3" s="1"/>
  <c r="BS13" i="3" s="1"/>
  <c r="BT13" i="3" s="1"/>
  <c r="AO8" i="3"/>
  <c r="AP8" i="3" s="1"/>
  <c r="AC2" i="3"/>
  <c r="AH2" i="3"/>
  <c r="AL2" i="3"/>
  <c r="F4" i="3"/>
  <c r="E5" i="3"/>
  <c r="K5" i="3"/>
  <c r="U5" i="3"/>
  <c r="AA5" i="3"/>
  <c r="AK5" i="3"/>
  <c r="AQ5" i="3"/>
  <c r="BA5" i="3"/>
  <c r="W7" i="3"/>
  <c r="AM7" i="3"/>
  <c r="AS7" i="3"/>
  <c r="BC7" i="3"/>
  <c r="K8" i="3"/>
  <c r="AA8" i="3"/>
  <c r="AQ8" i="3"/>
  <c r="AR8" i="3" s="1"/>
  <c r="AS8" i="3" s="1"/>
  <c r="AT8" i="3" s="1"/>
  <c r="AU8" i="3" s="1"/>
  <c r="AV8" i="3" s="1"/>
  <c r="AH13" i="3"/>
  <c r="AI13" i="3" s="1"/>
  <c r="AJ13" i="3" s="1"/>
  <c r="AK13" i="3" s="1"/>
  <c r="AL13" i="3" s="1"/>
  <c r="AM13" i="3" s="1"/>
  <c r="AN13" i="3" s="1"/>
  <c r="AO13" i="3" s="1"/>
  <c r="AP13" i="3" s="1"/>
  <c r="AQ13" i="3" s="1"/>
  <c r="AR13" i="3" s="1"/>
  <c r="S2" i="3"/>
  <c r="W2" i="3"/>
  <c r="AA2" i="3"/>
  <c r="AE2" i="3"/>
  <c r="AK8" i="4"/>
  <c r="AJ3" i="4"/>
  <c r="AJ8" i="4" s="1"/>
  <c r="AL31" i="4"/>
  <c r="BA17" i="3"/>
  <c r="AF30" i="4"/>
  <c r="AF31" i="4" s="1"/>
  <c r="AT31" i="4"/>
  <c r="AP31" i="4"/>
  <c r="Z30" i="4"/>
  <c r="Z31" i="4" s="1"/>
  <c r="AP30" i="4"/>
  <c r="AX30" i="4"/>
  <c r="AX31" i="4" s="1"/>
  <c r="AG31" i="4"/>
  <c r="AW31" i="4"/>
  <c r="D31" i="4"/>
  <c r="H31" i="4"/>
  <c r="L31" i="4"/>
  <c r="P31" i="4"/>
  <c r="T31" i="4"/>
  <c r="X30" i="4"/>
  <c r="X31" i="4" s="1"/>
  <c r="BC31" i="4"/>
  <c r="C31" i="4"/>
  <c r="AN30" i="4"/>
  <c r="AN31" i="4"/>
  <c r="AZ30" i="4"/>
  <c r="AZ31" i="4"/>
  <c r="AC27" i="4"/>
  <c r="AQ31" i="4"/>
  <c r="AL30" i="4"/>
  <c r="AT30" i="4"/>
  <c r="AS31" i="4"/>
  <c r="AA31" i="4"/>
  <c r="AE30" i="4"/>
  <c r="AE31" i="4" s="1"/>
  <c r="AM30" i="4"/>
  <c r="AM31" i="4" s="1"/>
  <c r="AU30" i="4"/>
  <c r="AU31" i="4" s="1"/>
  <c r="G31" i="4"/>
  <c r="K31" i="4"/>
  <c r="O31" i="4"/>
  <c r="S31" i="4"/>
  <c r="W31" i="4"/>
  <c r="AR30" i="4"/>
  <c r="AR31" i="4" s="1"/>
  <c r="AK38" i="4"/>
  <c r="AJ35" i="4"/>
  <c r="AB59" i="4"/>
  <c r="AU35" i="4"/>
  <c r="V41" i="4"/>
  <c r="X55" i="4"/>
  <c r="B9" i="6"/>
  <c r="E9" i="6" s="1"/>
  <c r="N8" i="6"/>
  <c r="C12" i="6"/>
  <c r="C14" i="6"/>
  <c r="B4" i="6"/>
  <c r="AD64" i="4"/>
  <c r="B11" i="6"/>
  <c r="N10" i="6"/>
  <c r="M23" i="6"/>
  <c r="N23" i="6" s="1"/>
  <c r="N14" i="6"/>
  <c r="B5" i="6"/>
  <c r="E5" i="6" s="1"/>
  <c r="D9" i="6"/>
  <c r="M11" i="6"/>
  <c r="N11" i="6" s="1"/>
  <c r="B3" i="6"/>
  <c r="D5" i="6"/>
  <c r="E6" i="6"/>
  <c r="E11" i="6"/>
  <c r="D11" i="6"/>
  <c r="AW8" i="3" l="1"/>
  <c r="AV11" i="3"/>
  <c r="AX32" i="4"/>
  <c r="AX5" i="3"/>
  <c r="BC32" i="4"/>
  <c r="BC5" i="3"/>
  <c r="BC17" i="3" s="1"/>
  <c r="AK7" i="4"/>
  <c r="AJ2" i="3"/>
  <c r="AG2" i="3"/>
  <c r="B12" i="6"/>
  <c r="D12" i="6" s="1"/>
  <c r="B14" i="6"/>
  <c r="AH7" i="4" s="1"/>
  <c r="E4" i="6"/>
  <c r="D4" i="6"/>
  <c r="AU38" i="4"/>
  <c r="AT35" i="4"/>
  <c r="AC32" i="4"/>
  <c r="AB27" i="4"/>
  <c r="AC5" i="3"/>
  <c r="AG32" i="4"/>
  <c r="AG5" i="3"/>
  <c r="AL7" i="4"/>
  <c r="AK2" i="3"/>
  <c r="AK11" i="3" s="1"/>
  <c r="AU6" i="3"/>
  <c r="AU11" i="3" s="1"/>
  <c r="AI23" i="4"/>
  <c r="AH4" i="3"/>
  <c r="AK30" i="4"/>
  <c r="AK31" i="4"/>
  <c r="AZ17" i="3"/>
  <c r="AB64" i="4"/>
  <c r="AA59" i="4"/>
  <c r="AJ5" i="3"/>
  <c r="AE63" i="4"/>
  <c r="AD12" i="3"/>
  <c r="V44" i="4"/>
  <c r="U41" i="4"/>
  <c r="V7" i="3"/>
  <c r="D14" i="6"/>
  <c r="D3" i="6"/>
  <c r="E3" i="6"/>
  <c r="Y55" i="4"/>
  <c r="X9" i="3"/>
  <c r="AJ38" i="4"/>
  <c r="AI35" i="4"/>
  <c r="AJ6" i="3"/>
  <c r="AG7" i="4"/>
  <c r="AF2" i="3"/>
  <c r="AU16" i="3" l="1"/>
  <c r="AU18" i="3"/>
  <c r="AU15" i="3"/>
  <c r="AB32" i="4"/>
  <c r="AB5" i="3"/>
  <c r="U44" i="4"/>
  <c r="T41" i="4"/>
  <c r="U7" i="3"/>
  <c r="AD30" i="4"/>
  <c r="AD31" i="4" s="1"/>
  <c r="AV16" i="3"/>
  <c r="AV15" i="3"/>
  <c r="AV18" i="3"/>
  <c r="Z55" i="4"/>
  <c r="Y9" i="3"/>
  <c r="AI38" i="4"/>
  <c r="AH35" i="4"/>
  <c r="AI6" i="3"/>
  <c r="AI11" i="3" s="1"/>
  <c r="AH31" i="4"/>
  <c r="AH30" i="4"/>
  <c r="AT38" i="4"/>
  <c r="AS35" i="4"/>
  <c r="AT6" i="3"/>
  <c r="AT11" i="3" s="1"/>
  <c r="N7" i="4"/>
  <c r="J7" i="4"/>
  <c r="F7" i="4"/>
  <c r="AO7" i="4"/>
  <c r="Q7" i="4"/>
  <c r="M7" i="4"/>
  <c r="I7" i="4"/>
  <c r="E7" i="4"/>
  <c r="AR7" i="4"/>
  <c r="P7" i="4"/>
  <c r="L7" i="4"/>
  <c r="H7" i="4"/>
  <c r="D7" i="4"/>
  <c r="K7" i="4"/>
  <c r="G7" i="4"/>
  <c r="C7" i="4"/>
  <c r="U7" i="4"/>
  <c r="AS7" i="4"/>
  <c r="AS8" i="4" s="1"/>
  <c r="AD7" i="4"/>
  <c r="AU7" i="4"/>
  <c r="X7" i="4"/>
  <c r="AF7" i="4"/>
  <c r="AQ7" i="4"/>
  <c r="S7" i="4"/>
  <c r="AJ7" i="4"/>
  <c r="AW7" i="4"/>
  <c r="Z7" i="4"/>
  <c r="AE7" i="4"/>
  <c r="O7" i="4"/>
  <c r="Y7" i="4"/>
  <c r="AX7" i="4"/>
  <c r="R7" i="4"/>
  <c r="AI7" i="4"/>
  <c r="BC7" i="4"/>
  <c r="BC8" i="4" s="1"/>
  <c r="W7" i="4"/>
  <c r="AP7" i="4"/>
  <c r="AC7" i="4"/>
  <c r="AM7" i="4"/>
  <c r="BB7" i="4"/>
  <c r="V7" i="4"/>
  <c r="AN7" i="4"/>
  <c r="T7" i="4"/>
  <c r="AB7" i="4"/>
  <c r="BA7" i="4"/>
  <c r="AA7" i="4"/>
  <c r="AV7" i="4"/>
  <c r="AZ7" i="4"/>
  <c r="BD30" i="4"/>
  <c r="BD31" i="4" s="1"/>
  <c r="AX17" i="3"/>
  <c r="AX8" i="3"/>
  <c r="AY8" i="3" s="1"/>
  <c r="AW11" i="3"/>
  <c r="AC63" i="4"/>
  <c r="AB12" i="3"/>
  <c r="AA64" i="4"/>
  <c r="Z59" i="4"/>
  <c r="AK16" i="3"/>
  <c r="AK15" i="3"/>
  <c r="AJ11" i="3"/>
  <c r="AY30" i="4"/>
  <c r="AY31" i="4" s="1"/>
  <c r="BD32" i="4" l="1"/>
  <c r="BD5" i="3"/>
  <c r="BD17" i="3" s="1"/>
  <c r="AZ8" i="3"/>
  <c r="AY11" i="3"/>
  <c r="BD7" i="4"/>
  <c r="BD8" i="4" s="1"/>
  <c r="BC2" i="3"/>
  <c r="AT7" i="4"/>
  <c r="AS2" i="3"/>
  <c r="AH38" i="4"/>
  <c r="AG35" i="4"/>
  <c r="AH6" i="3"/>
  <c r="AA55" i="4"/>
  <c r="Z9" i="3"/>
  <c r="Y59" i="4"/>
  <c r="Z64" i="4"/>
  <c r="AW15" i="3"/>
  <c r="AW16" i="3"/>
  <c r="AW18" i="3"/>
  <c r="AT15" i="3"/>
  <c r="AT16" i="3"/>
  <c r="AH32" i="4"/>
  <c r="AH5" i="3"/>
  <c r="AH11" i="3" s="1"/>
  <c r="AJ16" i="3"/>
  <c r="AJ15" i="3"/>
  <c r="AB63" i="4"/>
  <c r="AA12" i="3"/>
  <c r="AX11" i="3"/>
  <c r="AS38" i="4"/>
  <c r="AR35" i="4"/>
  <c r="AS6" i="3"/>
  <c r="AI16" i="3"/>
  <c r="AI15" i="3"/>
  <c r="T44" i="4"/>
  <c r="S41" i="4"/>
  <c r="T7" i="3"/>
  <c r="AC30" i="4"/>
  <c r="AC31" i="4"/>
  <c r="AB55" i="4" l="1"/>
  <c r="AA9" i="3"/>
  <c r="S44" i="4"/>
  <c r="R41" i="4"/>
  <c r="S7" i="3"/>
  <c r="BA8" i="3"/>
  <c r="AZ11" i="3"/>
  <c r="AX16" i="3"/>
  <c r="AX15" i="3"/>
  <c r="AX18" i="3"/>
  <c r="AS11" i="3"/>
  <c r="AY18" i="3"/>
  <c r="AY16" i="3"/>
  <c r="AY15" i="3"/>
  <c r="AA63" i="4"/>
  <c r="Z12" i="3"/>
  <c r="AR38" i="4"/>
  <c r="AQ35" i="4"/>
  <c r="AR6" i="3"/>
  <c r="AR11" i="3" s="1"/>
  <c r="AH16" i="3"/>
  <c r="AH15" i="3"/>
  <c r="Y64" i="4"/>
  <c r="X59" i="4"/>
  <c r="AG38" i="4"/>
  <c r="AF35" i="4"/>
  <c r="AG6" i="3"/>
  <c r="AG11" i="3" s="1"/>
  <c r="AI31" i="4"/>
  <c r="AI30" i="4"/>
  <c r="BE7" i="4"/>
  <c r="BE8" i="4" s="1"/>
  <c r="BD2" i="3"/>
  <c r="BE30" i="4"/>
  <c r="BE31" i="4" s="1"/>
  <c r="BE32" i="4" l="1"/>
  <c r="BE5" i="3"/>
  <c r="BE17" i="3" s="1"/>
  <c r="X64" i="4"/>
  <c r="W59" i="4"/>
  <c r="AR16" i="3"/>
  <c r="AR15" i="3"/>
  <c r="AS16" i="3"/>
  <c r="AS15" i="3"/>
  <c r="AZ16" i="3"/>
  <c r="AZ15" i="3"/>
  <c r="AZ18" i="3"/>
  <c r="AG15" i="3"/>
  <c r="AG16" i="3"/>
  <c r="Z63" i="4"/>
  <c r="Y12" i="3"/>
  <c r="AQ38" i="4"/>
  <c r="AP35" i="4"/>
  <c r="AQ6" i="3"/>
  <c r="AQ11" i="3" s="1"/>
  <c r="BB8" i="3"/>
  <c r="BA11" i="3"/>
  <c r="R44" i="4"/>
  <c r="Q41" i="4"/>
  <c r="R7" i="3"/>
  <c r="BF7" i="4"/>
  <c r="BF8" i="4" s="1"/>
  <c r="BE2" i="3"/>
  <c r="AF38" i="4"/>
  <c r="AE35" i="4"/>
  <c r="AF6" i="3"/>
  <c r="AF11" i="3" s="1"/>
  <c r="AC55" i="4"/>
  <c r="AC9" i="3" s="1"/>
  <c r="AB9" i="3"/>
  <c r="BC8" i="3" l="1"/>
  <c r="BB11" i="3"/>
  <c r="AQ15" i="3"/>
  <c r="AQ16" i="3"/>
  <c r="AP38" i="4"/>
  <c r="AO35" i="4"/>
  <c r="AP6" i="3"/>
  <c r="AP11" i="3" s="1"/>
  <c r="AE38" i="4"/>
  <c r="AD35" i="4"/>
  <c r="AE6" i="3"/>
  <c r="AE11" i="3" s="1"/>
  <c r="Y63" i="4"/>
  <c r="X12" i="3"/>
  <c r="Q44" i="4"/>
  <c r="P41" i="4"/>
  <c r="Q7" i="3"/>
  <c r="AF16" i="3"/>
  <c r="AF15" i="3"/>
  <c r="BG7" i="4"/>
  <c r="BG8" i="4" s="1"/>
  <c r="BF2" i="3"/>
  <c r="BA16" i="3"/>
  <c r="BA15" i="3"/>
  <c r="BA18" i="3"/>
  <c r="W64" i="4"/>
  <c r="V59" i="4"/>
  <c r="BF30" i="4"/>
  <c r="BF31" i="4" s="1"/>
  <c r="BF32" i="4" l="1"/>
  <c r="BF5" i="3"/>
  <c r="BF17" i="3" s="1"/>
  <c r="X63" i="4"/>
  <c r="W12" i="3"/>
  <c r="AE16" i="3"/>
  <c r="AE15" i="3"/>
  <c r="AO38" i="4"/>
  <c r="AN35" i="4"/>
  <c r="AO6" i="3"/>
  <c r="AO11" i="3" s="1"/>
  <c r="AP16" i="3"/>
  <c r="AP15" i="3"/>
  <c r="BH7" i="4"/>
  <c r="BH8" i="4" s="1"/>
  <c r="BG2" i="3"/>
  <c r="P44" i="4"/>
  <c r="O41" i="4"/>
  <c r="P7" i="3"/>
  <c r="AD38" i="4"/>
  <c r="AC35" i="4"/>
  <c r="AD6" i="3"/>
  <c r="AD11" i="3" s="1"/>
  <c r="BB15" i="3"/>
  <c r="BB16" i="3"/>
  <c r="BB18" i="3"/>
  <c r="V64" i="4"/>
  <c r="U59" i="4"/>
  <c r="BD8" i="3"/>
  <c r="BC11" i="3"/>
  <c r="W63" i="4" l="1"/>
  <c r="V12" i="3"/>
  <c r="AD16" i="3"/>
  <c r="AD15" i="3"/>
  <c r="O44" i="4"/>
  <c r="N41" i="4"/>
  <c r="O7" i="3"/>
  <c r="BC18" i="3"/>
  <c r="BC16" i="3"/>
  <c r="BC15" i="3"/>
  <c r="AC38" i="4"/>
  <c r="AB35" i="4"/>
  <c r="AC6" i="3"/>
  <c r="AC11" i="3" s="1"/>
  <c r="AO16" i="3"/>
  <c r="AO15" i="3"/>
  <c r="BE8" i="3"/>
  <c r="BD11" i="3"/>
  <c r="U64" i="4"/>
  <c r="T59" i="4"/>
  <c r="BI7" i="4"/>
  <c r="BI8" i="4" s="1"/>
  <c r="BH2" i="3"/>
  <c r="AN38" i="4"/>
  <c r="AM35" i="4"/>
  <c r="AN6" i="3"/>
  <c r="AN11" i="3" s="1"/>
  <c r="BG30" i="4"/>
  <c r="BG31" i="4" s="1"/>
  <c r="BG32" i="4" l="1"/>
  <c r="BG5" i="3"/>
  <c r="BJ7" i="4"/>
  <c r="BJ8" i="4" s="1"/>
  <c r="BI2" i="3"/>
  <c r="T64" i="4"/>
  <c r="S59" i="4"/>
  <c r="S64" i="4" s="1"/>
  <c r="BD16" i="3"/>
  <c r="BD15" i="3"/>
  <c r="BD18" i="3"/>
  <c r="AM38" i="4"/>
  <c r="AL35" i="4"/>
  <c r="AM6" i="3"/>
  <c r="AM11" i="3" s="1"/>
  <c r="BF8" i="3"/>
  <c r="BE11" i="3"/>
  <c r="AB38" i="4"/>
  <c r="AA35" i="4"/>
  <c r="AB6" i="3"/>
  <c r="AB11" i="3" s="1"/>
  <c r="AB15" i="3" s="1"/>
  <c r="V63" i="4"/>
  <c r="U12" i="3"/>
  <c r="N44" i="4"/>
  <c r="M41" i="4"/>
  <c r="N7" i="3"/>
  <c r="AN16" i="3"/>
  <c r="AN15" i="3"/>
  <c r="AC16" i="3"/>
  <c r="AC15" i="3"/>
  <c r="AM15" i="3" l="1"/>
  <c r="AM16" i="3"/>
  <c r="AL38" i="4"/>
  <c r="AL6" i="3"/>
  <c r="AL11" i="3" s="1"/>
  <c r="BK7" i="4"/>
  <c r="BK8" i="4" s="1"/>
  <c r="BJ2" i="3"/>
  <c r="AA38" i="4"/>
  <c r="Z35" i="4"/>
  <c r="AA6" i="3"/>
  <c r="AA11" i="3" s="1"/>
  <c r="AA15" i="3" s="1"/>
  <c r="M44" i="4"/>
  <c r="L41" i="4"/>
  <c r="M7" i="3"/>
  <c r="BE16" i="3"/>
  <c r="BE15" i="3"/>
  <c r="BE18" i="3"/>
  <c r="T63" i="4"/>
  <c r="S12" i="3"/>
  <c r="BG17" i="3"/>
  <c r="BG8" i="3"/>
  <c r="BH8" i="3" s="1"/>
  <c r="BI8" i="3" s="1"/>
  <c r="BJ8" i="3" s="1"/>
  <c r="BK8" i="3" s="1"/>
  <c r="BL8" i="3" s="1"/>
  <c r="BM8" i="3" s="1"/>
  <c r="BN8" i="3" s="1"/>
  <c r="BO8" i="3" s="1"/>
  <c r="BP8" i="3" s="1"/>
  <c r="BQ8" i="3" s="1"/>
  <c r="BR8" i="3" s="1"/>
  <c r="BS8" i="3" s="1"/>
  <c r="BT8" i="3" s="1"/>
  <c r="BF11" i="3"/>
  <c r="U63" i="4"/>
  <c r="T12" i="3"/>
  <c r="BH30" i="4"/>
  <c r="BH31" i="4" s="1"/>
  <c r="BH32" i="4" l="1"/>
  <c r="BH5" i="3"/>
  <c r="BH11" i="3" s="1"/>
  <c r="BG11" i="3"/>
  <c r="L44" i="4"/>
  <c r="K41" i="4"/>
  <c r="L7" i="3"/>
  <c r="Z38" i="4"/>
  <c r="Y35" i="4"/>
  <c r="Z6" i="3"/>
  <c r="Z11" i="3" s="1"/>
  <c r="Z15" i="3" s="1"/>
  <c r="AL15" i="3"/>
  <c r="AL16" i="3"/>
  <c r="BF16" i="3"/>
  <c r="BF15" i="3"/>
  <c r="BF18" i="3"/>
  <c r="BL7" i="4"/>
  <c r="BL8" i="4" s="1"/>
  <c r="BK2" i="3"/>
  <c r="BM7" i="4" l="1"/>
  <c r="BM8" i="4" s="1"/>
  <c r="BL2" i="3"/>
  <c r="Y38" i="4"/>
  <c r="X35" i="4"/>
  <c r="Y6" i="3"/>
  <c r="Y11" i="3" s="1"/>
  <c r="Y15" i="3" s="1"/>
  <c r="BG15" i="3"/>
  <c r="BG16" i="3"/>
  <c r="BG18" i="3"/>
  <c r="BH16" i="3"/>
  <c r="BH15" i="3"/>
  <c r="BH18" i="3"/>
  <c r="K44" i="4"/>
  <c r="J41" i="4"/>
  <c r="K7" i="3"/>
  <c r="BI30" i="4"/>
  <c r="BI31" i="4" s="1"/>
  <c r="BI32" i="4" l="1"/>
  <c r="BI5" i="3"/>
  <c r="BN7" i="4"/>
  <c r="BN8" i="4" s="1"/>
  <c r="BM2" i="3"/>
  <c r="J44" i="4"/>
  <c r="I41" i="4"/>
  <c r="J7" i="3"/>
  <c r="X38" i="4"/>
  <c r="W35" i="4"/>
  <c r="X6" i="3"/>
  <c r="X11" i="3" s="1"/>
  <c r="X15" i="3" s="1"/>
  <c r="I44" i="4" l="1"/>
  <c r="H41" i="4"/>
  <c r="I7" i="3"/>
  <c r="BI17" i="3"/>
  <c r="BI11" i="3"/>
  <c r="BO7" i="4"/>
  <c r="BO8" i="4" s="1"/>
  <c r="BN2" i="3"/>
  <c r="W38" i="4"/>
  <c r="V35" i="4"/>
  <c r="W6" i="3"/>
  <c r="W11" i="3" s="1"/>
  <c r="W15" i="3" s="1"/>
  <c r="BJ31" i="4"/>
  <c r="BJ30" i="4"/>
  <c r="BJ32" i="4" l="1"/>
  <c r="BJ5" i="3"/>
  <c r="BP7" i="4"/>
  <c r="BP8" i="4" s="1"/>
  <c r="BO2" i="3"/>
  <c r="H44" i="4"/>
  <c r="G41" i="4"/>
  <c r="H7" i="3"/>
  <c r="V38" i="4"/>
  <c r="U35" i="4"/>
  <c r="V6" i="3"/>
  <c r="V11" i="3" s="1"/>
  <c r="V15" i="3" s="1"/>
  <c r="BI15" i="3"/>
  <c r="BI16" i="3"/>
  <c r="BI18" i="3"/>
  <c r="G44" i="4" l="1"/>
  <c r="F41" i="4"/>
  <c r="G7" i="3"/>
  <c r="BJ17" i="3"/>
  <c r="BJ11" i="3"/>
  <c r="BQ7" i="4"/>
  <c r="BQ8" i="4" s="1"/>
  <c r="BP2" i="3"/>
  <c r="U38" i="4"/>
  <c r="T35" i="4"/>
  <c r="U6" i="3"/>
  <c r="U11" i="3" s="1"/>
  <c r="U15" i="3" s="1"/>
  <c r="BK31" i="4"/>
  <c r="BK30" i="4"/>
  <c r="BK32" i="4" l="1"/>
  <c r="BK5" i="3"/>
  <c r="BR7" i="4"/>
  <c r="BR8" i="4" s="1"/>
  <c r="BQ2" i="3"/>
  <c r="F44" i="4"/>
  <c r="E41" i="4"/>
  <c r="F7" i="3"/>
  <c r="T38" i="4"/>
  <c r="S35" i="4"/>
  <c r="T6" i="3"/>
  <c r="T11" i="3" s="1"/>
  <c r="T15" i="3" s="1"/>
  <c r="BJ16" i="3"/>
  <c r="BJ15" i="3"/>
  <c r="BJ18" i="3"/>
  <c r="E44" i="4" l="1"/>
  <c r="D41" i="4"/>
  <c r="E7" i="3"/>
  <c r="BK17" i="3"/>
  <c r="BK11" i="3"/>
  <c r="BS7" i="4"/>
  <c r="BS8" i="4" s="1"/>
  <c r="BR2" i="3"/>
  <c r="S38" i="4"/>
  <c r="R35" i="4"/>
  <c r="S6" i="3"/>
  <c r="S11" i="3" s="1"/>
  <c r="S15" i="3" s="1"/>
  <c r="BL30" i="4"/>
  <c r="BL31" i="4" s="1"/>
  <c r="BL32" i="4" l="1"/>
  <c r="BL5" i="3"/>
  <c r="BT7" i="4"/>
  <c r="BT8" i="4" s="1"/>
  <c r="BS2" i="3"/>
  <c r="D44" i="4"/>
  <c r="C41" i="4"/>
  <c r="D7" i="3"/>
  <c r="R38" i="4"/>
  <c r="Q35" i="4"/>
  <c r="R6" i="3"/>
  <c r="R11" i="3" s="1"/>
  <c r="R15" i="3" s="1"/>
  <c r="BK16" i="3"/>
  <c r="BK18" i="3"/>
  <c r="BK15" i="3"/>
  <c r="C44" i="4" l="1"/>
  <c r="B41" i="4"/>
  <c r="C7" i="3"/>
  <c r="BL17" i="3"/>
  <c r="BL11" i="3"/>
  <c r="BU7" i="4"/>
  <c r="BU8" i="4" s="1"/>
  <c r="BV7" i="4" s="1"/>
  <c r="BV8" i="4" s="1"/>
  <c r="BW7" i="4" s="1"/>
  <c r="BW8" i="4" s="1"/>
  <c r="BT2" i="3"/>
  <c r="Q38" i="4"/>
  <c r="P35" i="4"/>
  <c r="Q6" i="3"/>
  <c r="Q11" i="3" s="1"/>
  <c r="Q15" i="3" s="1"/>
  <c r="BM30" i="4"/>
  <c r="BM31" i="4" s="1"/>
  <c r="BM32" i="4" l="1"/>
  <c r="BM5" i="3"/>
  <c r="B44" i="4"/>
  <c r="B7" i="3"/>
  <c r="P38" i="4"/>
  <c r="O35" i="4"/>
  <c r="P6" i="3"/>
  <c r="P11" i="3" s="1"/>
  <c r="P15" i="3" s="1"/>
  <c r="BL16" i="3"/>
  <c r="BL15" i="3"/>
  <c r="BL18" i="3"/>
  <c r="O38" i="4" l="1"/>
  <c r="N35" i="4"/>
  <c r="O6" i="3"/>
  <c r="O11" i="3" s="1"/>
  <c r="O15" i="3" s="1"/>
  <c r="BM17" i="3"/>
  <c r="BM11" i="3"/>
  <c r="BN30" i="4"/>
  <c r="BN31" i="4" s="1"/>
  <c r="BN32" i="4" l="1"/>
  <c r="BN5" i="3"/>
  <c r="N38" i="4"/>
  <c r="M35" i="4"/>
  <c r="N6" i="3"/>
  <c r="N11" i="3" s="1"/>
  <c r="N15" i="3" s="1"/>
  <c r="BM15" i="3"/>
  <c r="BM16" i="3"/>
  <c r="BM18" i="3"/>
  <c r="M38" i="4" l="1"/>
  <c r="L35" i="4"/>
  <c r="M6" i="3"/>
  <c r="M11" i="3" s="1"/>
  <c r="M15" i="3" s="1"/>
  <c r="BN17" i="3"/>
  <c r="BN11" i="3"/>
  <c r="BO30" i="4"/>
  <c r="BO31" i="4" s="1"/>
  <c r="BO32" i="4" l="1"/>
  <c r="BO5" i="3"/>
  <c r="L38" i="4"/>
  <c r="K35" i="4"/>
  <c r="L6" i="3"/>
  <c r="L11" i="3" s="1"/>
  <c r="L15" i="3" s="1"/>
  <c r="BN16" i="3"/>
  <c r="BN15" i="3"/>
  <c r="BN18" i="3"/>
  <c r="K38" i="4" l="1"/>
  <c r="J35" i="4"/>
  <c r="K6" i="3"/>
  <c r="K11" i="3" s="1"/>
  <c r="K15" i="3" s="1"/>
  <c r="BO17" i="3"/>
  <c r="BO11" i="3"/>
  <c r="BP30" i="4"/>
  <c r="BP31" i="4"/>
  <c r="BP32" i="4" l="1"/>
  <c r="BP5" i="3"/>
  <c r="J38" i="4"/>
  <c r="I35" i="4"/>
  <c r="J6" i="3"/>
  <c r="J11" i="3" s="1"/>
  <c r="J15" i="3" s="1"/>
  <c r="BO15" i="3"/>
  <c r="BO18" i="3"/>
  <c r="BO16" i="3"/>
  <c r="I38" i="4" l="1"/>
  <c r="H35" i="4"/>
  <c r="I6" i="3"/>
  <c r="I11" i="3" s="1"/>
  <c r="I15" i="3" s="1"/>
  <c r="BP17" i="3"/>
  <c r="BP11" i="3"/>
  <c r="BQ30" i="4"/>
  <c r="BQ31" i="4"/>
  <c r="BQ32" i="4" l="1"/>
  <c r="BQ5" i="3"/>
  <c r="H38" i="4"/>
  <c r="G35" i="4"/>
  <c r="H6" i="3"/>
  <c r="H11" i="3" s="1"/>
  <c r="H15" i="3" s="1"/>
  <c r="BP16" i="3"/>
  <c r="BP15" i="3"/>
  <c r="BP18" i="3"/>
  <c r="G38" i="4" l="1"/>
  <c r="F35" i="4"/>
  <c r="G6" i="3"/>
  <c r="G11" i="3" s="1"/>
  <c r="G15" i="3" s="1"/>
  <c r="BQ17" i="3"/>
  <c r="BQ11" i="3"/>
  <c r="BR30" i="4"/>
  <c r="BR31" i="4" s="1"/>
  <c r="BR32" i="4" l="1"/>
  <c r="BR5" i="3"/>
  <c r="F38" i="4"/>
  <c r="E35" i="4"/>
  <c r="F6" i="3"/>
  <c r="F11" i="3" s="1"/>
  <c r="F15" i="3" s="1"/>
  <c r="BQ16" i="3"/>
  <c r="BQ15" i="3"/>
  <c r="BQ18" i="3"/>
  <c r="E38" i="4" l="1"/>
  <c r="D35" i="4"/>
  <c r="E6" i="3"/>
  <c r="E11" i="3" s="1"/>
  <c r="E15" i="3" s="1"/>
  <c r="BR17" i="3"/>
  <c r="BR11" i="3"/>
  <c r="BS30" i="4"/>
  <c r="BS31" i="4" s="1"/>
  <c r="BS32" i="4" l="1"/>
  <c r="BS5" i="3"/>
  <c r="D38" i="4"/>
  <c r="C35" i="4"/>
  <c r="D6" i="3"/>
  <c r="D11" i="3" s="1"/>
  <c r="D15" i="3" s="1"/>
  <c r="BR15" i="3"/>
  <c r="BR16" i="3"/>
  <c r="BR18" i="3"/>
  <c r="C38" i="4" l="1"/>
  <c r="B35" i="4"/>
  <c r="C6" i="3"/>
  <c r="C11" i="3" s="1"/>
  <c r="C15" i="3" s="1"/>
  <c r="BS17" i="3"/>
  <c r="BS11" i="3"/>
  <c r="BT30" i="4"/>
  <c r="BT31" i="4"/>
  <c r="BS18" i="3" l="1"/>
  <c r="BS16" i="3"/>
  <c r="BS15" i="3"/>
  <c r="BT32" i="4"/>
  <c r="BT5" i="3"/>
  <c r="B38" i="4"/>
  <c r="B6" i="3"/>
  <c r="B11" i="3" s="1"/>
  <c r="B15" i="3" s="1"/>
  <c r="BU30" i="4" l="1"/>
  <c r="BU31" i="4"/>
  <c r="BU32" i="4" s="1"/>
  <c r="BT17" i="3"/>
  <c r="BT11" i="3"/>
  <c r="BV30" i="4" l="1"/>
  <c r="BV31" i="4" s="1"/>
  <c r="BV32" i="4" s="1"/>
  <c r="BT16" i="3"/>
  <c r="BT15" i="3"/>
  <c r="BT18" i="3"/>
  <c r="BW30" i="4" l="1"/>
  <c r="BW31" i="4" s="1"/>
  <c r="BW3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Gergely</author>
  </authors>
  <commentList>
    <comment ref="AN6" authorId="0" shapeId="0" xr:uid="{00000000-0006-0000-0300-000001000000}">
      <text>
        <r>
          <rPr>
            <sz val="11"/>
            <color theme="1"/>
            <rFont val="Calibri"/>
            <family val="2"/>
            <charset val="238"/>
            <scheme val="minor"/>
          </rPr>
          <t>Gergely:
lakás</t>
        </r>
      </text>
    </comment>
    <comment ref="AR6" authorId="0" shapeId="0" xr:uid="{00000000-0006-0000-0300-000002000000}">
      <text>
        <r>
          <rPr>
            <sz val="11"/>
            <color theme="1"/>
            <rFont val="Calibri"/>
            <family val="2"/>
            <charset val="238"/>
            <scheme val="minor"/>
          </rPr>
          <t>Gergely:
premium</t>
        </r>
      </text>
    </comment>
    <comment ref="AO7" authorId="0" shapeId="0" xr:uid="{00000000-0006-0000-0300-000003000000}">
      <text>
        <r>
          <rPr>
            <sz val="11"/>
            <color theme="1"/>
            <rFont val="Calibri"/>
            <family val="2"/>
            <charset val="238"/>
            <scheme val="minor"/>
          </rPr>
          <t>Gergely:
lakas</t>
        </r>
      </text>
    </comment>
    <comment ref="AO31" authorId="0" shapeId="0" xr:uid="{00000000-0006-0000-0300-000004000000}">
      <text>
        <r>
          <rPr>
            <sz val="11"/>
            <color theme="1"/>
            <rFont val="Calibri"/>
            <family val="2"/>
            <charset val="238"/>
            <scheme val="minor"/>
          </rPr>
          <t>Gergely:
lakas</t>
        </r>
      </text>
    </comment>
  </commentList>
</comments>
</file>

<file path=xl/sharedStrings.xml><?xml version="1.0" encoding="utf-8"?>
<sst xmlns="http://schemas.openxmlformats.org/spreadsheetml/2006/main" count="20123" uniqueCount="4153">
  <si>
    <t>Folyószámla</t>
  </si>
  <si>
    <t>Lekötés</t>
  </si>
  <si>
    <t>Értékpapírszámla</t>
  </si>
  <si>
    <t>Magyar Állampapír</t>
  </si>
  <si>
    <t>OTP - Széchenyi Pihenőkártya</t>
  </si>
  <si>
    <t>Generali - Egészségpénztár</t>
  </si>
  <si>
    <t>Uniqa - Önkéntes nyugdíjpénztár</t>
  </si>
  <si>
    <t>Készpénz</t>
  </si>
  <si>
    <t>Havi Egyenleg</t>
  </si>
  <si>
    <t>Összesen</t>
  </si>
  <si>
    <t>Hitel</t>
  </si>
  <si>
    <t>Ház</t>
  </si>
  <si>
    <t>Kocsi</t>
  </si>
  <si>
    <t>Vagyon</t>
  </si>
  <si>
    <t>Lakashitel</t>
  </si>
  <si>
    <t>Allampapir vs Hitel</t>
  </si>
  <si>
    <t>Teljes Hitel</t>
  </si>
  <si>
    <t>Aktuális Egyenleg</t>
  </si>
  <si>
    <t>Tényleges Bevétel</t>
  </si>
  <si>
    <t>Tényleges Kiadás</t>
  </si>
  <si>
    <t>Egyéb Bevétel/Kiadás</t>
  </si>
  <si>
    <t>Várható egyenleg</t>
  </si>
  <si>
    <t>Egyenleg</t>
  </si>
  <si>
    <t>LEKÖTÉS</t>
  </si>
  <si>
    <t>Aktuális Egyenleg honap elején</t>
  </si>
  <si>
    <t>Befizetés</t>
  </si>
  <si>
    <t>Kifizetés</t>
  </si>
  <si>
    <t>Várható Bevétel/Kiadás</t>
  </si>
  <si>
    <t>Várható jóváírás</t>
  </si>
  <si>
    <t>Bevétel</t>
  </si>
  <si>
    <t>Kiadás</t>
  </si>
  <si>
    <t>Törlesztés</t>
  </si>
  <si>
    <t>Kamat</t>
  </si>
  <si>
    <t>Hónap teljes kimutatás</t>
  </si>
  <si>
    <t>Bevetél</t>
  </si>
  <si>
    <t>Sum</t>
  </si>
  <si>
    <t>Dátum</t>
  </si>
  <si>
    <t>Leírás</t>
  </si>
  <si>
    <t>Összeg</t>
  </si>
  <si>
    <t>Főtípus</t>
  </si>
  <si>
    <t>Altípus</t>
  </si>
  <si>
    <t>Számla</t>
  </si>
  <si>
    <t>HUN-Budaors IKEA BUDAORS BEV ECO Áru vissza/befizetés(2024.05.29) Card:5444-0XXX-XX26-4954 MCC5712 HUN-Budaors IKEA BUDAORS BEV ECO 13.980,00 HUF Kártyatranzakció</t>
  </si>
  <si>
    <t>Havi zárlati díj</t>
  </si>
  <si>
    <t>HUN-Budapest Kemal Pasa Torok Et Vásárlás(2024.05.29) Card:5444-0XXX-XX26-4954 MCC5812 HUN-Budapest Kemal Pasa Torok Et 2.700,00 HUF Kártyatranzakció</t>
  </si>
  <si>
    <t>HUN-BUDAORS JYSK H824 Vásárlás(2024.05.29) Card:5444-0XXX-XX26-4954 MCC5712 HUN-BUDAORS JYSK H824 20.000,00 HUF Kártyatranzakció</t>
  </si>
  <si>
    <t>Lakhatás</t>
  </si>
  <si>
    <t>Lakhatás - Egyéb</t>
  </si>
  <si>
    <t>LTU-Vilnius VINTED 9596902041 Vásárlás(2024.05.28) Card:5444-0XXX-XX26-4954 MCC5931 LTU-Vilnius VINTED 9596902041 2.735,00 HUF Kártyatranzakció</t>
  </si>
  <si>
    <t>Vásárlás</t>
  </si>
  <si>
    <t>Gyerek</t>
  </si>
  <si>
    <t>MOL 33050 sz. toltoall Balatonlelle</t>
  </si>
  <si>
    <t>Étterem</t>
  </si>
  <si>
    <t>Gyorsétterem</t>
  </si>
  <si>
    <t>HUN-BALATONLELLE MOL 33040 Vásárlás(2024.05.27) Card:5444-0XXX-XX26-4954 MCC5541 HUN-BALATONLELLE MOL 33040 3.755,00 HUF Kártyatranzakció</t>
  </si>
  <si>
    <t>HUN-Agard LIDL HU 306 Agard Vásárlás(2024.05.27) Card:5444-0XXX-XX26-4954 MCC5411 HUN-Agard LIDL HU 306 Agard 22.850,00 HUF Kártyatranzakció</t>
  </si>
  <si>
    <t>Élelmiszer, vegyszer</t>
  </si>
  <si>
    <t>5444 XXXX XXXX 4954 / null</t>
  </si>
  <si>
    <t>Fizetés</t>
  </si>
  <si>
    <t>Gyógyszertár</t>
  </si>
  <si>
    <t>HUN-BUDAORS OBI 010 BUDAORS Vásárlás(2024.05.26) Card:5444-0XXX-XX26-4954 MCC5200 HUN-BUDAORS OBI 010 BUDAORS 16.042,00 HUF Kártyatranzakció</t>
  </si>
  <si>
    <t>Felújítás/Karbantartás</t>
  </si>
  <si>
    <t>TelekomSzaml 713349825 Budapest</t>
  </si>
  <si>
    <t>Internet</t>
  </si>
  <si>
    <t>SKYSHOWTIME 665C6 HU   Amsterdam</t>
  </si>
  <si>
    <t>SKYSHOWTIME 5603A Stan Amsterdam</t>
  </si>
  <si>
    <t>KARSAINÉ GASSER MÁRIA</t>
  </si>
  <si>
    <t>Vásárlás - Egyéb</t>
  </si>
  <si>
    <t>HUN-BARACSKA CSIZ SAJTMUHELY KFT Vásárlás(2024.05.25) Card:5444-0XXX-XX26-4954 MCC5499 HUN-BARACSKA CSIZ SAJTMUHELY KFT 500,00 HUF Kártyatranzakció</t>
  </si>
  <si>
    <t>HUN-Martonvasar SASKAEK Kft. Vásárlás(2024.05.24) Card:5444-0XXX-XX26-4954 MCC5411 HUN-Martonvasar SASKAEK Kft. 864,00 HUF Kártyatranzakció</t>
  </si>
  <si>
    <t>HUN-Martonvasar SASKAEK Kft. Vásárlás(2024.05.25) Card:5444-0XXX-XX26-4954 MCC5411 HUN-Martonvasar SASKAEK Kft. 1.218,00 HUF Kártyatranzakció</t>
  </si>
  <si>
    <t>HUN-BUDAPEST MAMMUT BEV.KP.PARK.AUT Vásárlás(2024.05.25) Card:5444-0XXX-XX26-4954 MCC7523 HUN-BUDAPEST MAMMUT BEV.KP.PARK.AUT 1.500,00 HUF Kártyatranzakció</t>
  </si>
  <si>
    <t>Közlekedés</t>
  </si>
  <si>
    <t>Parkolás</t>
  </si>
  <si>
    <t>HUN-MARTONVASAR MARTONVASAR-HUS KFT Vásárlás(2024.05.24) Card:5444-0XXX-XX26-4954 MCC5422 HUN-MARTONVASAR MARTONVASAR-HUS KFT 1.570,00 HUF Kártyatranzakció</t>
  </si>
  <si>
    <t>HUN-MARTONVASAR MARTON FRUIT Vásárlás(2024.05.24) Card:5444-0XXX-XX26-4954 MCC5499 HUN-MARTONVASAR MARTON FRUIT 1.836,00 HUF Kártyatranzakció</t>
  </si>
  <si>
    <t>HUN-BUDAPEST GOURMET  KER Vásárlás(2024.05.25) Card:5444-0XXX-XX26-4954 MCC7999 HUN-BUDAPEST GOURMET  KER 3.900,00 HUF Kártyatranzakció</t>
  </si>
  <si>
    <t>HUN-BUDAPEST GOURMET  KER Vásárlás(2024.05.25) Card:5444-0XXX-XX26-4954 MCC7999 HUN-BUDAPEST GOURMET  KER 3.980,00 HUF Kártyatranzakció</t>
  </si>
  <si>
    <t>HUN-BUDAPEST GOURMET  KER Vásárlás(2024.05.25) Card:5444-0XXX-XX26-4954 MCC7999 HUN-BUDAPEST GOURMET  KER 4.490,00 HUF Kártyatranzakció</t>
  </si>
  <si>
    <t>HUN-BUDAPEST OTPMOBL*EON.HU Vásárlás(2024.05.25) Card:5444-0XXX-XX26-4954 MCC4900 HUN-BUDAPEST OTPMOBL*EON.HU 6.824,00 HUF Kártyatranzakció</t>
  </si>
  <si>
    <t>Áram</t>
  </si>
  <si>
    <t>HUN-MARTONVASAR ROSSMANN 336. Vásárlás(2024.05.24) Card:5444-0XXX-XX26-4954 MCC5977 HUN-MARTONVASAR ROSSMANN 336. 14.938,00 HUF Kártyatranzakció</t>
  </si>
  <si>
    <t>HUN-BUDAPEST OTPMOBL*GOURMETFESZTIV Vásárlás(2024.05.25) Card:5444-0XXX-XX26-4954 MCC7922 HUN-BUDAPEST OTPMOBL*GOURMETFESZTIV 26.775,00 HUF Kártyatranzakció</t>
  </si>
  <si>
    <t>Kikapcsolódás</t>
  </si>
  <si>
    <t>Kikapcsolódás - Egyéb</t>
  </si>
  <si>
    <t>HUN-Budapest New York Bagel Kft Vásárlás(2024.05.22) Card:5444-0XXX-XX26-4954 MCC5812 HUN-Budapest New York Bagel Kft 1.690,00 HUF Kártyatranzakció</t>
  </si>
  <si>
    <t>HUN-Budapest Kemal Pasa Torok Et Vásárlás(2024.05.22) Card:5444-0XXX-XX26-4954 MCC5812 HUN-Budapest Kemal Pasa Torok Et 2.700,00 HUF Kártyatranzakció</t>
  </si>
  <si>
    <t>HUN-BARACSKA CSIZ SAJTMUHELY KFT Vásárlás(2024.05.22) Card:5444-0XXX-XX26-4954 MCC5499 HUN-BARACSKA CSIZ SAJTMUHELY KFT 2.740,00 HUF Kártyatranzakció</t>
  </si>
  <si>
    <t>HUN-Agard LIDL HU 306 Agard Vásárlás(2024.05.21) Card:5444-0XXX-XX26-4954 MCC5411 HUN-Agard LIDL HU 306 Agard 6.389,00 HUF Kártyatranzakció</t>
  </si>
  <si>
    <t>11773353-59010812-00000000 Kovácsné Tonkó Csilla Mária KT-2024-161 Kimenő azonnali megbízás</t>
  </si>
  <si>
    <t>Egészség</t>
  </si>
  <si>
    <t>Testnevelés</t>
  </si>
  <si>
    <t>HUN-BUDAPEST OTPMOBL*HERBAFERM.HU Vásárlás(2024.05.21) Card:5444-0XXX-XX26-4954 MCC5499 HUN-BUDAPEST OTPMOBL*HERBAFERM.HU 22.350,00 HUF Kártyatranzakció</t>
  </si>
  <si>
    <t>Táplálék-kiegészítő</t>
  </si>
  <si>
    <t>HUN-AGARD LIDL ARUHAZ 0306.SZ. Vásárlás(2024.05.21) Card:5444-0XXX-XX26-4954 MCC5411 HUN-AGARD LIDL ARUHAZ 0306.SZ. 24.592,00 HUF Kártyatranzakció</t>
  </si>
  <si>
    <t>Disney Plus            Hoofddorp</t>
  </si>
  <si>
    <t>SIMPLE PARKOL S        BUDAPEST</t>
  </si>
  <si>
    <t>HUN-MARTONVASAR BARKACSBOLT Vásárlás(2024.05.18) Card:5444-0XXX-XX26-4954 MCC5251 HUN-MARTONVASAR BARKACSBOLT 230,00 HUF Kártyatranzakció</t>
  </si>
  <si>
    <t>HUN-Martonvasar SASKAEK Kft. Vásárlás(2024.05.16) Card:5444-0XXX-XX68-8737 MCC5411 HUN-Martonvasar SASKAEK Kft. 799,00 HUF Kártyatranzakció</t>
  </si>
  <si>
    <t>HUN-Martonvasar SASKAEK Kft. Vásárlás(2024.05.18) Card:5444-0XXX-XX26-4954 MCC5411 HUN-Martonvasar SASKAEK Kft. 1.329,00 HUF Kártyatranzakció</t>
  </si>
  <si>
    <t>HUN-MARTONVASAR MARTONVASAR-HUS KFT Vásárlás(2024.05.16) Card:5444-0XXX-XX68-8737 MCC5422 HUN-MARTONVASAR MARTONVASAR-HUS KFT 2.110,00 HUF Kártyatranzakció</t>
  </si>
  <si>
    <t>HUN-GARDONY ALDI 5.SZ. Vásárlás(2024.05.17) Card:5444-0XXX-XX26-4954 MCC5411 HUN-GARDONY ALDI 5.SZ. 2.484,00 HUF Kártyatranzakció</t>
  </si>
  <si>
    <t>HUN-MARTONVASAR ROSSMANN 336. Vásárlás(2024.05.18) Card:5444-0XXX-XX26-4954 MCC5977 HUN-MARTONVASAR ROSSMANN 336. 2.548,00 HUF Kártyatranzakció</t>
  </si>
  <si>
    <t>HUN-Martonvasar SASKAEK Kft. Vásárlás(2024.05.18) Card:5444-0XXX-XX26-4954 MCC5411 HUN-Martonvasar SASKAEK Kft. 3.936,00 HUF Kártyatranzakció</t>
  </si>
  <si>
    <t>HUN-GARDONY DM 316.SZ. Vásárlás(2024.05.17) Card:5444-0XXX-XX26-4954 MCC5977 HUN-GARDONY DM 316.SZ. 13.550,00 HUF Kártyatranzakció</t>
  </si>
  <si>
    <t>HUN-BUDAPEST OTPMOBL*dermo.hu Vásárlás(2024.05.17) Card:5444-0XXX-XX26-4954 MCC5977 HUN-BUDAPEST OTPMOBL*dermo.hu 16.657,00 HUF Kártyatranzakció</t>
  </si>
  <si>
    <t>Szépségápolás</t>
  </si>
  <si>
    <t>HUN-Agard LIDL HU 306 Agard Vásárlás(2024.05.17) Card:5444-0XXX-XX26-4954 MCC5411 HUN-Agard LIDL HU 306 Agard 18.725,00 HUF Kártyatranzakció</t>
  </si>
  <si>
    <t>HUN-KAPOLNASNYEK AUTOMATA TO:LTO"A' Vásárlás(2024.05.17) Card:5444-0XXX-XX26-4954 MCC5542 HUN-KAPOLNASNYEK AUTOMATA TO:LTO"A' LLOM 37.845,00 HUF Kártyatranzakció</t>
  </si>
  <si>
    <t>Tankolás</t>
  </si>
  <si>
    <t>HUN-Budapest BB105 Vásárlás(2024.05.17) Card:5444-0XXX-XX26-4954 MCC8021 HUN-Budapest BB105 80.300,00 HUF Kártyatranzakció</t>
  </si>
  <si>
    <t>Orvos</t>
  </si>
  <si>
    <t>reformvirag@gmail.com Kimenő azonnali megbízás</t>
  </si>
  <si>
    <t>HUN-MARTONVASAR MARTON MARKET Vásárlás(2024.05.15) Card:5444-0XXX-XX68-8737 MCC5411 HUN-MARTONVASAR MARTON MARKET 899,00 HUF Kártyatranzakció</t>
  </si>
  <si>
    <t>HUN-BUDAPEST WHITE HOUSE Vásárlás(2024.05.15) Card:5444-0XXX-XX68-8737 MCC5812 HUN-BUDAPEST WHITE HOUSE 1.090,00 HUF Kártyatranzakció</t>
  </si>
  <si>
    <t>HUN-BUDAPEST WHITE HOUSE Vásárlás(2024.05.15) Card:5444-0XXX-XX68-8737 MCC5812 HUN-BUDAPEST WHITE HOUSE 1.630,00 HUF Kártyatranzakció</t>
  </si>
  <si>
    <t>HUN-BUDAORS PRAKTIKER 333. Vásárlás(2024.05.15) Card:5444-0XXX-XX68-8737 MCC5200 HUN-BUDAORS PRAKTIKER 333. 8.681,00 HUF Kártyatranzakció</t>
  </si>
  <si>
    <t>HUN-BUDAPEST MOL 60400 Vásárlás(2024.05.15) Card:5444-0XXX-XX68-8737 MCC5541 HUN-BUDAPEST MOL 60400 26.638,00 HUF Kártyatranzakció</t>
  </si>
  <si>
    <t>HUN-BUDAPEST WHITE HOUSE Vásárlás(2024.05.14) Card:5444-0XXX-XX68-8737 MCC5812 HUN-BUDAPEST WHITE HOUSE 850,00 HUF Kártyatranzakció</t>
  </si>
  <si>
    <t>HUN-BUDAORS PRAKTIKER 333. Vásárlás(2024.05.14) Card:5444-0XXX-XX68-8737 MCC5200 HUN-BUDAORS PRAKTIKER 333. 1.999,00 HUF Kártyatranzakció</t>
  </si>
  <si>
    <t>HUN-Budapest Kemal Pasa Torok Et Vásárlás(2024.05.14) Card:5444-0XXX-XX68-8737 MCC5812 HUN-Budapest Kemal Pasa Torok Et 2.500,00 HUF Kártyatranzakció</t>
  </si>
  <si>
    <t>HUN-Martonvasar Medicz Gyogyszertar Vásárlás(2024.05.14) Card:5444-0XXX-XX68-8737 MCC5912 HUN-Martonvasar Medicz Gyogyszertar 3.850,00 HUF Kártyatranzakció</t>
  </si>
  <si>
    <t>HUN-BUDAORS PRAKTIKER 333. Vásárlás(2024.05.14) Card:5444-0XXX-XX68-8737 MCC5200 HUN-BUDAORS PRAKTIKER 333. 11.638,00 HUF Kártyatranzakció</t>
  </si>
  <si>
    <t>HUN-MARTONVASAR ROSSMANN 336. Vásárlás(2024.05.14) Card:5444-0XXX-XX68-8737 MCC5977 HUN-MARTONVASAR ROSSMANN 336. 14.346,00 HUF Kártyatranzakció</t>
  </si>
  <si>
    <t>HUN-MARTONVASAR VIANNI U:ZLET Vásárlás(2024.05.13) Card:5444-0XXX-XX68-8737 MCC5399 HUN-MARTONVASAR VIANNI U:ZLET 750,00 HUF Kártyatranzakció</t>
  </si>
  <si>
    <t>HUN-Solymr LO-RE 2005 Kft Vásárlás(2024.05.13) Card:5444-0XXX-XX68-8737 MCC7542 HUN-Solymr LO-RE 2005 Kft 1.200,00 HUF Kártyatranzakció</t>
  </si>
  <si>
    <t>Autómosás</t>
  </si>
  <si>
    <t>HUN-BUDAPEST WHITE HOUSE Vásárlás(2024.05.13) Card:5444-0XXX-XX68-8737 MCC5812 HUN-BUDAPEST WHITE HOUSE 1.245,00 HUF Kártyatranzakció</t>
  </si>
  <si>
    <t>HUN-Budapest Atrium Etterem Vásárlás(2024.05.13) Card:5444-0XXX-XX68-8737 MCC5812 HUN-Budapest Atrium Etterem 2.590,00 HUF Kártyatranzakció</t>
  </si>
  <si>
    <t>HUN-BARACSKA CSIZ SAJTMUHELY KFT Vásárlás(2024.05.14) Card:5444-0XXX-XX68-8737 MCC5499 HUN-BARACSKA CSIZ SAJTMUHELY KFT 2.910,00 HUF Kártyatranzakció</t>
  </si>
  <si>
    <t>HUN-Agard LIDL HU 306 Agard Vásárlás(2024.05.13) Card:5444-0XXX-XX68-8737 MCC5411 HUN-Agard LIDL HU 306 Agard 16.918,00 HUF Kártyatranzakció</t>
  </si>
  <si>
    <t>HUN-BUDAPEST MU'ZEUM ME'LYGARA'ZS Vásárlás(2024.05.12) Card:5444-0XXX-XX68-8737 MCC7523 HUN-BUDAPEST MU'ZEUM ME'LYGARA'ZS 1.000,00 HUF Kártyatranzakció</t>
  </si>
  <si>
    <t>127.COOP SZUPER 1.     MARTONVASAR</t>
  </si>
  <si>
    <t>HUN-BALATONFURED FU:REDI FAGYIZO' Vásárlás(2024.05.11) Card:5444-0XXX-XX68-8737 MCC5441 HUN-BALATONFURED FU:REDI FAGYIZO' 1.300,00 HUF Kártyatranzakció</t>
  </si>
  <si>
    <t>Kávézó</t>
  </si>
  <si>
    <t>HUN-MARTONVASAR TESCO 44089 O:NKISZ Vásárlás(2024.05.09) Card:5444-0XXX-XX68-8737 MCC5311 HUN-MARTONVASAR TESCO 44089 O:NKISZ OLG 1.547,00 HUF Kártyatranzakció</t>
  </si>
  <si>
    <t>HUN-VELENCE DOLCE VENEZIA KFT. Vásárlás(2024.05.09) Card:5444-0XXX-XX68-8737 MCC5441 HUN-VELENCE DOLCE VENEZIA KFT. 2.200,00 HUF Kártyatranzakció</t>
  </si>
  <si>
    <t>HUN-BUDAORS REGIO JA'TE'K BU. Vásárlás(2024.05.10) Card:5444-0XXX-XX68-8737 MCC5945 HUN-BUDAORS REGIO JA'TE'K BU. 5.495,00 HUF Kártyatranzakció</t>
  </si>
  <si>
    <t>HUN-BALATONFURED KAROLINA KAVEHAZ Vásárlás(2024.05.11) Card:5444-0XXX-XX68-8737 MCC5811 HUN-BALATONFURED KAROLINA KAVEHAZ 21.253,00 HUF Kártyatranzakció</t>
  </si>
  <si>
    <t>JAGUAR LAND ROVER HUNGARY KFT.</t>
  </si>
  <si>
    <t>HUN-BARACSKA CSIZ SAJTMUHELY KFT Vásárlás(2024.05.08) Card:5444-0XXX-XX68-8737 MCC5499 HUN-BARACSKA CSIZ SAJTMUHELY KFT 1.440,00 HUF Kártyatranzakció</t>
  </si>
  <si>
    <t>HUN-BUDAPEST SUPER WOK Vásárlás(2024.05.08) Card:5444-0XXX-XX68-8737 MCC5812 HUN-BUDAPEST SUPER WOK 1.800,00 HUF Kártyatranzakció</t>
  </si>
  <si>
    <t>PL:I/10MAY24 Kamatfizetés  Hitel /21-41194/</t>
  </si>
  <si>
    <t>PL:P/10MAY24 Tőkefizetés Hitel /21-41194/</t>
  </si>
  <si>
    <t>MVM NEXT ENERGIAK      BUDAPEST</t>
  </si>
  <si>
    <t>Gáz</t>
  </si>
  <si>
    <t>HUN-Martonvasar SASKAEK Kft. Vásárlás(2024.05.06) Card:5444-0XXX-XX68-8737 MCC5411 HUN-Martonvasar SASKAEK Kft. 4.980,00 HUF Kártyatranzakció</t>
  </si>
  <si>
    <t>HUN-BUDAPEST WWW.IMOCARWASH.COM Vásárlás(2024.05.06) Card:5444-0XXX-XX68-8737 MCC7542 HUN-BUDAPEST WWW.IMOCARWASH.COM 5.390,00 HUF Kártyatranzakció</t>
  </si>
  <si>
    <t>HUN-MARTONVASAR ROSSMANN 336. Vásárlás(2024.05.06) Card:5444-0XXX-XX68-8737 MCC5977 HUN-MARTONVASAR ROSSMANN 336. 24.847,00 HUF Kártyatranzakció</t>
  </si>
  <si>
    <t>OTPMOBL DIJNET.HU      BUDAPEST</t>
  </si>
  <si>
    <t>Víz</t>
  </si>
  <si>
    <t>HUN-Budapest Pan ni Vásárlás(2024.05.05) Card:5444-0XXX-XX68-8737 MCC5462 HUN-Budapest Pan ni 7.650,00 HUF Kártyatranzakció</t>
  </si>
  <si>
    <t>HUN-Martonvasar SASKAEK Kft. Vásárlás(2024.05.04) Card:5444-0XXX-XX68-8737 MCC5411 HUN-Martonvasar SASKAEK Kft. 251,00 HUF Kártyatranzakció</t>
  </si>
  <si>
    <t>HUN-MARTONVASAR WIN PLUS HD MARKET Vásárlás(2024.05.04) Card:5444-0XXX-XX68-8737 MCC5499 HUN-MARTONVASAR WIN PLUS HD MARKET 590,00 HUF Kártyatranzakció</t>
  </si>
  <si>
    <t>HUN-MARTONVASAR VIZ-, GAZ SZERELVEN Vásárlás(2024.05.02) Card:5444-0XXX-XX68-8737 MCC5074 HUN-MARTONVASAR VIZ-, GAZ SZERELVEN YB 1.918,00 HUF Kártyatranzakció</t>
  </si>
  <si>
    <t>HUN-MARTONVASAR MARTON MARKET Vásárlás(2024.05.04) Card:5444-0XXX-XX68-8737 MCC5411 HUN-MARTONVASAR MARTON MARKET 1.948,00 HUF Kártyatranzakció</t>
  </si>
  <si>
    <t>HUN-Hernad SumUp  *Danasz Diamand Vásárlás(2024.05.04) Card:5444-0XXX-XX68-8737 MCC5411 HUN-Hernad SumUp  *Danasz Diamand 1.980,00 HUF Kártyatranzakció</t>
  </si>
  <si>
    <t>SWE-Stockholm Spotify Vásárlás(2024.05.02) Card:5444-0XXX-XX68-8737 MCC4899 SWE-Stockholm Spotify 1.990,00 HUF Kártyatranzakció</t>
  </si>
  <si>
    <t>HUN-MARTONVASAR ROSSMANN 336. Vásárlás(2024.05.02) Card:5444-0XXX-XX68-8737 MCC5977 HUN-MARTONVASAR ROSSMANN 336. 2.099,00 HUF Kártyatranzakció</t>
  </si>
  <si>
    <t>HUN-BARACSKA CSIZ SAJTMUHELY KFT Vásárlás(2024.05.03) Card:5444-0XXX-XX68-8737 MCC5499 HUN-BARACSKA CSIZ SAJTMUHELY KFT 2.340,00 HUF Kártyatranzakció</t>
  </si>
  <si>
    <t>HUN-Budapest, XXI SumUp  *Mennyei t Vásárlás(2024.05.04) Card:5444-0XXX-XX68-8737 MCC5499 HUN-Budapest, XXI SumUp  *Mennyei t ermek 2.750,00 HUF Kártyatranzakció</t>
  </si>
  <si>
    <t>HUN-RAD KEKSZ-KALMAN ESZTER EV Vásárlás(2024.05.04) Card:5444-0XXX-XX68-8737 MCC5399 HUN-RAD KEKSZ-KALMAN ESZTER EV 3.300,00 HUF Kártyatranzakció</t>
  </si>
  <si>
    <t>HUN-Martonvasar SASKAEK Kft. Vásárlás(2024.05.02) Card:5444-0XXX-XX68-8737 MCC5411 HUN-Martonvasar SASKAEK Kft. 3.546,00 HUF Kártyatranzakció</t>
  </si>
  <si>
    <t>HUN-BUDAORS LIBRI BUDAO:RS Vásárlás(2024.05.04) Card:5444-0XXX-XX68-8737 MCC5942 HUN-BUDAORS LIBRI BUDAO:RS 3.572,00 HUF Kártyatranzakció</t>
  </si>
  <si>
    <t>Könyv</t>
  </si>
  <si>
    <t>HUN-BUDAORS DM 449 Vásárlás(2024.05.04) Card:5444-0XXX-XX68-8737 MCC5977 HUN-BUDAORS DM 449 8.459,00 HUF Kártyatranzakció</t>
  </si>
  <si>
    <t>Kártya Tagsági díj Card:5444-0XXX-XX68-8737</t>
  </si>
  <si>
    <t>Pénzügy</t>
  </si>
  <si>
    <t>Banki költség</t>
  </si>
  <si>
    <t>HUN-Hernad SumUp  *Danasz Diamand Vásárlás(2024.05.04) Card:5444-0XXX-XX68-8737 MCC5411 HUN-Hernad SumUp  *Danasz Diamand 11.530,00 HUF Kártyatranzakció</t>
  </si>
  <si>
    <t>HUN-Budaors LIDL HU 349 Budaors Vásárlás(2024.05.04) Card:5444-0XXX-XX68-8737 MCC5411 HUN-Budaors LIDL HU 349 Budaors 13.648,00 HUF Kártyatranzakció</t>
  </si>
  <si>
    <t>Cr Forgalmi kedvezmény</t>
  </si>
  <si>
    <t>10032000-00282637-00000000 OKTATÁSI HIVATAL MUNKABÉR UTALÁS Bejövő Forint Átutalás</t>
  </si>
  <si>
    <t>HUN-Dorog Korken Medmark Kft. Vásárlás(2024.05.01) Card:5444-0XXX-XX68-8737 MCC5977 HUN-Dorog Korken Medmark Kft. 8.389,00 HUF Kártyatranzakció</t>
  </si>
  <si>
    <t>Egészség - Egyéb</t>
  </si>
  <si>
    <t>APPLE.COM/BILL         CORK</t>
  </si>
  <si>
    <t>HUN-BUDAPEST BARIONP*TornaDora Áru vissza/befizetés(2024.04.30) Card:5444-0XXX-XX68-8737 MCC5641 HUN-BUDAPEST BARIONP*TornaDora 31.980,00 HUF Kártyatranzakció</t>
  </si>
  <si>
    <t>HUN-Martonvasar SASKAEK Kft. Vásárlás(2024.04.29) Card:5444-0XXX-XX68-8737 MCC5411 HUN-Martonvasar SASKAEK Kft. 1.357,00 HUF Kártyatranzakció</t>
  </si>
  <si>
    <t>HUN-BUDAPEST ADVANCE KANTIN Vásárlás(2024.04.30) Card:5444-0XXX-XX68-8737 MCC5812 HUN-BUDAPEST ADVANCE KANTIN 2.550,00 HUF Kártyatranzakció</t>
  </si>
  <si>
    <t>HUN-MARTONVASAR POSTAKOCSI E'TTEREM Vásárlás(2024.04.30) Card:5444-0XXX-XX68-8737 MCC5812 HUN-MARTONVASAR POSTAKOCSI E'TTEREM 7.980,00 HUF Kártyatranzakció</t>
  </si>
  <si>
    <t>HUN-Martonvasar Gazda-SAGI Bolt Vásárlás(2024.04.29) Card:5444-0XXX-XX68-8737 MCC5261 HUN-Martonvasar Gazda-SAGI Bolt 9.050,00 HUF Kártyatranzakció</t>
  </si>
  <si>
    <t>HUN-MARTONVASAR ROSSMANN 336. Vásárlás(2024.04.29) Card:5444-0XXX-XX68-8737 MCC5977 HUN-MARTONVASAR ROSSMANN 336. 21.597,00 HUF Kártyatranzakció</t>
  </si>
  <si>
    <t>HUN-BUDAPEST OTPMOBL*webkincstar Vásárlás(2024.04.30) Card:5444-0XXX-XX68-8737 MCC9399 HUN-BUDAPEST OTPMOBL*webkincstar 52.561,00 HUF Kártyatranzakció</t>
  </si>
  <si>
    <t>Állampapír</t>
  </si>
  <si>
    <t>HUN-BUDAORS VISION EXPRESS 514.SZ. Vásárlás(2024.04.28) Card:5444-0XXX-XX68-8737 MCC8043 HUN-BUDAORS VISION EXPRESS 514.SZ. 3.731,00 HUF Kártyatranzakció</t>
  </si>
  <si>
    <t>Optika</t>
  </si>
  <si>
    <t>HUN-BUDAORS TESCO 41520 Vásárlás(2024.04.28) Card:5444-0XXX-XX68-8737 MCC5311 HUN-BUDAORS TESCO 41520 9.766,00 HUF Kártyatranzakció</t>
  </si>
  <si>
    <t>HUN-BUDAORS VISION EXPRESS 514.SZ. Vásárlás(2024.04.28) Card:5444-0XXX-XX68-8737 MCC8043 HUN-BUDAORS VISION EXPRESS 514.SZ. 11.832,00 HUF Kártyatranzakció</t>
  </si>
  <si>
    <t>HUN-BUDAPEST LIPO'TI PE'KSE'G Vásárlás(2024.04.25) Card:5444-0XXX-XX68-8737 MCC5462 HUN-BUDAPEST LIPO'TI PE'KSE'G 700,00 HUF Kártyatranzakció</t>
  </si>
  <si>
    <t>HUN-Budapest Kemal Pasa Torok Et Vásárlás(2024.04.25) Card:5444-0XXX-XX68-8737 MCC5812 HUN-Budapest Kemal Pasa Torok Et 2.500,00 HUF Kártyatranzakció</t>
  </si>
  <si>
    <t>HUN-Martonvasar SASKAEK Kft. Vásárlás(2024.04.26) Card:5444-0XXX-XX68-8737 MCC5411 HUN-Martonvasar SASKAEK Kft. 4.287,00 HUF Kártyatranzakció</t>
  </si>
  <si>
    <t>HUN-AGARD LIDL ARUHAZ 0306.SZ. Vásárlás(2024.04.26) Card:5444-0XXX-XX68-8737 MCC5411 HUN-AGARD LIDL ARUHAZ 0306.SZ. 5.395,00 HUF Kártyatranzakció</t>
  </si>
  <si>
    <t>HUN-MARTONVASAR ROSSMANN 336. Vásárlás(2024.04.26) Card:5444-0XXX-XX68-8737 MCC5977 HUN-MARTONVASAR ROSSMANN 336. 7.469,00 HUF Kártyatranzakció</t>
  </si>
  <si>
    <t>HUN-GARDONY ALDI 5.SZ. Vásárlás(2024.04.26) Card:5444-0XXX-XX68-8737 MCC5411 HUN-GARDONY ALDI 5.SZ. 11.437,00 HUF Kártyatranzakció</t>
  </si>
  <si>
    <t>HUN-TARNOK MAG-MAXX KFT. Vásárlás(2024.04.26) Card:5444-0XXX-XX68-8737 MCC5499 HUN-TARNOK MAG-MAXX KFT. 15.114,00 HUF Kártyatranzakció</t>
  </si>
  <si>
    <t>HUN-AGARD LIDL ARUHAZ 0306.SZ. Vásárlás(2024.04.26) Card:5444-0XXX-XX68-8737 MCC5411 HUN-AGARD LIDL ARUHAZ 0306.SZ. 27.994,00 HUF Kártyatranzakció</t>
  </si>
  <si>
    <t>Kártyatranzakció OTPMOBL VIMPAY.MAV-STA BUDAPEST 570,00 HUF Vásárlás</t>
  </si>
  <si>
    <t>Menetjegy</t>
  </si>
  <si>
    <t>HUN-Budapest XIV Fornetti Sugár Vásárlás(2024.04.24) Card:5444-0XXX-XX68-8737 MCC5462 HUN-Budapest XIV Fornetti Sugár 1.880,00 HUF Kártyatranzakció</t>
  </si>
  <si>
    <t>HUN-BUDAPEST BIOHAIR SZALON SUGA'R Vásárlás(2024.04.24) Card:5444-0XXX-XX68-8737 MCC7230 HUN-BUDAPEST BIOHAIR SZALON SUGA'R 4.980,00 HUF Kártyatranzakció</t>
  </si>
  <si>
    <t>11773353-59010812-00000000 Kovácsné Tonkó Csilla Mária KT-2024-145 Kimenő azonnali megbízás</t>
  </si>
  <si>
    <t>Kártyatranzakció SKYSHOWTIME 650F0 Stan Amsterdam 999,50 HUF Vásárlás 2,54 EUR</t>
  </si>
  <si>
    <t>HUN-BUDAPEST BARIONP*UjKonyvek Vásárlás(2024.04.23) Card:5444-0XXX-XX68-8737 MCC5942 HUN-BUDAPEST BARIONP*UjKonyvek 7.389,00 HUF Kártyatranzakció</t>
  </si>
  <si>
    <t>HUN-GARDONY DM 316.SZ. Vásárlás(2024.04.23) Card:5444-0XXX-XX68-8737 MCC5977 HUN-GARDONY DM 316.SZ. 15.299,00 HUF Kártyatranzakció</t>
  </si>
  <si>
    <t>Kártyatranzakció OTPMOBL VIMPAY.MAV-STA BUDAPEST 617,00 HUF Vásárlás</t>
  </si>
  <si>
    <t>Feked</t>
  </si>
  <si>
    <t>Egyéb</t>
  </si>
  <si>
    <t>11600006-00000000-99702980 Sandor Soma Kimenő azonnali megbízás</t>
  </si>
  <si>
    <t>HUN-Budapest Szamos Vásárlás(2024.04.21) Card:5444-0XXX-XX68-8737 MCC5462 HUN-Budapest Szamos 500,00 HUF Kártyatranzakció</t>
  </si>
  <si>
    <t>HUN-BUDAPEST PM-ABACUS FIZETO"AUT 5 Vásárlás(2024.04.21) Card:5444-0XXX-XX68-8737 MCC7523 HUN-BUDAPEST PM-ABACUS FIZETO"AUT 5 900,00 HUF Kártyatranzakció</t>
  </si>
  <si>
    <t>HUN-Budapest Szamos Vásárlás(2024.04.21) Card:5444-0XXX-XX68-8737 MCC5462 HUN-Budapest Szamos 1.300,00 HUF Kártyatranzakció</t>
  </si>
  <si>
    <t>HUN-BUDAORS MEDICINA PATIKA Vásárlás(2024.04.21) Card:5444-0XXX-XX68-8737 MCC5912 HUN-BUDAORS MEDICINA PATIKA 2.715,00 HUF Kártyatranzakció</t>
  </si>
  <si>
    <t>HUN-BUDAPEST H&amp;M HU0309 Vásárlás(2024.04.21) Card:5444-0XXX-XX68-8737 MCC5691 HUN-BUDAPEST H&amp;M HU0309 6.590,00 HUF Kártyatranzakció</t>
  </si>
  <si>
    <t>Ruha</t>
  </si>
  <si>
    <t>HUN-Budapest LINDT MASTER CHOCOLATI Vásárlás(2024.04.21) Card:5444-0XXX-XX68-8737 MCC5462 HUN-Budapest LINDT MASTER CHOCOLATI 12.186,00 HUF Kártyatranzakció</t>
  </si>
  <si>
    <t>HUN-BUDAORS TESCO 41520 O:NKISZOLG Vásárlás(2024.04.21) Card:5444-0XXX-XX68-8737 MCC5311 HUN-BUDAORS TESCO 41520 O:NKISZOLG 20.657,00 HUF Kártyatranzakció</t>
  </si>
  <si>
    <t>HUN-TOROKBALINT ALDI 33.SZ. Vásárlás(2024.04.21) Card:5444-0XXX-XX68-8737 MCC5411 HUN-TOROKBALINT ALDI 33.SZ. 29.064,00 HUF Kártyatranzakció</t>
  </si>
  <si>
    <t>HUN-Kecskemét GOKART HOTEL Vásárlás(2024.04.20) Card:5444-0XXX-XX68-8737 MCC7011 HUN-Kecskemét GOKART HOTEL 650,00 HUF Kártyatranzakció</t>
  </si>
  <si>
    <t>HUN-BARACSKA CSIZ SAJTMUHELY KFT Vásárlás(2024.04.20) Card:5444-0XXX-XX68-8737 MCC5499 HUN-BARACSKA CSIZ SAJTMUHELY KFT 1.490,00 HUF Kártyatranzakció</t>
  </si>
  <si>
    <t>HUN-Kecskemét GOKART HOTEL Vásárlás(2024.04.20) Card:5444-0XXX-XX68-8737 MCC7011 HUN-Kecskemét GOKART HOTEL 2.000,00 HUF Kártyatranzakció</t>
  </si>
  <si>
    <t>HUN-MARTONVASAR TESCO 44089 O:NKISZ Vásárlás(2024.04.18) Card:5444-0XXX-XX68-8737 MCC5311 HUN-MARTONVASAR TESCO 44089 O:NKISZ OLG 2.090,00 HUF Kártyatranzakció</t>
  </si>
  <si>
    <t>HUN-MARTONVASAR KOMA UZLETHAZ Vásárlás(2024.04.19) Card:5444-0XXX-XX68-8737 MCC5331 HUN-MARTONVASAR KOMA UZLETHAZ 2.180,00 HUF Kártyatranzakció</t>
  </si>
  <si>
    <t>HUN-MARTONVASAR WIN PLUS HD MARKET Vásárlás(2024.04.20) Card:5444-0XXX-XX68-8737 MCC5499 HUN-MARTONVASAR WIN PLUS HD MARKET 7.710,00 HUF Kártyatranzakció</t>
  </si>
  <si>
    <t>HUN-TOROKBALINT AUCHAN TO:RO:KBA'LI Vásárlás(2024.04.19) Card:5444-0XXX-XX68-8737 MCC5311 HUN-TOROKBALINT AUCHAN TO:RO:KBA'LI NT 17.986,00 HUF Kártyatranzakció</t>
  </si>
  <si>
    <t>Kártyatranzakció OTPMOBL FALATOZZ.HU BUDAPEST 2.833,00 HUF Vásárlás</t>
  </si>
  <si>
    <t>HUN-Martonvasar Medicz Gyogyszertar Vásárlás(2024.04.17) Card:5444-0XXX-XX68-8737 MCC5912 HUN-Martonvasar Medicz Gyogyszertar 138,00 HUF Kártyatranzakció</t>
  </si>
  <si>
    <t>HUN-BUDAPEST BADASS COFFEE Vásárlás(2024.04.17) Card:5444-0XXX-XX68-8737 MCC5812 HUN-BUDAPEST BADASS COFFEE 1.090,00 HUF Kártyatranzakció</t>
  </si>
  <si>
    <t>HUN-Solymr LO-RE 2005 Kft Vásárlás(2024.04.17) Card:5444-0XXX-XX68-8737 MCC7542 HUN-Solymr LO-RE 2005 Kft 1.200,00 HUF Kártyatranzakció</t>
  </si>
  <si>
    <t>HUN-BUDAPEST KISKIFLI KAVEZO Vásárlás(2024.04.17) Card:5444-0XXX-XX68-8737 MCC5812 HUN-BUDAPEST KISKIFLI KAVEZO 1.580,00 HUF Kártyatranzakció</t>
  </si>
  <si>
    <t>HUN-BARACSKA CSIZ SAJTMUHELY KFT Vásárlás(2024.04.17) Card:5444-0XXX-XX68-8737 MCC5499 HUN-BARACSKA CSIZ SAJTMUHELY KFT 2.200,00 HUF Kártyatranzakció</t>
  </si>
  <si>
    <t>HUN-BUDAPEST BADASS COFFEE Vásárlás(2024.04.17) Card:5444-0XXX-XX68-8737 MCC5812 HUN-BUDAPEST BADASS COFFEE 3.030,00 HUF Kártyatranzakció</t>
  </si>
  <si>
    <t>HUN-BUDAPEST DHL Express Mo. Kft. Vásárlás(2024.04.17) Card:5444-0XXX-XX68-8737 MCC4215 HUN-BUDAPEST DHL Express Mo. Kft. 25.490,00 HUF Kártyatranzakció</t>
  </si>
  <si>
    <t>Műszaki termék</t>
  </si>
  <si>
    <t>Forint átutalás JAGUAR LAND ROVER HUNGARY KFT. Munkab.r utal.sMunkabér</t>
  </si>
  <si>
    <t>Tanulás</t>
  </si>
  <si>
    <t>HUN-Budapest New York Bagel Kft Vásárlás(2024.04.16) Card:5444-0XXX-XX68-8737 MCC5812 HUN-Budapest New York Bagel Kft 1.690,00 HUF Kártyatranzakció</t>
  </si>
  <si>
    <t>HUN-Budapest Kemal Pasa Torok Et Vásárlás(2024.04.16) Card:5444-0XXX-XX68-8737 MCC5812 HUN-Budapest Kemal Pasa Torok Et 3.000,00 HUF Kártyatranzakció</t>
  </si>
  <si>
    <t>HUN-MARTONVASAR ROSSMANN 336. Vásárlás(2024.04.16) Card:5444-0XXX-XX68-8737 MCC5977 HUN-MARTONVASAR ROSSMANN 336. 11.564,00 HUF Kártyatranzakció</t>
  </si>
  <si>
    <t>HUN-TOROKBALINT ROSSMANN 264. Vásárlás(2024.04.16) Card:5444-0XXX-XX68-8737 MCC5977 HUN-TOROKBALINT ROSSMANN 264. 17.072,00 HUF Kártyatranzakció</t>
  </si>
  <si>
    <t>HUN-Törökbálint Kangaboo Kft. Vásárlás(2024.04.16) Card:5444-0XXX-XX68-8737 MCC5651 HUN-Törökbálint Kangaboo Kft. 24.390,00 HUF Kártyatranzakció</t>
  </si>
  <si>
    <t>Kártyatranzakció MVM NEXT ENERGIAK BUDAPEST 8.517,00 HUF Vásárlás</t>
  </si>
  <si>
    <t>Kártyatranzakció Disney Plus Hoofddorp 3.090,00 HUF Vásárlás 7,83 EUR</t>
  </si>
  <si>
    <t>HUN-GARDONY CSASZI2020 KFT. Vásárlás(2024.04.15) Card:5444-0XXX-XX68-8737 MCC5411 HUN-GARDONY CSASZI2020 KFT. 4.198,00 HUF Kártyatranzakció</t>
  </si>
  <si>
    <t>HUN-GARDONY ORIGO GE'PKO:LCSO:NZO" Vásárlás(2024.04.15) Card:5444-0XXX-XX68-8737 MCC5261 HUN-GARDONY ORIGO GE'PKO:LCSO:NZO" 7.000,00 HUF Kártyatranzakció</t>
  </si>
  <si>
    <t>Kártyatranzakció OTPMOBL EON.HU BUDAPEST 6.824,00 HUF Vásárlás</t>
  </si>
  <si>
    <t>Kártyatranzakció TELEKOMSZAML 700934044 BUDAPEST 8.520,00 HUF Vásárlás 21,67 EUR</t>
  </si>
  <si>
    <t>HUN-GARDONY CSASZI2020 KFT. Vásárlás(2024.04.14) Card:5444-0XXX-XX68-8737 MCC5411 HUN-GARDONY CSASZI2020 KFT. 1.448,00 HUF Kártyatranzakció</t>
  </si>
  <si>
    <t>HUN-Martonvasar SASKAEK Kft. Vásárlás(2024.04.14) Card:5444-0XXX-XX68-8737 MCC5411 HUN-Martonvasar SASKAEK Kft. 2.468,00 HUF Kártyatranzakció</t>
  </si>
  <si>
    <t>HUN-KAPOLNASNYEK AUTOMATA TO:LTO"A' Vásárlás(2024.04.14) Card:5444-0XXX-XX68-8737 MCC5542 HUN-KAPOLNASNYEK AUTOMATA TO:LTO"A' LLOM 28.161,00 HUF Kártyatranzakció</t>
  </si>
  <si>
    <t>Kártyatranzakció SASKAEK Kft. Martonvasar 999,00 HUF Vásárlás</t>
  </si>
  <si>
    <t>HUN-Martonvasar SASKAEK Kft. Vásárlás(2024.04.12) Card:5444-0XXX-XX68-8737 MCC5411 HUN-Martonvasar SASKAEK Kft. 565,00 HUF Kártyatranzakció</t>
  </si>
  <si>
    <t>HUN-Budapest Manna ABC - Mazsa Nord Vásárlás(2024.04.11) Card:5444-0XXX-XX68-8737 MCC5411 HUN-Budapest Manna ABC - Mazsa Nord 798,00 HUF Kártyatranzakció</t>
  </si>
  <si>
    <t>HUN-BUDAPEST SPAR 0167 Vásárlás(2024.04.11) Card:5444-0XXX-XX68-8737 MCC5411 HUN-BUDAPEST SPAR 0167 899,00 HUF Kártyatranzakció</t>
  </si>
  <si>
    <t>HUN-BARACSKA CSIZ SAJTMUHELY KFT Vásárlás(2024.04.13) Card:5444-0XXX-XX68-8737 MCC5499 HUN-BARACSKA CSIZ SAJTMUHELY KFT 920,00 HUF Kártyatranzakció</t>
  </si>
  <si>
    <t>HUN-MARTONVASAR ROSSMANN 336. Vásárlás(2024.04.12) Card:5444-0XXX-XX68-8737 MCC5977 HUN-MARTONVASAR ROSSMANN 336. 1.628,00 HUF Kártyatranzakció</t>
  </si>
  <si>
    <t>HUN-MARTONVASAR MARTON FRUIT Vásárlás(2024.04.11) Card:5444-0XXX-XX68-8737 MCC5499 HUN-MARTONVASAR MARTON FRUIT 1.723,00 HUF Kártyatranzakció</t>
  </si>
  <si>
    <t>HUN-RACKERESZTUR SZENT KERESZT GYO' Vásárlás(2024.04.12) Card:5444-0XXX-XX68-8737 MCC5912 HUN-RACKERESZTUR SZENT KERESZT GYO' GYSZ 1.783,00 HUF Kártyatranzakció</t>
  </si>
  <si>
    <t>HUN-MARTONVASAR TESCO 44089 O:NKISZ Vásárlás(2024.04.11) Card:5444-0XXX-XX68-8737 MCC5311 HUN-MARTONVASAR TESCO 44089 O:NKISZ OLG 2.059,00 HUF Kártyatranzakció</t>
  </si>
  <si>
    <t>HUN-Budapest Levespont Kft Vásárlás(2024.04.11) Card:5444-0XXX-XX68-8737 MCC5812 HUN-Budapest Levespont Kft 2.200,00 HUF Kártyatranzakció</t>
  </si>
  <si>
    <t>HUN-BUDAORS PRAKTIKER 333. Vásárlás(2024.04.13) Card:5444-0XXX-XX68-8737 MCC5200 HUN-BUDAORS PRAKTIKER 333. 5.996,00 HUF Kártyatranzakció</t>
  </si>
  <si>
    <t>HUN-MARTONVASAR TESCO 44089 Vásárlás(2024.04.11) Card:5444-0XXX-XX68-8737 MCC5311 HUN-MARTONVASAR TESCO 44089 7.117,00 HUF Kártyatranzakció</t>
  </si>
  <si>
    <t>HUN-RACKERESZTUR SZENT KERESZT GYO' Vásárlás(2024.04.12) Card:5444-0XXX-XX68-8737 MCC5912 HUN-RACKERESZTUR SZENT KERESZT GYO' GYSZ 8.108,00 HUF Kártyatranzakció</t>
  </si>
  <si>
    <t>HUN-BUDAORS DM 449 Vásárlás(2024.04.13) Card:5444-0XXX-XX68-8737 MCC5977 HUN-BUDAORS DM 449 15.525,00 HUF Kártyatranzakció</t>
  </si>
  <si>
    <t>HUN-Budaors LIDL HU 349 Budaors Vásárlás(2024.04.13) Card:5444-0XXX-XX68-8737 MCC5411 HUN-Budaors LIDL HU 349 Budaors 18.097,00 HUF Kártyatranzakció</t>
  </si>
  <si>
    <t>HUN-BUDAORS BUDAO:RS BENZINKU'T AU Vásárlás(2024.04.13) Card:5444-0XXX-XX68-8737 MCC5542 HUN-BUDAORS BUDAO:RS BENZINKU'T AU 40.845,00 HUF Kártyatranzakció</t>
  </si>
  <si>
    <t>Kártyatranzakció OTPMOBL NAV Mobil app. BUDAPEST 30.360,00 HUF Vásárlás</t>
  </si>
  <si>
    <t>Autó egyéb</t>
  </si>
  <si>
    <t>HUN-BUDAPEST KISKIFLI KAVEZO Vásárlás(2024.04.10) Card:5444-0XXX-XX68-8737 MCC5812 HUN-BUDAPEST KISKIFLI KAVEZO 1.980,00 HUF Kártyatranzakció</t>
  </si>
  <si>
    <t>HUN-Budapest Kemal Pasa Torok Et Vásárlás(2024.04.10) Card:5444-0XXX-XX68-8737 MCC5812 HUN-Budapest Kemal Pasa Torok Et 2.700,00 HUF Kártyatranzakció</t>
  </si>
  <si>
    <t>HUN-SALGOTARJAN LIPO'TI PE'KSE'G E' Vásárlás(2024.04.09) Card:5444-0XXX-XX68-8737 MCC5462 HUN-SALGOTARJAN LIPO'TI PE'KSE'G E' S K 1.710,00 HUF Kártyatranzakció</t>
  </si>
  <si>
    <t>HUN-BARACSKA CSIZ SAJTMUHELY KFT Vásárlás(2024.04.09) Card:5444-0XXX-XX68-8737 MCC5499 HUN-BARACSKA CSIZ SAJTMUHELY KFT 2.310,00 HUF Kártyatranzakció</t>
  </si>
  <si>
    <t>11773353-59010812-00000000 Kovácsné Tonkó Csilla Mária KT-2024-125 Kimenő azonnali megbízás</t>
  </si>
  <si>
    <t>HUN-MARTONVASAR TESCO 44089 Vásárlás(2024.04.08) Card:5444-0XXX-XX68-8737 MCC5311 HUN-MARTONVASAR TESCO 44089 2.555,00 HUF Kártyatranzakció</t>
  </si>
  <si>
    <t>HUN-Martonvasar Gazda-SAGI Bolt Vásárlás(2024.04.08) Card:5444-0XXX-XX68-8737 MCC5261 HUN-Martonvasar Gazda-SAGI Bolt 18.580,00 HUF Kártyatranzakció</t>
  </si>
  <si>
    <t>PL:I/10APR24 Kamatfizetés  Hitel /21-41194/</t>
  </si>
  <si>
    <t>PL:P/10APR24 Tőkefizetés Hitel /21-41194/</t>
  </si>
  <si>
    <t>Kártyatranzakció SIMPLE PARKOL S BUDAPEST 792,00 HUF Vásárlás</t>
  </si>
  <si>
    <t>HUN-Martonvasar SASKAEK Kft. Vásárlás(2024.04.07) Card:5444-0XXX-XX68-8737 MCC5411 HUN-Martonvasar SASKAEK Kft. 1.810,00 HUF Kártyatranzakció</t>
  </si>
  <si>
    <t>HUN-BUDAORS OBI 010 BUDAORS Vásárlás(2024.04.07) Card:5444-0XXX-XX68-8737 MCC5200 HUN-BUDAORS OBI 010 BUDAORS 27.182,00 HUF Kártyatranzakció</t>
  </si>
  <si>
    <t>HUN-Martonvasar SASKAEK Kft. Vásárlás(2024.04.06) Card:5444-0XXX-XX68-8737 MCC5411 HUN-Martonvasar SASKAEK Kft. 798,00 HUF Kártyatranzakció</t>
  </si>
  <si>
    <t>HUN-Martonvasar SASKAEK Kft. Vásárlás(2024.04.04) Card:5444-0XXX-XX68-8737 MCC5411 HUN-Martonvasar SASKAEK Kft. 999,00 HUF Kártyatranzakció</t>
  </si>
  <si>
    <t>HUN-MARTONVASAR MARTON FRUIT Vásárlás(2024.04.04) Card:5444-0XXX-XX68-8737 MCC5499 HUN-MARTONVASAR MARTON FRUIT 1.095,00 HUF Kártyatranzakció</t>
  </si>
  <si>
    <t>HUN-BUDAORS REGIO JA'TE'K BU. Vásárlás(2024.04.06) Card:5444-0XXX-XX68-8737 MCC5945 HUN-BUDAORS REGIO JA'TE'K BU. 1.695,00 HUF Kártyatranzakció</t>
  </si>
  <si>
    <t>HUN-BARACSKA CSIZ SAJTMUHELY KFT Vásárlás(2024.04.06) Card:5444-0XXX-XX68-8737 MCC5499 HUN-BARACSKA CSIZ SAJTMUHELY KFT 2.530,00 HUF Kártyatranzakció</t>
  </si>
  <si>
    <t>HUN-MARTONVASAR TESCO 44089 Vásárlás(2024.04.04) Card:5444-0XXX-XX68-8737 MCC5311 HUN-MARTONVASAR TESCO 44089 3.937,00 HUF Kártyatranzakció</t>
  </si>
  <si>
    <t>HUN-MARTONVASAR ROSSMANN 336. Vásárlás(2024.04.06) Card:5444-0XXX-XX68-8737 MCC5977 HUN-MARTONVASAR ROSSMANN 336. 14.577,00 HUF Kártyatranzakció</t>
  </si>
  <si>
    <t>HUN-ERD BOHACS BARKACS Vásárlás(2024.04.06) Card:5444-0XXX-XX68-8737 MCC5200 HUN-ERD BOHACS BARKACS 22.498,00 HUF Kártyatranzakció</t>
  </si>
  <si>
    <t>HUN-BUDAORS BRENDON BABAARUHAZ Vásárlás(2024.04.06) Card:5444-0XXX-XX68-8737 MCC5331 HUN-BUDAORS BRENDON BABAARUHAZ 24.099,00 HUF Kártyatranzakció</t>
  </si>
  <si>
    <t>HUN-BUDAPEST BARIONP*TornaDora Vásárlás(2024.04.06) Card:5444-0XXX-XX68-8737 MCC5641 HUN-BUDAPEST BARIONP*TornaDora 31.980,00 HUF Kártyatranzakció</t>
  </si>
  <si>
    <t>HUN-Martonvasar SASKAEK Kft. Vásárlás(2024.04.03) Card:5444-0XXX-XX68-8737 MCC5411 HUN-Martonvasar SASKAEK Kft. 565,00 HUF Kártyatranzakció</t>
  </si>
  <si>
    <t>HUN-MARTONVASAR ROSSMANN 336. Vásárlás(2024.04.03) Card:5444-0XXX-XX68-8737 MCC5977 HUN-MARTONVASAR ROSSMANN 336. 1.498,00 HUF Kártyatranzakció</t>
  </si>
  <si>
    <t>HUN-BARACSKA CSIZ SAJTMUHELY KFT Vásárlás(2024.04.03) Card:5444-0XXX-XX68-8737 MCC5499 HUN-BARACSKA CSIZ SAJTMUHELY KFT 1.920,00 HUF Kártyatranzakció</t>
  </si>
  <si>
    <t>HUN-Budapest Manna ABC - Mazsa Nord Vásárlás(2024.04.02) Card:5444-0XXX-XX68-8737 MCC5411 HUN-Budapest Manna ABC - Mazsa Nord 1.399,00 HUF Kártyatranzakció</t>
  </si>
  <si>
    <t>SWE-Stockholm Spotify Vásárlás(2024.04.02) Card:5444-0XXX-XX68-8737 MCC4899 SWE-Stockholm Spotify 1.990,00 HUF Kártyatranzakció</t>
  </si>
  <si>
    <t>HUN-Budapest Kemal Pasa Torok Et Vásárlás(2024.04.02) Card:5444-0XXX-XX68-8737 MCC5812 HUN-Budapest Kemal Pasa Torok Et 2.700,00 HUF Kártyatranzakció</t>
  </si>
  <si>
    <t>HUN-Martonvasar SASKAEK Kft. Vásárlás(2024.04.02) Card:5444-0XXX-XX68-8737 MCC5411 HUN-Martonvasar SASKAEK Kft. 3.707,00 HUF Kártyatranzakció</t>
  </si>
  <si>
    <t>HUN-MARTONVASAR ROSSMANN 336. Vásárlás(2024.04.02) Card:5444-0XXX-XX68-8737 MCC5977 HUN-MARTONVASAR ROSSMANN 336. 9.841,00 HUF Kártyatranzakció</t>
  </si>
  <si>
    <t>HUN-BUDAORS OBI 010 BUDAORS Vásárlás(2024.04.02) Card:5444-0XXX-XX68-8737 MCC5200 HUN-BUDAORS OBI 010 BUDAORS 16.140,00 HUF Kártyatranzakció</t>
  </si>
  <si>
    <t>HUN-BUDAPEST OTPMOBL*CSEPPKE.HU Vásárlás(2024.04.02) Card:5444-0XXX-XX68-8737 MCC5641 HUN-BUDAPEST OTPMOBL*CSEPPKE.HU 20.380,00 HUF Kártyatranzakció</t>
  </si>
  <si>
    <t>HUN-Budapest BAH OMV 1709 Vásárlás(2024.04.02) Card:5444-0XXX-XX68-8737 MCC5541 HUN-Budapest BAH OMV 1709 28.354,00 HUF Kártyatranzakció</t>
  </si>
  <si>
    <t>HUN-MARTONVASAR TESCO 44089 O:NKISZ Vásárlás(2024.03.27) Card:5444-0XXX-XX68-8737 MCC5311 HUN-MARTONVASAR TESCO 44089 O:NKISZ OLG 1.277,00 HUF Kártyatranzakció</t>
  </si>
  <si>
    <t>HUN-Budapest Manna ABC - Mazsa Nord Vásárlás(2024.03.27) Card:5444-0XXX-XX68-8737 MCC5411 HUN-Budapest Manna ABC - Mazsa Nord 1.399,00 HUF Kártyatranzakció</t>
  </si>
  <si>
    <t>HUN-Martonvasar SASKAEK Kft. Vásárlás(2024.03.27) Card:5444-0XXX-XX68-8737 MCC5411 HUN-Martonvasar SASKAEK Kft. 1.934,00 HUF Kártyatranzakció</t>
  </si>
  <si>
    <t>HUN-BUDAPEST ENGEL ETTEREM Vásárlás(2024.03.27) Card:5444-0XXX-XX68-8737 MCC5812 HUN-BUDAPEST ENGEL ETTEREM 2.490,00 HUF Kártyatranzakció</t>
  </si>
  <si>
    <t>HUN-BARACSKA CSIZ SAJTMUHELY KFT Vásárlás(2024.03.27) Card:5444-0XXX-XX68-8737 MCC5499 HUN-BARACSKA CSIZ SAJTMUHELY KFT 3.130,00 HUF Kártyatranzakció</t>
  </si>
  <si>
    <t>HUN-BUDAPEST OTPMOBL*perfektnatura. Vásárlás(2024.03.27) Card:5444-0XXX-XX68-8737 MCC5499 HUN-BUDAPEST OTPMOBL*perfektnatura. 3.490,00 HUF Kártyatranzakció</t>
  </si>
  <si>
    <t>HUN-MARTONVASAR ROSSMANN 336. Vásárlás(2024.03.28) Card:5444-0XXX-XX68-8737 MCC5977 HUN-MARTONVASAR ROSSMANN 336. 8.628,00 HUF Kártyatranzakció</t>
  </si>
  <si>
    <t>HUN-SALGOTARJAN SPAR MAGYARORSZAG K Vásárlás(2024.03.30) Card:5444-0XXX-XX68-8737 MCC5411 HUN-SALGOTARJAN SPAR MAGYARORSZAG K FT 11.935,00 HUF Kártyatranzakció</t>
  </si>
  <si>
    <t>HUN-MARTONVASAR ROSSMANN 336. Vásárlás(2024.03.27) Card:5444-0XXX-XX68-8737 MCC5977 HUN-MARTONVASAR ROSSMANN 336. 13.035,00 HUF Kártyatranzakció</t>
  </si>
  <si>
    <t>Kamatadó</t>
  </si>
  <si>
    <t>Szociális hozzájárulási adó</t>
  </si>
  <si>
    <t>Kártyatranzakció SIMPLE MOBILJEGY BUDAPEST 1.800,00 HUF Vásárlás</t>
  </si>
  <si>
    <t>Kártyatranzakció APPLE.COM/BILL CORK 1.290,00 HUF Vásárlás 3,28 EUR</t>
  </si>
  <si>
    <t>Int.Appl. to   31/03/24</t>
  </si>
  <si>
    <t>SZOCHO to      31/03/24</t>
  </si>
  <si>
    <t>CRT to         31/03/24</t>
  </si>
  <si>
    <t>HUN-BUDAPEST KISKIFLI KAVEZO Vásárlás(2024.03.26) Card:5444-0XXX-XX68-8737 MCC5812 HUN-BUDAPEST KISKIFLI KAVEZO 1.580,00 HUF Kártyatranzakció</t>
  </si>
  <si>
    <t>HUN-Budapest Zsu-Ann Kft. Vásárlás(2024.03.26) Card:5444-0XXX-XX68-8737 MCC5812 HUN-Budapest Zsu-Ann Kft. 3.000,00 HUF Kártyatranzakció</t>
  </si>
  <si>
    <t>HUN-BUDAORS ROSSMANN 311. Vásárlás(2024.03.26) Card:5444-0XXX-XX68-8737 MCC5977 HUN-BUDAORS ROSSMANN 311. 5.799,00 HUF Kártyatranzakció</t>
  </si>
  <si>
    <t>HUN-BUDAPEST BARIONP*BARION.COM/GUE Vásárlás(2024.03.26) Card:5444-0XXX-XX68-8737 MCC7299 HUN-BUDAPEST BARIONP*BARION.COM/GUE 7.288,00 HUF Kártyatranzakció</t>
  </si>
  <si>
    <t>LTU-Vilnius VINTED 8935205826 Vásárlás(2024.03.26) Card:5444-0XXX-XX68-8737 MCC5931 LTU-Vilnius VINTED 8935205826 7.479,00 HUF Kártyatranzakció</t>
  </si>
  <si>
    <t>HUN-BUDAORS DECATHLON BUDAO:RS Vásárlás(2024.03.26) Card:5444-0XXX-XX68-8737 MCC5941 HUN-BUDAORS DECATHLON BUDAO:RS 9.480,00 HUF Kártyatranzakció</t>
  </si>
  <si>
    <t>HUN-BUDAORS DM 449 Vásárlás(2024.03.26) Card:5444-0XXX-XX68-8737 MCC5977 HUN-BUDAORS DM 449 16.962,00 HUF Kártyatranzakció</t>
  </si>
  <si>
    <t>HUN-BUDAORS LIDL ARUHAZ 0349.SZ. Vásárlás(2024.03.26) Card:5444-0XXX-XX68-8737 MCC5411 HUN-BUDAORS LIDL ARUHAZ 0349.SZ. 20.725,00 HUF Kártyatranzakció</t>
  </si>
  <si>
    <t>HUN-MARTONVASAR VIANNI U:ZLET Vásárlás(2024.03.25) Card:5444-0XXX-XX68-8737 MCC5399 HUN-MARTONVASAR VIANNI U:ZLET 625,00 HUF Kártyatranzakció</t>
  </si>
  <si>
    <t>Szabadfi Szabolcs</t>
  </si>
  <si>
    <t>11773353-59010812-00000000 Kovácsné Tonkó Csilla Mária KT-2024-108 Kimenő azonnali megbízás</t>
  </si>
  <si>
    <t>OTPMOBL DIJNET.HU      BUDAPEST BUDAPEST        13.888,00 HUF Vásárlás</t>
  </si>
  <si>
    <t>OTPMOBL TELEKOM2597    BUDAPEST BUDAPEST 7.416,00 HUF Vásárlás</t>
  </si>
  <si>
    <t>OTPMOBL EON.HU         BUDAPEST BUDAPEST        6.824,00 HUF Vásárlás</t>
  </si>
  <si>
    <t>HUN-Martonvasar SASKAEK Kft. Vásárlás(2024.03.23) Card:5444-0XXX-XX68-8737 MCC5411 HUN-Martonvasar SASKAEK Kft. 778,00 HUF Kártyatranzakció</t>
  </si>
  <si>
    <t>HUN-MARTONVASAR MARTONVASAR-HUS KFT Vásárlás(2024.03.23) Card:5444-0XXX-XX68-8737 MCC5422 HUN-MARTONVASAR MARTONVASAR-HUS KFT 790,00 HUF Kártyatranzakció</t>
  </si>
  <si>
    <t>HUN-BARACSKA CSIZ SAJTMUHELY KFT Vásárlás(2024.03.21) Card:5444-0XXX-XX68-8737 MCC5499 HUN-BARACSKA CSIZ SAJTMUHELY KFT 920,00 HUF Kártyatranzakció</t>
  </si>
  <si>
    <t>HUN-BARACSKA CSIZ SAJTMUHELY KFT Vásárlás(2024.03.23) Card:5444-0XXX-XX68-8737 MCC5499 HUN-BARACSKA CSIZ SAJTMUHELY KFT 940,00 HUF Kártyatranzakció</t>
  </si>
  <si>
    <t>HUN-MARTONVASAR TESCO 44089 O:NKISZ Vásárlás(2024.03.22) Card:5444-0XXX-XX68-8737 MCC5311 HUN-MARTONVASAR TESCO 44089 O:NKISZ OLG 1.223,00 HUF Kártyatranzakció</t>
  </si>
  <si>
    <t>HUN-Martonvasar SASKAEK Kft. Vásárlás(2024.03.22) Card:5444-0XXX-XX68-8737 MCC5411 HUN-Martonvasar SASKAEK Kft. 1.567,00 HUF Kártyatranzakció</t>
  </si>
  <si>
    <t>HUN-MARTONVASAR MARTON FRUIT Vásárlás(2024.03.22) Card:5444-0XXX-XX68-8737 MCC5499 HUN-MARTONVASAR MARTON FRUIT 1.729,00 HUF Kártyatranzakció</t>
  </si>
  <si>
    <t>HUN-BUDAPEST MOMSPORT Vásárlás(2024.03.21) Card:5444-0XXX-XX68-8737 MCC7523 HUN-BUDAPEST MOMSPORT 1.800,00 HUF Kártyatranzakció</t>
  </si>
  <si>
    <t>HUN-BUDAPEST SPAR 0170 Vásárlás(2024.03.21) Card:5444-0XXX-XX68-8737 MCC5411 HUN-BUDAPEST SPAR 0170 1.993,00 HUF Kártyatranzakció</t>
  </si>
  <si>
    <t>HUN-Martonvasar PEPCO 150062 MARTON Vásárlás(2024.03.22) Card:5444-0XXX-XX68-8737 MCC5331 HUN-Martonvasar PEPCO 150062 MARTON VA 2.100,00 HUF Kártyatranzakció</t>
  </si>
  <si>
    <t>LTU-Vilnius VINTED 8909599637 Vásárlás(2024.03.24) Card:5444-0XXX-XX68-8737 MCC5931 LTU-Vilnius VINTED 8909599637 2.229,00 HUF Kártyatranzakció</t>
  </si>
  <si>
    <t>HUN-Budapest Pan ni Vásárlás(2024.03.21) Card:5444-0XXX-XX68-8737 MCC5462 HUN-Budapest Pan ni 8.426,00 HUF Kártyatranzakció</t>
  </si>
  <si>
    <t>HUN-TOROKBALINT VNV E'PI'TO"ANYAG Vásárlás(2024.03.21) Card:5444-0XXX-XX68-8737 MCC5211 HUN-TOROKBALINT VNV E'PI'TO"ANYAG 8.888,00 HUF Kártyatranzakció</t>
  </si>
  <si>
    <t>HUN-ERD TUDAS KONYVKUCKO Vásárlás(2024.03.23) Card:5444-0XXX-XX68-8737 MCC5942 HUN-ERD TUDAS KONYVKUCKO 10.911,00 HUF Kártyatranzakció</t>
  </si>
  <si>
    <t>HUN-MARTONVASAR ROSSMANN 336. Vásárlás(2024.03.22) Card:5444-0XXX-XX68-8737 MCC5977 HUN-MARTONVASAR ROSSMANN 336. 16.348,00 HUF Kártyatranzakció</t>
  </si>
  <si>
    <t>HUN-BUDAPEST EVITAL-MOM GYOGYSZERT Vásárlás(2024.03.21) Card:5444-0XXX-XX68-8737 MCC5912 HUN-BUDAPEST EVITAL-MOM GYOGYSZERT 24.692,00 HUF Kártyatranzakció</t>
  </si>
  <si>
    <t>HUN-TOROKBALINT VNV E'PI'TO"ANYAG Vásárlás(2024.03.21) Card:5444-0XXX-XX68-8737 MCC5211 HUN-TOROKBALINT VNV E'PI'TO"ANYAG 56.928,00 HUF Kártyatranzakció</t>
  </si>
  <si>
    <t>SKYSHOWTIME 81B10 HU   Amsterdam SKYSHOWTIME 81B10 HU Amsterdam        999,00 HUF Vásárlás        2,52 EUR</t>
  </si>
  <si>
    <t>SASKAEK Kft.           Martonvasar Martonvasar       5.848,00 HUF Vásárlás</t>
  </si>
  <si>
    <t>HUN-MARTONVASAR HU'SBOLT Vásárlás(2024.03.20) Card:5444-0XXX-XX68-8737 MCC5499 HUN-MARTONVASAR HU'SBOLT 1.280,00 HUF Kártyatranzakció</t>
  </si>
  <si>
    <t>HUN-MARTONVASAR TESCO 44089 O:NKISZ Vásárlás(2024.03.20) Card:5444-0XXX-XX68-8737 MCC5311 HUN-MARTONVASAR TESCO 44089 O:NKISZ OLG 3.896,00 HUF Kártyatranzakció</t>
  </si>
  <si>
    <t>HUN-Martonvasar SASKAEK Kft. Vásárlás(2024.03.19) Card:5444-0XXX-XX68-8737 MCC5411 HUN-Martonvasar SASKAEK Kft. 177,00 HUF Kártyatranzakció</t>
  </si>
  <si>
    <t>HUN-MARTONVASAR BARKACSBOLT Vásárlás(2024.03.19) Card:5444-0XXX-XX68-8737 MCC5251 HUN-MARTONVASAR BARKACSBOLT 1.400,00 HUF Kártyatranzakció</t>
  </si>
  <si>
    <t>HUN-MARTONVASAR BARKACSBOLT Vásárlás(2024.03.19) Card:5444-0XXX-XX68-8737 MCC5251 HUN-MARTONVASAR BARKACSBOLT 2.100,00 HUF Kártyatranzakció</t>
  </si>
  <si>
    <t>HUN-MARTONVASAR TESCO 44089 Vásárlás(2024.03.19) Card:5444-0XXX-XX68-8737 MCC5311 HUN-MARTONVASAR TESCO 44089 6.753,00 HUF Kártyatranzakció</t>
  </si>
  <si>
    <t>HUN-MARTONVASAR TESCO 44089 Vásárlás(2024.03.18) Card:5444-0XXX-XX68-8737 MCC5311 HUN-MARTONVASAR TESCO 44089 618,00 HUF Kártyatranzakció</t>
  </si>
  <si>
    <t>HUN-MARTONVASAR ROSSMANN 336. Vásárlás(2024.03.18) Card:5444-0XXX-XX68-8737 MCC5977 HUN-MARTONVASAR ROSSMANN 336. 2.798,00 HUF Kártyatranzakció</t>
  </si>
  <si>
    <t>HUN-BUDAORS PRAKTIKER 333. Vásárlás(2024.03.18) Card:5444-0XXX-XX68-8737 MCC5200 HUN-BUDAORS PRAKTIKER 333. 5.994,00 HUF Kártyatranzakció</t>
  </si>
  <si>
    <t>HUN-BUDAORS DM 449 Vásárlás(2024.03.18) Card:5444-0XXX-XX68-8737 MCC5977 HUN-BUDAORS DM 449 12.266,00 HUF Kártyatranzakció</t>
  </si>
  <si>
    <t>HUN-BUDAORS LIDL ARUHAZ 0349.SZ. Vásárlás(2024.03.18) Card:5444-0XXX-XX68-8737 MCC5411 HUN-BUDAORS LIDL ARUHAZ 0349.SZ. 20.128,00 HUF Kártyatranzakció</t>
  </si>
  <si>
    <t>HUN-KAPOLNASNYEK AUTOMATA TO:LTO"A' Vásárlás(2024.03.18) Card:5444-0XXX-XX68-8737 MCC5542 HUN-KAPOLNASNYEK AUTOMATA TO:LTO"A' LLOM 39.600,00 HUF Kártyatranzakció</t>
  </si>
  <si>
    <t>HUN-SZENTENDRE PANIFICIO ILBASILICO Vásárlás(2024.03.17) Card:5444-0XXX-XX68-8737 MCC5812 HUN-SZENTENDRE PANIFICIO ILBASILICO 2.140,00 HUF Kártyatranzakció</t>
  </si>
  <si>
    <t>HUN-SZENTENDRE PANIFICIO ILBASILICO Vásárlás(2024.03.17) Card:5444-0XXX-XX68-8737 MCC5812 HUN-SZENTENDRE PANIFICIO ILBASILICO 2.750,00 HUF Kártyatranzakció</t>
  </si>
  <si>
    <t>HUN-SZENTENDRE PANIFICIO ILBASILICO Vásárlás(2024.03.17) Card:5444-0XXX-XX68-8737 MCC5812 HUN-SZENTENDRE PANIFICIO ILBASILICO 6.500,00 HUF Kártyatranzakció</t>
  </si>
  <si>
    <t>MVM NEXT ENERGIAK      BUDAPEST BUDAPEST        8.517,00 HUF Vásárlás</t>
  </si>
  <si>
    <t>HUN-BUDAPEST SPAR 0167 Vásárlás(2024.03.14) Card:5444-0XXX-XX68-8737 MCC5411 HUN-BUDAPEST SPAR 0167 608,00 HUF Kártyatranzakció</t>
  </si>
  <si>
    <t>HUN-BUDAPEST WHITE HOUSE Vásárlás(2024.03.13) Card:5444-0XXX-XX68-8737 MCC5812 HUN-BUDAPEST WHITE HOUSE 850,00 HUF Kártyatranzakció</t>
  </si>
  <si>
    <t>HUN-BARACSKA CSIZ SAJTMUHELY KFT Vásárlás(2024.03.13) Card:5444-0XXX-XX68-8737 MCC5499 HUN-BARACSKA CSIZ SAJTMUHELY KFT 1.420,00 HUF Kártyatranzakció</t>
  </si>
  <si>
    <t>HUN-MARTONVASAR MARTONVASAR-HUS KFT Vásárlás(2024.03.14) Card:5444-0XXX-XX68-8737 MCC5422 HUN-MARTONVASAR MARTONVASAR-HUS KFT 1.575,00 HUF Kártyatranzakció</t>
  </si>
  <si>
    <t>HUN-MARTONVASAR TESCO 44089 O:NKISZ Vásárlás(2024.03.14) Card:5444-0XXX-XX68-8737 MCC5311 HUN-MARTONVASAR TESCO 44089 O:NKISZ OLG 2.195,00 HUF Kártyatranzakció</t>
  </si>
  <si>
    <t>HUN-Martonvasar Gazda-SAGI Bolt Vásárlás(2024.03.16) Card:5444-0XXX-XX68-8737 MCC5261 HUN-Martonvasar Gazda-SAGI Bolt 2.280,00 HUF Kártyatranzakció</t>
  </si>
  <si>
    <t>HUN-Budapest Kemal Pasa Torok Et Vásárlás(2024.03.14) Card:5444-0XXX-XX68-8737 MCC5812 HUN-Budapest Kemal Pasa Torok Et 2.700,00 HUF Kártyatranzakció</t>
  </si>
  <si>
    <t>HUN-BUDAORS PRAKTIKER 333. Vásárlás(2024.03.16) Card:5444-0XXX-XX68-8737 MCC5200 HUN-BUDAORS PRAKTIKER 333. 4.073,00 HUF Kártyatranzakció</t>
  </si>
  <si>
    <t>HUN-MARTONVASAR ROSSMANN 336. Vásárlás(2024.03.14) Card:5444-0XXX-XX68-8737 MCC5977 HUN-MARTONVASAR ROSSMANN 336. 5.999,00 HUF Kártyatranzakció</t>
  </si>
  <si>
    <t>HUN-GARDONY DM 316.SZ. Vásárlás(2024.03.13) Card:5444-0XXX-XX68-8737 MCC5977 HUN-GARDONY DM 316.SZ. 11.428,00 HUF Kártyatranzakció</t>
  </si>
  <si>
    <t>HUN-AGARD LIDL ARUHAZ 0306.SZ. Vásárlás(2024.03.13) Card:5444-0XXX-XX68-8737 MCC5411 HUN-AGARD LIDL ARUHAZ 0306.SZ. 15.271,00 HUF Kártyatranzakció</t>
  </si>
  <si>
    <t>HUN-BUDAPEST MOL 60400 Vásárlás(2024.03.13) Card:5444-0XXX-XX68-8737 MCC5541 HUN-BUDAPEST MOL 60400 15.986,00 HUF Kártyatranzakció</t>
  </si>
  <si>
    <t>HUN-MARTONVASAR ROSSMANN 336. Vásárlás(2024.03.14) Card:5444-0XXX-XX68-8737 MCC5977 HUN-MARTONVASAR ROSSMANN 336. 26.381,00 HUF Kártyatranzakció</t>
  </si>
  <si>
    <t>HUN-BUDAORS PRAKTIKER 333. Vásárlás(2024.03.16) Card:5444-0XXX-XX68-8737 MCC5200 HUN-BUDAORS PRAKTIKER 333. 29.970,00 HUF Kártyatranzakció</t>
  </si>
  <si>
    <t>Disney Plus            Hoofddorp Disney Plus      Hoofddorp       3.090,00 HUF Vásárlás        7,83 EUR</t>
  </si>
  <si>
    <t>NAPSUGAR CUKRASZDA     ERCSI ERCSI 550,00 HUF Vásárlás</t>
  </si>
  <si>
    <t>HUN-MARTONVASAR TESCO 44089 O:NKISZ Vásárlás(2024.03.12) Card:5444-0XXX-XX68-8737 MCC5311 HUN-MARTONVASAR TESCO 44089 O:NKISZ OLG 1.259,00 HUF Kártyatranzakció</t>
  </si>
  <si>
    <t>HUN-BUDAPEST KISKIFLI KAVEZO Vásárlás(2024.03.12) Card:5444-0XXX-XX68-8737 MCC5812 HUN-BUDAPEST KISKIFLI KAVEZO 1.640,00 HUF Kártyatranzakció</t>
  </si>
  <si>
    <t>11773353-59010812-00000000 Kovácsné Tonkó Csilla Mária KT-2024-98 Kimenő azonnali megbízás</t>
  </si>
  <si>
    <t>HUN-SZIGETSZENTMI BAUHAUS SZIGETSZE Vásárlás(2024.03.12) Card:5444-0XXX-XX68-8737 MCC5200 HUN-SZIGETSZENTMI BAUHAUS SZIGETSZE NTMIK 249.900,00 HUF Kártyatranzakció</t>
  </si>
  <si>
    <t>11736082-15727433-02440000 Martonvásár Város Önkormányzata Épi 500000008325016 Kimenő azonnali megbízás</t>
  </si>
  <si>
    <t>HUN-Martonvasar SASKAEK Kft. Vásárlás(2024.03.10) Card:5444-0XXX-XX68-8737 MCC5411 HUN-Martonvasar SASKAEK Kft. 6.323,00 HUF Kártyatranzakció</t>
  </si>
  <si>
    <t>HUN-BARACSKA CSIZ SAJTMUHELY KFT Vásárlás(2024.03.09) Card:5444-0XXX-XX68-8737 MCC5499 HUN-BARACSKA CSIZ SAJTMUHELY KFT 1.930,00 HUF Kártyatranzakció</t>
  </si>
  <si>
    <t>HUN-MARTONVASAR MARTON FRUIT Vásárlás(2024.03.07) Card:5444-0XXX-XX68-8737 MCC5499 HUN-MARTONVASAR MARTON FRUIT 2.299,00 HUF Kártyatranzakció</t>
  </si>
  <si>
    <t>HUN-Martonvasar PEPCO 150062 MARTON Vásárlás(2024.03.07) Card:5444-0XXX-XX68-8737 MCC5331 HUN-Martonvasar PEPCO 150062 MARTON VA 5.500,00 HUF Kártyatranzakció</t>
  </si>
  <si>
    <t>HUN-MARTONVASAR ROSSMANN 336. Vásárlás(2024.03.07) Card:5444-0XXX-XX68-8737 MCC5977 HUN-MARTONVASAR ROSSMANN 336. 6.185,00 HUF Kártyatranzakció</t>
  </si>
  <si>
    <t>HUN-AGARD LIDL ARUHAZ 0306.SZ. Vásárlás(2024.03.07) Card:5444-0XXX-XX68-8737 MCC5411 HUN-AGARD LIDL ARUHAZ 0306.SZ. 27.214,00 HUF Kártyatranzakció</t>
  </si>
  <si>
    <t>LO-RE 2005 Kft         Solymr Solymr         1.200,00 HUF Vásárlás        3,04 EUR</t>
  </si>
  <si>
    <t>WWW.MYPROTEIN.COM      MAGNICE MAGNICE        20.330,00 HUF Vásárlás        51,48 EUR</t>
  </si>
  <si>
    <t>SASKAEK Kft.           Martonvasar Martonvasar        828,00 HUF Vásárlás</t>
  </si>
  <si>
    <t>SASKAEK Kft.           Martonvasar Martonvasar       3.347,00 HUF Vásárlás</t>
  </si>
  <si>
    <t>BRENDON BABAARUHAZ     BUDAORS BUDAORS 116.439,00 HUF Vásárlás</t>
  </si>
  <si>
    <t>ADVANCE KANTIN         BUDAPEST BUDAPEST        3.100,00 HUF Vásárlás</t>
  </si>
  <si>
    <t>PL:I/10MAR24 Kamatfizetés  Hitel /21-41194/</t>
  </si>
  <si>
    <t>PL:P/10MAR24 Tőkefizetés Hitel /21-41194/</t>
  </si>
  <si>
    <t>HUN-BARACSKA CSIZ SAJTMUHELY KFT Vásárlás(2024.03.07) Card:5444-0XXX-XX68-8737 MCC5499 HUN-BARACSKA CSIZ SAJTMUHELY KFT 3.100,00 HUF Kártyatranzakció</t>
  </si>
  <si>
    <t>KISKIFLI KAVEZO        BUDAPEST BUDAPEST        1.340,00 HUF Vásárlás</t>
  </si>
  <si>
    <t>Tamp and Pull Espresso Budapest 1.900,00 HUF Vásárlás</t>
  </si>
  <si>
    <t>LTU-Vilnius VINTED 8722238723 Vásárlás(2024.03.05) Card:5444-0XXX-XX68-8737 MCC5931 LTU-Vilnius VINTED 8722238723 2.439,00 HUF Kártyatranzakció</t>
  </si>
  <si>
    <t>LTU-Vilnius VINTED 8723220355 Vásárlás(2024.03.05) Card:5444-0XXX-XX68-8737 MCC5931 LTU-Vilnius VINTED 8723220355 2.439,00 HUF Kártyatranzakció</t>
  </si>
  <si>
    <t>LTU-Vilnius VINTED 8720048465 Vásárlás(2024.03.05) Card:5444-0XXX-XX68-8737 MCC5931 LTU-Vilnius VINTED 8720048465 2.754,00 HUF Kártyatranzakció</t>
  </si>
  <si>
    <t>LTU-Vilnius VINTED 8723064618 Vásárlás(2024.03.05) Card:5444-0XXX-XX68-8737 MCC5931 LTU-Vilnius VINTED 8723064618 3.174,00 HUF Kártyatranzakció</t>
  </si>
  <si>
    <t>LTU-Vilnius VINTED 8722255109 Vásárlás(2024.03.06) Card:5444-0XXX-XX68-8737 MCC5931 LTU-Vilnius VINTED 8722255109 3.804,00 HUF Kártyatranzakció</t>
  </si>
  <si>
    <t>HUN-MARTONVASAR ROSSMANN 336. Vásárlás(2024.03.05) Card:5444-0XXX-XX68-8737 MCC5977 HUN-MARTONVASAR ROSSMANN 336. 16.886,00 HUF Kártyatranzakció</t>
  </si>
  <si>
    <t>TESCO 44089 O NKISZOLG MARTONVASAR 2.937,00 HUF Vásárlás</t>
  </si>
  <si>
    <t>HUN-MARTONVASAR MARTON FRUIT Vásárlás(2024.03.04) Card:5444-0XXX-XX68-8737 MCC5499 HUN-MARTONVASAR MARTON FRUIT 1.912,00 HUF Kártyatranzakció</t>
  </si>
  <si>
    <t>HUN-MARTONVASAR TESCO 44089 O:NKISZ Vásárlás(2024.03.04) Card:5444-0XXX-XX68-8737 MCC5311 HUN-MARTONVASAR TESCO 44089 O:NKISZ OLG 3.414,00 HUF Kártyatranzakció</t>
  </si>
  <si>
    <t>KISKIFLI KAVEZO        BUDAPEST BUDAPEST        1.580,00 HUF Vásárlás</t>
  </si>
  <si>
    <t>Kemal Pasa Torok Etelb Budapest Budapest 2.700,00 HUF Vásárlás</t>
  </si>
  <si>
    <t>TelekomSzaml 684214559 Budapest 7.416,00 HUF Vásárlás        18,85 EUR</t>
  </si>
  <si>
    <t>HUN-MARTONVASAR MARTON MARKET Vásárlás(2024.02.29) Card:5444-0XXX-XX68-8737 MCC5411 HUN-MARTONVASAR MARTON MARKET 269,00 HUF Kártyatranzakció</t>
  </si>
  <si>
    <t>SWE-Stockholm Spotify P2A47F1C28 Vásárlás(2024.03.02) Card:5444-0XXX-XX68-8737 MCC5815 SWE-Stockholm Spotify P2A47F1C28 1.990,00 HUF Kártyatranzakció</t>
  </si>
  <si>
    <t>HUN-BARACSKA CSIZ SAJTMUHELY KFT Vásárlás(2024.02.29) Card:5444-0XXX-XX68-8737 MCC5499 HUN-BARACSKA CSIZ SAJTMUHELY KFT 2.140,00 HUF Kártyatranzakció</t>
  </si>
  <si>
    <t>POL-35314369001 PAYPAL *MAMABRUM ON Vásárlás(2024.02.29) Card:5444-0XXX-XX68-8737 MCC5641 POL-35314369001 PAYPAL *MAMABRUM ON LIN 8.728,00 HUF Kártyatranzakció</t>
  </si>
  <si>
    <t>HUN-MARTONVASAR ROSSMANN 336. Vásárlás(2024.02.29) Card:5444-0XXX-XX68-8737 MCC5977 HUN-MARTONVASAR ROSSMANN 336. 13.606,00 HUF Kártyatranzakció</t>
  </si>
  <si>
    <t>APPLE.COM/BILL         CORK APPLE.COM/BILL    CORK          1.290,00 HUF Vásárlás        3,28 EUR</t>
  </si>
  <si>
    <t>OBI010BUDAORS          Budaors BUDAORS         2.996,00 HUF Vásárlás</t>
  </si>
  <si>
    <t>BARKACSBOLT            MARTONVASAR MARTONVASAR        550,00 HUF Vásárlás</t>
  </si>
  <si>
    <t>PANIFICIO ILBASILICO   SZENTENDRE SZENTENDRE 2.390,00 HUF Vásárlás</t>
  </si>
  <si>
    <t>PANIFICIO ILBASILICO   SZENTENDRE SZENTENDRE 9.600,00 HUF Vásárlás</t>
  </si>
  <si>
    <t>OTPMOBL webkincstar    BUDAPEST BUDAPEST 101.801,00 HUF Vásárlás</t>
  </si>
  <si>
    <t>DM 449                 BUDAORS BUDAORS        15.791,00 HUF Vásárlás</t>
  </si>
  <si>
    <t>JYSK H824              BUDAORS BUDAORS         7.820,00 HUF Vásárlás</t>
  </si>
  <si>
    <t>Bútor</t>
  </si>
  <si>
    <t>LIDL ARUHAZ 0349.SZ.   BUDAORS BUDAORS 11.625,00 HUF Vásárlás</t>
  </si>
  <si>
    <t>ALDI 156.SZ.           BUDAORS BUDAORS        27.392,00 HUF Vásárlás</t>
  </si>
  <si>
    <t>TESCO 44089 O NKISZOLG MARTONVASAR 4.690,00 HUF Vásárlás</t>
  </si>
  <si>
    <t>New York Bagel Kft     Budapest Budapest 1.690,00 HUF Vásárlás        4,33 EUR</t>
  </si>
  <si>
    <t>ISTANBUL E'TTEREM      BUDAPEST BUDAPEST        2.850,00 HUF Vásárlás</t>
  </si>
  <si>
    <t>HUN-BARACSKA CSIZ SAJTMUHELY KFT Vásárlás(2024.02.27) Card:5444-0XXX-XX68-8737 MCC5499 HUN-BARACSKA CSIZ SAJTMUHELY KFT 1.760,00 HUF Kártyatranzakció</t>
  </si>
  <si>
    <t>KISKIFLI KAVEZO        BUDAPEST BUDAPEST         990,00 HUF Vásárlás</t>
  </si>
  <si>
    <t>Kemal Pasa Torok Etelb Budapest Budapest 3.000,00 HUF Vásárlás</t>
  </si>
  <si>
    <t>HUN-MARTONVASAR ROSSMANN 336. Vásárlás(2024.02.26) Card:5444-0XXX-XX68-8737 MCC5977 HUN-MARTONVASAR ROSSMANN 336. 10.105,00 HUF Kártyatranzakció</t>
  </si>
  <si>
    <t>HUN-ERCSI SPAR PARTNER 6920220 Vásárlás(2024.02.26) Card:5444-0XXX-XX68-8737 MCC5411 HUN-ERCSI SPAR PARTNER 6920220 10.510,00 HUF Kártyatranzakció</t>
  </si>
  <si>
    <t>AUTOMATA TO LTO"A'LLOM KAPOLNASNYEK 41.596,00 HUF Vásárlás</t>
  </si>
  <si>
    <t>AVIA BENZINKU'T        MARTONVASAR MARTONVASAR       3.994,00 HUF Vásárlás</t>
  </si>
  <si>
    <t>SKYSHOWTIME 15E81 HU   Amsterdam SKYSHOWTIME 15E81 HU Amsterdam        999,00 HUF Vásárlás        2,57 EUR</t>
  </si>
  <si>
    <t>Artizan Budapest       Budapest Budapest        5.030,00 HUF Vásárlás        12,95 EUR</t>
  </si>
  <si>
    <t>WIN PLUS HD MARKET     MARTONVASAR MARTONVASAR 1.830,00 HUF Vásárlás</t>
  </si>
  <si>
    <t>ALFA-RADIA'L           MARTONVASAR MARTONVASAR      439.615,00 HUF Vásárlás</t>
  </si>
  <si>
    <t>Autó szerelés</t>
  </si>
  <si>
    <t>OMV 2026               Erd jobb Erd jobb        26.736,00 HUF Vásárlás</t>
  </si>
  <si>
    <t>MARTON FRUIT           MARTONVASAR MARTONVASAR        799,00 HUF Vásárlás</t>
  </si>
  <si>
    <t>11773353-59010812-00000000 Kovácsné Tonkó Csilla Mária KT-2024-67 Kimenő azonnali megbízás</t>
  </si>
  <si>
    <t>HUN-AGARD LIDL ARUHAZ 0306.SZ. Vásárlás(2024.02.24) Card:5444-0XXX-XX68-8737 MCC5411 HUN-AGARD LIDL ARUHAZ 0306.SZ. 17.158,00 HUF Kártyatranzakció</t>
  </si>
  <si>
    <t>IKEA                   Budaors Budaors 8.270,00 HUF Vásárlás</t>
  </si>
  <si>
    <t>IKEA                   Budaors Budaors 3.560,00 HUF Vásárlás</t>
  </si>
  <si>
    <t>CINEMA MOM             BUDAPEST BUDAPEST        1.090,00 HUF Vásárlás</t>
  </si>
  <si>
    <t>MOM PARKOLO'AUTOMATA   BUDAPEST BUDAPEST 1.400,00 HUF Vásárlás</t>
  </si>
  <si>
    <t>OTPMOBL DIJNET.HU      BUDAPEST BUDAPEST        6.944,00 HUF Vásárlás</t>
  </si>
  <si>
    <t>HUN-MARTONVASAR MARTON MARKET Vásárlás(2024.02.19) Card:5444-0XXX-XX68-8737 MCC5411 HUN-MARTONVASAR MARTON MARKET 873,00 HUF Kártyatranzakció</t>
  </si>
  <si>
    <t>HUN-MARTONVASAR MARTON MARKET Vásárlás(2024.02.19) Card:5444-0XXX-XX68-8737 MCC5411 HUN-MARTONVASAR MARTON MARKET 2.355,00 HUF Kártyatranzakció</t>
  </si>
  <si>
    <t>HUN-BUDAPEST HM Hennes  Mauritz K Vásárlás(2024.02.20) Card:5444-0XXX-XX68-8737 MCC5651 HUN-BUDAPEST HM Hennes  Mauritz K 15.835,00 HUF Kártyatranzakció</t>
  </si>
  <si>
    <t>10800007-50000000-15311002 ASTRATEX a.s. 2467002666 Bejövő Forint Átutalás</t>
  </si>
  <si>
    <t>SumUp   Elelmiszerbolt Budapest Elelmiszerbolt Budapest 9.500,00 HUF Vásárlás        24,40 EUR</t>
  </si>
  <si>
    <t>SumUp   Danasz Diamand Hernad Danasz Diamand Hernad 6.630,00 HUF Vásárlás        17,03 EUR</t>
  </si>
  <si>
    <t>Disney Plus            Hoofddorp Disney Plus      Hoofddorp       3.090,00 HUF Vásárlás        7,94 EUR</t>
  </si>
  <si>
    <t>Pancsa Laszlo Attila   Veszprem Veszprem 6.800,00 HUF Vásárlás        17,47 EUR</t>
  </si>
  <si>
    <t>DM 311.SZ.             BUDAORS BUDAORS         7.250,00 HUF Vásárlás</t>
  </si>
  <si>
    <t>LIDL ARUHAZ 0349.SZ.   BUDAORS BUDAORS 4.656,00 HUF Vásárlás</t>
  </si>
  <si>
    <t>ALDI 156.SZ.           BUDAORS BUDAORS         2.797,00 HUF Vásárlás</t>
  </si>
  <si>
    <t>BOHACS BARKACS         ERD ERD          38.397,00 HUF Vásárlás</t>
  </si>
  <si>
    <t>FOXPOST A'LLATELEDELBO MARTONVASAR 13.070,00 HUF Vásárlás</t>
  </si>
  <si>
    <t>Zs+U Kft</t>
  </si>
  <si>
    <t>HUN-MARTONVASAR TESCO 44089 Vásárlás(2024.02.15) Card:5444-0XXX-XX68-8737 MCC5311 HUN-MARTONVASAR TESCO 44089 1.886,00 HUF Kártyatranzakció</t>
  </si>
  <si>
    <t>HUN-BARACSKA CSIZ SAJTMUHELY KFT Vásárlás(2024.02.15) Card:5444-0XXX-XX68-8737 MCC5499 HUN-BARACSKA CSIZ SAJTMUHELY KFT 2.940,00 HUF Kártyatranzakció</t>
  </si>
  <si>
    <t>HUN-AGARD LIDL ARUHAZ 0306.SZ. Vásárlás(2024.02.17) Card:5444-0XXX-XX68-8737 MCC5411 HUN-AGARD LIDL ARUHAZ 0306.SZ. 10.515,00 HUF Kártyatranzakció</t>
  </si>
  <si>
    <t>Kemal Pasa Torok Et    Budapest Budapest 2.700,00 HUF Vásárlás</t>
  </si>
  <si>
    <t>HUN-RACKERESZTUR SZENT KERESZT GYO' Vásárlás(2024.02.14) Card:5444-0XXX-XX68-8737 MCC5912 HUN-RACKERESZTUR SZENT KERESZT GYO' GYSZ 3.629,00 HUF Kártyatranzakció</t>
  </si>
  <si>
    <t>HUN-MARTONVASAR ROSSMANN 336. Vásárlás(2024.02.14) Card:5444-0XXX-XX68-8737 MCC5977 HUN-MARTONVASAR ROSSMANN 336. 15.342,00 HUF Kártyatranzakció</t>
  </si>
  <si>
    <t>HUN-TARNOK MAG-MAXX KFT. Vásárlás(2024.02.14) Card:5444-0XXX-XX68-8737 MCC5499 HUN-TARNOK MAG-MAXX KFT. 20.941,00 HUF Kártyatranzakció</t>
  </si>
  <si>
    <t>New York Bagel Kft     Budapest Budapest 1.690,00 HUF Vásárlás        4,36 EUR</t>
  </si>
  <si>
    <t>DRAGO ROSSO PIZZERIA   MARTONVASAR MARTONVASAR 4.350,00 HUF Vásárlás</t>
  </si>
  <si>
    <t>BRENDON BABAARUHAZ     BUDAORS BUDAORS 4.690,00 HUF Vásárlás</t>
  </si>
  <si>
    <t>CAFE FREI NORDIC LIGHT BUDAPEST 790,00 HUF Vásárlás</t>
  </si>
  <si>
    <t>HUN-ERCSI SPAR PARTNER 6920220 Vásárlás(2024.02.13) Card:5444-0XXX-XX68-8737 MCC5411 HUN-ERCSI SPAR PARTNER 6920220 7.747,00 HUF Kártyatranzakció</t>
  </si>
  <si>
    <t>CSIZ SAJTMUHELY KFT    BARACSKA BARACSKA 3.170,00 HUF Vásárlás</t>
  </si>
  <si>
    <t>11773353-59010812-00000000 Kovácsné Tonkó Csilla Mária KT-2024-63 Kimenő azonnali megbízás</t>
  </si>
  <si>
    <t>MARTONVASAR-HUS KFT    MARTONVASAR MARTONVASAR 2.040,00 HUF Vásárlás</t>
  </si>
  <si>
    <t>LIPO'TI PE'KSE'G E'S K SALGOTARJAN 390,00 HUF Vásárlás</t>
  </si>
  <si>
    <t>OMV 2026               Erd jobb Erd jobb         638,00 HUF Vásárlás</t>
  </si>
  <si>
    <t>OMV 2026               Erd jobb Erd jobb        26.042,00 HUF Vásárlás</t>
  </si>
  <si>
    <t>DM 311.SZ.             BUDAORS BUDAORS        22.668,00 HUF Vásárlás</t>
  </si>
  <si>
    <t>eMAG.hu/marketplace/ne Budapest eMAG.hu/marketplace/ne Budapest 3.998,00 HUF Vásárlás</t>
  </si>
  <si>
    <t>MARTON FRUIT           MARTONVASAR MARTONVASAR       2.197,00 HUF Vásárlás</t>
  </si>
  <si>
    <t>LIDL ARUHAZ 0349.SZ.   BUDAORS BUDAORS 19.438,00 HUF Vásárlás</t>
  </si>
  <si>
    <t>TESCO 44089 O NKISZOLG MARTONVASAR 401,00 HUF Vásárlás</t>
  </si>
  <si>
    <t>BUDAKESZI VADASPARK    BUDAKESZI BUDAKESZI 7.300,00 HUF Vásárlás</t>
  </si>
  <si>
    <t>SALAD BOX              BUDAORS BUDAORS         6.580,00 HUF Vásárlás</t>
  </si>
  <si>
    <t>CSIZ SAJTMUHELY KFT    BARACSKA BARACSKA 2.945,00 HUF Vásárlás</t>
  </si>
  <si>
    <t>SIMPLE PARKOL S        BUDAPEST BUDAPEST        1.899,00 HUF Vásárlás</t>
  </si>
  <si>
    <t>LTU-Vilnius VINTED 8474110676 Vásárlás(2024.02.10) Card:5444-0XXX-XX68-8737 MCC5931 LTU-Vilnius VINTED 8474110676 5.064,00 HUF Kártyatranzakció</t>
  </si>
  <si>
    <t>HUN-AGARD LIDL ARUHAZ 0306.SZ. Vásárlás(2024.02.09) Card:5444-0XXX-XX68-8737 MCC5411 HUN-AGARD LIDL ARUHAZ 0306.SZ. 13.043,00 HUF Kártyatranzakció</t>
  </si>
  <si>
    <t>PL:P/10FEB24 Tőkefizetés Hitel /21-41194/</t>
  </si>
  <si>
    <t>PL:I/10FEB24 Kamatfizetés  Hitel /21-41194/</t>
  </si>
  <si>
    <t>OBI010BUDAORS          Budaors BUDAORS        32.489,00 HUF Vásárlás</t>
  </si>
  <si>
    <t>ENGEL ETTEREM          BUDAPEST BUDAPEST        2.990,00 HUF Vásárlás</t>
  </si>
  <si>
    <t>CAFE FREI NORDIC LIGHT BUDAPEST 3.030,00 HUF Vásárlás</t>
  </si>
  <si>
    <t>HUN-MARTONVASAR 127.COOP SZUPER 1. Vásárlás(2024.02.05) Card:5444-0XXX-XX68-8737 MCC5411 HUN-MARTONVASAR 127.COOP SZUPER 1. 749,00 HUF Kártyatranzakció</t>
  </si>
  <si>
    <t>HUN-ERCSI SPAR PARTNER 6920220 Vásárlás(2024.02.05) Card:5444-0XXX-XX68-8737 MCC5411 HUN-ERCSI SPAR PARTNER 6920220 6.832,00 HUF Kártyatranzakció</t>
  </si>
  <si>
    <t>OTPMOBL HU-GO.HU       BUDAPEST BUDAPEST        13.320,00 HUF Vásárlás</t>
  </si>
  <si>
    <t>Pályamatrica</t>
  </si>
  <si>
    <t>MVM NEXT ENERGIAK      BUDAPEST BUDAPEST        8.518,00 HUF Vásárlás</t>
  </si>
  <si>
    <t>LTU-Vilnius VINTED 8420768593 Vásárlás(2024.02.04) Card:5444-0XXX-XX68-8737 MCC5931 LTU-Vilnius VINTED 8420768593 3.279,00 HUF Kártyatranzakció</t>
  </si>
  <si>
    <t>VINTED 8403444983      Vilnius VINTED 8403444983   Vilnius        6.954,00 HUF Vásárlás        18,12 EUR</t>
  </si>
  <si>
    <t>TESCO 44089 O NKISZOLG MARTONVASAR 5.167,00 HUF Vásárlás</t>
  </si>
  <si>
    <t>OTPMOBL DIJNET.HU      BUDAPEST BUDAPEST        4.567,00 HUF Vásárlás</t>
  </si>
  <si>
    <t>Szemét</t>
  </si>
  <si>
    <t>IKEA                   Budaors Budaors 8.460,00 HUF Vásárlás</t>
  </si>
  <si>
    <t>TESCO 44089            MARTONVASAR MARTONVASAR        618,00 HUF Vásárlás</t>
  </si>
  <si>
    <t>SZERSZAMKELL BARKA'CS  ERD ERD 5.970,00 HUF Vásárlás</t>
  </si>
  <si>
    <t>DM 311.SZ.             BUDAORS BUDAORS        27.078,00 HUF Vásárlás</t>
  </si>
  <si>
    <t>MEDICINA PATIKA        BUDAORS BUDAORS        20.561,00 HUF Vásárlás</t>
  </si>
  <si>
    <t>LIDL ARUHAZ 0349.SZ.   BUDAORS BUDAORS 37.297,00 HUF Vásárlás</t>
  </si>
  <si>
    <t>TESCO 41520 O NKISZOLG BUDAORS 1.724,00 HUF Vásárlás</t>
  </si>
  <si>
    <t>LTU-Vilnius VINTED 8396530614 Vásárlás(2024.02.01) Card:5444-0XXX-XX68-8737 MCC5931 LTU-Vilnius VINTED 8396530614 2.859,00 HUF Kártyatranzakció</t>
  </si>
  <si>
    <t>11773353-59010812-00000000 Kovácsné Tonkó Csilla Mária KT-2024-48 Kimenő azonnali megbízás</t>
  </si>
  <si>
    <t>Wok 'n Go étterem      Budaörs Budaörs         4.960,00 HUF Vásárlás</t>
  </si>
  <si>
    <t>BARBER SHOP            BUDAPEST BUDAPEST        14.000,00 HUF Vásárlás</t>
  </si>
  <si>
    <t>New York Bagel Kft     Budapest Budapest 1.850,00 HUF Vásárlás        4,76 EUR</t>
  </si>
  <si>
    <t>BAKANCSLISTA           BUDAPEST BUDAPEST         950,00 HUF Vásárlás</t>
  </si>
  <si>
    <t>Kemal Pasa Torok Etelb Budapest Budapest 2.500,00 HUF Vásárlás</t>
  </si>
  <si>
    <t>HUN-BARACSKA CSIZ SAJTMUHELY KFT Vásárlás(2024.01.30) Card:5444-0XXX-XX68-8737 MCC5499 HUN-BARACSKA CSIZ SAJTMUHELY KFT 3.740,00 HUF Kártyatranzakció</t>
  </si>
  <si>
    <t>HUN-MARTONVASAR TESCO 44089 O:NKISZ Vásárlás(2024.01.30) Card:5444-0XXX-XX68-8737 MCC5311 HUN-MARTONVASAR TESCO 44089 O:NKISZ OLG 9.074,00 HUF Kártyatranzakció</t>
  </si>
  <si>
    <t>KISKIFLI KAVEZO        BUDAPEST BUDAPEST        1.640,00 HUF Vásárlás</t>
  </si>
  <si>
    <t>HUN-RACKERESZTUR SZENT KERESZT GYO' Vásárlás(2024.01.29) Card:5444-0XXX-XX68-8737 MCC5912 HUN-RACKERESZTUR SZENT KERESZT GYO' GYSZ 5.454,00 HUF Kártyatranzakció</t>
  </si>
  <si>
    <t>MARTON FRUIT           MARTONVASAR MARTONVASAR       5.230,00 HUF Vásárlás</t>
  </si>
  <si>
    <t>LIDL ARUHAZ 0349.SZ.   BUDAORS BUDAORS 10.967,00 HUF Vásárlás</t>
  </si>
  <si>
    <t>CSIZ SAJTMUHELY KFT    BARACSKA BARACSKA 1.782,00 HUF Vásárlás</t>
  </si>
  <si>
    <t>DM 311.SZ.             BUDAORS BUDAORS        13.915,00 HUF Vásárlás</t>
  </si>
  <si>
    <t>DECATHLON BUDAORS      BUDAORS BUDAORS        21.980,00 HUF Vásárlás</t>
  </si>
  <si>
    <t>Aelia                  Luton Luton           22,94 GBP Vásárlás        27,08 EUR 400.5800</t>
  </si>
  <si>
    <t>HUN-ERD SALON PARTNERS KFT Vásárlás(2024.01.27) Card:5444-0XXX-XX68-8737 MCC5977 HUN-ERD SALON PARTNERS KFT 27.160,00 HUF Kártyatranzakció</t>
  </si>
  <si>
    <t>SAINSBURYS SUPERMARKET WARWICK SAINSBURYS S/MKTS   LEAMINGTON         7,60 GBP Vásárlás        8,97 EUR 397.2700</t>
  </si>
  <si>
    <t>SKYSHOWTIME 2A674 HU   Amsterdam SKYSHOWTIME 2A674 HU Amsterdam        999,00 HUF Vásárlás        2,60 EUR</t>
  </si>
  <si>
    <t>12010453-01162337-00100006 MONOBRAND KERESKEDELMI KFT. 2024-2453 Bejövő Forint Átutalás</t>
  </si>
  <si>
    <t>OTPMOBL webkincstar    BUDAPEST BUDAPEST 117.069,00 HUF Vásárlás</t>
  </si>
  <si>
    <t>HUN-MARTONVASAR TESCO 44089 Vásárlás(2024.01.22) Card:5444-0XXX-XX68-8737 MCC5311 HUN-MARTONVASAR TESCO 44089 720,00 HUF Kártyatranzakció</t>
  </si>
  <si>
    <t>HUN-MARTONVASAR MARTON FRUIT Vásárlás(2024.01.22) Card:5444-0XXX-XX68-8737 MCC5499 HUN-MARTONVASAR MARTON FRUIT 1.542,00 HUF Kártyatranzakció</t>
  </si>
  <si>
    <t>HUN-BUDAPEST HABOS GOFRI Vásárlás(2024.01.21) Card:5444-0XXX-XX68-8737 MCC5812 HUN-BUDAPEST HABOS GOFRI 1.200,00 HUF Kártyatranzakció</t>
  </si>
  <si>
    <t>HUN-BUDAORS FULL GSM Vásárlás(2024.01.21) Card:5444-0XXX-XX68-8737 MCC5045 HUN-BUDAORS FULL GSM 5.000,00 HUF Kártyatranzakció</t>
  </si>
  <si>
    <t>VINTED 8260530394      Vilnius VINTED 8260530394   Vilnius        13.405,00 HUF Vásárlás        35,17 EUR</t>
  </si>
  <si>
    <t>TESCO 44089 O NKISZOLG MARTONVASAR 1.898,00 HUF Vásárlás</t>
  </si>
  <si>
    <t>BUDAO RS BENZINKU'T AU BUDAORS 39.360,00 HUF Vásárlás</t>
  </si>
  <si>
    <t>AUCHAN BUDAORS         BUDAORS BUDAORS         1.490,00 HUF Vásárlás</t>
  </si>
  <si>
    <t>OBI010BUDAORS          Budaors BUDAORS         2.676,00 HUF Vásárlás</t>
  </si>
  <si>
    <t>BRENDON BABAARUHAZ     BUDAORS BUDAORS 14.268,00 HUF Vásárlás</t>
  </si>
  <si>
    <t>DM 311.SZ.             BUDAORS BUDAORS        18.140,00 HUF Vásárlás</t>
  </si>
  <si>
    <t>LIDL ARUHAZ 0349.SZ.   BUDAORS BUDAORS 11.567,00 HUF Vásárlás</t>
  </si>
  <si>
    <t>10918001-00000072-63280008 MÁRTON MIKLÓS utalás Bejövő azonnali megbízás</t>
  </si>
  <si>
    <t>Pénzügy - Egyéb</t>
  </si>
  <si>
    <t>LTU-Vilnius VINTED 8252209099 Vásárlás(2024.01.18) Card:5444-0XXX-XX68-8737 MCC5931 LTU-Vilnius VINTED 8252209099 7.863,00 HUF Kártyatranzakció</t>
  </si>
  <si>
    <t>LTU-Vilnius VINTED 8263808846 Vásárlás(2024.01.18) Card:5444-0XXX-XX68-8737 MCC5931 LTU-Vilnius VINTED 8263808846 10.488,00 HUF Kártyatranzakció</t>
  </si>
  <si>
    <t>LTU-Vilnius VINTED 8263818318 Vásárlás(2024.01.18) Card:5444-0XXX-XX68-8737 MCC5931 LTU-Vilnius VINTED 8263818318 10.488,00 HUF Kártyatranzakció</t>
  </si>
  <si>
    <t>TelekomSzaml 669245485 Budapest 7.419,00 HUF Vásárlás        19,50 EUR</t>
  </si>
  <si>
    <t>CZE-Praha ASTRATEX Vásárlás(2024.01.17) Card:5444-0XXX-XX68-8737 MCC5699 CZE-Praha ASTRATEX 54.230,00 HUF Kártyatranzakció</t>
  </si>
  <si>
    <t>DISNEY PLUS            AMSTERDAM AMSTERDAM       3.090,00 HUF Vásárlás        8,15 EUR</t>
  </si>
  <si>
    <t>New York Bagel Kft     Budapest Budapest 1.690,00 HUF Vásárlás        4,46 EUR</t>
  </si>
  <si>
    <t>MM BUDAO RS            BUDAORS BUDAORS        27.393,00 HUF Vásárlás</t>
  </si>
  <si>
    <t>LIDL ARUHAZ 0349.SZ.   BUDAORS BUDAORS 8.497,00 HUF Vásárlás</t>
  </si>
  <si>
    <t>ALDI 156. SZ.          Budaors Budaors         1.498,00 HUF Vásárlás</t>
  </si>
  <si>
    <t>HUN-BUDAPEST OTPMOBL*perfektnatura. Vásárlás(2024.01.15) Card:5444-0XXX-XX68-8737 MCC5499 HUN-BUDAPEST OTPMOBL*perfektnatura. 3.490,00 HUF Kártyatranzakció</t>
  </si>
  <si>
    <t>11773353-59010812-00000000 Kovácsné Tonkó Csilla Mária KT-2024-20 Kimenő azonnali megbízás</t>
  </si>
  <si>
    <t>VIANNI U ZLET          MARTONVASAR MARTONVASAR        500,00 HUF Vásárlás</t>
  </si>
  <si>
    <t>LTU-Vilnius VINTED 8227171519 Vásárlás(2024.01.14) Card:5444-0XXX-XX68-8737 MCC5931 LTU-Vilnius VINTED 8227171519 3.354,00 HUF Kártyatranzakció</t>
  </si>
  <si>
    <t>LIDL ARUHAZ 0306.SZ.   AGARD AGARD 979,00 HUF Vásárlás</t>
  </si>
  <si>
    <t>CSIZ SAJTMUHELY KFT    BARACSKA BARACSKA 730,00 HUF Vásárlás</t>
  </si>
  <si>
    <t>MVM NEXT ENERGIAK      BUDAPEST BUDAPEST        8.473,00 HUF Vásárlás</t>
  </si>
  <si>
    <t>SZERSZAMKELL BARKA'CS  ERD ERD 8.390,00 HUF Vásárlás</t>
  </si>
  <si>
    <t>TESCO 44089 O NKISZOLG MARTONVASAR 4.519,00 HUF Vásárlás</t>
  </si>
  <si>
    <t>LIDL ARUHAZ 0306.SZ.   AGARD AGARD 10.834,00 HUF Vásárlás</t>
  </si>
  <si>
    <t>Meszaros Mate</t>
  </si>
  <si>
    <t>Almassy Fodor Dorottya</t>
  </si>
  <si>
    <t>11741000-20182979-00000000 Medicata Bona Kft 123757 Karsai Adrienn Kimenő azonnali megbízás</t>
  </si>
  <si>
    <t>BARKACSBOLT            MARTONVASAR MARTONVASAR       1.535,00 HUF Vásárlás</t>
  </si>
  <si>
    <t>MARTONVASAR-HUS KFT    MARTONVASAR MARTONVASAR 2.130,00 HUF Vásárlás</t>
  </si>
  <si>
    <t>ENGEL ETTEREM          BUDAPEST BUDAPEST        3.190,00 HUF Vásárlás</t>
  </si>
  <si>
    <t>Daniel Vass - -</t>
  </si>
  <si>
    <t>HUN-BARACSKA CSIZ SAJTMUHELY KFT Vásárlás(2024.01.10) Card:5444-0XXX-XX68-8737 MCC5499 HUN-BARACSKA CSIZ SAJTMUHELY KFT 840,00 HUF Kártyatranzakció</t>
  </si>
  <si>
    <t>HUN-MARTONVASAR MARTONVASAR-HUS KFT Vásárlás(2024.01.10) Card:5444-0XXX-XX68-8737 MCC5422 HUN-MARTONVASAR MARTONVASAR-HUS KFT 1.535,00 HUF Kártyatranzakció</t>
  </si>
  <si>
    <t>New York Bagel Kft     Budapest Budapest 1.690,00 HUF Vásárlás        4,47 EUR</t>
  </si>
  <si>
    <t>SIMPLE PARKOL S        BUDAPEST BUDAPEST         309,00 HUF Vásárlás</t>
  </si>
  <si>
    <t>DM 311.SZ.             BUDAORS BUDAORS        12.525,00 HUF Vásárlás</t>
  </si>
  <si>
    <t>SUPER WOK              BUDAPEST BUDAPEST        1.800,00 HUF Vásárlás</t>
  </si>
  <si>
    <t>SPAR 0167              BUDAPEST BUDAPEST         999,00 HUF Vásárlás</t>
  </si>
  <si>
    <t>COPYGURU KFT.          BUDAPEST BUDAPEST        3.090,00 HUF Vásárlás</t>
  </si>
  <si>
    <t>HUN-GARDONY DM 316.SZ. Vásárlás(2024.01.08) Card:5444-0XXX-XX68-8737 MCC5977 HUN-GARDONY DM 316.SZ. 4.265,00 HUF Kártyatranzakció</t>
  </si>
  <si>
    <t>HUN-AGARD LIDL ARUHAZ 0306.SZ. Vásárlás(2024.01.08) Card:5444-0XXX-XX68-8737 MCC5411 HUN-AGARD LIDL ARUHAZ 0306.SZ. 13.602,00 HUF Kártyatranzakció</t>
  </si>
  <si>
    <t>PL:P/10JAN24 Tőkefizetés Hitel /21-41194/</t>
  </si>
  <si>
    <t>PL:I/10JAN24 Kamatfizetés  Hitel /21-41194/</t>
  </si>
  <si>
    <t>HUN-BUDAORS VISION EXPRESS Vásárlás(2024.01.07) Card:5444-0XXX-XX68-8737 MCC8043 HUN-BUDAORS VISION EXPRESS 14.899,00 HUF Kártyatranzakció</t>
  </si>
  <si>
    <t>Medicz Gyogyszertar    Martonvasar Martonvasar 138,00 HUF Vásárlás        0,36 EUR</t>
  </si>
  <si>
    <t>GOPAY   PIPPER.HU      MALACKY PIPPER.HU pipper.hu       7.800,00 HUF Vásárlás        20,63 EUR</t>
  </si>
  <si>
    <t>MEDICINA PATIKA        BUDAORS BUDAORS         9.408,00 HUF Vásárlás</t>
  </si>
  <si>
    <t>DM 359.                TOROKBALINT TOROKBALINT       4.534,00 HUF Vásárlás</t>
  </si>
  <si>
    <t>SPAR MAGYARORSZA'G KFT TOROKBALINT 5.897,00 HUF Vásárlás</t>
  </si>
  <si>
    <t>IKEA                   Budaors Budaors 5.366,00 HUF Vásárlás</t>
  </si>
  <si>
    <t>IKEA                   Budaors Budaors 15.730,00 HUF Vásárlás</t>
  </si>
  <si>
    <t>HUN-ERCSI SPAR PARTNER 6920220 Vásárlás(2024.01.04) Card:5444-0XXX-XX68-8737 MCC5411 HUN-ERCSI SPAR PARTNER 6920220 8.697,00 HUF Kártyatranzakció</t>
  </si>
  <si>
    <t>HUN-BARACSKA CSIZ SAJTMUHELY KFT Vásárlás(2024.01.03) Card:5444-0XXX-XX68-8737 MCC5499 HUN-BARACSKA CSIZ SAJTMUHELY KFT 2.870,00 HUF Kártyatranzakció</t>
  </si>
  <si>
    <t>11773353-59010812-00000000 Kovácsné Tonkó Csilla Mária KT-2024-4 Kimenő azonnali megbízás</t>
  </si>
  <si>
    <t>BRENDON BABAARUHAZ     BUDAORS BUDAORS 13.089,00 HUF Vásárlás</t>
  </si>
  <si>
    <t>DM 311.SZ.             BUDAORS BUDAORS         6.647,00 HUF Vásárlás</t>
  </si>
  <si>
    <t>REGIO JA'TE'K BU.      BUDAORS BUDAORS          295,00 HUF Vásárlás</t>
  </si>
  <si>
    <t>SZENT KERESZT GYO'GYSZ RACKERESZTUR 7.372,00 HUF Vásárlás</t>
  </si>
  <si>
    <t>DM 311.SZ.             BUDAORS BUDAORS         7.765,00 HUF Vásárlás</t>
  </si>
  <si>
    <t>ALDI 156.SZ.           BUDAORS BUDAORS          236,00 HUF Vásárlás</t>
  </si>
  <si>
    <t>VIANNI U ZLET          MARTONVASAR MARTONVASAR        448,00 HUF Vásárlás</t>
  </si>
  <si>
    <t>PRAKTIKER 333.         BUDAORS BUDAORS        18.989,00 HUF Vásárlás</t>
  </si>
  <si>
    <t>IKEA BUDAORS BEV ECO   Budaors Budaors 14.980,00 HUF Vásárlás</t>
  </si>
  <si>
    <t>Raiffeisen Bank</t>
  </si>
  <si>
    <t>TelekomSzaml 660195285 Budapest 8.106,00 HUF Vásárlás        21,19 EUR</t>
  </si>
  <si>
    <t>Czuprik Gábor - -</t>
  </si>
  <si>
    <t>DM 289.SZ.             ERD ERD           6.495,00 HUF Vásárlás</t>
  </si>
  <si>
    <t>ALDI 22.SZ.            ERD ERD           6.777,00 HUF Vásárlás</t>
  </si>
  <si>
    <t>AUTOMATA TO LTO"A'LLOM KAPOLNASNYEK 25.010,00 HUF Vásárlás</t>
  </si>
  <si>
    <t>TESCO 44089            MARTONVASAR MARTONVASAR       2.380,00 HUF Vásárlás</t>
  </si>
  <si>
    <t>LIDL ARUHAZ 0349.SZ.   BUDAORS BUDAORS 5.747,00 HUF Vásárlás</t>
  </si>
  <si>
    <t>IKEA                   Budaors Budaors 27.160,00 HUF Vásárlás</t>
  </si>
  <si>
    <t>HUN-Budaors IKEA BUDAORS UGYFE Vásárlás(2023.12.29) Card:5444-0XXX-XX68-8737 MCC5712 HUN-Budaors IKEA BUDAORS UGYFE 8.270,00 HUF Kártyatranzakció</t>
  </si>
  <si>
    <t>Int.Appl. to   31/12/23</t>
  </si>
  <si>
    <t>SZOCHO to      31/12/23</t>
  </si>
  <si>
    <t>CRT to         31/12/23</t>
  </si>
  <si>
    <t>Ikea</t>
  </si>
  <si>
    <t>HUN-SALGOTARJAN DM 149 SALGO'TARJA' Vásárlás(2023.12.27) Card:5444-0XXX-XX68-8737 MCC5977 HUN-SALGOTARJAN DM 149 SALGO'TARJA' N 2 12.280,00 HUF Kártyatranzakció</t>
  </si>
  <si>
    <t>LIDL ARUHAZ 0349.SZ. BUDAORS TRAN IDEJE 20231229 154957 TRAN ÖSSZEG 5,747.00 HUF</t>
  </si>
  <si>
    <t>IKEA Budaors TRAN IDEJE 20231229 162538 TRAN ÖSSZEG 27,160.00 HUF</t>
  </si>
  <si>
    <t>TelekomSzaml 660195285 Budapest TRAN IDEJE 20231230 92830 TRAN ÖSSZEG 8,106.00 HUF</t>
  </si>
  <si>
    <t>TESCO 44089 MARTONVASAR TRAN IDEJE 20231230 115535 TRAN ÖSSZEG 2,380.00 HUF</t>
  </si>
  <si>
    <t>AUTOMATA TO LTO'A'LLOM KAPOLNASNYEK TRAN IDEJE 20231230 162330 TRAN ÖSSZEG 25,010.00 HUF</t>
  </si>
  <si>
    <t>ALDI 22.SZ. ERD TRAN IDEJE 20231231 105945 TRAN ÖSSZEG 6,777.00 HUF</t>
  </si>
  <si>
    <t>DM 289.SZ. ERD TRAN IDEJE 20231231 112301 TRAN ÖSSZEG 6,495.00 HUF</t>
  </si>
  <si>
    <t>KOMA UZLETHAZ MARTONVASAR 1.870,00 HUF Vásárlás</t>
  </si>
  <si>
    <t>IKEA BUDAORS UGYFE Budaors 7.955,00 HUF Vásárlás</t>
  </si>
  <si>
    <t>MARTONVASAR-HUS KFT MARTONVASAR 2.390,00 HUF Vásárlás</t>
  </si>
  <si>
    <t>Normbenz HU Salgotarjan 35.994,00 HUF Vásárlás</t>
  </si>
  <si>
    <t>HUN-Budaors IKEA BUDAORS UGYFE Vásárlás(2023.12.21) Card:5444-0XXX-XX68-8737 MCC5712 HUN-Budaors IKEA BUDAORS UGYFE 1.690,00 HUF Kártyatranzakció</t>
  </si>
  <si>
    <t>HUN-Martonvasar POSTA5324 Vásárlás(2023.12.22) Card:5444-0XXX-XX68-8737 MCC4900 HUN-Martonvasar POSTA5324 2.370,00 HUF Kártyatranzakció</t>
  </si>
  <si>
    <t>HUN-BUDAORS SBX BUDAO:RS AUCHAN Vásárlás(2023.12.21) Card:5444-0XXX-XX68-8737 MCC5812 HUN-BUDAORS SBX BUDAO:RS AUCHAN 2.480,00 HUF Kártyatranzakció</t>
  </si>
  <si>
    <t>HUN-BARACSKA CSIZ SAJTMUHELY KFT Vásárlás(2023.12.22) Card:5444-0XXX-XX68-8737 MCC5499 HUN-BARACSKA CSIZ SAJTMUHELY KFT 10.220,00 HUF Kártyatranzakció</t>
  </si>
  <si>
    <t>HUN-Budaors IKEA BUDAORS UGYFE Vásárlás(2023.12.21) Card:5444-0XXX-XX68-8737 MCC5712 HUN-Budaors IKEA BUDAORS UGYFE 11.310,00 HUF Kártyatranzakció</t>
  </si>
  <si>
    <t>HUN-MARTONVASAR MARTONVASAR-HUS KFT Vásárlás(2023.12.22) Card:5444-0XXX-XX68-8737 MCC5422 HUN-MARTONVASAR MARTONVASAR-HUS KFT 15.840,00 HUF Kártyatranzakció</t>
  </si>
  <si>
    <t>HUN-BUDAORS AUCHAN BUDAORS Vásárlás(2023.12.21) Card:5444-0XXX-XX68-8737 MCC5311 HUN-BUDAORS AUCHAN BUDAORS 17.788,00 HUF Kártyatranzakció</t>
  </si>
  <si>
    <t>HUN-BUDAORS DM 311.SZ. Vásárlás(2023.12.21) Card:5444-0XXX-XX68-8737 MCC5977 HUN-BUDAORS DM 311.SZ. 18.550,00 HUF Kártyatranzakció</t>
  </si>
  <si>
    <t>HUN-BUDAPEST OTPMOBL*ONLINE.JEGY Vásárlás(2023.12.24) Card:5444-0XXX-XX68-8737 MCC7922 HUN-BUDAPEST OTPMOBL*ONLINE.JEGY 20.000,00 HUF Kártyatranzakció</t>
  </si>
  <si>
    <t>HUN-BUDAORS MEDICINA PATIKA Vásárlás(2023.12.21) Card:5444-0XXX-XX68-8737 MCC5912 HUN-BUDAORS MEDICINA PATIKA 21.959,00 HUF Kártyatranzakció</t>
  </si>
  <si>
    <t>COUNTRYSIDE CORVINUSZ BUDAPEST 5.400,00 HUF Vásárlás</t>
  </si>
  <si>
    <t>LIDL ARUHAZ 0306.SZ. AGARD 12.680,00 HUF Vásárlás</t>
  </si>
  <si>
    <t>CSASZI2020 KFT. GARDONY 568,00 HUF Vásárlás</t>
  </si>
  <si>
    <t>SKYSHOWTIME 7FF4D HU Amsterdam 999,00 HUF Vásárlás 2,62 EUR</t>
  </si>
  <si>
    <t>HUN-MARTONVASAR MARTONVASAR-HUS KFT Vásárlás(2023.12.20) Card:5444-0XXX-XX68-8737 MCC5422 HUN-MARTONVASAR MARTONVASAR-HUS KFT 1.965,00 HUF Kártyatranzakció</t>
  </si>
  <si>
    <t>OTPMOBL VIMPAY.MAV-STA BUDAPEST 570,00 HUF Vásárlás</t>
  </si>
  <si>
    <t>CSIZ SAJTMUHELY KFT BARACSKA 990,00 HUF Vásárlás</t>
  </si>
  <si>
    <t>CSIZ SAJTMUHELY KFT BARACSKA 580,00 HUF Vásárlás</t>
  </si>
  <si>
    <t>Patai Gabor - - -</t>
  </si>
  <si>
    <t>Estibuli költség</t>
  </si>
  <si>
    <t>HUN-RACKERESZTUR SZENT KERESZT GYO' Vásárlás(2023.12.18) Card:5444-0XXX-XX68-8737 MCC5912 HUN-RACKERESZTUR SZENT KERESZT GYO' GYSZ 5.230,00 HUF Kártyatranzakció</t>
  </si>
  <si>
    <t>HUN-BUDAORS REGIO JA'TE'K BU. Vásárlás(2023.12.18) Card:5444-0XXX-XX68-8737 MCC5945 HUN-BUDAORS REGIO JA'TE'K BU. 5.990,00 HUF Kártyatranzakció</t>
  </si>
  <si>
    <t>HUN-BUDAPEST OTPMOBL*HERBAFERM.HU Vásárlás(2023.12.18) Card:5444-0XXX-XX68-8737 MCC5499 HUN-BUDAPEST OTPMOBL*HERBAFERM.HU 8.740,00 HUF Kártyatranzakció</t>
  </si>
  <si>
    <t>11773353-59010812-00000000 Kovácsné Tonkó Csilla Mária KT-2023-271 Kimenő azonnali megbízás</t>
  </si>
  <si>
    <t>HUN-BUDAPEST OTPMOBL*HERBAFERM.HU Vásárlás(2023.12.18) Card:5444-0XXX-XX68-8737 MCC5499 HUN-BUDAPEST OTPMOBL*HERBAFERM.HU 22.350,00 HUF Kártyatranzakció</t>
  </si>
  <si>
    <t>HUN-BUDAORS LIDL ARUHAZ 0349.SZ. Vásárlás(2023.12.18) Card:5444-0XXX-XX68-8737 MCC5411 HUN-BUDAORS LIDL ARUHAZ 0349.SZ. 23.581,00 HUF Kártyatranzakció</t>
  </si>
  <si>
    <t>HUN-BUDAORS DM 311.SZ. Vásárlás(2023.12.18) Card:5444-0XXX-XX68-8737 MCC5977 HUN-BUDAORS DM 311.SZ. 27.802,00 HUF Kártyatranzakció</t>
  </si>
  <si>
    <t>VIZ-, GAZ SZERELVENYB MARTONVASAR 1.918,00 HUF Vásárlás</t>
  </si>
  <si>
    <t>HUN-BUDAPEST WWW.CEWE.HU Vásárlás(2023.12.16) Card:5444-0XXX-XX68-8737 MCC2791 HUN-BUDAPEST WWW.CEWE.HU 2.537,00 HUF Kártyatranzakció</t>
  </si>
  <si>
    <t>HUN-MARTONVASAR KEPESVARAZS KFT. Vásárlás(2023.12.15) Card:5444-0XXX-XX68-8737 MCC5111 HUN-MARTONVASAR KEPESVARAZS KFT. 260,00 HUF Kártyatranzakció</t>
  </si>
  <si>
    <t>HUN-Budapest Három Tarka Macska -Ma Vásárlás(2023.12.14) Card:5444-0XXX-XX68-8737 MCC5462 HUN-Budapest Három Tarka Macska -Ma 4.770,00 HUF Kártyatranzakció</t>
  </si>
  <si>
    <t>HUN-BUDAPEST BARIONP*BARION.COM/GUE Vásárlás(2023.12.16) Card:5444-0XXX-XX68-8737 MCC7299 HUN-BUDAPEST BARIONP*BARION.COM/GUE 6.880,00 HUF Kártyatranzakció</t>
  </si>
  <si>
    <t>HUN-BUDAPEST OTPMOBL*128 Vásárlás(2023.12.16) Card:5444-0XXX-XX68-8737 MCC7299 HUN-BUDAPEST OTPMOBL*128 24.098,00 HUF Kártyatranzakció</t>
  </si>
  <si>
    <t>PLATA'N VA'RA'ROK VEND TATA 39.890,00 HUF Vásárlás</t>
  </si>
  <si>
    <t>PANIFICIO ILBASILICO SZENTENDRE 17.180,00 HUF Vásárlás</t>
  </si>
  <si>
    <t>FOXPOST ALLATELEDELBOL MARTONVASAR 1.499,00 HUF Vásárlás</t>
  </si>
  <si>
    <t>FOXPOST ALLATELEDELBOL MARTONVASAR 1.599,00 HUF Vásárlás</t>
  </si>
  <si>
    <t>TESCO 44089 MARTONVASAR 439,00 HUF Vásárlás</t>
  </si>
  <si>
    <t>PANIFICIO ILBASILICO SZENTENDRE 1.950,00 HUF Vásárlás</t>
  </si>
  <si>
    <t>PANIFICIO ILBASILICO SZENTENDRE 5.910,00 HUF Vásárlás</t>
  </si>
  <si>
    <t>Disney Plus Hoofddorp 3.090,00 HUF Vásárlás 8,10 EUR</t>
  </si>
  <si>
    <t>CSIZ SAJTMUHELY KFT BARACSKA 920,00 HUF Vásárlás</t>
  </si>
  <si>
    <t>HUN-MARTONVASAR MARTON MARKET Vásárlás(2023.12.12) Card:5444-0XXX-XX68-8737 MCC5411 HUN-MARTONVASAR MARTON MARKET 1.996,00 HUF Kártyatranzakció</t>
  </si>
  <si>
    <t>HUN-MARTONVASAR TESCO 44089 Vásárlás(2023.12.12) Card:5444-0XXX-XX68-8737 MCC5311 HUN-MARTONVASAR TESCO 44089 5.420,00 HUF Kártyatranzakció</t>
  </si>
  <si>
    <t>HUN-BUDAPEST SAAVUTUS Vásárlás(2023.12.12) Card:5444-0XXX-XX68-8737 MCC5691 HUN-BUDAPEST SAAVUTUS 35.273,00 HUF Kártyatranzakció</t>
  </si>
  <si>
    <t>KISKIFLI KAVEZO BUDAPEST 1.580,00 HUF Vásárlás</t>
  </si>
  <si>
    <t>11600006-00000000-48392181 Virág Kitty Adri bögre Kimenő azonnali megbízás</t>
  </si>
  <si>
    <t>HUN-GARDONY DM 316.SZ. Vásárlás(2023.12.11) Card:5444-0XXX-XX68-8737 MCC5977 HUN-GARDONY DM 316.SZ. 9.946,00 HUF Kártyatranzakció</t>
  </si>
  <si>
    <t>HUN-AGARD LIDL ARUHAZ 0306.SZ. Vásárlás(2023.12.11) Card:5444-0XXX-XX68-8737 MCC5411 HUN-AGARD LIDL ARUHAZ 0306.SZ. 19.548,00 HUF Kártyatranzakció</t>
  </si>
  <si>
    <t>Kemal Pasa Torok Et Budapest 2.500,00 HUF Vásárlás</t>
  </si>
  <si>
    <t>Manna ABC - Mazsa Nord Budapest 999,00 HUF Vásárlás 2,62 EUR</t>
  </si>
  <si>
    <t>HUN-Budapest reserved.com/hu Vásárlás(2023.12.06) Card:5444-0XXX-XX68-8737 MCC5691 HUN-Budapest reserved.com/hu 14.995,00 HUF Kártyatranzakció</t>
  </si>
  <si>
    <t>HUN-BUDAPEST PM-ABACUS FIZETO"AUT 6 Vásárlás(2023.12.09) Card:5444-0XXX-XX68-8737 MCC7523 HUN-BUDAPEST PM-ABACUS FIZETO"AUT 6 1.200,00 HUF Kártyatranzakció</t>
  </si>
  <si>
    <t>HUN-BARACSKA CSIZ SAJTMUHELY KFT Vásárlás(2023.12.07) Card:5444-0XXX-XX68-8737 MCC5499 HUN-BARACSKA CSIZ SAJTMUHELY KFT 1.840,00 HUF Kártyatranzakció</t>
  </si>
  <si>
    <t>HUN-BUDAPEST SPAR 5440 Vásárlás(2023.12.09) Card:5444-0XXX-XX68-8737 MCC5411 HUN-BUDAPEST SPAR 5440 2.967,00 HUF Kártyatranzakció</t>
  </si>
  <si>
    <t>HUN-BUDAPEST STUHMER EDESSEGBOLT Vásárlás(2023.12.09) Card:5444-0XXX-XX68-8737 MCC5441 HUN-BUDAPEST STUHMER EDESSEGBOLT 3.470,00 HUF Kártyatranzakció</t>
  </si>
  <si>
    <t>HUN-BUDAORS H&amp;M HU0341 Vásárlás(2023.12.08) Card:5444-0XXX-XX68-8737 MCC5691 HUN-BUDAORS H&amp;M HU0341 6.530,00 HUF Kártyatranzakció</t>
  </si>
  <si>
    <t>HUN-BUDAPEST BESTBYTE Vásárlás(2023.12.09) Card:5444-0XXX-XX68-8737 MCC5411 HUN-BUDAPEST BESTBYTE 10.189,00 HUF Kártyatranzakció</t>
  </si>
  <si>
    <t>HUN-BUDAORS RESERVED TESCO Vásárlás(2023.12.08) Card:5444-0XXX-XX68-8737 MCC5651 HUN-BUDAORS RESERVED TESCO 10.590,00 HUF Kártyatranzakció</t>
  </si>
  <si>
    <t>HUN-BUDAORS TESCO 41520 O:NKISZOLG Vásárlás(2023.12.08) Card:5444-0XXX-XX68-8737 MCC5311 HUN-BUDAORS TESCO 41520 O:NKISZOLG 11.880,00 HUF Kártyatranzakció</t>
  </si>
  <si>
    <t>HUN-Budapest reserved.com/hu Vásárlás(2023.12.06) Card:5444-0XXX-XX68-8737 MCC5691 HUN-Budapest reserved.com/hu 23.990,00 HUF Kártyatranzakció</t>
  </si>
  <si>
    <t>HUN-BUDAPEST BARIONP*monobrand Vásárlás(2023.12.07) Card:5444-0XXX-XX68-8737 MCC5661 HUN-BUDAPEST BARIONP*monobrand 35.293,00 HUF Kártyatranzakció</t>
  </si>
  <si>
    <t>OTPMOBL TELEKOM2597 BUDAPEST 7.416,00 HUF Vásárlás</t>
  </si>
  <si>
    <t>OTPMOBL DIJNET.HU BUDAPEST 6.944,00 HUF Vásárlás</t>
  </si>
  <si>
    <t>OBI 010 BUDAORS BUDAORS 11.497,00 HUF Vásárlás</t>
  </si>
  <si>
    <t>MVM NEXT ENERGIAK BUDAPEST 8.473,00 HUF Vásárlás</t>
  </si>
  <si>
    <t>AUTOMATA TO LTO'A'LLOM KAPOLNASNYEK 32.295,00 HUF Vásárlás</t>
  </si>
  <si>
    <t>OTPMOBL EON.HU BUDAPEST 6.824,00 HUF Vásárlás</t>
  </si>
  <si>
    <t>KARSAINÉ GASSER MÁRIA kisruha és koszorú alap</t>
  </si>
  <si>
    <t>PL:P/10DEC23 Tőkefizetés Hitel /21-41194/</t>
  </si>
  <si>
    <t>Chimichanga</t>
  </si>
  <si>
    <t>PL:I/10DEC23 Kamatfizetés  Hitel /21-41194/</t>
  </si>
  <si>
    <t>JAGUAR LAND ROVER HUNGARY KFT. Munkab.r utal.sMunkabér</t>
  </si>
  <si>
    <t>Drago Rosso Pizzéria, Étterem</t>
  </si>
  <si>
    <t>HUN-BARACSKA CSIZ SAJTMUHELY KFT Vásárlás(2023.12.05) Card:5444-0XXX-XX68-8737 MCC5499 HUN-BARACSKA CSIZ SAJTMUHELY KFT 940,00 HUF Kártyatranzakció</t>
  </si>
  <si>
    <t>HUN-RACKERESZTUR SZENT KERESZT GYO' Vásárlás(2023.12.05) Card:5444-0XXX-XX68-8737 MCC5912 HUN-RACKERESZTUR SZENT KERESZT GYO' GYSZ 2.796,00 HUF Kártyatranzakció</t>
  </si>
  <si>
    <t>KI'NAI BU FE' BUDAPEST 3.800,00 HUF Vásárlás</t>
  </si>
  <si>
    <t>Manna ABC - Mazsa Nord Budapest 1.299,00 HUF Vásárlás 3,42 EUR</t>
  </si>
  <si>
    <t>HUN-GARDONY DM 316.SZ. Vásárlás(2023.12.04) Card:5444-0XXX-XX68-8737 MCC5977 HUN-GARDONY DM 316.SZ. 9.302,00 HUF Kártyatranzakció</t>
  </si>
  <si>
    <t>11773353-59010812-00000000 Kovácsné Tonkó Csilla Mária KT-2023-260 Kimenő azonnali megbízás</t>
  </si>
  <si>
    <t>HUN-AGARD LIDL ARUHAZ 0306.SZ. Vásárlás(2023.12.04) Card:5444-0XXX-XX68-8737 MCC5411 HUN-AGARD LIDL ARUHAZ 0306.SZ. 32.263,00 HUF Kártyatranzakció</t>
  </si>
  <si>
    <t>LIDL ARUHAZ 0349.SZ. BUDAORS 9.591,00 HUF Vásárlás</t>
  </si>
  <si>
    <t>TESCO 44089 MARTONVASAR 5.438,00 HUF Vásárlás</t>
  </si>
  <si>
    <t>Nestle Hungaria, Kft Budapest 13.200,00 HUF Vásárlás</t>
  </si>
  <si>
    <t>NEW YORK BAGEL KFT.</t>
  </si>
  <si>
    <t>Dönerland</t>
  </si>
  <si>
    <t>GENERALI BIZTOSÍTÓ ZRT. DA07V9EH94005004927434400 DÍJVISSZA MMJ427 94005004927434400</t>
  </si>
  <si>
    <t>Autó biztosítás</t>
  </si>
  <si>
    <t>HUN-MARTONVASAR KEPESVARAZS KFT. Vásárlás(2023.11.30) Card:5444-0XXX-XX68-8737 MCC5111 HUN-MARTONVASAR KEPESVARAZS KFT. 2.180,00 HUF Kártyatranzakció</t>
  </si>
  <si>
    <t>HUN-BARACSKA CSIZ SAJTMUHELY KFT Vásárlás(2023.11.30) Card:5444-0XXX-XX68-8737 MCC5499 HUN-BARACSKA CSIZ SAJTMUHELY KFT 3.591,00 HUF Kártyatranzakció</t>
  </si>
  <si>
    <t>BRENDON BABAARUHAZ BUDAORS 154.043,00 HUF Vásárlás</t>
  </si>
  <si>
    <t>MARTON FRUIT MARTONVASAR 1.951,00 HUF Vásárlás</t>
  </si>
  <si>
    <t>HELOPAY HELLOPAY KER. BUDAPEST 2.690,00 HUF Vásárlás</t>
  </si>
  <si>
    <t>SIMPLE PARKOL S BUDAPEST 1.889,00 HUF Vásárlás</t>
  </si>
  <si>
    <t>SIMPLE PARKOL S BUDAPEST 239,00 HUF Vásárlás</t>
  </si>
  <si>
    <t>BMW eladás</t>
  </si>
  <si>
    <t>Autó Vásárlás</t>
  </si>
  <si>
    <t>HELOPAY HELLOPAY KER. BUDAPEST TRAN IDEJE 20231130 113614 TRAN ÖSSZEG 2,690.00 HUF</t>
  </si>
  <si>
    <t>CAFE FREI NORDIC LIGHT BUDAPEST TRAN IDEJE 20231130 120836 TRAN ÖSSZEG 790.00 HUF</t>
  </si>
  <si>
    <t>SIMPLE PARKOL S BUDAPEST TRAN IDEJE 20231130 162220 TRAN ÖSSZEG 1,889.00 HUF</t>
  </si>
  <si>
    <t>SIMPLE PARKOL S BUDAPEST TRAN IDEJE 20231130 213545 TRAN ÖSSZEG 239.00 HUF</t>
  </si>
  <si>
    <t>Képvarázs  Kft</t>
  </si>
  <si>
    <t xml:space="preserve">HUN-BARACSKA CSIZ SAJTMUHELY </t>
  </si>
  <si>
    <t>HUN-MARTONVASAR MARTONVASAR-HUS KFT Vásárlás(2023.11.28) Card:5444-0XXX-XX68-8737 MCC5422 HUN-MARTONVASAR MARTONVASAR-HUS KFT 3.980,00 HUF Kártyatranzakció</t>
  </si>
  <si>
    <t>WHITE HOUSE BUDAPEST 1.120,00 HUF Vásárlás</t>
  </si>
  <si>
    <t>Kemal Pasa</t>
  </si>
  <si>
    <t>HUN-BUDAPEST OTPMOBL*WEBSHOP.OAZIS. Vásárlás(2023.11.26) Card:5444-0XXX-XX68-8737 MCC5261 HUN-BUDAPEST OTPMOBL*WEBSHOP.OAZIS. 10.594,00 HUF Kártyatranzakció</t>
  </si>
  <si>
    <t>MAGYAR ALLAMKINCSTAR BUDAPEST 419.074,00 HUF Vásárlás</t>
  </si>
  <si>
    <t>MAGYAR ALLAMKINCSTAR BUDAPEST 57.168,00 HUF Vásárlás Hanni</t>
  </si>
  <si>
    <t>REGIO JA'TE'K BU. BUDAORS 5.495,00 HUF Vásárlás</t>
  </si>
  <si>
    <t>LIDL ARUHAZ 0349.SZ. BUDAORS 18.805,00 HUF Vásárlás</t>
  </si>
  <si>
    <t>ALDI 156. SZ. Budaors 7.253,00 HUF Vásárlás</t>
  </si>
  <si>
    <t>IKEA BUDAORS UGYFE Budaors 37.640,00 HUF Vásárlás</t>
  </si>
  <si>
    <t>SZENT KERESZT GYO'GYSZ RACKERESZTUR 6.831,00 HUF Vásárlás</t>
  </si>
  <si>
    <t>TESCO 44089 MARTONVASAR 1.189,00 HUF Vásárlás</t>
  </si>
  <si>
    <t>MARTON MARKET MARTONVASAR 1.374,00 HUF Vásárlás</t>
  </si>
  <si>
    <t>KEPESVARAZS KFT. MARTONVASAR 1.000,00 HUF Vásárlás</t>
  </si>
  <si>
    <t>MMXH Lakberendezesi Ko Budapest 29.441,00 HUF Vásárlás</t>
  </si>
  <si>
    <t>AUTOMATA TO LTO'A'LLOM KAPOLNASNYEK 39.139,00 HUF Vásárlás</t>
  </si>
  <si>
    <t>SKYSHOWTIME X0794 HU Amsterdam 999,00 HUF Vásárlás 2,63 EUR</t>
  </si>
  <si>
    <t>HUN-ERCSI SPAR PARTNER 6920220 Vásárlás(2023.11.24) Card:5444-0XXX-XX68-8737 MCC5411 HUN-ERCSI SPAR PARTNER 6920220 2.564,00 HUF Kártyatranzakció</t>
  </si>
  <si>
    <t>HUN-BARACSKA CSIZ SAJTMUHELY KFT Vásárlás(2023.11.23) Card:5444-0XXX-XX68-8737 MCC5499 HUN-BARACSKA CSIZ SAJTMUHELY KFT 4.427,00 HUF Kártyatranzakció</t>
  </si>
  <si>
    <t>HUN-BUDAPEST HM Hennes  Mauritz K Vásárlás(2023.11.25) Card:5444-0XXX-XX68-8737 MCC5651 HUN-BUDAPEST HM Hennes  Mauritz K 8.742,00 HUF Kártyatranzakció</t>
  </si>
  <si>
    <t>HUN-Budapest EVENTIM.HU Vásárlás(2023.11.23) Card:5444-0XXX-XX68-8737 MCC7922 HUN-Budapest EVENTIM.HU 40.190,00 HUF Kártyatranzakció</t>
  </si>
  <si>
    <t>Burger King Budaörs</t>
  </si>
  <si>
    <t>Falatozz.hu</t>
  </si>
  <si>
    <t>SumUp Kiskifli Kavez Budapest 990,00 HUF Vásárlás 2,60 EUR</t>
  </si>
  <si>
    <t>HUN-BARACSKA CSIZ SAJTMUHELY KFT Vásárlás(2023.11.22) Card:5444-0XXX-XX68-8737 MCC5499 HUN-BARACSKA CSIZ SAJTMUHELY KFT 730,00 HUF Kártyatranzakció</t>
  </si>
  <si>
    <t>KARSAINÉ GASSER MÁRIA Lorena jegy</t>
  </si>
  <si>
    <t>MARTON FRUIT MARTONVASAR 534,00 HUF Vásárlás</t>
  </si>
  <si>
    <t>54000148-15006507-00000000 Forrás Győri Zsuzsanna Könyvek Kimenő azonnali megbízás</t>
  </si>
  <si>
    <t>SIMPLE MOBILJEGY BUDAPEST 1.800,00 HUF Vásárlás</t>
  </si>
  <si>
    <t>HUN-BUDAPEST BARIONP*BARION.COM/GUE Vásárlás(2023.11.20) Card:5444-0XXX-XX68-8737 MCC7299 HUN-BUDAPEST BARIONP*BARION.COM/GUE 18.190,00 HUF Kártyatranzakció</t>
  </si>
  <si>
    <t>VIANNI U ZLET MARTONVASAR 1.820,00 HUF Vásárlás</t>
  </si>
  <si>
    <t>HUN-MARTONVASAR TESCO 44089 O:NKISZ Vásárlás(2023.11.19) Card:5444-0XXX-XX68-8737 MCC5311 HUN-MARTONVASAR TESCO 44089 O:NKISZ OLG 739,00 HUF Kártyatranzakció</t>
  </si>
  <si>
    <t>IKEA BUDAORS ETTEREM Budaors 6.115,00 HUF Vásárlás</t>
  </si>
  <si>
    <t>IKEA BUDAORS BEVASAR Budaors 3.510,00 HUF Vásárlás</t>
  </si>
  <si>
    <t>Disney Plus Hoofddorp 599,00 HUF Vásárlás 1,59 EUR</t>
  </si>
  <si>
    <t>Naturillo Kft nat6755</t>
  </si>
  <si>
    <t>HUN-BARACSKA CSIZ SAJTMUHELY KFT Vásárlás(2023.11.17) Card:5444-0XXX-XX68-8737 MCC5499 HUN-BARACSKA CSIZ SAJTMUHELY KFT 2.710,00 HUF Kártyatranzakció</t>
  </si>
  <si>
    <t>HUN-BUDAORS REGIO JA'TE'K BU. Vásárlás(2023.11.18) Card:5444-0XXX-XX68-8737 MCC5945 HUN-BUDAORS REGIO JA'TE'K BU. 4.495,00 HUF Kártyatranzakció</t>
  </si>
  <si>
    <t>HUN-BUDAORS LIDL ARUHAZ 0349.SZ. Vásárlás(2023.11.18) Card:5444-0XXX-XX68-8737 MCC5411 HUN-BUDAORS LIDL ARUHAZ 0349.SZ. 9.904,00 HUF Kártyatranzakció</t>
  </si>
  <si>
    <t>HUN-BUDAORS DM 311.SZ. Vásárlás(2023.11.18) Card:5444-0XXX-XX68-8737 MCC5977 HUN-BUDAORS DM 311.SZ. 14.092,00 HUF Kártyatranzakció</t>
  </si>
  <si>
    <t>Manna ABC - Mazsa Nord Budapest 1.299,00 HUF Vásárlás 3,45 EUR</t>
  </si>
  <si>
    <t>DM 311.SZ. BUDAORS 4.895,00 HUF Vásárlás</t>
  </si>
  <si>
    <t>EGLO BEMUTATO'TEREM BUDAORS 3.790,00 HUF Vásárlás</t>
  </si>
  <si>
    <t>LIDL ARUHAZ 0349.SZ. BUDAORS 11.441,00 HUF Vásárlás</t>
  </si>
  <si>
    <t>OMV 2072 Budapest M1_ 26.650,00 HUF Vásárlás</t>
  </si>
  <si>
    <t>Harsanyi jozsef Maró</t>
  </si>
  <si>
    <t>HUN-BUDAPEST BARIONP*BARION.COM/GUE Vásárlás(2023.11.13) Card:5444-0XXX-XX68-8737 MCC7299 HUN-BUDAPEST BARIONP*BARION.COM/GUE 7.288,00 HUF Kártyatranzakció</t>
  </si>
  <si>
    <t>HUN-BUDAPEST BARIONP*BARION.COM/GUE Vásárlás(2023.11.13) Card:5444-0XXX-XX68-8737 MCC7299 HUN-BUDAPEST BARIONP*BARION.COM/GUE 44.500,00 HUF Kártyatranzakció</t>
  </si>
  <si>
    <t>MAGYAR ALLAMKINCSTAR BUDAPEST 521.014,00 HUF Vásárlás</t>
  </si>
  <si>
    <t>HUN-BUDAPEST OTPMOBL*SIPO.HU Vásárlás(2023.11.12) Card:5444-0XXX-XX68-8737 MCC5912 HUN-BUDAPEST OTPMOBL*SIPO.HU 7.897,00 HUF Kártyatranzakció</t>
  </si>
  <si>
    <t>SZENT KERESZT GYO'GYSZ RACKERESZTUR 9.660,00 HUF Vásárlás</t>
  </si>
  <si>
    <t>BARKACSBOLT MARTONVASAR 270,00 HUF Vásárlás</t>
  </si>
  <si>
    <t>CSIZ SAJTMUHELY KFT BARACSKA 4.550,00 HUF Vásárlás</t>
  </si>
  <si>
    <t>MARTONVASAR-HUS KFT MARTONVASAR 3.620,00 HUF Vásárlás</t>
  </si>
  <si>
    <t>Balassagyarmati Törvényszék Salgótarjáni JB P.20.761/2023.</t>
  </si>
  <si>
    <t>HUN-MARTONVASAR TESCO 44089 O:NKISZ Vásárlás(2023.11.10) Card:5444-0XXX-XX68-8737 MCC5311 HUN-MARTONVASAR TESCO 44089 O:NKISZ OLG 499,00 HUF Kártyatranzakció</t>
  </si>
  <si>
    <t>HUN-MARTONVASAR KEPESVARAZS KFT. Vásárlás(2023.11.10) Card:5444-0XXX-XX68-8737 MCC5111 HUN-MARTONVASAR KEPESVARAZS KFT. 1.215,00 HUF Kártyatranzakció</t>
  </si>
  <si>
    <t>HUN-MARTONVASAR MARTON MARKET Vásárlás(2023.11.10) Card:5444-0XXX-XX68-8737 MCC5411 HUN-MARTONVASAR MARTON MARKET 1.536,00 HUF Kártyatranzakció</t>
  </si>
  <si>
    <t>HUN-GARDONY ALDI 5.SZ. Vásárlás(2023.11.09) Card:5444-0XXX-XX68-8737 MCC5411 HUN-GARDONY ALDI 5.SZ. 2.237,00 HUF Kártyatranzakció</t>
  </si>
  <si>
    <t>HUN-GARDONY DM 316.SZ. Vásárlás(2023.11.09) Card:5444-0XXX-XX68-8737 MCC5977 HUN-GARDONY DM 316.SZ. 5.553,00 HUF Kártyatranzakció</t>
  </si>
  <si>
    <t>11773353-59010812-00000000 Kovácsné Tonkó Csilla Mária KT-2023-242 Kimenő azonnali megbízás</t>
  </si>
  <si>
    <t>HUN-AGARD LIDL ARUHAZ 0306.SZ. Vásárlás(2023.11.09) Card:5444-0XXX-XX68-8737 MCC5411 HUN-AGARD LIDL ARUHAZ 0306.SZ. 22.977,00 HUF Kártyatranzakció</t>
  </si>
  <si>
    <t>PL:P/10NOV23 Tőkefizetés Hitel /21-41194/</t>
  </si>
  <si>
    <t>HUN-BARACSKA CSIZ SAJTMUHELY KFT Vásárlás(2023.11.08) Card:5444-0XXX-XX68-8737 MCC5499 HUN-BARACSKA CSIZ SAJTMUHELY KFT 2.570,00 HUF Kártyatranzakció</t>
  </si>
  <si>
    <t>PL:I/10NOV23 Kamatfizetés  Hitel /21-41194/</t>
  </si>
  <si>
    <t>TEPSI</t>
  </si>
  <si>
    <t>LIPO'TI PE'KSE'G E'S K SALGOTARJAN 1.160,00 HUF Vásárlás</t>
  </si>
  <si>
    <t>ATM készpénzfelvétel díja(2023.11.0 Card:5444-0XXX-XX68-8737 MCC6011 HUN-MARTONVASAR OTP 100.000,00 HUF</t>
  </si>
  <si>
    <t>LTU-Vilnius VINTED 7579255841 Vásárlás(2023.11.08) Card:5444-0XXX-XX68-8737 MCC5931 LTU-Vilnius VINTED 7579255841 3.179,00 HUF Kártyatranzakció</t>
  </si>
  <si>
    <t>Redőny</t>
  </si>
  <si>
    <t>Dr Harmos Viktora Czuprik Gergely - kereset</t>
  </si>
  <si>
    <t>HUN-RACKERESZTUR SZENT KERESZT GYO' Vásárlás(2023.11.06) Card:5444-0XXX-XX68-8737 MCC5912 HUN-RACKERESZTUR SZENT KERESZT GYO' GYSZ 14.334,00 HUF Kártyatranzakció</t>
  </si>
  <si>
    <t>11773353-59010812-00000000 Kovácsné Tonkó Csilla Mária KT-2023-236 Kimenő azonnali megbízás</t>
  </si>
  <si>
    <t>Autószerelés</t>
  </si>
  <si>
    <t>BUDAO RS BENZINKU'T AU BUDAORS 41.622,00 HUF Vásárlás</t>
  </si>
  <si>
    <t>LIDL ARUHAZ 0349.SZ. BUDAORS 12.952,00 HUF Vásárlás</t>
  </si>
  <si>
    <t>BOHACS BARKACS ERD 22.214,00 HUF Vásárlás</t>
  </si>
  <si>
    <t>CSIZ SAJTMUHELY KFT BARACSKA 5.810,00 HUF Vásárlás</t>
  </si>
  <si>
    <t>IKEA BUDAORS UGYFE Budaors 16.350,00 HUF Vásárlás</t>
  </si>
  <si>
    <t>DM 311.SZ. BUDAORS 16.211,00 HUF Vásárlás</t>
  </si>
  <si>
    <t>POSTAKOCSI E'TTEREM MARTONVASAR 350,00 HUF Vásárlás</t>
  </si>
  <si>
    <t>LTU-Vilnius VINTED 7498691973 Vásárlás(2023.11.03) Card:5444-0XXX-XX68-8737 MCC5931 LTU-Vilnius VINTED 7498691973 3.179,00 HUF Kártyatranzakció</t>
  </si>
  <si>
    <t>HUN-BARACSKA CSIZ SAJTMUHELY KFT Vásárlás(2023.11.02) Card:5444-0XXX-XX68-8737 MCC5499 HUN-BARACSKA CSIZ SAJTMUHELY KFT 3.290,00 HUF Kártyatranzakció</t>
  </si>
  <si>
    <t>HUN-MARTONVASAR MARTONVASAR-HUS KFT Vásárlás(2023.11.04) Card:5444-0XXX-XX68-8737 MCC5422 HUN-MARTONVASAR MARTONVASAR-HUS KFT 5.850,00 HUF Kártyatranzakció</t>
  </si>
  <si>
    <t>HUN-Fehervar Womens Vásárlás(2023.11.03) Card:5444-0XXX-XX68-8737 MCC5691 HUN-Fehervar Womens 11.784,00 HUF Kártyatranzakció</t>
  </si>
  <si>
    <t>OTP MARTONVASAR 19.000,00 HUF Kp felvét</t>
  </si>
  <si>
    <t>Készpénzfelvétel</t>
  </si>
  <si>
    <t>OTPMOBL Online Szolg. BUDAPEST 750,00 HUF Vásárlás</t>
  </si>
  <si>
    <t>KORMA'NYABLAK MARTONVA MARTONVASAR 1.550,00 HUF Vásárlás</t>
  </si>
  <si>
    <t>OTPMOBL DIJNET.HU BUDAPEST 4.567,00 HUF Vásárlás</t>
  </si>
  <si>
    <t>MVM NEXT ENERGIAK BUDAPEST 8.484,00 HUF Vásárlás</t>
  </si>
  <si>
    <t>TELEKOMSZAML 638654586 BUDAPEST 7.056,00 HUF Vásárlás 18,43 EUR</t>
  </si>
  <si>
    <t>HUN-MARTONVASAR MARTON FRUIT Vásárlás(2023.10.31) Card:5444-0XXX-XX68-8737 MCC5499 HUN-MARTONVASAR MARTON FRUIT 483,00 HUF Kártyatranzakció</t>
  </si>
  <si>
    <t>HUN-BARACSKA CSIZ SAJTMUHELY KFT Vásárlás(2023.10.31) Card:5444-0XXX-XX68-8737 MCC5499 HUN-BARACSKA CSIZ SAJTMUHELY KFT 1.250,00 HUF Kártyatranzakció</t>
  </si>
  <si>
    <t>HUN-MARTONVASAR MARTONCOLOR FESTE'K Vásárlás(2023.10.31) Card:5444-0XXX-XX68-8737 MCC5198 HUN-MARTONVASAR MARTONCOLOR FESTE'K 1.790,00 HUF Kártyatranzakció</t>
  </si>
  <si>
    <t>LTU-Vilnius VINTED 7463254702 Vásárlás(2023.10.29) Card:5444-0XXX-XX68-8737 MCC5931 LTU-Vilnius VINTED 7463254702 6.929,00 HUF Kártyatranzakció</t>
  </si>
  <si>
    <t>TESCO 41970 O NKISZOLG ERD 799,00 HUF Vásárlás</t>
  </si>
  <si>
    <t>Zagyva a - - -</t>
  </si>
  <si>
    <t>HUN-BUDAPEST OTPMOBL*JEGY.LIGETBUDA Áru vissza/befizetés(2023.10.26) Card:5444-0XXX-XX68-8737 MCC7922 HUN-BUDAPEST OTPMOBL*JEGY.LIGETBUDA 6.600,00 HUF Kártyatranzakció</t>
  </si>
  <si>
    <t>HUN-MARTONVASAR VIANNI U:ZLET Vásárlás(2023.10.28) Card:5444-0XXX-XX68-8737 MCC5399 HUN-MARTONVASAR VIANNI U:ZLET 750,00 HUF Kártyatranzakció</t>
  </si>
  <si>
    <t>HUN-BARACSKA CSIZ SAJTMUHELY KFT Vásárlás(2023.10.28) Card:5444-0XXX-XX68-8737 MCC5499 HUN-BARACSKA CSIZ SAJTMUHELY KFT 2.140,00 HUF Kártyatranzakció</t>
  </si>
  <si>
    <t>HUN-AGARD LIDL ARUHAZ 0306.SZ. Vásárlás(2023.10.26) Card:5444-0XXX-XX68-8737 MCC5411 HUN-AGARD LIDL ARUHAZ 0306.SZ. 15.498,00 HUF Kártyatranzakció</t>
  </si>
  <si>
    <t>HUN-GARDONY DM 316.SZ. Vásárlás(2023.10.26) Card:5444-0XXX-XX68-8737 MCC5977 HUN-GARDONY DM 316.SZ. 23.168,00 HUF Kártyatranzakció</t>
  </si>
  <si>
    <t>IKEA BUDAORS UGYFE Budaors 5.065,00 HUF Vásárlás</t>
  </si>
  <si>
    <t>TESCO 41520 O NKISZOLG BUDAORS 4.023,00 HUF Vásárlás</t>
  </si>
  <si>
    <t>MARTONVASAR-HUS KFT MARTONVASAR 2.340,00 HUF Vásárlás</t>
  </si>
  <si>
    <t>HUN-MARTONVASAR TESCO 44089 O:NKISZ Vásárlás(2023.10.25) Card:5444-0XXX-XX68-8737 MCC5311 HUN-MARTONVASAR TESCO 44089 O:NKISZ OLG 5.363,00 HUF Kártyatranzakció</t>
  </si>
  <si>
    <t>Engel Budapest Étterem</t>
  </si>
  <si>
    <t>TESCO 44089 O NKISZOLG MARTONVASAR 559,00 HUF Vásárlás</t>
  </si>
  <si>
    <t>ENGEL ETTEREM BUDAPEST 2.490,00 HUF Vásárlás</t>
  </si>
  <si>
    <t>TESCO 44089 O NKISZOLG MARTONVASAR 409,00 HUF Vásárlás</t>
  </si>
  <si>
    <t>New York Bagel Kft Budapest 1.690,00 HUF Vásárlás 4,42 EUR</t>
  </si>
  <si>
    <t>SKYSHOWTIME 08AC6 HU Amsterdam 999,00 HUF Vásárlás 2,62 EUR</t>
  </si>
  <si>
    <t>HUN-MARTONVASAR MARTONVASAR-HUS KFT Vásárlás(2023.10.21) Card:5444-0XXX-XX68-8737 MCC5422 HUN-MARTONVASAR MARTONVASAR-HUS KFT 1.320,00 HUF Kártyatranzakció</t>
  </si>
  <si>
    <t>HUN-BARACSKA CSIZ SAJTMUHELY KFT Vásárlás(2023.10.19) Card:5444-0XXX-XX68-8737 MCC5499 HUN-BARACSKA CSIZ SAJTMUHELY KFT 1.500,00 HUF Kártyatranzakció</t>
  </si>
  <si>
    <t>HUN-MARTONVASAR MARTONVASAR-HUS KFT Vásárlás(2023.10.21) Card:5444-0XXX-XX68-8737 MCC5422 HUN-MARTONVASAR MARTONVASAR-HUS KFT 1.610,00 HUF Kártyatranzakció</t>
  </si>
  <si>
    <t>HUN-BARACSKA CSIZ SAJTMUHELY KFT Vásárlás(2023.10.21) Card:5444-0XXX-XX68-8737 MCC5499 HUN-BARACSKA CSIZ SAJTMUHELY KFT 1.660,00 HUF Kártyatranzakció</t>
  </si>
  <si>
    <t>HUN-BUDAORS DM 311.SZ. Vásárlás(2023.10.20) Card:5444-0XXX-XX68-8737 MCC5977 HUN-BUDAORS DM 311.SZ. 3.306,00 HUF Kártyatranzakció</t>
  </si>
  <si>
    <t>11773353-59010812-00000000 Kovácsné Tonkó Csilla Mária KT-2023-214 Kimenő azonnali megbízás</t>
  </si>
  <si>
    <t>MARTON FRUIT MARTONVASAR 2.385,00 HUF Vásárlás</t>
  </si>
  <si>
    <t>DM 311.SZ. BUDAORS 1.899,00 HUF Vásárlás</t>
  </si>
  <si>
    <t>LIBRI BUDAO RS BUDAORS 14.250,00 HUF Vásárlás</t>
  </si>
  <si>
    <t>BRENDON BABAARUHAZ BUDAORS 9.380,00 HUF Vásárlás</t>
  </si>
  <si>
    <t>Pv Rfk 2613100040432 Czuprik Gergely TGG64 1</t>
  </si>
  <si>
    <t>LTU-Vilnius VINTED 7335731085 Vásárlás(2023.10.18) Card:5444-0XXX-XX68-8737 MCC5931 LTU-Vilnius VINTED 7335731085 1.689,00 HUF Kártyatranzakció</t>
  </si>
  <si>
    <t>LTU-Vilnius VINTED 7335653103 Vásárlás(2023.10.17) Card:5444-0XXX-XX68-8737 MCC5931 LTU-Vilnius VINTED 7335653103 3.389,00 HUF Kártyatranzakció</t>
  </si>
  <si>
    <t>ROSSMANN 260 BUDAORS 2.178,00 HUF Vásárlás</t>
  </si>
  <si>
    <t>MEDICINA PATIKA BUDAORS 20.346,00 HUF Vásárlás</t>
  </si>
  <si>
    <t>CATCHBURGER-SEWOBS BUDAPEST 3.240,00 HUF Vásárlás</t>
  </si>
  <si>
    <t>eMAG.hu/marketplace/ne Budapest 28.002,00 HUF Vásárlás</t>
  </si>
  <si>
    <t>New York Bagel Kft Budapest 1.690,00 HUF Vásárlás 4,39 EUR</t>
  </si>
  <si>
    <t>HUN-BUDAPEST OTPMOBL*perfektnatura. Vásárlás(2023.10.16) Card:5444-0XXX-XX68-8737 MCC5499 HUN-BUDAPEST OTPMOBL*perfektnatura. 3.490,00 HUF Kártyatranzakció</t>
  </si>
  <si>
    <t>10404089-77505256-56561006 Váradiné Szabó Mariann Rács Kimenő azonnali megbízás</t>
  </si>
  <si>
    <t>LIDL ARUHAZ 0349.SZ. BUDAORS 16.776,00 HUF Vásárlás</t>
  </si>
  <si>
    <t>TESCO 41520 O NKISZOLG BUDAORS 37.717,00 HUF Vásárlás</t>
  </si>
  <si>
    <t>Disney Plus Hoofddorp 599,00 HUF Vásárlás 1,55 EUR</t>
  </si>
  <si>
    <t>HUN-MARTONVASAR 127.COOP SZUPER 1. Vásárlás(2023.10.14) Card:5444-0XXX-XX68-8737 MCC5411 HUN-MARTONVASAR 127.COOP SZUPER 1. 899,00 HUF Kártyatranzakció</t>
  </si>
  <si>
    <t>LTU-Vilnius VINTED 7300580581 Vásárlás(2023.10.14) Card:5444-0XXX-XX68-8737 MCC5931 LTU-Vilnius VINTED 7300580581 929,00 HUF Kártyatranzakció</t>
  </si>
  <si>
    <t>LTU-Vilnius VINTED 7301069094 Vásárlás(2023.10.14) Card:5444-0XXX-XX68-8737 MCC5931 LTU-Vilnius VINTED 7301069094 9.945,00 HUF Kártyatranzakció</t>
  </si>
  <si>
    <t>TESCO 44089 O NKISZOLG MARTONVASAR 3.405,00 HUF Vásárlás</t>
  </si>
  <si>
    <t>MEDICZ PATIKA Martonvasar 4.830,00 HUF Vásárlás 12,46 EUR</t>
  </si>
  <si>
    <t>LTU-Vilnius VINTED 7277807287 Vásárlás(2023.10.12) Card:5444-0XXX-XX68-8737 MCC5931 LTU-Vilnius VINTED 7277807287 3.179,00 HUF Kártyatranzakció</t>
  </si>
  <si>
    <t>LTU-Vilnius VINTED 7278321484 Vásárlás(2023.10.12) Card:5444-0XXX-XX68-8737 MCC5931 LTU-Vilnius VINTED 7278321484 20.222,00 HUF Kártyatranzakció</t>
  </si>
  <si>
    <t>HUN-BUDAPEST OTPMOBL*CSEPPKE.HU Vásárlás(2023.10.13) Card:5444-0XXX-XX68-8737 MCC5641 HUN-BUDAPEST OTPMOBL*CSEPPKE.HU 22.180,00 HUF Kártyatranzakció</t>
  </si>
  <si>
    <t>LIDL ARUHAZ 0349.SZ. BUDAORS 12.734,00 HUF Vásárlás</t>
  </si>
  <si>
    <t>127.COOP SZUPER 1. MARTONVASAR 588,00 HUF Vásárlás</t>
  </si>
  <si>
    <t>DM 311.SZ. BUDAORS 11.535,00 HUF Vásárlás</t>
  </si>
  <si>
    <t>IKEA BUDAORS BEVASAR Budaors 14.265,00 HUF Vásárlás</t>
  </si>
  <si>
    <t>HUN-MARTONVASAR KEPESVARAZS KFT. Vásárlás(2023.10.11) Card:5444-0XXX-XX68-8737 MCC5111 HUN-MARTONVASAR KEPESVARAZS KFT. 630,00 HUF Kártyatranzakció</t>
  </si>
  <si>
    <t>HUN-MARTONVASAR TESCO 44089 O:NKISZ Vásárlás(2023.10.11) Card:5444-0XXX-XX68-8737 MCC5311 HUN-MARTONVASAR TESCO 44089 O:NKISZ OLG 1.122,00 HUF Kártyatranzakció</t>
  </si>
  <si>
    <t>HUN-BARACSKA CSIZ SAJTMUHELY KFT Vásárlás(2023.10.11) Card:5444-0XXX-XX68-8737 MCC5499 HUN-BARACSKA CSIZ SAJTMUHELY KFT 1.420,00 HUF Kártyatranzakció</t>
  </si>
  <si>
    <t>HUN-MARTONVASAR MARTON MARKET Vásárlás(2023.10.10) Card:5444-0XXX-XX68-8737 MCC5411 HUN-MARTONVASAR MARTON MARKET 899,00 HUF Kártyatranzakció</t>
  </si>
  <si>
    <t>HUN-MARTONVASAR TESCO 44089 Vásárlás(2023.10.09) Card:5444-0XXX-XX68-8737 MCC5311 HUN-MARTONVASAR TESCO 44089 838,00 HUF Kártyatranzakció</t>
  </si>
  <si>
    <t>HUN-MARTONVASAR KEPESVARAZS KFT. Vásárlás(2023.10.09) Card:5444-0XXX-XX68-8737 MCC5111 HUN-MARTONVASAR KEPESVARAZS KFT. 989,00 HUF Kártyatranzakció</t>
  </si>
  <si>
    <t>MAGYAR ALLAMKINCSTAR BUDAPEST 56.041,00 HUF Vásárlás</t>
  </si>
  <si>
    <t>SIMPLE PARKOL S BUDAPEST 232,00 HUF Vásárlás</t>
  </si>
  <si>
    <t>WHITE HOUSE BUDAPEST 850,00 HUF Vásárlás</t>
  </si>
  <si>
    <t>PL:P/10OCT23 Tőkefizetés Hitel /21-41194/</t>
  </si>
  <si>
    <t>HUN-Budapest cinemacity.hu Vásárlás(2023.10.08) Card:5444-0XXX-XX68-8737 MCC7832 HUN-Budapest cinemacity.hu 5.240,00 HUF Kártyatranzakció</t>
  </si>
  <si>
    <t>Mozi</t>
  </si>
  <si>
    <t>MAMMUT BEV.KP.PARK.AUT BUDAPEST 2.000,00 HUF Vásárlás</t>
  </si>
  <si>
    <t>DECATHLON BUDAORS BUDAORS 29.550,00 HUF Vásárlás</t>
  </si>
  <si>
    <t>ruha</t>
  </si>
  <si>
    <t>CINEMA CITY MAMMUT BUDAPEST 2.350,00 HUF Vásárlás</t>
  </si>
  <si>
    <t>AUTOMATA TO LTO'A'LLOM KAPOLNASNYEK 44.800,00 HUF Vásárlás</t>
  </si>
  <si>
    <t>PL:I/10OCT23 Kamatfizetés  Hitel /21-41194/</t>
  </si>
  <si>
    <t>HUN-BARACSKA CSIZ SAJTMUHELY KFT Vásárlás(2023.10.06) Card:5444-0XXX-XX68-8737 MCC5499 HUN-BARACSKA CSIZ SAJTMUHELY KFT 1.080,00 HUF Kártyatranzakció</t>
  </si>
  <si>
    <t>HUN-GARDONY ALDI 5.SZ. Vásárlás(2023.10.05) Card:5444-0XXX-XX68-8737 MCC5411 HUN-GARDONY ALDI 5.SZ. 2.584,00 HUF Kártyatranzakció</t>
  </si>
  <si>
    <t>11773353-59010812-00000000 Kovácsné Tonkó Csilla Mária KT-2023-208 Kimenő azonnali megbízás</t>
  </si>
  <si>
    <t>HUN-BUDAPEST BARIONP*BARION.COM/GUE Vásárlás(2023.10.06) Card:5444-0XXX-XX68-8737 MCC7299 HUN-BUDAPEST BARIONP*BARION.COM/GUE 10.389,00 HUF Kártyatranzakció</t>
  </si>
  <si>
    <t>HUN-BUDAPEST OTPMOBL*SKINSMART.HU Vásárlás(2023.10.06) Card:5444-0XXX-XX68-8737 MCC5977 HUN-BUDAPEST OTPMOBL*SKINSMART.HU 16.990,00 HUF Kártyatranzakció</t>
  </si>
  <si>
    <t>HUN-AGARD LIDL ARUHAZ 0306.SZ. Vásárlás(2023.10.05) Card:5444-0XXX-XX68-8737 MCC5411 HUN-AGARD LIDL ARUHAZ 0306.SZ. 22.138,00 HUF Kártyatranzakció</t>
  </si>
  <si>
    <t>BRENDON BABAARUHAZ BUDAORS 1.990,00 HUF Vásárlás</t>
  </si>
  <si>
    <t>LIDL ARUHAZ 0349.SZ. BUDAORS 9.781,00 HUF Vásárlás</t>
  </si>
  <si>
    <t>LIBRI BUDAO RS BUDAORS 2.190,00 HUF Vásárlás</t>
  </si>
  <si>
    <t>Cafe Frei ~ Mammut Budapest 240,00 HUF Vásárlás 0,62 EUR</t>
  </si>
  <si>
    <t>Cafe Frei ~ Mammut Budapest 2.490,00 HUF Vásárlás 6,43 EUR</t>
  </si>
  <si>
    <t>Padthai Wokbar</t>
  </si>
  <si>
    <t>CCC Tesco Budaörs Budaörs 1.695,00 HUF Vásárlás</t>
  </si>
  <si>
    <t>GENERTEL ZRT. A14011838 202309290557019016 10016736752</t>
  </si>
  <si>
    <t>HUN-MARTONVASAR TESCO 44089 O:NKISZ Vásárlás(2023.10.03) Card:5444-0XXX-XX68-8737 MCC5311 HUN-MARTONVASAR TESCO 44089 O:NKISZ OLG 2.442,00 HUF Kártyatranzakció</t>
  </si>
  <si>
    <t>LTU-Vilnius VINTED 7179380234 Vásárlás(2023.10.03) Card:5444-0XXX-XX68-8737 MCC5931 LTU-Vilnius VINTED 7179380234 11.569,00 HUF Kártyatranzakció</t>
  </si>
  <si>
    <t>LTU-Vilnius VINTED 7176981479 Vásárlás(2023.10.03) Card:5444-0XXX-XX68-8737 MCC5931 LTU-Vilnius VINTED 7176981479 6.329,00 HUF Kártyatranzakció</t>
  </si>
  <si>
    <t>MVM NEXT ENERGIAK BUDAPEST 8.500,00 HUF Vásárlás</t>
  </si>
  <si>
    <t>OTPMOBL DIJNET.HU BUDAPEST 43.720,00 HUF Vásárlás</t>
  </si>
  <si>
    <t>KATIMAMI PE'KSE'G 1 ERD 900,00 HUF Vásárlás</t>
  </si>
  <si>
    <t>OTPMOBL EON.HU BUDAPEST 26.213,00 HUF Vásárlás</t>
  </si>
  <si>
    <t>Catch Burger</t>
  </si>
  <si>
    <t>LIDL ARUHAZ 0306.SZ. AGARD 10.595,00 HUF Vásárlás</t>
  </si>
  <si>
    <t>OMV 2087 M7 Kajaszo b 2.298,00 HUF Vásárlás</t>
  </si>
  <si>
    <t>HUN-BARACSKA CSIZ SAJTMUHELY KFT Vásárlás(2023.09.30) Card:5444-0XXX-XX68-8737 MCC5499 HUN-BARACSKA CSIZ SAJTMUHELY KFT 2.410,00 HUF Kártyatranzakció</t>
  </si>
  <si>
    <t>HUN-GARDONY ALDI 5.SZ. Vásárlás(2023.09.30) Card:5444-0XXX-XX68-8737 MCC5411 HUN-GARDONY ALDI 5.SZ. 9.894,00 HUF Kártyatranzakció</t>
  </si>
  <si>
    <t>HUN-GARDONY DM 316.SZ. Vásárlás(2023.09.30) Card:5444-0XXX-XX68-8737 MCC5977 HUN-GARDONY DM 316.SZ. 11.613,00 HUF Kártyatranzakció</t>
  </si>
  <si>
    <t>HUN-AGARD LIDL ARUHAZ 0306.SZ. Vásárlás(2023.09.30) Card:5444-0XXX-XX68-8737 MCC5411 HUN-AGARD LIDL ARUHAZ 0306.SZ. 13.771,00 HUF Kártyatranzakció</t>
  </si>
  <si>
    <t>Kamatado</t>
  </si>
  <si>
    <t>LIDL ARUHAZ 0167.SZ. BUDAPEST 11.558,00 HUF Vásárlás</t>
  </si>
  <si>
    <t>VIANNI U ZLET MARTONVASAR 2.268,00 HUF Vásárlás</t>
  </si>
  <si>
    <t>OMV 2081 Budapest Kac 10.014,00 HUF Vásárlás</t>
  </si>
  <si>
    <t>ALDI 35.SZ. DUNAHARASZTI 1.759,00 HUF Vásárlás</t>
  </si>
  <si>
    <t>SIMPLE PARKOL S BUDAPEST 184,00 HUF Vásárlás</t>
  </si>
  <si>
    <t>SZE'KESFEH. MVVH SZEKESFEHERV 30.035,00 HUF Vásárlás</t>
  </si>
  <si>
    <t>Postakocsi Italiano Kft.</t>
  </si>
  <si>
    <t>Int.Appl. to   30/09/23</t>
  </si>
  <si>
    <t>SZOCHO to      30/09/23</t>
  </si>
  <si>
    <t>CRT to         30/09/23</t>
  </si>
  <si>
    <t>LO-RE 2005 Kft Solymr 1.200,00 HUF Vásárlás 3,07 EUR</t>
  </si>
  <si>
    <t>Café Frei Budapest - Nordic Light</t>
  </si>
  <si>
    <t>HUN-MARTONVASAR MARTON MARKET Vásárlás(2023.09.26) Card:5444-0XXX-XX68-8737 MCC5411 HUN-MARTONVASAR MARTON MARKET 899,00 HUF Kártyatranzakció</t>
  </si>
  <si>
    <t>LTU-Vilnius VINTED 7114814778 Vásárlás(2023.09.26) Card:5444-0XXX-XX68-8737 MCC5931 LTU-Vilnius VINTED 7114814778 7.630,00 HUF Kártyatranzakció</t>
  </si>
  <si>
    <t>HUN-MARTONVASAR MARTON KLINIK Vásárlás(2023.09.26) Card:5444-0XXX-XX68-8737 MCC8099 HUN-MARTONVASAR MARTON KLINIK 20.000,00 HUF Kártyatranzakció</t>
  </si>
  <si>
    <t>Netflix.com Los Gatos 3.490,00 HUF Vásárlás 8,94 EUR</t>
  </si>
  <si>
    <t>Béresalexandra</t>
  </si>
  <si>
    <t>BIZDERI CSABA Sövényvágó</t>
  </si>
  <si>
    <t>HUN-GARDONY CSASZI2020 KFT. Vásárlás(2023.09.23) Card:5444-0XXX-XX68-8737 MCC5411 HUN-GARDONY CSASZI2020 KFT. 1.699,00 HUF Kártyatranzakció</t>
  </si>
  <si>
    <t>HUN-ERD SALON PARTNERS KFT Vásárlás(2023.09.21) Card:5444-0XXX-XX68-8737 MCC5977 HUN-ERD SALON PARTNERS KFT 25.460,00 HUF Kártyatranzakció</t>
  </si>
  <si>
    <t>LIDL ARUHAZ 0306.SZ. AGARD 17.391,00 HUF Vásárlás</t>
  </si>
  <si>
    <t>TESCO 44089 O NKISZOLG MARTONVASAR 1.668,00 HUF Vásárlás</t>
  </si>
  <si>
    <t>IKEA BUDAORS UGYFE Budaors 6.720,00 HUF Vásárlás</t>
  </si>
  <si>
    <t>SKYSHOWTIME CFFB5 HU Amsterdam 999,00 HUF Vásárlás 2,58 EUR</t>
  </si>
  <si>
    <t>Burger King ÉRD</t>
  </si>
  <si>
    <t>eMAG.hu Budapest 17.698,00 HUF Vásárlás</t>
  </si>
  <si>
    <t>CSIZ SAJTMUHELY KFT BARACSKA 1.300,00 HUF Vásárlás</t>
  </si>
  <si>
    <t>Foodora.hu</t>
  </si>
  <si>
    <t>HUN-MARTONVASAR MARTON MARKET Vásárlás(2023.09.18) Card:5444-0XXX-XX68-8737 MCC5411 HUN-MARTONVASAR MARTON MARKET 388,00 HUF Kártyatranzakció</t>
  </si>
  <si>
    <t>HUN-BUDAORS MEDICINA PATIKA Vásárlás(2023.09.18) Card:5444-0XXX-XX68-8737 MCC5912 HUN-BUDAORS MEDICINA PATIKA 1.179,00 HUF Kártyatranzakció</t>
  </si>
  <si>
    <t>11773339-01631223-00000000 Rácz Irén Karsai Adrienn fenyőrügy tea Kimenő azonnali megbízás</t>
  </si>
  <si>
    <t>HUN-BUDAORS MEDICINA PATIKA Vásárlás(2023.09.18) Card:5444-0XXX-XX68-8737 MCC5912 HUN-BUDAORS MEDICINA PATIKA 8.711,00 HUF Kártyatranzakció</t>
  </si>
  <si>
    <t>DM 311.SZ. BUDAORS 19.567,00 HUF Vásárlás</t>
  </si>
  <si>
    <t>ALDI 156.SZ. BUDAORS 5.767,00 HUF Vásárlás</t>
  </si>
  <si>
    <t>AUCHAN BUDAORS BUDAORS 10.502,00 HUF Vásárlás</t>
  </si>
  <si>
    <t>CSIZ SAJTMUHELY KFT BARACSKA 1.530,00 HUF Vásárlás</t>
  </si>
  <si>
    <t>HUN-MARTONVASAR MARTON MARKET Vásárlás(2023.09.16) Card:5444-0XXX-XX68-8737 MCC5411 HUN-MARTONVASAR MARTON MARKET 1.446,00 HUF Kártyatranzakció</t>
  </si>
  <si>
    <t>HUN-BARACSKA CSIZ SAJTMUHELY KFT Vásárlás(2023.09.16) Card:5444-0XXX-XX68-8737 MCC5499 HUN-BARACSKA CSIZ SAJTMUHELY KFT 1.930,00 HUF Kártyatranzakció</t>
  </si>
  <si>
    <t>SZENT KERESZT GYO'GYSZ RACKERESZTUR 3.032,00 HUF Vásárlás</t>
  </si>
  <si>
    <t>MARTON FRUIT MARTONVASAR 968,00 HUF Vásárlás</t>
  </si>
  <si>
    <t>SPAR PARTNER 6920220 ERCSI 12.459,00 HUF Vásárlás</t>
  </si>
  <si>
    <t>MARTON FRUIT MARTONVASAR 1.115,00 HUF Vásárlás</t>
  </si>
  <si>
    <t>TESCO 44089 O NKISZOLG MARTONVASAR 581,00 HUF Vásárlás</t>
  </si>
  <si>
    <t>SESZTAK OPTIKA MARTONVASAR 600,00 HUF Vásárlás</t>
  </si>
  <si>
    <t>DISNEY PLUS AMSTERDAM 599,00 HUF Vásárlás 1,56 EUR</t>
  </si>
  <si>
    <t>Medicz Gyogyszertar Martonvasar 3.908,00 HUF Vásárlás 10,18 EUR</t>
  </si>
  <si>
    <t>Martonvásár Város Önkormányzata 8325</t>
  </si>
  <si>
    <t>11773360-00508285-00000000 Veing Zsuzsanna Kimenő azonnali megbízás</t>
  </si>
  <si>
    <t>LIDL ARUHAZ 0349.SZ. BUDAORS 18.597,00 HUF Vásárlás</t>
  </si>
  <si>
    <t>BRENDON BABAARUHAZ BUDAORS 47.828,00 HUF Vásárlás</t>
  </si>
  <si>
    <t>CSIZ SAJTMUHELY KFT BARACSKA 2.920,00 HUF Vásárlás</t>
  </si>
  <si>
    <t>OTPMOBL NAV Mobil app. BUDAPEST 24.630,00 HUF Vásárlás</t>
  </si>
  <si>
    <t>SZENT KERESZT GYO'GYSZ RACKERESZTUR 15.635,00 HUF Vásárlás</t>
  </si>
  <si>
    <t>MEDICINA PATIKA BUDAORS 7.759,00 HUF Vásárlás</t>
  </si>
  <si>
    <t>VIANNI U ZLET MARTONVASAR 1.000,00 HUF Vásárlás</t>
  </si>
  <si>
    <t>MVM NEXT ENERGIAK BUDAPEST 1.495,00 HUF Vásárlás</t>
  </si>
  <si>
    <t>VIANNI U ZLET MARTONVASAR 3.938,00 HUF Vásárlás</t>
  </si>
  <si>
    <t>DM 316.SZ. GARDONY 5.103,00 HUF Vásárlás</t>
  </si>
  <si>
    <t>AUTOMATA TO LTO'A'LLOM KAPOLNASNYEK 40.000,00 HUF Vásárlás</t>
  </si>
  <si>
    <t>LIDL ARUHAZ 0306.SZ. AGARD 12.553,00 HUF Vásárlás</t>
  </si>
  <si>
    <t>LIDL ARUHAZ 0117.SZ. SZEKESFEHERV 3.897,00 HUF Vásárlás</t>
  </si>
  <si>
    <t>ALDI 5.SZ. GARDONY 6.196,00 HUF Vásárlás</t>
  </si>
  <si>
    <t>TESCO 44089 MARTONVASAR 2.249,00 HUF Vásárlás</t>
  </si>
  <si>
    <t>127.COOP SZUPER 1. MARTONVASAR 458,00 HUF Vásárlás</t>
  </si>
  <si>
    <t>HUN-GARDONY CSASZI2020 KFT. Vásárlás(2023.09.07) Card:5444-0XXX-XX68-8737 MCC5411 HUN-GARDONY CSASZI2020 KFT. 948,00 HUF Kártyatranzakció</t>
  </si>
  <si>
    <t>HUN-BARACSKA CSIZ SAJTMUHELY KFT Vásárlás(2023.09.09) Card:5444-0XXX-XX68-8737 MCC5499 HUN-BARACSKA CSIZ SAJTMUHELY KFT 4.485,00 HUF Kártyatranzakció</t>
  </si>
  <si>
    <t>HUN-AGARD LIDL ARUHAZ 0306.SZ. Vásárlás(2023.09.07) Card:5444-0XXX-XX68-8737 MCC5411 HUN-AGARD LIDL ARUHAZ 0306.SZ. 14.084,00 HUF Kártyatranzakció</t>
  </si>
  <si>
    <t>HUN-GARDONY DM 316.SZ. Vásárlás(2023.09.07) Card:5444-0XXX-XX68-8737 MCC5977 HUN-GARDONY DM 316.SZ. 17.469,00 HUF Kártyatranzakció</t>
  </si>
  <si>
    <t>HUN-GARDONY ALDI 5.SZ. Vásárlás(2023.09.07) Card:5444-0XXX-XX68-8737 MCC5411 HUN-GARDONY ALDI 5.SZ. 23.426,00 HUF Kártyatranzakció</t>
  </si>
  <si>
    <t>SKYLIGHT BA'R BUDAPEST 5.509,00 HUF Vásárlás</t>
  </si>
  <si>
    <t>SIMPLE MOBILJEGY BUDAPEST 1.350,00 HUF Vásárlás</t>
  </si>
  <si>
    <t>A GRUND BUDAPEST 2.200,00 HUF Vásárlás</t>
  </si>
  <si>
    <t>SKYLIGHT BA'R BUDAPEST 1.350,00 HUF Vásárlás</t>
  </si>
  <si>
    <t>M.PETROL E'RD AUTOMATA ERD 9.990,00 HUF Vásárlás</t>
  </si>
  <si>
    <t>AUTOMATA TO LTO'A'LLOM KAPOLNASNYEK 28.403,00 HUF Vásárlás</t>
  </si>
  <si>
    <t>PL:P/10SEP23 Tőkefizetés Hitel /21-41194/</t>
  </si>
  <si>
    <t>11773353-59010812-00000000 Kovácsné Tonkó Csilla Mária KT-2023-182 Kimenő azonnali megbízás</t>
  </si>
  <si>
    <t>PL:I/10SEP23 Kamatfizetés  Hitel /21-41194/</t>
  </si>
  <si>
    <t>JIU JIU CENTER KFT. BUDAPEST 1.900,00 HUF Vásárlás</t>
  </si>
  <si>
    <t>Advance Kantin</t>
  </si>
  <si>
    <t>Kemal Pasa Torok Et Budapest 2.800,00 HUF Vásárlás</t>
  </si>
  <si>
    <t>SPAR 0167 BUDAPEST 999,00 HUF Vásárlás</t>
  </si>
  <si>
    <t>HUN-BARACSKA CSIZ SAJTMUHELY KFT Vásárlás(2023.09.05) Card:5444-0XXX-XX68-8737 MCC5499 HUN-BARACSKA CSIZ SAJTMUHELY KFT 1.270,00 HUF Kártyatranzakció</t>
  </si>
  <si>
    <t>ATM1063 RERD 2030 ERD 40.000,00 HUF Kp felvét</t>
  </si>
  <si>
    <t>Műszaki vizsga</t>
  </si>
  <si>
    <t>Automos rd Disd 2.000,00 HUF Vásárlás 5,21 EUR</t>
  </si>
  <si>
    <t>GENERTEL ZRT. A14011838 202308300353625293 10016736752</t>
  </si>
  <si>
    <t>Nhkv 16252513</t>
  </si>
  <si>
    <t>IRL-CORK APPLE.COM/BILL Vásárlás(2023.08.31) Card:5444-0XXX-XX68-8737 MCC5735 IRL-CORK APPLE.COM/BILL 2.790,00 HUF Kártyatranzakció</t>
  </si>
  <si>
    <t>HUN-BUDAPEST OTPMOBL*PINGVINPATIKA. Vásárlás(2023.09.01) Card:5444-0XXX-XX68-8737 MCC5912 HUN-BUDAPEST OTPMOBL*PINGVINPATIKA. 9.364,00 HUF Kártyatranzakció</t>
  </si>
  <si>
    <t>KAROLINA KAVEHAZ BALATONFURED 1.930,00 HUF Vásárlás</t>
  </si>
  <si>
    <t>KAROLINA KAVEHAZ BALATONFURED 21.579,00 HUF Vásárlás</t>
  </si>
  <si>
    <t>DM 316.SZ. GARDONY 5.594,00 HUF Vásárlás</t>
  </si>
  <si>
    <t>LIDL ARUHAZ 0306.SZ. AGARD 7.602,00 HUF Vásárlás</t>
  </si>
  <si>
    <t>ALDI 5.SZ. GARDONY 12.629,00 HUF Vásárlás</t>
  </si>
  <si>
    <t>KAROLINA KAVEHAZ BALATONFURED 6.250,00 HUF Vásárlás</t>
  </si>
  <si>
    <t>KEPESVARAZS KFT. MARTONVASAR 3.456,00 HUF Vásárlás</t>
  </si>
  <si>
    <t>OTP MARTONVASAR 50.000,00 HUF Kp felvét</t>
  </si>
  <si>
    <t>OTP MARTONVASAR 100.000,00 HUF Kp felvét</t>
  </si>
  <si>
    <t>TESCO 44089 O NKISZOLG MARTONVASAR 1.434,00 HUF Vásárlás</t>
  </si>
  <si>
    <t>HUN-Martonvasar MEDICZ PATIKA Vásárlás(2023.08.28) Card:5444-0XXX-XX68-8737 MCC5912 HUN-Martonvasar MEDICZ PATIKA 919,00 HUF Kártyatranzakció</t>
  </si>
  <si>
    <t>CSIZ SAJTMUHELY KFT BARACSKA 1.420,00 HUF Vásárlás</t>
  </si>
  <si>
    <t>TELEKOMSZAML 616601512 BUDAPEST 7.416,00 HUF Vásárlás 19,37 EUR</t>
  </si>
  <si>
    <t>HUN-VELENCE VELENCE GYOGYSZERTAR Vásárlás(2023.08.26) Card:5444-0XXX-XX68-8737 MCC5912 HUN-VELENCE VELENCE GYOGYSZERTAR 2.890,00 HUF Kártyatranzakció</t>
  </si>
  <si>
    <t>HUN-VELENCE VELENCE GYOGYSZERTAR Vásárlás(2023.08.26) Card:5444-0XXX-XX68-8737 MCC5912 HUN-VELENCE VELENCE GYOGYSZERTAR 9.269,00 HUF Kártyatranzakció</t>
  </si>
  <si>
    <t>MERX A'RUHA'Z GARDONY 390,00 HUF Vásárlás</t>
  </si>
  <si>
    <t>LIDL ARUHAZ 0306.SZ. AGARD 15.495,00 HUF Vásárlás</t>
  </si>
  <si>
    <t>BOHACS BARKACS ERD 17.196,00 HUF Vásárlás</t>
  </si>
  <si>
    <t>MARTON FRUIT MARTONVASAR 199,00 HUF Vásárlás</t>
  </si>
  <si>
    <t>TESCO 44089 O NKISZOLG MARTONVASAR 2.369,00 HUF Vásárlás</t>
  </si>
  <si>
    <t>CSIZ SAJTMUHELY KFT BARACSKA 4.390,00 HUF Vásárlás</t>
  </si>
  <si>
    <t>NETFLIX.COM 408-724-9160 3.490,00 HUF Vásárlás 9,12 EUR</t>
  </si>
  <si>
    <t>HUN-BUDAORS VISION EXPRESS Vásárlás(2023.08.23) Card:5444-0XXX-XX68-8737 MCC8043 HUN-BUDAORS VISION EXPRESS 11.168,00 HUF Kártyatranzakció</t>
  </si>
  <si>
    <t>DM 311.SZ. BUDAORS 9.003,00 HUF Vásárlás</t>
  </si>
  <si>
    <t>LIDL ARUHAZ 0349.SZ. BUDAORS 8.932,00 HUF Vásárlás</t>
  </si>
  <si>
    <t>SKYSHOWTIME A1239 HU Amsterdam 999,00 HUF Vásárlás 2,61 EUR</t>
  </si>
  <si>
    <t>HUN-MARTONVASAR TESCO 44089 O:NKISZ Vásárlás(2023.08.21) Card:5444-0XXX-XX68-8737 MCC5311 HUN-MARTONVASAR TESCO 44089 O:NKISZ OLG 299,00 HUF Kártyatranzakció</t>
  </si>
  <si>
    <t>BRENDON BABAARUHAZ BUDAORS 58.107,00 HUF Vásárlás</t>
  </si>
  <si>
    <t>OTPMOBL HERBAFERM.HU BUDAPEST 22.350,00 HUF Vásárlás</t>
  </si>
  <si>
    <t>OTPMOBL perfektnatura. BUDAPEST 5.470,00 HUF Vásárlás</t>
  </si>
  <si>
    <t>VIZ-, GAZ SZERELVENYB MARTONVASAR 3.429,00 HUF Vásárlás</t>
  </si>
  <si>
    <t>TESCO 44089 O NKISZOLG MARTONVASAR 890,00 HUF Vásárlás</t>
  </si>
  <si>
    <t>OBI 010 BUDAORS BUDAORS 33.432,00 HUF Vásárlás</t>
  </si>
  <si>
    <t>BARKACSBOLT MARTONVASAR 2.585,00 HUF Vásárlás</t>
  </si>
  <si>
    <t>ALDI 3.SZ. BUDAORS 15.778,00 HUF Vásárlás</t>
  </si>
  <si>
    <t>TMC klima Kft TMC-2023-45</t>
  </si>
  <si>
    <t>HUN-BARACSKA CSIZ SAJTMUHELY KFT Vásárlás(2023.08.18) Card:5444-0XXX-XX68-8737 MCC5499 HUN-BARACSKA CSIZ SAJTMUHELY KFT 1.990,00 HUF Kártyatranzakció</t>
  </si>
  <si>
    <t>HUN-MARTONVASAR OTP ATM készpénzfelvétel(2023.08.18) Card:5444-0XXX-XX68-8737 MCC6011 HUN-MARTONVASAR OTP 49.000,00 HUF Kártyatranzakció KLIMA</t>
  </si>
  <si>
    <t>HUN-MARTONVASAR OTP ATM készpénzfelvétel(2023.08.18) Card:5444-0XXX-XX68-8737 MCC6011 HUN-MARTONVASAR OTP 100.000,00 HUF Kártyatranzakció KLIMA</t>
  </si>
  <si>
    <t>Omnikont Kft #2967</t>
  </si>
  <si>
    <t>BARKACSBOLT MARTONVASAR 1.000,00 HUF Vásárlás</t>
  </si>
  <si>
    <t>TESCO 41970 O NKISZOLG ERD 3.399,00 HUF Vásárlás</t>
  </si>
  <si>
    <t>HUN-MARTONVASAR VIANNI U:ZLET Vásárlás(2023.08.15) Card:5444-0XXX-XX68-8737 MCC5399 HUN-MARTONVASAR VIANNI U:ZLET 499,00 HUF Kártyatranzakció</t>
  </si>
  <si>
    <t>HUN-BARACSKA CSIZ SAJTMUHELY KFT Vásárlás(2023.08.17) Card:5444-0XXX-XX68-8737 MCC5499 HUN-BARACSKA CSIZ SAJTMUHELY KFT 840,00 HUF Kártyatranzakció</t>
  </si>
  <si>
    <t>HUN-MARTONVASAR MARTON MARKET Vásárlás(2023.08.18) Card:5444-0XXX-XX68-8737 MCC5411 HUN-MARTONVASAR MARTON MARKET 1.507,00 HUF Kártyatranzakció</t>
  </si>
  <si>
    <t>HUN-MARTONVASAR KEPESVARAZS KFT. Vásárlás(2023.08.18) Card:5444-0XXX-XX68-8737 MCC5111 HUN-MARTONVASAR KEPESVARAZS KFT. 2.180,00 HUF Kártyatranzakció</t>
  </si>
  <si>
    <t>HUN-Budaors IKEA BUDAORS ETTEREM Vásárlás(2023.08.17) Card:5444-0XXX-XX68-8737 MCC5814 HUN-Budaors IKEA BUDAORS ETTEREM 4.980,00 HUF Kártyatranzakció</t>
  </si>
  <si>
    <t>HUN-BUDAORS LIDL ARUHAZ 0349.SZ. Vásárlás(2023.08.17) Card:5444-0XXX-XX68-8737 MCC5411 HUN-BUDAORS LIDL ARUHAZ 0349.SZ. 6.482,00 HUF Kártyatranzakció</t>
  </si>
  <si>
    <t>HUN-BUDAORS REGIO JA'TE'K BUDAO:RS Vásárlás(2023.08.16) Card:5444-0XXX-XX68-8737 MCC5945 HUN-BUDAORS REGIO JA'TE'K BUDAO:RS 8.985,00 HUF Kártyatranzakció</t>
  </si>
  <si>
    <t>HUN-BUDAORS DM 311.SZ. Vásárlás(2023.08.16) Card:5444-0XXX-XX68-8737 MCC5977 HUN-BUDAORS DM 311.SZ. 20.802,00 HUF Kártyatranzakció</t>
  </si>
  <si>
    <t>CSIZ SAJTMUHELY KFT BARACSKA 2.280,00 HUF Vásárlás</t>
  </si>
  <si>
    <t>TESCO 41970 O NKISZOLG ERD 2.786,00 HUF Vásárlás</t>
  </si>
  <si>
    <t>ADVANCE KANTIN BUDAPEST 2.550,00 HUF Vásárlás</t>
  </si>
  <si>
    <t>HUN-BUDAPEST BARIONP*BARION.COM/GUE Vásárlás(2023.08.14) Card:5444-0XXX-XX68-8737 MCC7299 HUN-BUDAPEST BARIONP*BARION.COM/GUE 7.130,00 HUF Kártyatranzakció</t>
  </si>
  <si>
    <t>TESCO 44089 MARTONVASAR 694,00 HUF Vásárlás</t>
  </si>
  <si>
    <t>Kiskifli Kávézó</t>
  </si>
  <si>
    <t>Tong Mao Kft.</t>
  </si>
  <si>
    <t>HUN-GARDONY CSASZI2020 KFT. Vásárlás(2023.08.13) Card:5444-0XXX-XX68-8737 MCC5411 HUN-GARDONY CSASZI2020 KFT. 6.985,00 HUF Kártyatranzakció</t>
  </si>
  <si>
    <t>HUN-MARTONVASAR KEPESVARAZS KFT. Vásárlás(2023.08.14) Card:5444-0XXX-XX68-8737 MCC5111 HUN-MARTONVASAR KEPESVARAZS KFT. 1.540,00 HUF Kártyatranzakció</t>
  </si>
  <si>
    <t>HUN-MARTONVASAR MARTON MARKET Vásárlás(2023.08.14) Card:5444-0XXX-XX68-8737 MCC5411 HUN-MARTONVASAR MARTON MARKET 3.385,00 HUF Kártyatranzakció</t>
  </si>
  <si>
    <t>11773353-59010812-00000000 Kovácsné Tonkó Csilla Mária KT-2023-166 Kimenő azonnali megbízás</t>
  </si>
  <si>
    <t>IKEA BUDAORS UGYFE Budaors 22.360,00 HUF Vásárlás</t>
  </si>
  <si>
    <t>REGIO JA'TE'K BUDAO RS BUDAORS 28.495,00 HUF Vásárlás</t>
  </si>
  <si>
    <t>MVM NEXT ENERGIAK BUDAPEST 8.900,00 HUF Vásárlás</t>
  </si>
  <si>
    <t>gáz</t>
  </si>
  <si>
    <t>MAGLO'D BENZINKU'T AUT MAGLOD 39.492,00 HUF Vásárlás</t>
  </si>
  <si>
    <t>OTPMOBL EON.HU BUDAPEST 5.588,00 HUF Vásárlás</t>
  </si>
  <si>
    <t>HUN-BUDAORS AUCHAN BUDAORS Vásárlás(2023.08.11) Card:5444-0XXX-XX68-8737 MCC5311 HUN-BUDAORS AUCHAN BUDAORS 10.370,00 HUF Kártyatranzakció</t>
  </si>
  <si>
    <t>HUN-BUDAORS BRENDON BABAARUHAZ Vásárlás(2023.08.11) Card:5444-0XXX-XX68-8737 MCC5331 HUN-BUDAORS BRENDON BABAARUHAZ 14.858,00 HUF Kártyatranzakció</t>
  </si>
  <si>
    <t>HUN-AGARD LIDL ARUHAZ 0306.SZ. Vásárlás(2023.08.10) Card:5444-0XXX-XX68-8737 MCC5411 HUN-AGARD LIDL ARUHAZ 0306.SZ. 15.808,00 HUF Kártyatranzakció</t>
  </si>
  <si>
    <t>HUN-BUDAORS TESCO 41520 O:NKISZOLG Vásárlás(2023.08.11) Card:5444-0XXX-XX68-8737 MCC5311 HUN-BUDAORS TESCO 41520 O:NKISZOLG 16.941,00 HUF Kártyatranzakció</t>
  </si>
  <si>
    <t>BRENDON BABAARUHAZ BUDAORS 4.290,00 HUF Vásárlás</t>
  </si>
  <si>
    <t>TESCO 44089 O NKISZOLG MARTONVASAR 1.518,00 HUF Vásárlás</t>
  </si>
  <si>
    <t>OTPMOBL PASTA APALY/LE BUDAPEST 2.000,00 HUF Vásárlás</t>
  </si>
  <si>
    <t>TESCO 44089 MARTONVASAR 4.894,00 HUF Vásárlás</t>
  </si>
  <si>
    <t>TESCO 44089 O NKISZOLG MARTONVASAR 1.928,00 HUF Vásárlás</t>
  </si>
  <si>
    <t>HUN-BARACSKA CSIZ SAJTMUHELY KFT Vásárlás(2023.08.08) Card:5444-0XXX-XX68-8737 MCC5499 HUN-BARACSKA CSIZ SAJTMUHELY KFT 2.670,00 HUF Kártyatranzakció</t>
  </si>
  <si>
    <t>HUN-BARACSKA CSIZ SAJTMUHELY KFT Vásárlás(2023.08.09) Card:5444-0XXX-XX68-8737 MCC5499 HUN-BARACSKA CSIZ SAJTMUHELY KFT 13.565,00 HUF Kártyatranzakció</t>
  </si>
  <si>
    <t>PL:P/10AUG23 Tőkefizetés Hitel /21-41194/</t>
  </si>
  <si>
    <t>CZE-Brno notino.hu Vásárlás(2023.08.08) Card:5444-0XXX-XX68-8737 MCC5977 CZE-Brno notino.hu 22.200,00 HUF Kártyatranzakció</t>
  </si>
  <si>
    <t>SZEKESFEHERVAR LOG. DE SZEKESFEHERV 12.980,00 HUF Vásárlás</t>
  </si>
  <si>
    <t>PL:I/10AUG23 Kamatfizetés  Hitel /21-41194/</t>
  </si>
  <si>
    <t>HUN-MARTONVASAR MARTON MARKET Vásárlás(2023.08.07) Card:5444-0XXX-XX68-8737 MCC5411 HUN-MARTONVASAR MARTON MARKET 649,00 HUF Kártyatranzakció</t>
  </si>
  <si>
    <t>HUN-MARTONVASAR KEPESVARAZS KFT. Vásárlás(2023.08.07) Card:5444-0XXX-XX68-8737 MCC5111 HUN-MARTONVASAR KEPESVARAZS KFT. 1.799,00 HUF Kártyatranzakció</t>
  </si>
  <si>
    <t>HUN-GARDONY CSASZI2020 KFT. Vásárlás(2023.08.04) Card:5444-0XXX-XX68-8737 MCC5411 HUN-GARDONY CSASZI2020 KFT. 5.035,00 HUF Kártyatranzakció</t>
  </si>
  <si>
    <t>HUN-GARDONY DM 316.SZ. Vásárlás(2023.08.04) Card:5444-0XXX-XX68-8737 MCC5977 HUN-GARDONY DM 316.SZ. 16.962,00 HUF Kártyatranzakció</t>
  </si>
  <si>
    <t>HUN-AGARD LIDL ARUHAZ 0306.SZ. Vásárlás(2023.08.04) Card:5444-0XXX-XX68-8737 MCC5411 HUN-AGARD LIDL ARUHAZ 0306.SZ. 18.729,00 HUF Kártyatranzakció</t>
  </si>
  <si>
    <t>REGIO JA'TE'K BUDAO RS BUDAORS 9.990,00 HUF Vásárlás</t>
  </si>
  <si>
    <t>VIZ-, GAZ SZERELVENYB MARTONVASAR 12.484,00 HUF Vásárlás</t>
  </si>
  <si>
    <t>TESCO 44089 O NKISZOLG MARTONVASAR 2.537,00 HUF Vásárlás</t>
  </si>
  <si>
    <t>MARTON MARKET MARTONVASAR 1.565,00 HUF Vásárlás</t>
  </si>
  <si>
    <t>PRAKTIKER 333. BUDAORS 14.990,00 HUF Vásárlás</t>
  </si>
  <si>
    <t>HUN-MARTONVASAR TESCO 44089 O:NKISZ Vásárlás(2023.08.02) Card:5444-0XXX-XX68-8737 MCC5311 HUN-MARTONVASAR TESCO 44089 O:NKISZ OLG 1.338,00 HUF Kártyatranzakció</t>
  </si>
  <si>
    <t>HUN-BARACSKA CSIZ SAJTMUHELY KFT Vásárlás(2023.08.02) Card:5444-0XXX-XX68-8737 MCC5499 HUN-BARACSKA CSIZ SAJTMUHELY KFT 1.470,00 HUF Kártyatranzakció</t>
  </si>
  <si>
    <t>Kemal Pasa Torok Et Budapest 2.300,00 HUF Vásárlás</t>
  </si>
  <si>
    <t>HUN-BARACSKA CSIZ SAJTMUHELY KFT Vásárlás(2023.08.01) Card:5444-0XXX-XX68-8737 MCC5499 HUN-BARACSKA CSIZ SAJTMUHELY KFT 2.620,00 HUF Kártyatranzakció</t>
  </si>
  <si>
    <t>MAGYAR ALLAMKINCSTAR BUDAPEST 615.246,00 HUF Vásárlás</t>
  </si>
  <si>
    <t>VIANNI U ZLET MARTONVASAR 1.590,00 HUF Vásárlás</t>
  </si>
  <si>
    <t>GENERALI ZRT. A10308024 202307259501000078 94005004927434400</t>
  </si>
  <si>
    <t>HUN-BARACSKA CSIZ SAJTMUHELY KFT Vásárlás(2023.07.27) Card:5444-0XXX-XX68-8737 MCC5499 HUN-BARACSKA CSIZ SAJTMUHELY KFT 1.470,00 HUF Kártyatranzakció</t>
  </si>
  <si>
    <t>HUN-SALGOTARJAN DM 151 Vásárlás(2023.07.29) Card:5444-0XXX-XX68-8737 MCC5977 HUN-SALGOTARJAN DM 151 4.923,00 HUF Kártyatranzakció</t>
  </si>
  <si>
    <t>HUN-SALGOTARJAN SPAR MAGYARORSZAG K Vásárlás(2023.07.29) Card:5444-0XXX-XX68-8737 MCC5411 HUN-SALGOTARJAN SPAR MAGYARORSZAG K FT 5.645,00 HUF Kártyatranzakció</t>
  </si>
  <si>
    <t>MOL 55219 HATVAN 3.796,00 HUF Vásárlás</t>
  </si>
  <si>
    <t>LIDL ARUHAZ 0314.SZ. SALGOTARJAN 8.297,00 HUF Vásárlás</t>
  </si>
  <si>
    <t>LIDL ARUHAZ 0306.SZ. AGARD 9.443,00 HUF Vásárlás</t>
  </si>
  <si>
    <t>HUN-MARTONVASAR VIANNI U:ZLET Vásárlás(2023.07.26) Card:5444-0XXX-XX68-8737 MCC5399 HUN-MARTONVASAR VIANNI U:ZLET 450,00 HUF Kártyatranzakció</t>
  </si>
  <si>
    <t>HUN-BARACSKA CSIZ SAJTMUHELY KFT Vásárlás(2023.07.26) Card:5444-0XXX-XX68-8737 MCC5499 HUN-BARACSKA CSIZ SAJTMUHELY KFT 840,00 HUF Kártyatranzakció</t>
  </si>
  <si>
    <t>HUN-Budapest SumUp  *Hortobagyi Kas Vásárlás(2023.07.26) Card:5444-0XXX-XX68-8737 MCC7230 HUN-Budapest SumUp  *Hortobagyi Kas 4.900,00 HUF Kártyatranzakció</t>
  </si>
  <si>
    <t>HUN-BUDAORS ROSSMANN 311. Vásárlás(2023.07.26) Card:5444-0XXX-XX68-8737 MCC5977 HUN-BUDAORS ROSSMANN 311. 15.257,00 HUF Kártyatranzakció</t>
  </si>
  <si>
    <t>NETFLIX.COM 408-724-9160 3.490,00 HUF Vásárlás 9,19 EUR</t>
  </si>
  <si>
    <t>HUN-BARACSKA CSIZ SAJTMUHELY KFT Vásárlás(2023.07.25) Card:5444-0XXX-XX68-8737 MCC5499 HUN-BARACSKA CSIZ SAJTMUHELY KFT 1.390,00 HUF Kártyatranzakció</t>
  </si>
  <si>
    <t>HUN-BARACSKA CSIZ SAJTMUHELY KFT Vásárlás(2023.07.25) Card:5444-0XXX-XX68-8737 MCC5499 HUN-BARACSKA CSIZ SAJTMUHELY KFT 2.760,00 HUF Kártyatranzakció</t>
  </si>
  <si>
    <t>10400872-50526688-72801000 Almássy-Fodor Dorottya Qfk-2023-46 Kimenő azonnali megbízás</t>
  </si>
  <si>
    <t>AUCHAN BUDAORS BUDAORS 15.046,00 HUF Vásárlás</t>
  </si>
  <si>
    <t>KFC Auchan Budaörs</t>
  </si>
  <si>
    <t>HUN-MARTONVASAR POSTAKOCSI E'TTEREM Vásárlás(2023.07.23) Card:5444-0XXX-XX68-8737 MCC5812 HUN-MARTONVASAR POSTAKOCSI E'TTEREM 1.300,00 HUF Kártyatranzakció</t>
  </si>
  <si>
    <t>11773353-59010812-00000000 Kovácsné Tonkó Csilla Mária KT-2023-152 Kimenő azonnali megbízás</t>
  </si>
  <si>
    <t>SZENT KERESZT GYO'GYSZ RACKERESZTUR 2.816,00 HUF Vásárlás</t>
  </si>
  <si>
    <t>SKYSHOWTIME 9F0C4 HU Amsterdam 999,00 HUF Vásárlás 2,62 EUR</t>
  </si>
  <si>
    <t>HUN-BARACSKA CSIZ SAJTMUHELY KFT Vásárlás(2023.07.20) Card:5444-0XXX-XX68-8737 MCC5499 HUN-BARACSKA CSIZ SAJTMUHELY KFT 1.470,00 HUF Kártyatranzakció</t>
  </si>
  <si>
    <t>HUN-BARACSKA CSIZ SAJTMUHELY KFT Vásárlás(2023.07.22) Card:5444-0XXX-XX68-8737 MCC5499 HUN-BARACSKA CSIZ SAJTMUHELY KFT 2.310,00 HUF Kártyatranzakció</t>
  </si>
  <si>
    <t>HUN-BARACSKA CSIZ SAJTMUHELY KFT Vásárlás(2023.07.22) Card:5444-0XXX-XX68-8737 MCC5499 HUN-BARACSKA CSIZ SAJTMUHELY KFT 2.680,00 HUF Kártyatranzakció</t>
  </si>
  <si>
    <t>HUN-GARDONY DM 316.SZ. Vásárlás(2023.07.21) Card:5444-0XXX-XX68-8737 MCC5977 HUN-GARDONY DM 316.SZ. 3.206,00 HUF Kártyatranzakció</t>
  </si>
  <si>
    <t>HUN-RACKERESZTUR SZENT KERESZT GYO' Vásárlás(2023.07.21) Card:5444-0XXX-XX68-8737 MCC5912 HUN-RACKERESZTUR SZENT KERESZT GYO' GYSZ 5.106,00 HUF Kártyatranzakció</t>
  </si>
  <si>
    <t>HUN-AGARD LIDL ARUHAZ 0306.SZ. Vásárlás(2023.07.21) Card:5444-0XXX-XX68-8737 MCC5411 HUN-AGARD LIDL ARUHAZ 0306.SZ. 21.150,00 HUF Kártyatranzakció</t>
  </si>
  <si>
    <t>HUN-ERD TUDAS KONYVKUCKO Vásárlás(2023.07.22) Card:5444-0XXX-XX68-8737 MCC5942 HUN-ERD TUDAS KONYVKUCKO 21.625,00 HUF Kártyatranzakció</t>
  </si>
  <si>
    <t>DM 311.SZ. BUDAORS 6.699,00 HUF Vásárlás</t>
  </si>
  <si>
    <t>LIDL ARUHAZ 0349.SZ. BUDAORS 4.999,00 HUF Vásárlás</t>
  </si>
  <si>
    <t>HUN-MARTONVASAR MARTON MARKET Vásárlás(2023.07.19) Card:5444-0XXX-XX68-8737 MCC5411 HUN-MARTONVASAR MARTON MARKET 1.797,00 HUF Kártyatranzakció</t>
  </si>
  <si>
    <t>HUN-BARACSKA CSIZ SAJTMUHELY KFT Vásárlás(2023.07.19) Card:5444-0XXX-XX68-8737 MCC5499 HUN-BARACSKA CSIZ SAJTMUHELY KFT 2.240,00 HUF Kártyatranzakció</t>
  </si>
  <si>
    <t>BRENDON BABAARUHAZ BUDAORS 75.570,00 HUF Vásárlás Gyerekszél</t>
  </si>
  <si>
    <t>HUN-BARACSKA CSIZ SAJTMUHELY KFT Vásárlás(2023.07.18) Card:5444-0XXX-XX68-8737 MCC5499 HUN-BARACSKA CSIZ SAJTMUHELY KFT 1.470,00 HUF Kártyatranzakció</t>
  </si>
  <si>
    <t>HUN-BICSKE GLS D120 DEPO' Vásárlás(2023.07.18) Card:5444-0XXX-XX68-8737 MCC4214 HUN-BICSKE GLS D120 DEPO' 27.490,00 HUF Kártyatranzakció</t>
  </si>
  <si>
    <t>víz</t>
  </si>
  <si>
    <t>TELEKOMSZAML 605191405 BUDAPEST 7.425,00 HUF Vásárlás 19,86 EUR</t>
  </si>
  <si>
    <t>TELEKOMFELT 605191752 BUDAPEST 3.000,00 HUF Vásárlás 8,02 EUR</t>
  </si>
  <si>
    <t>Telefon</t>
  </si>
  <si>
    <t>BUDAO RS BENZINKU'T AU BUDAORS 38.623,00 HUF Vásárlás</t>
  </si>
  <si>
    <t>AUCHAN BUDAORS BUDAORS 4.084,00 HUF Vásárlás</t>
  </si>
  <si>
    <t>White House</t>
  </si>
  <si>
    <t>10918001-00000083-47290003 KARSAINÉ GASSER MÁRIA Kimenő azonnali megbízás</t>
  </si>
  <si>
    <t>HUN-MARTONVASAR VIANNI U:ZLET Vásárlás(2023.07.14) Card:5444-0XXX-XX68-8737 MCC5399 HUN-MARTONVASAR VIANNI U:ZLET 620,00 HUF Kártyatranzakció</t>
  </si>
  <si>
    <t>LIDL ARUHAZ 0349.SZ. BUDAORS 16.959,00 HUF Vásárlás</t>
  </si>
  <si>
    <t>TESCO 44089 O NKISZOLG MARTONVASAR 116,00 HUF Vásárlás</t>
  </si>
  <si>
    <t>BARIONP BARION.COM/GUE BUDAPEST 19.070,00 HUF Vásárlás</t>
  </si>
  <si>
    <t>KOMA UZLETHAZ MARTONVASAR 2.280,00 HUF Vásárlás</t>
  </si>
  <si>
    <t>BARKACSBOLT MARTONVASAR 2.270,00 HUF Vásárlás</t>
  </si>
  <si>
    <t>EMAG BUDAO RS BUDAORS 39.990,00 HUF Vásárlás</t>
  </si>
  <si>
    <t>HUN-BARACSKA CSIZ SAJTMUHELY KFT Vásárlás(2023.07.12) Card:5444-0XXX-XX68-8737 MCC5499 HUN-BARACSKA CSIZ SAJTMUHELY KFT 2.060,00 HUF Kártyatranzakció</t>
  </si>
  <si>
    <t>KI'NAI BU FE' BUDAPEST 1.800,00 HUF Vásárlás</t>
  </si>
  <si>
    <t>A TABLE Pékség,Cukrászda</t>
  </si>
  <si>
    <t>HUN-MARTONVASAR TESCO 44089 O:NKISZ Vásárlás(2023.07.10) Card:5444-0XXX-XX68-8737 MCC5311 HUN-MARTONVASAR TESCO 44089 O:NKISZ OLG 589,00 HUF Kártyatranzakció</t>
  </si>
  <si>
    <t>HUN-BUDAORS BRENDON BABAARUHAZ Vásárlás(2023.07.10) Card:5444-0XXX-XX68-8737 MCC5331 HUN-BUDAORS BRENDON BABAARUHAZ 1.890,00 HUF Kártyatranzakció</t>
  </si>
  <si>
    <t>HUN-BUDAORS SALAD BOX Vásárlás(2023.07.10) Card:5444-0XXX-XX68-8737 MCC5812 HUN-BUDAORS SALAD BOX 6.580,00 HUF Kártyatranzakció</t>
  </si>
  <si>
    <t>11773353-59010812-00000000 Kovácsné Tonkó Csilla Mária KT-2023-146 Kimenő azonnali megbízás</t>
  </si>
  <si>
    <t>HUN-BUDAORS LIDL ARUHAZ 0349.SZ. Vásárlás(2023.07.10) Card:5444-0XXX-XX68-8737 MCC5411 HUN-BUDAORS LIDL ARUHAZ 0349.SZ. 18.485,00 HUF Kártyatranzakció</t>
  </si>
  <si>
    <t>HUN-BUDAORS DM 311.SZ. Vásárlás(2023.07.10) Card:5444-0XXX-XX68-8737 MCC5977 HUN-BUDAORS DM 311.SZ. 32.404,00 HUF Kártyatranzakció</t>
  </si>
  <si>
    <t>MAGYAR ALLAMKINCSTAR BUDAPEST 53.860,00 HUF Vásárlás</t>
  </si>
  <si>
    <t>MM BUDAO RS BUDAORS 14.598,00 HUF Vásárlás</t>
  </si>
  <si>
    <t>AUCHAN BUDAORS BUDAORS 1.199,00 HUF Vásárlás</t>
  </si>
  <si>
    <t>Andris mak 01437887</t>
  </si>
  <si>
    <t>ZSU-ANN/2 BUDAPEST 2.790,00 HUF Vásárlás</t>
  </si>
  <si>
    <t>PL:P/10JLY23 Tőkefizetés Hitel /21-41194/</t>
  </si>
  <si>
    <t>DECATHLON BUDAORS BUDAORS 9.980,00 HUF Vásárlás</t>
  </si>
  <si>
    <t>IKEA BUDAORS ETTEREM Budaors 7.461,00 HUF Vásárlás</t>
  </si>
  <si>
    <t>IKEA BUDAORS UGYFE Budaors 12.725,00 HUF Vásárlás</t>
  </si>
  <si>
    <t>Gazda-SAGI Bolt Martonvasar 2.980,00 HUF Vásárlás 7,71 EUR</t>
  </si>
  <si>
    <t>PL:I/10JLY23 Kamatfizetés  Hitel /21-41194/</t>
  </si>
  <si>
    <t>HUN-MARTONVASAR TESCO 44089 O:NKISZ Vásárlás(2023.07.05) Card:5444-0XXX-XX68-8737 MCC5311 HUN-MARTONVASAR TESCO 44089 O:NKISZ OLG 5.120,00 HUF Kártyatranzakció</t>
  </si>
  <si>
    <t>HUN-Budapest reserved.com/hu Áru vissza/befizetés(2023.07.04) Card:5444-0XXX-XX68-8737 MCC5691 HUN-Budapest reserved.com/hu 82.150,00 HUF Kártyatranzakció</t>
  </si>
  <si>
    <t>HUN-BIATORBAGY DM 351 SZ. Vásárlás(2023.07.04) Card:5444-0XXX-XX68-8737 MCC5977 HUN-BIATORBAGY DM 351 SZ. 5.998,00 HUF Kártyatranzakció</t>
  </si>
  <si>
    <t>HUN-BUDAORS DM 311.SZ. Vásárlás(2023.07.04) Card:5444-0XXX-XX68-8737 MCC5977 HUN-BUDAORS DM 311.SZ. 11.411,00 HUF Kártyatranzakció</t>
  </si>
  <si>
    <t>HUN-BUDAORS ALDI 156.SZ. Vásárlás(2023.07.04) Card:5444-0XXX-XX68-8737 MCC5411 HUN-BUDAORS ALDI 156.SZ. 13.213,00 HUF Kártyatranzakció</t>
  </si>
  <si>
    <t>HUN-BIATORBAGY CHIMICHANGA E'TTEREM Vásárlás(2023.07.04) Card:5444-0XXX-XX68-8737 MCC5812 HUN-BIATORBAGY CHIMICHANGA E'TTEREM 20.590,00 HUF Kártyatranzakció</t>
  </si>
  <si>
    <t>BRENDON BABAARUHAZ BUDAORS 7.990,00 HUF Vásárlás</t>
  </si>
  <si>
    <t>DOLCE VENEZIA KFT. VELENCE 5.150,00 HUF Vásárlás</t>
  </si>
  <si>
    <t>Mazsa Nordik Kft. Budapest 1.199,00 HUF Vásárlás 3,20 EUR</t>
  </si>
  <si>
    <t>IMO 22 Budaors 2.490,00 HUF Vásárlás 6,64 EUR</t>
  </si>
  <si>
    <t>HUN-MARTONVASAR VIANNI U:ZLET Vásárlás(2023.07.03) Card:5444-0XXX-XX68-8737 MCC5399 HUN-MARTONVASAR VIANNI U:ZLET 1.589,00 HUF Kártyatranzakció</t>
  </si>
  <si>
    <t>HUN-MARTONVASAR MARTON KLINIK Vásárlás(2023.07.03) Card:5444-0XXX-XX68-8737 MCC8099 HUN-MARTONVASAR MARTON KLINIK 11.370,00 HUF Kártyatranzakció</t>
  </si>
  <si>
    <t>HUN-AGARD LIDL ARUHAZ 0306.SZ. Vásárlás(2023.07.03) Card:5444-0XXX-XX68-8737 MCC5411 HUN-AGARD LIDL ARUHAZ 0306.SZ. 20.323,00 HUF Kártyatranzakció</t>
  </si>
  <si>
    <t>OBI 010 BUDAORS BUDAORS 37.289,00 HUF Vásárlás</t>
  </si>
  <si>
    <t>HUN-MARTONVASAR VIANNI U:ZLET Vásárlás(2023.06.30) Card:5444-0XXX-XX68-8737 MCC5399 HUN-MARTONVASAR VIANNI U:ZLET 840,00 HUF Kártyatranzakció</t>
  </si>
  <si>
    <t>HUN-BARACSKA CSIZ SAJTMUHELY KFT Vásárlás(2023.06.30) Card:5444-0XXX-XX68-8737 MCC5499 HUN-BARACSKA CSIZ SAJTMUHELY KFT 3.020,00 HUF Kártyatranzakció</t>
  </si>
  <si>
    <t>DM 311.SZ. BUDAORS 13.104,00 HUF Vásárlás</t>
  </si>
  <si>
    <t>GYURIVILL KFT. MARTONVASAR 813,00 HUF Vásárlás</t>
  </si>
  <si>
    <t>BUDAO RS BENZINKU'T AU BUDAORS 35.350,00 HUF Vásárlás</t>
  </si>
  <si>
    <t>SIMPLE PARKOL S BUDAPEST 509,00 HUF Vásárlás</t>
  </si>
  <si>
    <t>SIMPLE PARKOL S BUDAPEST 562,00 HUF Vásárlás</t>
  </si>
  <si>
    <t>Int.Appl. to   30/06/23</t>
  </si>
  <si>
    <t>CRT to         30/06/23</t>
  </si>
  <si>
    <t>CHE-Bad Zurzach Triumph Intertrade Vásárlás(2023.06.28) Card:5444-0XXX-XX68-8737 MCC5631 CHE-Bad Zurzach Triumph Intertrade AG 18.300,00 HUF Kártyatranzakció</t>
  </si>
  <si>
    <t>bank</t>
  </si>
  <si>
    <t>Biohair Oktogon Budapest 4.980,00 HUF Vásárlás 13,45 EUR</t>
  </si>
  <si>
    <t>McDonald's Budaörs - Agip</t>
  </si>
  <si>
    <t>TELEKOMSZAML 597307593 BUDAPEST 8.115,00 HUF Vásárlás 21,99 EUR</t>
  </si>
  <si>
    <t>NETFLIX.COM 408-724-9160 3.490,00 HUF Vásárlás 9,46 EUR</t>
  </si>
  <si>
    <t>HUN-BUDAORS MEDICINA PATIKA Vásárlás(2023.06.26) Card:5444-0XXX-XX68-8737 MCC5912 HUN-BUDAORS MEDICINA PATIKA 5.431,00 HUF Kártyatranzakció</t>
  </si>
  <si>
    <t>SKYSHOWTIME 8646E HU Amsterdam 999,00 HUF Vásárlás 2,70 EUR</t>
  </si>
  <si>
    <t>SVK-mackojatek.hu GOPAY  *MACKOJATE Vásárlás(2023.06.25) Card:5444-0XXX-XX68-8737 MCC5945 SVK-mackojatek.hu GOPAY  *MACKOJATE K.HU 19.845,00 HUF Kártyatranzakció</t>
  </si>
  <si>
    <t>ARTIZAN PEKSEG KAVEZO BUDAPEST 7.110,00 HUF Vásárlás</t>
  </si>
  <si>
    <t>LIDL ARUHAZ 0306.SZ. AGARD 10.184,00 HUF Vásárlás</t>
  </si>
  <si>
    <t>TESCO 41520 O NKISZOLG BUDAORS 3.407,00 HUF Vásárlás</t>
  </si>
  <si>
    <t>SIMPLE PARKOL S BUDAPEST 419,00 HUF Vásárlás</t>
  </si>
  <si>
    <t>DM 311.SZ. BUDAORS 5.877,00 HUF Vásárlás</t>
  </si>
  <si>
    <t>Gazda-SAGI Bolt Martonvasar 1.990,00 HUF Vásárlás 5,38 EUR</t>
  </si>
  <si>
    <t>HUN-MARTONVASAR TESCO 44089 O:NKISZ Vásárlás(2023.06.24) Card:5444-0XXX-XX68-8737 MCC5311 HUN-MARTONVASAR TESCO 44089 O:NKISZ OLG 1.338,00 HUF Kártyatranzakció</t>
  </si>
  <si>
    <t>HUN-BUDAPEST BKK AUTOMATA F65 Vásárlás(2023.06.24) Card:5444-0XXX-XX68-8737 MCC4131 HUN-BUDAPEST BKK AUTOMATA F65 3.000,00 HUF Kártyatranzakció</t>
  </si>
  <si>
    <t>HUN-Budapest SumUp  *Hortobagyi Kas Vásárlás(2023.06.24) Card:5444-0XXX-XX68-8737 MCC7230 HUN-Budapest SumUp  *Hortobagyi Kas 4.540,00 HUF Kártyatranzakció</t>
  </si>
  <si>
    <t>HUN-BUDAPEST BARIONP*BARION.COM/GUE Vásárlás(2023.06.22) Card:5444-0XXX-XX68-8737 MCC7299 HUN-BUDAPEST BARIONP*BARION.COM/GUE 4.777,00 HUF Kártyatranzakció</t>
  </si>
  <si>
    <t>HUN-AGARD LIDL ARUHAZ 0306.SZ. Vásárlás(2023.06.22) Card:5444-0XXX-XX68-8737 MCC5411 HUN-AGARD LIDL ARUHAZ 0306.SZ. 11.356,00 HUF Kártyatranzakció</t>
  </si>
  <si>
    <t>HUN-GARDONY DM 316.SZ. Vásárlás(2023.06.22) Card:5444-0XXX-XX68-8737 MCC5977 HUN-GARDONY DM 316.SZ. 29.758,00 HUF Kártyatranzakció</t>
  </si>
  <si>
    <t>Burger King Étterem Oktogon</t>
  </si>
  <si>
    <t>10400872-50526688-72801000 Almássy-Fodor Dorottya Qfk-2023-37 Kimenő azonnali megbízás</t>
  </si>
  <si>
    <t>HUN-BARACSKA CSIZ SAJTMUHELY KFT Vásárlás(2023.06.21) Card:5444-0XXX-XX68-8737 MCC5499 HUN-BARACSKA CSIZ SAJTMUHELY KFT 1.750,00 HUF Kártyatranzakció</t>
  </si>
  <si>
    <t>OMV 2072 Budapest M1_ 26.168,00 HUF Vásárlás</t>
  </si>
  <si>
    <t>HUN-MARTONVASAR TESCO 44089 O:NKISZ Vásárlás(2023.06.20) Card:5444-0XXX-XX68-8737 MCC5311 HUN-MARTONVASAR TESCO 44089 O:NKISZ OLG 6.486,00 HUF Kártyatranzakció</t>
  </si>
  <si>
    <t>HUN-BUDAORS BRENDON BABAARUHAZ Vásárlás(2023.06.20) Card:5444-0XXX-XX68-8737 MCC5331 HUN-BUDAORS BRENDON BABAARUHAZ 11.170,00 HUF Kártyatranzakció</t>
  </si>
  <si>
    <t>HUN-BUDAPEST OTPMOBL*JEGY.LIGETBUDA Vásárlás(2023.06.20) Card:5444-0XXX-XX68-8737 MCC7922 HUN-BUDAPEST OTPMOBL*JEGY.LIGETBUDA 12.320,00 HUF Kártyatranzakció</t>
  </si>
  <si>
    <t>HUN-BUDAORS MEDICINA PATIKA Vásárlás(2023.06.20) Card:5444-0XXX-XX68-8737 MCC5912 HUN-BUDAORS MEDICINA PATIKA 31.756,00 HUF Kártyatranzakció</t>
  </si>
  <si>
    <t>HUN-BUDAORS TESCO 41520 Vásárlás(2023.06.20) Card:5444-0XXX-XX68-8737 MCC5311 HUN-BUDAORS TESCO 41520 33.495,00 HUF Kártyatranzakció</t>
  </si>
  <si>
    <t>FOXPOST TESCO MARTONVA MARTONVASAR 30.381,00 HUF Vásárlás</t>
  </si>
  <si>
    <t>Gazda-SAGI Bolt Martonvasar 6.700,00 HUF Vásárlás 17,96 EUR</t>
  </si>
  <si>
    <t>ZSU-ANN/2 BUDAPEST 2.990,00 HUF Vásárlás</t>
  </si>
  <si>
    <t>New York Bagel Kft Budapest 1.650,00 HUF Vásárlás 4,41 EUR</t>
  </si>
  <si>
    <t>HUN-BUDAPEST BARIONP*BARION.COM/GUE Vásárlás(2023.06.18) Card:5444-0XXX-XX68-8737 MCC7299 HUN-BUDAPEST BARIONP*BARION.COM/GUE 7.729,00 HUF Kártyatranzakció</t>
  </si>
  <si>
    <t>TESCO 44089 O NKISZOLG MARTONVASAR 1.558,00 HUF Vásárlás</t>
  </si>
  <si>
    <t>HUN-MARTONVASAR KEPESVARAZS KFT. Vásárlás(2023.06.16) Card:5444-0XXX-XX68-8737 MCC5111 HUN-MARTONVASAR KEPESVARAZS KFT. 598,00 HUF Kártyatranzakció</t>
  </si>
  <si>
    <t>HUN-MARTONVASAR VIANNI U:ZLET Vásárlás(2023.06.16) Card:5444-0XXX-XX68-8737 MCC5399 HUN-MARTONVASAR VIANNI U:ZLET 1.990,00 HUF Kártyatranzakció</t>
  </si>
  <si>
    <t>HUN-GARDONY DM 316.SZ. Vásárlás(2023.06.15) Card:5444-0XXX-XX68-8737 MCC5977 HUN-GARDONY DM 316.SZ. 4.224,00 HUF Kártyatranzakció</t>
  </si>
  <si>
    <t>HUN-MARTONVASAR MARTON MARKET Vásárlás(2023.06.16) Card:5444-0XXX-XX68-8737 MCC5411 HUN-MARTONVASAR MARTON MARKET 4.752,00 HUF Kártyatranzakció</t>
  </si>
  <si>
    <t>HUN-AGARD LIDL ARUHAZ 0306.SZ. Vásárlás(2023.06.15) Card:5444-0XXX-XX68-8737 MCC5411 HUN-AGARD LIDL ARUHAZ 0306.SZ. 25.710,00 HUF Kártyatranzakció</t>
  </si>
  <si>
    <t>HUN-Budapest reserved.com/hu Vásárlás(2023.06.16) Card:5444-0XXX-XX68-8737 MCC5691 HUN-Budapest reserved.com/hu 131.315,00 HUF Kártyatranzakció</t>
  </si>
  <si>
    <t>TESCO 44089 O NKISZOLG MARTONVASAR 4.470,00 HUF Vásárlás</t>
  </si>
  <si>
    <t>PANIFICIO ILBASILICO SZENTENDRE 8.940,00 HUF Vásárlás</t>
  </si>
  <si>
    <t>HUN-MARTONVASAR TESCO 44089 O:NKISZ Vásárlás(2023.06.14) Card:5444-0XXX-XX68-8737 MCC5311 HUN-MARTONVASAR TESCO 44089 O:NKISZ OLG 4.006,00 HUF Kártyatranzakció</t>
  </si>
  <si>
    <t>HUN-BARACSKA CSIZ SAJTMUHELY KFT Vásárlás(2023.06.14) Card:5444-0XXX-XX68-8737 MCC5499 HUN-BARACSKA CSIZ SAJTMUHELY KFT 4.818,00 HUF Kártyatranzakció</t>
  </si>
  <si>
    <t>HUN-BUDAPEST DM 115 Vásárlás(2023.06.13) Card:5444-0XXX-XX68-8737 MCC5977 HUN-BUDAPEST DM 115 1.999,00 HUF Kártyatranzakció</t>
  </si>
  <si>
    <t>11773353-59010812-00000000 Kovácsné Tonkó Csilla Mária KT-2023-131 Kimenő azonnali megbízás</t>
  </si>
  <si>
    <t>Kemal Pasa Torok Et Budapest 4.200,00 HUF Vásárlás</t>
  </si>
  <si>
    <t>New York Bagel Kft Budapest 1.490,00 HUF Vásárlás 4,03 EUR</t>
  </si>
  <si>
    <t>Cafe Frei Budapest- No Budapest 1.880,00 HUF Vásárlás 5,08 EUR</t>
  </si>
  <si>
    <t>HUN-MARTONVASAR TESCO 44089 O:NKISZ Vásárlás(2023.06.12) Card:5444-0XXX-XX68-8737 MCC5311 HUN-MARTONVASAR TESCO 44089 O:NKISZ OLG 825,00 HUF Kártyatranzakció</t>
  </si>
  <si>
    <t>HUN-MARTONVASAR TESCO 44089 Vásárlás(2023.06.12) Card:5444-0XXX-XX68-8737 MCC5311 HUN-MARTONVASAR TESCO 44089 2.668,00 HUF Kártyatranzakció</t>
  </si>
  <si>
    <t>HUN-BUDAPEST MARGIT KRT. 43-45. ATM készpénzfelvétel(2023.06.13) Card:5444-0XXX-XX68-8737 MCC6011 HUN-BUDAPEST MARGIT KRT. 43-45. 20.000,00 HUF Kártyatranzakció</t>
  </si>
  <si>
    <t>VIANNI U ZLET MARTONVASAR 1.680,00 HUF Vásárlás</t>
  </si>
  <si>
    <t>HUN-MARTONVASAR MARTON MARKET Vásárlás(2023.06.08) Card:5444-0XXX-XX68-8737 MCC5411 HUN-MARTONVASAR MARTON MARKET 2.015,00 HUF Kártyatranzakció</t>
  </si>
  <si>
    <t>HUN-BUDAORS BRENDON BABAARUHAZ Vásárlás(2023.06.09) Card:5444-0XXX-XX68-8737 MCC5331 HUN-BUDAORS BRENDON BABAARUHAZ 4.289,00 HUF Kártyatranzakció</t>
  </si>
  <si>
    <t>HUN-BUDAORS REGIO JA'TE'K BUDAO:RS Vásárlás(2023.06.09) Card:5444-0XXX-XX68-8737 MCC5945 HUN-BUDAORS REGIO JA'TE'K BUDAO:RS 4.995,00 HUF Kártyatranzakció</t>
  </si>
  <si>
    <t>HUN-BUDAORS DM 311.SZ. Vásárlás(2023.06.09) Card:5444-0XXX-XX68-8737 MCC5977 HUN-BUDAORS DM 311.SZ. 16.965,00 HUF Kártyatranzakció</t>
  </si>
  <si>
    <t>AUTOMATA TO LTO'A'LLOM KAPOLNASNYEK 34.286,00 HUF Vásárlás</t>
  </si>
  <si>
    <t>OTPMOBL VIMPAY.MAV-STA BUDAPEST 504,00 HUF Vásárlás</t>
  </si>
  <si>
    <t>SIMPLE MOBILJEGY BUDAPEST 350,00 HUF Vásárlás</t>
  </si>
  <si>
    <t>BARKACSBOLT MARTONVASAR 1.800,00 HUF Vásárlás</t>
  </si>
  <si>
    <t>HELLOPAY KERESKEDO' BUDAPEST 4.524,00 HUF Vásárlás</t>
  </si>
  <si>
    <t>HELLOPAY KERESKEDO' BUDAPEST 3.937,00 HUF Vásárlás</t>
  </si>
  <si>
    <t>TRIO PIZZA FORNETTI BUDAPEST 999,00 HUF Vásárlás</t>
  </si>
  <si>
    <t>TELEKOMSZAML 592294265 BUDAPEST 8.114,00 HUF Vásárlás 21,99 EUR</t>
  </si>
  <si>
    <t>PL:P/10JUN23 Tőkefizetés Hitel /21-41194/</t>
  </si>
  <si>
    <t>Keszegsütő Salgótarján</t>
  </si>
  <si>
    <t>PL:I/10JUN23 Kamatfizetés  Hitel /21-41194/</t>
  </si>
  <si>
    <t>HUN-MARTONVASAR MARTON MARKET Vásárlás(2023.06.07) Card:5444-0XXX-XX68-8737 MCC5411 HUN-MARTONVASAR MARTON MARKET 6.831,00 HUF Kártyatranzakció</t>
  </si>
  <si>
    <t>KISKIFLI KAVEZO BUDAPEST 2.450,00 HUF Vásárlás</t>
  </si>
  <si>
    <t>No Name Budapest 1.880,00 HUF Vásárlás 5,09 EUR</t>
  </si>
  <si>
    <t>No Name Budapest 820,00 HUF Vásárlás 2,22 EUR</t>
  </si>
  <si>
    <t>DEU-HAMBURG WWW.ABOUTYOU.HU Áru vissza/befizetés(2023.06.05) Card:5444-0XXX-XX68-8737 MCC5311 DEU-HAMBURG WWW.ABOUTYOU.HU 53.200,00 HUF Kártyatranzakció</t>
  </si>
  <si>
    <t>HUN-BUDAPEST BARIONP*BARION.COM/GUE Vásárlás(2023.06.05) Card:5444-0XXX-XX68-8737 MCC7299 HUN-BUDAPEST BARIONP*BARION.COM/GUE 7.288,00 HUF Kártyatranzakció</t>
  </si>
  <si>
    <t>10918001-00000118-43680009 MINYA GERGELY Johanna fotók Kimenő azonnali megbízás</t>
  </si>
  <si>
    <t>DM 311.SZ. BUDAORS 19.795,00 HUF Vásárlás</t>
  </si>
  <si>
    <t>LIDL ARUHAZ 0349.SZ. BUDAORS 13.168,00 HUF Vásárlás</t>
  </si>
  <si>
    <t>70100114-11070818-00000000 AgroPerfekt Kft 607 Kimenő azonnali megbízás</t>
  </si>
  <si>
    <t>NEU LO-RE 2005 Kft Solymr 1.200,00 HUF Vásárlás 3,24 EUR</t>
  </si>
  <si>
    <t>IMO 22 Budaors 4.890,00 HUF Vásárlás 13,20 EUR</t>
  </si>
  <si>
    <t>HUN-MARTONVASAR TESCO 44089 Vásárlás(2023.06.01) Card:5444-0XXX-XX68-8737 MCC5311 HUN-MARTONVASAR TESCO 44089 914,00 HUF Kártyatranzakció</t>
  </si>
  <si>
    <t>HUN-MARTONVASAR VIANNI U:ZLET Vásárlás(2023.06.03) Card:5444-0XXX-XX68-8737 MCC5399 HUN-MARTONVASAR VIANNI U:ZLET 940,00 HUF Kártyatranzakció</t>
  </si>
  <si>
    <t>HUN-ERCSI NAPSUGAR CUKRASZDA Vásárlás(2023.06.02) Card:5444-0XXX-XX68-8737 MCC5441 HUN-ERCSI NAPSUGAR CUKRASZDA 1.440,00 HUF Kártyatranzakció</t>
  </si>
  <si>
    <t>HUN-MARTONVASAR 127.COOP SZUPER 1. Vásárlás(2023.06.03) Card:5444-0XXX-XX68-8737 MCC5411 HUN-MARTONVASAR 127.COOP SZUPER 1. 2.236,00 HUF Kártyatranzakció</t>
  </si>
  <si>
    <t>HUN-MARTONVASAR TESCO 44089 Vásárlás(2023.06.03) Card:5444-0XXX-XX68-8737 MCC5311 HUN-MARTONVASAR TESCO 44089 5.241,00 HUF Kártyatranzakció</t>
  </si>
  <si>
    <t>TESCO 44089 MARTONVASAR 2.517,00 HUF Vásárlás</t>
  </si>
  <si>
    <t>AUCHAN MAGLOD MAGLOD 14.670,00 HUF Vásárlás</t>
  </si>
  <si>
    <t>eBay O 12-10127-46613 London 42,00 GBP Vásárlás 49,54 EUR 379.6900</t>
  </si>
  <si>
    <t>HUN-GARDONY CSASZI2020 KFT. Vásárlás(2023.05.30) Card:5444-0XXX-XX68-8737 MCC5411 HUN-GARDONY CSASZI2020 KFT. 6.512,00 HUF Kártyatranzakció</t>
  </si>
  <si>
    <t>11773353-59010812-00000000 Kovácsné Tonkó Csilla Mária KT-2023-123 Kimenő azonnali megbízás</t>
  </si>
  <si>
    <t>HUN-GARDONY DM 316.SZ. Vásárlás(2023.05.30) Card:5444-0XXX-XX68-8737 MCC5977 HUN-GARDONY DM 316.SZ. 19.804,00 HUF Kártyatranzakció</t>
  </si>
  <si>
    <t>HUN-AGARD LIDL ARUHAZ 0306.SZ. Vásárlás(2023.05.30) Card:5444-0XXX-XX68-8737 MCC5411 HUN-AGARD LIDL ARUHAZ 0306.SZ. 23.884,00 HUF Kártyatranzakció</t>
  </si>
  <si>
    <t>HUN-AGARD LIDL ARUHAZ 0306.SZ. Vásárlás(2023.05.30) Card:5444-0XXX-XX68-8737 MCC5411 HUN-AGARD LIDL ARUHAZ 0306.SZ. 27.588,00 HUF Kártyatranzakció</t>
  </si>
  <si>
    <t>MAGYAR ALLAMKINCSTAR BUDAPEST 700.000,00 HUF Vásárlás</t>
  </si>
  <si>
    <t>OTPMOBL GENERALI.HU BUDAPEST 29.208,00 HUF Vásárlás</t>
  </si>
  <si>
    <t>Biztosítás</t>
  </si>
  <si>
    <t>HUN-MARTONVASAR MARTON MARKET Vásárlás(2023.05.27) Card:5444-0XXX-XX68-8737 MCC5411 HUN-MARTONVASAR MARTON MARKET 699,00 HUF Kártyatranzakció</t>
  </si>
  <si>
    <t>HUN-MARTONVASAR 127.COOP SZUPER 1. Vásárlás(2023.05.26) Card:5444-0XXX-XX68-8737 MCC5411 HUN-MARTONVASAR 127.COOP SZUPER 1. 1.799,00 HUF Kártyatranzakció</t>
  </si>
  <si>
    <t>HUN-Martonvasar MEDICZ PATIKA Vásárlás(2023.05.26) Card:5444-0XXX-XX68-8737 MCC5912 HUN-Martonvasar MEDICZ PATIKA 4.830,00 HUF Kártyatranzakció</t>
  </si>
  <si>
    <t>HUN-BUDAORS LIDL ARUHAZ 0349.SZ. Vásárlás(2023.05.27) Card:5444-0XXX-XX68-8737 MCC5411 HUN-BUDAORS LIDL ARUHAZ 0349.SZ. 5.370,00 HUF Kártyatranzakció</t>
  </si>
  <si>
    <t>HUN-MARTONVASAR TESCO 44089 Vásárlás(2023.05.26) Card:5444-0XXX-XX68-8737 MCC5311 HUN-MARTONVASAR TESCO 44089 5.844,00 HUF Kártyatranzakció</t>
  </si>
  <si>
    <t>HUN-BUDAORS VISION EXPRESS Vásárlás(2023.05.27) Card:5444-0XXX-XX68-8737 MCC8043 HUN-BUDAORS VISION EXPRESS 8.221,00 HUF Kártyatranzakció</t>
  </si>
  <si>
    <t>HUN-BUDAORS MEDICINA PATIKA Vásárlás(2023.05.27) Card:5444-0XXX-XX68-8737 MCC5912 HUN-BUDAORS MEDICINA PATIKA 9.223,00 HUF Kártyatranzakció</t>
  </si>
  <si>
    <t>HUN-SZENTENDRE PANIFICIO ILBASILICO Vásárlás(2023.05.27) Card:5444-0XXX-XX68-8737 MCC5812 HUN-SZENTENDRE PANIFICIO ILBASILICO 10.000,00 HUF Kártyatranzakció</t>
  </si>
  <si>
    <t>HUN-BUDAORS VISION EXPRESS Vásárlás(2023.05.27) Card:5444-0XXX-XX68-8737 MCC8043 HUN-BUDAORS VISION EXPRESS 11.168,00 HUF Kártyatranzakció</t>
  </si>
  <si>
    <t>HUN-BUDAORS LIDL ARUHAZ 0349.SZ. Vásárlás(2023.05.27) Card:5444-0XXX-XX68-8737 MCC5411 HUN-BUDAORS LIDL ARUHAZ 0349.SZ. 12.999,00 HUF Kártyatranzakció</t>
  </si>
  <si>
    <t>HUN-Budapest Www.babiesonboard.hu Vásárlás(2023.05.26) Card:5444-0XXX-XX68-8737 MCC5641 HUN-Budapest Www.babiesonboard.hu 19.380,00 HUF Kártyatranzakció</t>
  </si>
  <si>
    <t>HUN-BUDAORS ROSSMANN 260 Vásárlás(2023.05.27) Card:5444-0XXX-XX68-8737 MCC5977 HUN-BUDAORS ROSSMANN 260 24.944,00 HUF Kártyatranzakció</t>
  </si>
  <si>
    <t>DM 311.SZ. BUDAORS 3.396,00 HUF Vásárlás</t>
  </si>
  <si>
    <t>OTPMOBL VIMPAY.MAV-STA BUDAPEST 584,00 HUF Vásárlás</t>
  </si>
  <si>
    <t>BRENDON BABAARUHAZ BUDAORS 4.790,00 HUF Vásárlás</t>
  </si>
  <si>
    <t>Netflix.com Los Gatos 3.490,00 HUF Vásárlás 9,38 EUR</t>
  </si>
  <si>
    <t>SumUp BudaPres Etyek 2.200,00 HUF Vásárlás 5,91 EUR</t>
  </si>
  <si>
    <t>10102529-15474300-01001004 Medinaturals Kft 148897 Kimenő azonnali megbízás</t>
  </si>
  <si>
    <t>HUN-MARTONVASAR MARTON MARKET Vásárlás(2023.05.24) Card:5444-0XXX-XX68-8737 MCC5411 HUN-MARTONVASAR MARTON MARKET 6.031,00 HUF Kártyatranzakció</t>
  </si>
  <si>
    <t>NEU LO-RE 2005 Kft Solymr 1.200,00 HUF Vásárlás 3,21 EUR</t>
  </si>
  <si>
    <t>Gazda-SAGI Bolt Martonvasar 13.410,00 HUF Vásárlás 35,87 EUR</t>
  </si>
  <si>
    <t>HUN-ERCSI SPAR PARTNER 6920220 Vásárlás(2023.05.23) Card:5444-0XXX-XX68-8737 MCC5411 HUN-ERCSI SPAR PARTNER 6920220 3.818,00 HUF Kártyatranzakció</t>
  </si>
  <si>
    <t>DM 311.SZ. BUDAORS 12.784,00 HUF Vásárlás</t>
  </si>
  <si>
    <t>ALDI 156.SZ. BUDAORS 4.576,00 HUF Vásárlás</t>
  </si>
  <si>
    <t>BRENDON BABAARUHAZ BUDAORS 4.990,00 HUF Vásárlás</t>
  </si>
  <si>
    <t>SKYSHOWTIME BF999 HU Amsterdam 999,00 HUF Vásárlás 2,66 EUR</t>
  </si>
  <si>
    <t>KISKIFLI KAVEZO BUDAPEST 1.540,00 HUF Vásárlás</t>
  </si>
  <si>
    <t>IL Treno Expressz ALLEE</t>
  </si>
  <si>
    <t>11773353-59010812-00000000 Kovácsné Tonkó Csilla Mária KT-2023-113 Kimenő azonnali megbízás</t>
  </si>
  <si>
    <t>POL-MAGNICE WWW.MYPROTEIN.COM Vásárlás(2023.05.19) Card:5444-0XXX-XX68-8737 MCC5499 POL-MAGNICE WWW.MYPROTEIN.COM 5.124,00 HUF Kártyatranzakció</t>
  </si>
  <si>
    <t>LIDL ARUHAZ 0349.SZ. BUDAORS 14.708,00 HUF Vásárlás</t>
  </si>
  <si>
    <t>IKEA BUDAORS UGYFE Budaors 5.460,00 HUF Vásárlás</t>
  </si>
  <si>
    <t>VIANNI U ZLET MARTONVASAR 2.440,00 HUF Vásárlás</t>
  </si>
  <si>
    <t>TESCO 44089 O NKISZOLG MARTONVASAR 1.249,00 HUF Vásárlás</t>
  </si>
  <si>
    <t>Mazsa Nordik Kft. Budapest 1.199,00 HUF Vásárlás 3,24 EUR</t>
  </si>
  <si>
    <t>ZSU_ANN KÁVÉZÓ</t>
  </si>
  <si>
    <t>HUN-GARDONY CSASZI2020 KFT. Vásárlás(2023.05.15) Card:5444-0XXX-XX68-8737 MCC5411 HUN-GARDONY CSASZI2020 KFT. 10.874,00 HUF Kártyatranzakció</t>
  </si>
  <si>
    <t>11773353-59010812-00000000 Kovácsné Tonkó Csilla Mária KT-2023-105 Kimenő azonnali megbízás</t>
  </si>
  <si>
    <t>TESCO 41520 O NKISZOLG BUDAORS 5.008,00 HUF Vásárlás</t>
  </si>
  <si>
    <t>McDonald's M7 Velence</t>
  </si>
  <si>
    <t>HUN-Martonvasar MEDICZ PATIKA Vásárlás(2023.05.12) Card:5444-0XXX-XX68-8737 MCC5912 HUN-Martonvasar MEDICZ PATIKA 2.415,00 HUF Kártyatranzakció</t>
  </si>
  <si>
    <t>HUN-Budapest www.minique.hu Vásárlás(2023.05.11) Card:5444-0XXX-XX68-8737 MCC5641 HUN-Budapest www.minique.hu 11.380,00 HUF Kártyatranzakció</t>
  </si>
  <si>
    <t>JYSK H824 BUDAORS 4.165,00 HUF Vásárlás</t>
  </si>
  <si>
    <t>ALDI 156.SZ. BUDAORS 22.939,00 HUF Vásárlás</t>
  </si>
  <si>
    <t>BRENDON BABAARUHAZ BUDAORS 44.326,00 HUF Vásárlás</t>
  </si>
  <si>
    <t>PANIFICIO ILBASILICO SZENTENDRE 1.440,00 HUF Vásárlás</t>
  </si>
  <si>
    <t>PANIFICIO ILBASILICO SZENTENDRE 2.760,00 HUF Vásárlás</t>
  </si>
  <si>
    <t>PANIFICIO ILBASILICO SZENTENDRE 4.790,00 HUF Vásárlás</t>
  </si>
  <si>
    <t>TESCO 44089 MARTONVASAR 4.554,00 HUF Vásárlás</t>
  </si>
  <si>
    <t>SPAR 0167 BUDAPEST 1.099,00 HUF Vásárlás</t>
  </si>
  <si>
    <t>AUCHAN BUDAORS BUDAORS 11.611,00 HUF Vásárlás</t>
  </si>
  <si>
    <t>HUN-BUDAPEST HM Hennes  Mauritz K Vásárlás(2023.05.11) Card:5444-0XXX-XX68-8737 MCC5651 HUN-BUDAPEST HM Hennes  Mauritz K 24.975,00 HUF Kártyatranzakció</t>
  </si>
  <si>
    <t>HornyakIstvanGabor Utolsó vételárrész 3741/A/23</t>
  </si>
  <si>
    <t>NemKategorizalt</t>
  </si>
  <si>
    <t>Nem Kategorizált</t>
  </si>
  <si>
    <t>DEU-HAMBURG WWW.ABOUTYOU.HU Vásárlás(2023.05.09) Card:5444-0XXX-XX68-8737 MCC5311 DEU-HAMBURG WWW.ABOUTYOU.HU 102.500,00 HUF Kártyatranzakció</t>
  </si>
  <si>
    <t>DECATHLON BUDAORS BUDAORS 4.060,00 HUF Vásárlás</t>
  </si>
  <si>
    <t>CATCHBURGER-SEWOBS BUDAPEST 2.840,00 HUF Vásárlás</t>
  </si>
  <si>
    <t>BUDAO RS BENZINKU'T AU BUDAORS 34.872,00 HUF Vásárlás</t>
  </si>
  <si>
    <t>ROSSMANN 260 BUDAORS 749,00 HUF Vásárlás</t>
  </si>
  <si>
    <t>DM 311.SZ. BUDAORS 9.196,00 HUF Vásárlás</t>
  </si>
  <si>
    <t>MEDICINA PATIKA BUDAORS 10.571,00 HUF Vásárlás</t>
  </si>
  <si>
    <t>New York Bagel Kft Budapest 1.490,00 HUF Vásárlás 4,01 EUR</t>
  </si>
  <si>
    <t>PL:P/10MAY23 Tőkefizetés Hitel /21-41194/</t>
  </si>
  <si>
    <t>HUN-ERD SALON PARTNERS KFT Vásárlás(2023.05.08) Card:5444-0XXX-XX68-8737 MCC5977 HUN-ERD SALON PARTNERS KFT 15.470,00 HUF Kártyatranzakció</t>
  </si>
  <si>
    <t>PANIFICIO IL BASILICO BUDAPEST 4.060,00 HUF Vásárlás</t>
  </si>
  <si>
    <t>DM 316.SZ. GARDONY 18.524,00 HUF Vásárlás</t>
  </si>
  <si>
    <t>LIDL ARUHAZ 0306.SZ. AGARD 20.878,00 HUF Vásárlás</t>
  </si>
  <si>
    <t>PL:I/10MAY23 Kamatfizetés  Hitel /21-41194/</t>
  </si>
  <si>
    <t>HUN-BARACSKA BARACSKAI VIRAGUZLET Vásárlás(2023.05.07) Card:5444-0XXX-XX68-8737 MCC5992 HUN-BARACSKA BARACSKAI VIRAGUZLET 10.100,00 HUF Kártyatranzakció</t>
  </si>
  <si>
    <t>TELEKOMSZAML 582085004 BUDAPEST 8.111,00 HUF Vásárlás 21,77 EUR</t>
  </si>
  <si>
    <t>DM 311.SZ. BUDAORS 2.599,00 HUF Vásárlás</t>
  </si>
  <si>
    <t>LIDL ARUHAZ 0349.SZ. BUDAORS 1.678,00 HUF Vásárlás</t>
  </si>
  <si>
    <t>DM 151 SALGOTARJAN 12.496,00 HUF Vásárlás</t>
  </si>
  <si>
    <t>SPAR MAGYARORSZAG KFT SALGOTARJAN 2.875,00 HUF Vásárlás</t>
  </si>
  <si>
    <t>HUN-BUDAPEST OTPMOBL*expresszpatika Vásárlás(2023.05.03) Card:5444-0XXX-XX68-8737 MCC5912 HUN-BUDAPEST OTPMOBL*expresszpatika 25.963,00 HUF Kártyatranzakció</t>
  </si>
  <si>
    <t>0145 7443 0000 0000 Kincstár(K07) 0000 XXXX XXXX 0022 35654357 KARSAI ADRIENN ÁGNES 2235654357 CST04 Bejövő Forint Átutalás</t>
  </si>
  <si>
    <t>Mazsa Nordik Kft. Budapest 999,00 HUF Vásárlás 2,68 EUR</t>
  </si>
  <si>
    <t>HUN-MARTONVASAR TESCO 44089 O:NKISZ Vásárlás(2023.04.28) Card:5444-0XXX-XX68-8737 MCC5311 HUN-MARTONVASAR TESCO 44089 O:NKISZ OLG 3.514,00 HUF Kártyatranzakció</t>
  </si>
  <si>
    <t>HUN-BUDAPEST BARIONP*BARION.COM/GUE Vásárlás(2023.04.27) Card:5444-0XXX-XX68-8737 MCC7299 HUN-BUDAPEST BARIONP*BARION.COM/GUE 7.709,00 HUF Kártyatranzakció</t>
  </si>
  <si>
    <t>HUN-MARTONVASAR TESCO 44089 Vásárlás(2023.04.30) Card:5444-0XXX-XX68-8737 MCC5311 HUN-MARTONVASAR TESCO 44089 9.214,00 HUF Kártyatranzakció</t>
  </si>
  <si>
    <t>LIDL ARUHAZ 0349.SZ. BUDAORS 46.983,00 HUF Vásárlás</t>
  </si>
  <si>
    <t>Netflix.com Los Gatos 3.490,00 HUF Vásárlás 9,35 EUR</t>
  </si>
  <si>
    <t>HUN-GARDONY DM 316.SZ. Vásárlás(2023.04.26) Card:5444-0XXX-XX68-8737 MCC5977 HUN-GARDONY DM 316.SZ. 19.179,00 HUF Kártyatranzakció</t>
  </si>
  <si>
    <t>TESCO STORES 3212 STRATFORD 57,15 GBP Vásárlás 65,34 EUR 382.7700</t>
  </si>
  <si>
    <t>HUN-MARTONVASAR VIANNI U:ZLET Vásárlás(2023.04.24) Card:5444-0XXX-XX68-8737 MCC5399 HUN-MARTONVASAR VIANNI U:ZLET 950,00 HUF Kártyatranzakció</t>
  </si>
  <si>
    <t>SKYSHOWTIME 9F0FE HU Amsterdam 999,00 HUF Vásárlás 2,65 EUR</t>
  </si>
  <si>
    <t>HUN-BUDAPEST OTPMOBL*128 Vásárlás(2023.04.21) Card:5444-0XXX-XX68-8737 MCC7299 HUN-BUDAPEST OTPMOBL*128 5.000,00 HUF Kártyatranzakció</t>
  </si>
  <si>
    <t>NAPSUGAR CUKRASZDA ERCSI 3.350,00 HUF Vásárlás</t>
  </si>
  <si>
    <t>MEDICINA PATIKA BUDAORS 20.120,00 HUF Vásárlás</t>
  </si>
  <si>
    <t>LIDL ARUHAZ 0349.SZ. BUDAORS 19.154,00 HUF Vásárlás</t>
  </si>
  <si>
    <t>VIANNI U ZLET MARTONVASAR 899,00 HUF Vásárlás</t>
  </si>
  <si>
    <t>ALDI 156.SZ. BUDAORS 9.924,00 HUF Vásárlás</t>
  </si>
  <si>
    <t>HUN-Martonvasar Medicz Gyogyszertar Vásárlás(2023.04.18) Card:5444-0XXX-XX68-8737 MCC5912 HUN-Martonvasar Medicz Gyogyszertar 10.130,00 HUF Kártyatranzakció</t>
  </si>
  <si>
    <t>TESCO 44089 MARTONVASAR 4.944,00 HUF Vásárlás</t>
  </si>
  <si>
    <t>BARKACSBOLT MARTONVASAR 1.120,00 HUF Vásárlás</t>
  </si>
  <si>
    <t>VIZ-, GAZ SZERELVENYB MARTONVASAR 11.392,00 HUF Vásárlás</t>
  </si>
  <si>
    <t>Hornyak Istvan Gabor Hrsz Salgótarján 3741/A/23 vevő Czu prik Györgyné</t>
  </si>
  <si>
    <t>Egyeb</t>
  </si>
  <si>
    <t>czuprikgabor _</t>
  </si>
  <si>
    <t>czuprikgyorgyne _</t>
  </si>
  <si>
    <t>HUN-MARTONVASAR TESCO 44089 Vásárlás(2023.04.15) Card:5444-0XXX-XX68-8737 MCC5311 HUN-MARTONVASAR TESCO 44089 5.285,00 HUF Kártyatranzakció</t>
  </si>
  <si>
    <t>HUN-MARTONVASAR POSTAKOCSI E'TTEREM Vásárlás(2023.04.16) Card:5444-0XXX-XX68-8737 MCC5812 HUN-MARTONVASAR POSTAKOCSI E'TTEREM 22.325,00 HUF Kártyatranzakció</t>
  </si>
  <si>
    <t>11773353-59010812-00000000 Kovácsné Tonkó Csilla Mária KT-2023-76 Kimenő azonnali megbízás</t>
  </si>
  <si>
    <t>DM 311.SZ. BUDAORS 18.379,00 HUF Vásárlás</t>
  </si>
  <si>
    <t>LIDL ARUHAZ 0349.SZ. BUDAORS 19.895,00 HUF Vásárlás</t>
  </si>
  <si>
    <t>BRENDON BABAARUHAZ BUDAORS 39.165,00 HUF Vásárlás</t>
  </si>
  <si>
    <t>Auchan Torokbalint Torokbalint 36.267,00 HUF Vásárlás</t>
  </si>
  <si>
    <t>SumUp Veing Zsuzsan Martonvasar 1.480,00 HUF Vásárlás</t>
  </si>
  <si>
    <t>HUN-BUDAPEST OTPMOBL*HERBAFERM.HU Vásárlás(2023.04.12) Card:5444-0XXX-XX68-8737 MCC5499 HUN-BUDAPEST OTPMOBL*HERBAFERM.HU 22.350,00 HUF Kártyatranzakció</t>
  </si>
  <si>
    <t>BARKACSBOLT MARTONVASAR 9.170,00 HUF Vásárlás</t>
  </si>
  <si>
    <t>czuprikgergely _</t>
  </si>
  <si>
    <t>HUN-Martonvasar Medicz Gyogyszertar Vásárlás(2023.04.11) Card:5444-0XXX-XX68-8737 MCC5912 HUN-Martonvasar Medicz Gyogyszertar 2.225,00 HUF Kártyatranzakció</t>
  </si>
  <si>
    <t>HUN-BUDAPEST BARIONP*BARION.COM/GUE Vásárlás(2023.04.11) Card:5444-0XXX-XX68-8737 MCC7299 HUN-BUDAPEST BARIONP*BARION.COM/GUE 41.990,00 HUF Kártyatranzakció</t>
  </si>
  <si>
    <t>NAPSUGAR CUKRASZDA ERCSI 1.800,00 HUF Vásárlás</t>
  </si>
  <si>
    <t>DM 359. TOROKBALINT 5.456,00 HUF Vásárlás</t>
  </si>
  <si>
    <t>SPAR MAGYARORSZA'G KFT TOROKBALINT 6.304,00 HUF Vásárlás</t>
  </si>
  <si>
    <t>ALDI 3.SZ. BUDAORS 6.417,00 HUF Vásárlás</t>
  </si>
  <si>
    <t>OBI 010 BUDAORS 22.592,00 HUF Vásárlás</t>
  </si>
  <si>
    <t>KISKIFLI KAVEZO BUDAPEST 1.640,00 HUF Vásárlás</t>
  </si>
  <si>
    <t>Lipoti Pekseg kavezo Torokbalint 880,00 HUF Vásárlás 2,35 EUR</t>
  </si>
  <si>
    <t>HUN-MARTONVASAR TESCO 44089 O:NKISZ Vásárlás(2023.04.08) Card:5444-0XXX-XX68-8737 MCC5311 HUN-MARTONVASAR TESCO 44089 O:NKISZ OLG 598,00 HUF Kártyatranzakció</t>
  </si>
  <si>
    <t>HUN-MARTONVASAR TESCO 44089 O:NKISZ Vásárlás(2023.04.03) Card:5444-0XXX-XX68-8737 MCC5311 HUN-MARTONVASAR TESCO 44089 O:NKISZ OLG 1.896,00 HUF Kártyatranzakció</t>
  </si>
  <si>
    <t>HUN-GARDONY ALDI 5.SZ. Vásárlás(2023.04.08) Card:5444-0XXX-XX68-8737 MCC5411 HUN-GARDONY ALDI 5.SZ. 25.523,00 HUF Kártyatranzakció</t>
  </si>
  <si>
    <t>TESCO 44089 MARTONVASAR 2.365,00 HUF Vásárlás</t>
  </si>
  <si>
    <t>SZENT KERESZT GYO'GYSZ RACKERESZTUR 5.014,00 HUF Vásárlás</t>
  </si>
  <si>
    <t>NAPSUGAR CUKRASZDA ERCSI 2.830,00 HUF Vásárlás</t>
  </si>
  <si>
    <t>TELEKOMSZAML 573828063 BUDAPEST 7.080,00 HUF Vásárlás 18,88 EUR</t>
  </si>
  <si>
    <t>PL:P/10APR23 Tőkefizetés Hitel /21-41194/</t>
  </si>
  <si>
    <t>PL:I/10APR23 Kamatfizetés  Hitel /21-41194/</t>
  </si>
  <si>
    <t>HUN-MARTONVASAR MARTON MARKET Vásárlás(2023.04.03) Card:5444-0XXX-XX68-8737 MCC5411 HUN-MARTONVASAR MARTON MARKET 169,00 HUF Kártyatranzakció</t>
  </si>
  <si>
    <t>KISKIFLI KAVEZO BUDAPEST 1.500,00 HUF Vásárlás</t>
  </si>
  <si>
    <t>ALDI 156.SZ. BUDAORS 14.965,00 HUF Vásárlás</t>
  </si>
  <si>
    <t>Cafe Frei Budapest- No Budapest 1.700,00 HUF Vásárlás 4,48 EUR</t>
  </si>
  <si>
    <t>A-Plast Kft Er_23_002830</t>
  </si>
  <si>
    <t>HUN-AGARD THERMA'L-E'S GYO'GYFU: Vásárlás(2023.04.01) Card:5444-0XXX-XX68-8737 MCC7999 HUN-AGARD THERMA'L-E'S GYO'GYFU: 2.300,00 HUF Kártyatranzakció</t>
  </si>
  <si>
    <t>HUN-GARDONY DM 316.SZ. Vásárlás(2023.04.01) Card:5444-0XXX-XX68-8737 MCC5977 HUN-GARDONY DM 316.SZ. 18.330,00 HUF Kártyatranzakció</t>
  </si>
  <si>
    <t>HUN-Budapest Déli 1 Trio+Fornetti p Vásárlás(2023.03.30) Card:5444-0XXX-XX68-8737 MCC5462 HUN-Budapest Déli 1 Trio+Fornetti p 559,00 HUF Kártyatranzakció</t>
  </si>
  <si>
    <t>HUN-BUDAPEST OTPMOBL*JEGY.MAV.HU Vásárlás(2023.03.30) Card:5444-0XXX-XX68-8737 MCC4112 HUN-BUDAPEST OTPMOBL*JEGY.MAV.HU 586,00 HUF Kártyatranzakció</t>
  </si>
  <si>
    <t>HUN-ERCSI NAPSUGAR CUKRASZDA Vásárlás(2023.03.31) Card:5444-0XXX-XX68-8737 MCC5441 HUN-ERCSI NAPSUGAR CUKRASZDA 1.890,00 HUF Kártyatranzakció</t>
  </si>
  <si>
    <t>HUN-Budapest Déli 1 Trio+Fornetti p Vásárlás(2023.03.30) Card:5444-0XXX-XX68-8737 MCC5462 HUN-Budapest Déli 1 Trio+Fornetti p 1.906,00 HUF Kártyatranzakció</t>
  </si>
  <si>
    <t>BRENDON BABAARUHAZ BUDAORS 12.370,00 HUF Vásárlás</t>
  </si>
  <si>
    <t>TESCO 44089 MARTONVASAR 2.150,00 HUF Vásárlás</t>
  </si>
  <si>
    <t>POSTAKOCSI E'TTEREM MARTONVASAR 7.695,00 HUF Vásárlás</t>
  </si>
  <si>
    <t>Napellenző eladás</t>
  </si>
  <si>
    <t>Int.Appl. to   31/03/23</t>
  </si>
  <si>
    <t>CRT to         31/03/23</t>
  </si>
  <si>
    <t>BARKACSBOLT MARTONVASAR 7.120,00 HUF Vásárlás</t>
  </si>
  <si>
    <t>kamat</t>
  </si>
  <si>
    <t>HUN-MARTONVASAR TESCO 44089 O:NKISZ Vásárlás(2023.03.28) Card:5444-0XXX-XX68-8737 MCC5311 HUN-MARTONVASAR TESCO 44089 O:NKISZ OLG 5.341,00 HUF Kártyatranzakció</t>
  </si>
  <si>
    <t>11773353-59010812-00000000 Kovácsné Tonkó Csilla Mária KT-2023-69 Kimenő azonnali megbízás</t>
  </si>
  <si>
    <t>OBI 010 BUDAORS BUDAORS 18.492,00 HUF Vásárlás</t>
  </si>
  <si>
    <t>AUCHAN BUDAORS BUDAORS 25.597,00 HUF Vásárlás</t>
  </si>
  <si>
    <t>BARKACSBOLT MARTONVASAR 9.000,00 HUF Vásárlás</t>
  </si>
  <si>
    <t>HUN-MARTONVASAR VIANNI U:ZLET Vásárlás(2023.03.27) Card:5444-0XXX-XX68-8737 MCC5399 HUN-MARTONVASAR VIANNI U:ZLET 1.100,00 HUF Kártyatranzakció</t>
  </si>
  <si>
    <t>NETFLIX.COM Amsterdam 3.490,00 HUF Vásárlás 9,06 EUR</t>
  </si>
  <si>
    <t>HUN-MARTONVASAR POSTAKOCSI E'TTEREM Vásárlás(2023.03.24) Card:5444-0XXX-XX68-8737 MCC5812 HUN-MARTONVASAR POSTAKOCSI E'TTEREM 6.815,00 HUF Kártyatranzakció</t>
  </si>
  <si>
    <t>LIDL ARUHAZ 0306.SZ. AGARD 9.178,00 HUF Vásárlás</t>
  </si>
  <si>
    <t>POSTAKOCSI E'TTEREM MARTONVASAR 3.795,00 HUF Vásárlás</t>
  </si>
  <si>
    <t>SKYSHOWTIME AFCEF HU Amsterdam 999,00 HUF Vásárlás 2,59 EUR</t>
  </si>
  <si>
    <t>HUN-BUDAPEST OTPMOBL*JEGY.MAV.HU Vásárlás(2023.03.22) Card:5444-0XXX-XX68-8737 MCC4112 HUN-BUDAPEST OTPMOBL*JEGY.MAV.HU 586,00 HUF Kártyatranzakció</t>
  </si>
  <si>
    <t>HUN-BUDAPEST OTPMOBL*VITAMINBOLT.NE Vásárlás(2023.03.21) Card:5444-0XXX-XX68-8737 MCC5499 HUN-BUDAPEST OTPMOBL*VITAMINBOLT.NE 3.800,00 HUF Kártyatranzakció</t>
  </si>
  <si>
    <t>OTPMOBL HU-GO.HU BUDAPEST 5.720,00 HUF Vásárlás</t>
  </si>
  <si>
    <t>TESCO 44089 MARTONVASAR 1.486,00 HUF Vásárlás</t>
  </si>
  <si>
    <t>ATM1063 RERD 2030 ERD 119.000,00 HUF Kp felvét</t>
  </si>
  <si>
    <t>DM 311.SZ. BUDAORS 5.354,00 HUF Vásárlás</t>
  </si>
  <si>
    <t>LIDL ARUHAZ 0349.SZ. BUDAORS 19.233,00 HUF Vásárlás</t>
  </si>
  <si>
    <t>HUN-BUDAPEST OTPMOBL*VITAMINBOLT.NE Vásárlás(2023.03.20) Card:5444-0XXX-XX68-8737 MCC5499 HUN-BUDAPEST OTPMOBL*VITAMINBOLT.NE 6.470,00 HUF Kártyatranzakció</t>
  </si>
  <si>
    <t>SIMPLE PARKOL S BUDAPEST 502,00 HUF Vásárlás</t>
  </si>
  <si>
    <t>BRENDON BABAARUHAZ BUDAORS 1.196,00 HUF Vásárlás</t>
  </si>
  <si>
    <t>KISKIFLI KAVEZO BUDAPEST 1.400,00 HUF Vásárlás</t>
  </si>
  <si>
    <t>ZSU-ANN BUDAPEST 3.340,00 HUF Vásárlás</t>
  </si>
  <si>
    <t>POSTAKOCSI E'TTEREM MARTONVASAR 5.895,00 HUF Vásárlás</t>
  </si>
  <si>
    <t>HUN-ERCSI NAPSUGAR CUKRASZDA Vásárlás(2023.03.19) Card:5444-0XXX-XX68-8737 MCC5441 HUN-ERCSI NAPSUGAR CUKRASZDA 3.060,00 HUF Kártyatranzakció</t>
  </si>
  <si>
    <t>MAGYAR ALLAMKINCSTAR BUDAPEST 51.127,00 HUF Vásárlás</t>
  </si>
  <si>
    <t>HUN-MARTONVASAR TESCO 44089 Vásárlás(2023.03.17) Card:5444-0XXX-XX68-8737 MCC5311 HUN-MARTONVASAR TESCO 44089 2.946,00 HUF Kártyatranzakció</t>
  </si>
  <si>
    <t>DM 311.SZ. BUDAORS 5.508,00 HUF Vásárlás</t>
  </si>
  <si>
    <t>ALDI 156.SZ. BUDAORS 16.710,00 HUF Vásárlás</t>
  </si>
  <si>
    <t>BAUHAUS SZIGETSZENTMIK SZIGETSZENTM 12.860,00 HUF Vásárlás</t>
  </si>
  <si>
    <t>MARTONCOLOR FESTE'K MARTONVASAR 28.120,00 HUF Vásárlás</t>
  </si>
  <si>
    <t>OMV 2026 Erd jobb 26.530,00 HUF Vásárlás</t>
  </si>
  <si>
    <t>Krain Tuzep Martonvasar 6.800,00 HUF Vásárlás</t>
  </si>
  <si>
    <t>HUN-LEANYVAR SUGART BY JUHOS JOCI Vásárlás(2023.03.15) Card:5444-0XXX-XX68-8737 MCC5812 HUN-LEANYVAR SUGART BY JUHOS JOCI 4.300,00 HUF Kártyatranzakció</t>
  </si>
  <si>
    <t>OMV 2111 M6 Geresd jo 6.803,00 HUF Vásárlás</t>
  </si>
  <si>
    <t>HUN-ERCSI NAPSUGAR CUKRASZDA Vásárlás(2023.03.14) Card:5444-0XXX-XX68-8737 MCC5441 HUN-ERCSI NAPSUGAR CUKRASZDA 2.390,00 HUF Kártyatranzakció</t>
  </si>
  <si>
    <t>BUDAO RS BENZINKU'T AU BUDAORS 38.426,00 HUF Vásárlás</t>
  </si>
  <si>
    <t>LIDL ARUHAZ 0349.SZ. BUDAORS 3.194,00 HUF Vásárlás</t>
  </si>
  <si>
    <t>HUN-MARTONVASAR OTP ATM készpénzfelvétel(2023.03.12) Card:5444-0XXX-XX68-8737 MCC6011 HUN-MARTONVASAR OTP 14.000,00 HUF Kártyatranzakció</t>
  </si>
  <si>
    <t>HUN-MARTONVASAR OTP ATM készpénzfelvétel(2023.03.12) Card:5444-0XXX-XX68-8737 MCC6011 HUN-MARTONVASAR OTP 29.000,00 HUF Kártyatranzakció</t>
  </si>
  <si>
    <t>ZSU-ANN BUDAPEST 2.790,00 HUF Vásárlás</t>
  </si>
  <si>
    <t>NEU LO-RE 2005 Kft Solymr 1.200,00 HUF Vásárlás 3,13 EUR</t>
  </si>
  <si>
    <t>NAV Belfoldi Gépjárműadó 8439602758</t>
  </si>
  <si>
    <t>HUN-BUDAORS BRENDON BABAARUHAZ Vásárlás(2023.03.11) Card:5444-0XXX-XX68-8737 MCC5331 HUN-BUDAORS BRENDON BABAARUHAZ 1.598,00 HUF Kártyatranzakció</t>
  </si>
  <si>
    <t>HUN-MARTONVASAR TESCO 44089 Vásárlás(2023.03.09) Card:5444-0XXX-XX68-8737 MCC5311 HUN-MARTONVASAR TESCO 44089 2.557,00 HUF Kártyatranzakció</t>
  </si>
  <si>
    <t>11773353-59010812-00000000 Kovácsné Tonkó Csilla Mária Karsai Adrienn hegkezelés Kimenő azonnali megbízás</t>
  </si>
  <si>
    <t>TESCO 44089 MARTONVASAR 1.197,00 HUF Vásárlás</t>
  </si>
  <si>
    <t>FULL GSM BUDAORS 5.000,00 HUF Vásárlás</t>
  </si>
  <si>
    <t>THERMA'L-E'S GYO'GYFU AGARD 3.000,00 HUF Vásárlás</t>
  </si>
  <si>
    <t>DM 311.SZ. BUDAORS 1.069,00 HUF Vásárlás</t>
  </si>
  <si>
    <t>LIDL ARUHAZ 0349.SZ. BUDAORS 26.517,00 HUF Vásárlás</t>
  </si>
  <si>
    <t>PL:P/10MAR23 Tőkefizetés Hitel /21-41194/</t>
  </si>
  <si>
    <t>HUN-MARTONVASAR VIANNI U:ZLET Vásárlás(2023.03.08) Card:5444-0XXX-XX68-8737 MCC5399 HUN-MARTONVASAR VIANNI U:ZLET 1.840,00 HUF Kártyatranzakció</t>
  </si>
  <si>
    <t>HUN-BUDAPEST OTPMOBL*VITAMINBOLT.NE Vásárlás(2023.03.08) Card:5444-0XXX-XX68-8737 MCC5499 HUN-BUDAPEST OTPMOBL*VITAMINBOLT.NE 8.779,00 HUF Kártyatranzakció</t>
  </si>
  <si>
    <t>PL:I/10MAR23 Kamatfizetés  Hitel /21-41194/</t>
  </si>
  <si>
    <t>HUN-MARTONVASAR POSTAKOCSI E'TTEREM Vásárlás(2023.03.07) Card:5444-0XXX-XX68-8737 MCC5812 HUN-MARTONVASAR POSTAKOCSI E'TTEREM 5.895,00 HUF Kártyatranzakció</t>
  </si>
  <si>
    <t>TELEKOMSZAML 564092588 BUDAPEST 6.479,00 HUF Vásárlás 17,16 EUR</t>
  </si>
  <si>
    <t>HUN-+3616130468 jokonyvek.hu Vásárlás(2023.03.06) Card:5444-0XXX-XX68-8737 MCC5942 HUN-+3616130468 jokonyvek.hu 3.300,00 HUF Kártyatranzakció</t>
  </si>
  <si>
    <t>IKEA BUDAORS UGYFE Budaors 5.990,00 HUF Vásárlás</t>
  </si>
  <si>
    <t>HUN-BUDAORS DM 311.SZ. Vásárlás(2023.03.04) Card:5444-0XXX-XX68-8737 MCC5977 HUN-BUDAORS DM 311.SZ. 3.000,00 HUF Kártyatranzakció</t>
  </si>
  <si>
    <t>HUN-MARTONVASAR TESCO 44089 Vásárlás(2023.03.02) Card:5444-0XXX-XX68-8737 MCC5311 HUN-MARTONVASAR TESCO 44089 3.525,00 HUF Kártyatranzakció</t>
  </si>
  <si>
    <t>HUN-BUDAORS DM 311.SZ. Vásárlás(2023.03.04) Card:5444-0XXX-XX68-8737 MCC5977 HUN-BUDAORS DM 311.SZ. 13.800,00 HUF Kártyatranzakció</t>
  </si>
  <si>
    <t>OBI 010 BUDAORS BUDAORS 7.833,00 HUF Vásárlás</t>
  </si>
  <si>
    <t>LIDL ARUHAZ 0349.SZ. BUDAORS 17.189,00 HUF Vásárlás</t>
  </si>
  <si>
    <t>PANIFICIO ILBASILICO SZENTENDRE 1.060,00 HUF Vásárlás</t>
  </si>
  <si>
    <t>PANIFICIO ILBASILICO SZENTENDRE 7.310,00 HUF Vásárlás</t>
  </si>
  <si>
    <t>BWT Hungaria Budaors 7.590,00 HUF Vásárlás</t>
  </si>
  <si>
    <t>SIMPLE PARKOL S BUDAPEST 1.179,00 HUF Vásárlás</t>
  </si>
  <si>
    <t>ZSU-ANN BUDAPEST 3.140,00 HUF Vásárlás</t>
  </si>
  <si>
    <t>Pizza Pazza Budapest 990,00 HUF Vásárlás 2,63 EUR</t>
  </si>
  <si>
    <t>Fulop balazs Gokart</t>
  </si>
  <si>
    <t>VIANNI U ZLET MARTONVASAR 950,00 HUF Vásárlás</t>
  </si>
  <si>
    <t>Támogatásokat Közvetítő Főosztál 2233305117OTTFELUJ, A00504906T1322 303013303001645, 000000000000002233  1.221.824Ft
10918001-00000083-47290003 KARSAINÉ GASSER MÁRIA Kimenő azonnali megbízás 431.700Ft</t>
  </si>
  <si>
    <t>Alza.cz a.s. Prague TRAN IDEJE 20230228 125034 TRAN ÖSSZEG 17,180.00 HUF</t>
  </si>
  <si>
    <t>NETFLIX.COM 408-724-9160 3.490,00 HUF Vásárlás 9,20 EUR</t>
  </si>
  <si>
    <t>IKEA BUDAORS ETTEREM Budaors 6.210,00 HUF Vásárlás</t>
  </si>
  <si>
    <t>IKEA BUDAORS ETTEREM Budaors 1.190,00 HUF Vásárlás</t>
  </si>
  <si>
    <t>TESCO 44089 O NKISZOLG MARTONVASAR 879,00 HUF Vásárlás</t>
  </si>
  <si>
    <t>70-ES KOZERT BARACSKA 778,00 HUF Vásárlás</t>
  </si>
  <si>
    <t>DM 311.SZ. BUDAORS 4.099,00 HUF Vásárlás</t>
  </si>
  <si>
    <t>LIDL ARUHAZ 0349.SZ. BUDAORS 18.111,00 HUF Vásárlás</t>
  </si>
  <si>
    <t>ALDI 156.SZ. BUDAORS 1.597,00 HUF Vásárlás</t>
  </si>
  <si>
    <t>TESCO 44089 MARTONVASAR 789,00 HUF Vásárlás</t>
  </si>
  <si>
    <t>AUCHAN BUDAORS BUDAORS 5.675,00 HUF Vásárlás</t>
  </si>
  <si>
    <t>BRENDON BABAARUHAZ BUDAORS 3.490,00 HUF Vásárlás</t>
  </si>
  <si>
    <t>SKYSHOWTIME ACAA4 HU Amsterdam 999,00 HUF Vásárlás 2,62 EUR</t>
  </si>
  <si>
    <t>Mazsa Nordik Kft. Budapest 1.398,00 HUF Vásárlás 3,67 EUR</t>
  </si>
  <si>
    <t>HUN-BUDAPEST OTPMOBL*MINDIGBUTOR.HU Vásárlás(2023.02.21) Card:5444-0XXX-XX68-8737 MCC5021 HUN-BUDAPEST OTPMOBL*MINDIGBUTOR.HU 32.900,00 HUF Kártyatranzakció</t>
  </si>
  <si>
    <t>HUN-CSANYTELEK ADAMOHAMMOCK.COM Vásárlás(2023.02.21) Card:5444-0XXX-XX68-8737 MCC5712 HUN-CSANYTELEK ADAMOHAMMOCK.COM 49.790,00 HUF Kártyatranzakció</t>
  </si>
  <si>
    <t>DM 311.SZ. BUDAORS 2.027,00 HUF Vásárlás</t>
  </si>
  <si>
    <t>ALDI 156.SZ. BUDAORS 998,00 HUF Vásárlás</t>
  </si>
  <si>
    <t>LIDL ARUHAZ 0306.SZ. AGARD 30.093,00 HUF Vásárlás</t>
  </si>
  <si>
    <t>Iphone14 apple tok</t>
  </si>
  <si>
    <t>Iphone14 apple</t>
  </si>
  <si>
    <t>VIANNI U ZLET MARTONVASAR 1.230,00 HUF Vásárlás</t>
  </si>
  <si>
    <t>TESCO 44089 O NKISZOLG MARTONVASAR 1.300,00 HUF Vásárlás</t>
  </si>
  <si>
    <t>OTPMOBL HU-GO.HU BUDAPEST 11.440,00 HUF Vásárlás</t>
  </si>
  <si>
    <t>ALDI 156.SZ. BUDAORS 19.188,00 HUF Vásárlás</t>
  </si>
  <si>
    <t>BARIONP BARION.COM/GUE BUDAPEST 11.189,00 HUF Vásárlás</t>
  </si>
  <si>
    <t>WHITE HOUSE BUDAPEST 2.540,00 HUF Vásárlás</t>
  </si>
  <si>
    <t>DM 311.SZ. BUDAORS 4.425,00 HUF Vásárlás</t>
  </si>
  <si>
    <t>ALDI 156.SZ. BUDAORS 5.255,00 HUF Vásárlás</t>
  </si>
  <si>
    <t>PANIFICIO IL BASILICO BUDAPEST 3.960,00 HUF Vásárlás</t>
  </si>
  <si>
    <t>BUDAO RS BENZINKU'T AU BUDAORS 39.562,00 HUF Vásárlás</t>
  </si>
  <si>
    <t>DECATHLON BUDAO RS BUDAORS 15.480,00 HUF Vásárlás</t>
  </si>
  <si>
    <t>WHITE HOUSE BUDAPEST 1.990,00 HUF Vásárlás</t>
  </si>
  <si>
    <t>LIDL ARUHAZ 0349.SZ. BUDAORS 12.857,00 HUF Vásárlás</t>
  </si>
  <si>
    <t>OTPMOBL VIMPAY.MAV-STA BUDAPEST 454,00 HUF Vásárlás</t>
  </si>
  <si>
    <t>PL:P/10FEB23 Tőkefizetés Hitel /21-41194/</t>
  </si>
  <si>
    <t>PL:I/10FEB23 Kamatfizetés  Hitel /21-41194/</t>
  </si>
  <si>
    <t>DM 311.SZ. BUDAORS 13.946,00 HUF Vásárlás</t>
  </si>
  <si>
    <t>WHITE HOUSE BUDAPEST 720,00 HUF Vásárlás</t>
  </si>
  <si>
    <t>LIDL ARUHAZ 0349.SZ. BUDAORS 6.480,00 HUF Vásárlás</t>
  </si>
  <si>
    <t>HUN-BUDAORS MEDICINA PATIKA Vásárlás(2023.02.05) Card:5444-0XXX-XX68-8737 MCC5912 HUN-BUDAORS MEDICINA PATIKA 21.790,00 HUF Kártyatranzakció</t>
  </si>
  <si>
    <t>Kemal Pasa Torok Et Budapest 2.000,00 HUF Vásárlás</t>
  </si>
  <si>
    <t>MAGYAR ALLAMKINCSTAR BUDAPEST 1.008.329,00 HUF Vásárlás</t>
  </si>
  <si>
    <t>HUN-ERD SALON PARTNERS KFT Vásárlás(2023.02.06) Card:5444-0XXX-XX68-8737 MCC5977 HUN-ERD SALON PARTNERS KFT 18.670,00 HUF Kártyatranzakció</t>
  </si>
  <si>
    <t>HUN-MARTONVASAR VIANNI U:ZLET Vásárlás(2023.02.01) Card:5444-0XXX-XX68-8737 MCC5399 HUN-MARTONVASAR VIANNI U:ZLET 468,00 HUF Kártyatranzakció</t>
  </si>
  <si>
    <t>PANIFICIO ILBASILICO SZENTENDRE 820,00 HUF Vásárlás</t>
  </si>
  <si>
    <t>PANIFICIO ILBASILICO SZENTENDRE 4.840,00 HUF Vásárlás</t>
  </si>
  <si>
    <t>LIDL ARUHAZ 0349.SZ. BUDAORS 9.251,00 HUF Vásárlás</t>
  </si>
  <si>
    <t>HELLOPAY KERESKEDO' BUDAPEST 3.508,00 HUF Vásárlás</t>
  </si>
  <si>
    <t>MCD UNIO BUDAPEST 3.730,00 HUF Vásárlás</t>
  </si>
  <si>
    <t>SIMPLE MOBILJEGY BUDAPEST 700,00 HUF Vásárlás</t>
  </si>
  <si>
    <t>PANIFICIO ILBASILICO SZENTENDRE 3.780,00 HUF Vásárlás</t>
  </si>
  <si>
    <t>PANIFICIO ILBASILICO SZENTENDRE 650,00 HUF Vásárlás</t>
  </si>
  <si>
    <t>HELLOPAY KERESKEDO' BUDAPEST 352,00 HUF Vásárlás</t>
  </si>
  <si>
    <t>HELLOPAY KERESKEDO' BUDAPEST 9.420,00 HUF Vásárlás</t>
  </si>
  <si>
    <t>HELLOPAY KERESKEDO' BUDAPEST 1.549,00 HUF Vásárlás</t>
  </si>
  <si>
    <t>HELLOPAY KERESKEDO' BUDAPEST 10.993,00 HUF Vásárlás</t>
  </si>
  <si>
    <t>FESTIPAY KERESKEDO 3 BUDAPEST 1.099,00 HUF Vásárlás</t>
  </si>
  <si>
    <t>11600006-00000000-15541668 Tuchbandné Varga Orsolya játék Kimenő azonnali megbízás</t>
  </si>
  <si>
    <t>HUN-MARTONVASAR MARTON MARKET Vásárlás(2023.02.01) Card:5444-0XXX-XX68-8737 MCC5411 HUN-MARTONVASAR MARTON MARKET 2.087,00 HUF Kártyatranzakció</t>
  </si>
  <si>
    <t>DM 311.SZ. BUDAORS 7.246,00 HUF Vásárlás</t>
  </si>
  <si>
    <t>MEDICINA PATIKA BUDAORS 13.190,00 HUF Vásárlás</t>
  </si>
  <si>
    <t>LIDL ARUHAZ 0349.SZ. BUDAORS 7.841,00 HUF Vásárlás</t>
  </si>
  <si>
    <t>HUN-ERCSI NAPSUGAR CUKRASZDA Vásárlás(2023.01.29) Card:5444-0XXX-XX68-8737 MCC5441 HUN-ERCSI NAPSUGAR CUKRASZDA 3.680,00 HUF Kártyatranzakció</t>
  </si>
  <si>
    <t>HUN-MARTONVASAR TESCO 44089 O:NKISZ Vásárlás(2023.01.26) Card:5444-0XXX-XX68-8737 MCC5311 HUN-MARTONVASAR TESCO 44089 O:NKISZ OLG 539,00 HUF Kártyatranzakció</t>
  </si>
  <si>
    <t>Czuprik Györgyné Kávé</t>
  </si>
  <si>
    <t>TESCO 44089 O NKISZOLG MARTONVASAR 918,00 HUF Vásárlás</t>
  </si>
  <si>
    <t>TESCO 44089 O NKISZOLG MARTONVASAR 1.717,00 HUF Vásárlás</t>
  </si>
  <si>
    <t>OTPMOBL EON.HU BUDAPEST 11.176,00 HUF Vásárlás</t>
  </si>
  <si>
    <t>DM 311.SZ. BUDAORS 14.002,00 HUF Vásárlás</t>
  </si>
  <si>
    <t>ALDI 156.SZ. BUDAORS 6.979,00 HUF Vásárlás</t>
  </si>
  <si>
    <t>NETFLIX.COM 408-724-9160 3.490,00 HUF Vásárlás 8,97 EUR</t>
  </si>
  <si>
    <t>TELEKOMSZAML 551736059 BUDAPEST 6.481,00 HUF Vásárlás 16,73 EUR</t>
  </si>
  <si>
    <t>LGEMK (MARKASZERVIZ) BUDAPEST 8.325,00 HUF Vásárlás</t>
  </si>
  <si>
    <t>Zsu-Ann Kft. Budapest 2.790,00 HUF Vásárlás</t>
  </si>
  <si>
    <t>HUN-Budaors LIDL 0349 Budaors Vásárlás(2023.01.24) Card:5444-0XXX-XX68-8737 MCC5411 HUN-Budaors LIDL 0349 Budaors 12.277,00 HUF Kártyatranzakció</t>
  </si>
  <si>
    <t>UNIQA BIZTOSÍTÓ ZRT. ÉB.visszav 2029143</t>
  </si>
  <si>
    <t>Nyugdíj</t>
  </si>
  <si>
    <t>UNIQA BIZTOSÍTÓ ZRT. ÉB.visszav 2029139</t>
  </si>
  <si>
    <t>UNIQA BIZTOSÍTÓ ZRT. ÉB.visszav 2029132</t>
  </si>
  <si>
    <t>UNIQA BIZTOSÍTÓ ZRT. ÉB.visszav 2029137</t>
  </si>
  <si>
    <t>HUN-BUDAPEST BARIONP*BARION.COM/GUE Vásárlás(2023.01.19) Card:5444-0XXX-XX68-8737 MCC7299 HUN-BUDAPEST BARIONP*BARION.COM/GUE 7.000,00 HUF Kártyatranzakció</t>
  </si>
  <si>
    <t>ALDI 22.SZ. ERD 18.620,00 HUF Vásárlás</t>
  </si>
  <si>
    <t>DM 311.SZ. BUDAORS 6.297,00 HUF Vásárlás</t>
  </si>
  <si>
    <t>LIDL ARUHAZ 0349.SZ. BUDAORS 18.253,00 HUF Vásárlás</t>
  </si>
  <si>
    <t>PRAKTIKER 333. BUDAORS 2.036,00 HUF Vásárlás</t>
  </si>
  <si>
    <t>Kemal Pasa Torok Et Budapest 4.100,00 HUF Vásárlás</t>
  </si>
  <si>
    <t>Mazsa Nordik Kft. Budapest 1.876,00 HUF Vásárlás 4,75 EUR</t>
  </si>
  <si>
    <t>AUCHAN BUDAORS BUDAORS 6.387,00 HUF Vásárlás</t>
  </si>
  <si>
    <t>Mazsa Nordik Kft. Budapest 999,00 HUF Vásárlás 2,51 EUR</t>
  </si>
  <si>
    <t>Kemal Pasa Torok Et Budapest 3.000,00 HUF Vásárlás</t>
  </si>
  <si>
    <t>Mazsa Nordik Kft. Budapest 738,00 HUF Vásárlás 1,86 EUR</t>
  </si>
  <si>
    <t>LIDL ARUHAZ 0349.SZ. BUDAORS 13.619,00 HUF Vásárlás</t>
  </si>
  <si>
    <t>TESCO 41520 BUDAORS 23.259,00 HUF Vásárlás</t>
  </si>
  <si>
    <t>NAPSUGAR CUKRASZDA ERCSI 2.920,00 HUF Vásárlás</t>
  </si>
  <si>
    <t>DM 311.SZ. BUDAORS 1.999,00 HUF Vásárlás</t>
  </si>
  <si>
    <t>KISKIFLI KAVEZO BUDAPEST 1.340,00 HUF Vásárlás</t>
  </si>
  <si>
    <t>Kemal Pasa Torok Et Budapest 2.100,00 HUF Vásárlás</t>
  </si>
  <si>
    <t>DM 311.SZ. BUDAORS 794,00 HUF Vásárlás</t>
  </si>
  <si>
    <t>BUDAO RS BENZINKU'T AU BUDAORS 42.626,00 HUF Vásárlás</t>
  </si>
  <si>
    <t>HUN-MARTONVASAR VIANNI U:ZLET Vásárlás(2023.01.11) Card:5444-0XXX-XX68-8737 MCC5399 HUN-MARTONVASAR VIANNI U:ZLET 1.100,00 HUF Kártyatranzakció</t>
  </si>
  <si>
    <t>HUN-GARDONY CSASZI2020 KFT. Vásárlás(2023.01.11) Card:5444-0XXX-XX68-8737 MCC5411 HUN-GARDONY CSASZI2020 KFT. 2.213,00 HUF Kártyatranzakció</t>
  </si>
  <si>
    <t>HUN-VELENCE VELENCE GYO'GYSZERTA'R Vásárlás(2023.01.11) Card:5444-0XXX-XX68-8737 MCC5912 HUN-VELENCE VELENCE GYO'GYSZERTA'R 2.479,00 HUF Kártyatranzakció</t>
  </si>
  <si>
    <t>MAGYAR ALLAMKINCSTAR BUDAPEST 992.166,00 HUF Vásárlás</t>
  </si>
  <si>
    <t>HUN-MARTONVASAR MARTON MARKET Vásárlás(2023.01.10) Card:5444-0XXX-XX68-8737 MCC5411 HUN-MARTONVASAR MARTON MARKET 3.525,00 HUF Kártyatranzakció</t>
  </si>
  <si>
    <t>IKEA BUDAORS ETTEREM Budaors 5.210,00 HUF Vásárlás</t>
  </si>
  <si>
    <t>IKEA BUDAORS UGYFE Budaors 7.160,00 HUF Vásárlás</t>
  </si>
  <si>
    <t>PL:P/10JAN23 Tőkefizetés Hitel /21-41194/</t>
  </si>
  <si>
    <t>MVM NEXT ENERGIAK BUDAPEST 8.880,00 HUF Vásárlás</t>
  </si>
  <si>
    <t>MEDICINA PATIKA BUDAORS 8.049,00 HUF Vásárlás</t>
  </si>
  <si>
    <t>LIDL ARUHAZ 0349.SZ. BUDAORS 13.259,00 HUF Vásárlás</t>
  </si>
  <si>
    <t>JAGUAR LAND ROVER HUNGARY KFT. Munkaber utalasMunkabér</t>
  </si>
  <si>
    <t>PL:I/10JAN23 Kamatfizetés  Hitel /21-41194/</t>
  </si>
  <si>
    <t>HUN-BUDAPEST OTPMOBL*CSASZARVONAL.H Vásárlás(2023.01.06) Card:5444-0XXX-XX68-8737 MCC8099 HUN-BUDAPEST OTPMOBL*CSASZARVONAL.H 8.990,00 HUF Kártyatranzakció</t>
  </si>
  <si>
    <t>MOUNTEX PRESSZO BUDAORS 1.550,00 HUF Vásárlás</t>
  </si>
  <si>
    <t>TESCO 44089 MARTONVASAR 1.977,00 HUF Vásárlás</t>
  </si>
  <si>
    <t>ALDI 156.SZ. BUDAORS 2.647,00 HUF Vásárlás</t>
  </si>
  <si>
    <t>10918001-00000097-08110006 GENERALI EGÉSZSÉG ÉS ÖNSEGÉLYEZŐ PÉ ÖSP/8881/3104 Bejövő Forint Átutalás</t>
  </si>
  <si>
    <t>Egészségpénztár</t>
  </si>
  <si>
    <t>HUN-BUDAPEST OTPMOBL*HERBAFERM.HU Vásárlás(2023.01.04) Card:5444-0XXX-XX68-8737 MCC5499 HUN-BUDAPEST OTPMOBL*HERBAFERM.HU 19.050,00 HUF Kártyatranzakció</t>
  </si>
  <si>
    <t>HUN-BUDAPEST BARIONP*BARION.COM/GUE Vásárlás(2023.01.04) Card:5444-0XXX-XX68-8737 MCC7299 HUN-BUDAPEST BARIONP*BARION.COM/GUE 39.900,00 HUF Kártyatranzakció</t>
  </si>
  <si>
    <t>BRENDON BABAARUHAZ BUDAORS 1.999,00 HUF Vásárlás</t>
  </si>
  <si>
    <t>GENERALI EGÉSZSÉG ÉS ÖNSEGÉLYEZŐ PÉ ÖSP/8874/3104, A181777962023010 62386000190, 72763</t>
  </si>
  <si>
    <t>LIDL ARUHAZ 0349.SZ. BUDAORS 24.221,00 HUF Vásárlás</t>
  </si>
  <si>
    <t>HUN-BUDAORS MEDICINA PATIKA Vásárlás(2022.12.29) Card:5444-0XXX-XX68-8737 MCC5912 HUN-BUDAORS MEDICINA PATIKA 8.437,00 HUF Kártyatranzakció</t>
  </si>
  <si>
    <t>HUN-BUDAKESZI WWW.MMATCHA.HU Vásárlás(2022.12.31) Card:5444-0XXX-XX68-8737 MCC5499 HUN-BUDAKESZI WWW.MMATCHA.HU 8.480,00 HUF Kártyatranzakció</t>
  </si>
  <si>
    <t>TESCO 44089 O NKISZOLG MARTONVASAR 619,00 HUF Vásárlás</t>
  </si>
  <si>
    <t>LIDL ARUHAZ 0349.SZ. BUDAORS 8.748,00 HUF Vásárlás</t>
  </si>
  <si>
    <t>PRAKTIKER 333. BUDAORS 3.491,00 HUF Vásárlás</t>
  </si>
  <si>
    <t>Int.Appl. to   31/12/22</t>
  </si>
  <si>
    <t>CRT to         31/12/22</t>
  </si>
  <si>
    <t>Matcha</t>
  </si>
  <si>
    <t>TESCO 44089 O NKISZOLG MARTONVASAR TRAN IDEJE 20221231 114954 TRAN ÖSSZEG 619.00 HUF</t>
  </si>
  <si>
    <t>5444 XXXX XXXX 8737 / null</t>
  </si>
  <si>
    <t>HUN-BUDAORS MEDICINA PATIKA Vásárlás(2022.12.27) Card:5444-0XXX-XX68-8737 MCC5912 HUN-BUDAORS MEDICINA PATIKA 16.604,00 HUF Kártyatranzakció</t>
  </si>
  <si>
    <t>LIDL ARUHAZ 0349.SZ. BUDAORS TRAN IDEJE 20221229 121236 TRAN ÖSSZEG 8,748.00 HUF</t>
  </si>
  <si>
    <t>PRAKTIKER 333. BUDAORS TRAN IDEJE 20221229 123703 TRAN ÖSSZEG 3,491.00 HUF</t>
  </si>
  <si>
    <t>LIPO'TI PE'KSE'G E'S K SALGOTARJAN 1.340,00 HUF Vásárlás</t>
  </si>
  <si>
    <t>DM 173 ERD 5.325,00 HUF Vásárlás</t>
  </si>
  <si>
    <t>HUN-Budaors LIDL 0349 Buda?rs Vásárlás(2022.12.27) Card:5444-0XXX-XX68-8737 MCC5411 HUN-Budaors LIDL 0349 Buda?rs 4.727,00 HUF Kártyatranzakció</t>
  </si>
  <si>
    <t>NETFLIX.COM 408-724-9160 3.490,00 HUF Vásárlás 8,69 EUR</t>
  </si>
  <si>
    <t>Czuprik Györgyné - - -</t>
  </si>
  <si>
    <t>127.COOP SZUPER 1. MARTONVASAR 4.366,00 HUF Vásárlás</t>
  </si>
  <si>
    <t>TESCO 44089 O NKISZOLG MARTONVASAR 1.099,00 HUF Vásárlás</t>
  </si>
  <si>
    <t>TESCO 44089 O NKISZOLG MARTONVASAR 4.095,00 HUF Vásárlás</t>
  </si>
  <si>
    <t>VELUXSHOP.HU Budapest 67.598,00 HUF Vásárlás</t>
  </si>
  <si>
    <t>DM 311.SZ. BUDAORS 8.913,00 HUF Vásárlás</t>
  </si>
  <si>
    <t>LIDL ARUHAZ 0349.SZ. BUDAORS 15.061,00 HUF Vásárlás</t>
  </si>
  <si>
    <t>TESCO 44089 MARTONVASAR 329,00 HUF Vásárlás</t>
  </si>
  <si>
    <t>BRENDON BABAARUHAZ BUDAORS 14.806,00 HUF Vásárlás</t>
  </si>
  <si>
    <t>TESCO 44089 O NKISZOLG MARTONVASAR 699,00 HUF Vásárlás</t>
  </si>
  <si>
    <t>S.A. Auto Szervíz Kft 2022/0358</t>
  </si>
  <si>
    <t>SZENT KERESZT GYO'GYSZ RACKERESZTUR 4.790,00 HUF Vásárlás</t>
  </si>
  <si>
    <t>ALDI 156.SZ. BUDAORS 1.548,00 HUF Vásárlás</t>
  </si>
  <si>
    <t>ALDI 156.SZ. BUDAORS 699,00 HUF Vásárlás</t>
  </si>
  <si>
    <t>ALDI 3.SZ. BUDAORS 10.992,00 HUF Vásárlás</t>
  </si>
  <si>
    <t>TESCO 41520 BUDAORS 4.326,00 HUF Vásárlás</t>
  </si>
  <si>
    <t>OBI 010 BUDAORS 9.198,00 HUF Vásárlás</t>
  </si>
  <si>
    <t>Medicz Gyogyszertar Martonvasar 5.091,00 HUF Vásárlás 12,53 EUR</t>
  </si>
  <si>
    <t>HUN-MARTONVASAR MARTON KLINIK Vásárlás(2022.12.16) Card:5444-0XXX-XX68-8737 MCC8099 HUN-MARTONVASAR MARTON KLINIK 10.110,00 HUF Kártyatranzakció</t>
  </si>
  <si>
    <t>MEDICINA PATIKA BUDAORS 2.845,00 HUF Vásárlás</t>
  </si>
  <si>
    <t>VIANNI U ZLET MARTONVASAR 1.270,00 HUF Vásárlás</t>
  </si>
  <si>
    <t>MEDICINA PATIKA BUDAORS 5.237,00 HUF Vásárlás</t>
  </si>
  <si>
    <t>TELEKOMSZAML 541692217 BUDAPEST 7.080,00 HUF Vásárlás 17,42 EUR</t>
  </si>
  <si>
    <t>HUN-Martonvasar Medicz Gyogyszertar Vásárlás(2022.12.14) Card:5444-0XXX-XX68-8737 MCC5912 HUN-Martonvasar Medicz Gyogyszertar 3.035,00 HUF Kártyatranzakció</t>
  </si>
  <si>
    <t>HUN-MARTONVASAR MARTON KLINIK Vásárlás(2022.12.14) Card:5444-0XXX-XX68-8737 MCC8099 HUN-MARTONVASAR MARTON KLINIK 22.000,00 HUF Kártyatranzakció</t>
  </si>
  <si>
    <t>POLLACK GARAZS BUDAPEST 1.000,00 HUF Vásárlás</t>
  </si>
  <si>
    <t>Sörsajt Kft. Budapest 7.205,00 HUF Vásárlás</t>
  </si>
  <si>
    <t>HUN-BICSKE GLS D120 DEPO' Vásárlás(2022.12.13) Card:5444-0XXX-XX68-8737 MCC4214 HUN-BICSKE GLS D120 DEPO' 17.090,00 HUF Kártyatranzakció</t>
  </si>
  <si>
    <t>ALDI 156.SZ. BUDAORS 4.943,00 HUF Vásárlás</t>
  </si>
  <si>
    <t>DM 311.SZ. BUDAORS 6.543,00 HUF Vásárlás</t>
  </si>
  <si>
    <t>BUDAO RS BENZINKU'T AU BUDAORS 40.000,00 HUF Vásárlás</t>
  </si>
  <si>
    <t>BRENDON BABAARUHAZ BUDAORS 7.497,00 HUF Vásárlás</t>
  </si>
  <si>
    <t>TESCO 41520 BUDAORS 249,00 HUF Vásárlás</t>
  </si>
  <si>
    <t>MEDICINA PATIKA BUDAORS 5.431,00 HUF Vásárlás</t>
  </si>
  <si>
    <t>KFC Budaörs DT</t>
  </si>
  <si>
    <t>HUN-Martonvasar MEDICZ PATIKA Vásárlás(2022.12.12) Card:5444-0XXX-XX68-8737 MCC5912 HUN-Martonvasar MEDICZ PATIKA 5.900,00 HUF Kártyatranzakció</t>
  </si>
  <si>
    <t>GBR-Manchester myprotein Vásárlás(2022.12.13) Card:5444-0XXX-XX68-8737 MCC5499 GBR-Manchester myprotein 8.080,00 HUF Kártyatranzakció</t>
  </si>
  <si>
    <t>KISKIFLI KAVEZO BUDAPEST 1.480,00 HUF Vásárlás</t>
  </si>
  <si>
    <t>AUTOMATA TO LTO'A'LLOM KAPOLNASNYEK 19.693,00 HUF Vásárlás</t>
  </si>
  <si>
    <t>BRENDON BABAARUHAZ BUDAORS 24.876,00 HUF Vásárlás</t>
  </si>
  <si>
    <t>ALDI 156.SZ. BUDAORS 9.288,00 HUF Vásárlás</t>
  </si>
  <si>
    <t>LIDL ARUHAZ 0349.SZ. BUDAORS 12.371,00 HUF Vásárlás</t>
  </si>
  <si>
    <t>PL:P/10DEC22 Tőkefizetés Hitel /21-41194/</t>
  </si>
  <si>
    <t>PL:I/10DEC22 Kamatfizetés  Hitel /21-41194/</t>
  </si>
  <si>
    <t>Mazsa Nordik Kft. Budapest 949,00 HUF Vásárlás 2,31 EUR</t>
  </si>
  <si>
    <t>ALDI 156.SZ. BUDAORS 1.222,00 HUF Vásárlás</t>
  </si>
  <si>
    <t>KISKIFLI KAVEZO BUDAPEST 2.290,00 HUF Vásárlás</t>
  </si>
  <si>
    <t>ROSSMANN 260 BUDAORS 1.799,00 HUF Vásárlás</t>
  </si>
  <si>
    <t>ALDI 156.SZ. BUDAORS 9.000,00 HUF Vásárlás</t>
  </si>
  <si>
    <t>DM 311.SZ. BUDAORS 1.767,00 HUF Vásárlás</t>
  </si>
  <si>
    <t>DM 311.SZ. BUDAORS 2.797,00 HUF Vásárlás</t>
  </si>
  <si>
    <t>TESCO 41520 O NKISZOLG BUDAORS 1.720,00 HUF Vásárlás</t>
  </si>
  <si>
    <t>ZSU-ANN Étkezde</t>
  </si>
  <si>
    <t>TELEKOMSZAML 537620595 BUDAPEST 6.481,00 HUF Vásárlás 15,67 EUR</t>
  </si>
  <si>
    <t>10400126-86767867-84511000 Minya Gergely Johanna fotók Kimenő azonnali megbízás</t>
  </si>
  <si>
    <t>HUN-BUDAPEST OTPMOBL*HERBAFERM.HU Vásárlás(2022.12.03) Card:5444-0XXX-XX68-8737 MCC5499 HUN-BUDAPEST OTPMOBL*HERBAFERM.HU 7.240,00 HUF Kártyatranzakció</t>
  </si>
  <si>
    <t>LIDL ARUHAZ 0349.SZ. BUDAORS 7.151,00 HUF Vásárlás</t>
  </si>
  <si>
    <t>VIANNI U ZLET MARTONVASAR 880,00 HUF Vásárlás</t>
  </si>
  <si>
    <t>10700691-61570722-51100005 Barabás Anna 2022-140 Kimenő azonnali megbízás</t>
  </si>
  <si>
    <t>TESCO 44089 O NKISZOLG MARTONVASAR 758,00 HUF Vásárlás</t>
  </si>
  <si>
    <t>Paris Attila - - -</t>
  </si>
  <si>
    <t>MEDICINA PATIKA BUDAORS 11.113,00 HUF Vásárlás</t>
  </si>
  <si>
    <t>BAKERS PIZZA BUDAPEST 649,00 HUF Vásárlás</t>
  </si>
  <si>
    <t>LIDL ARUHAZ 0349.SZ. BUDAORS 12.426,00 HUF Vásárlás</t>
  </si>
  <si>
    <t>OTPMOBL VIMPAY.MAV-STA BUDAPEST 224,00 HUF Vásárlás</t>
  </si>
  <si>
    <t>TESCO 41520 O NKISZOLG BUDAORS 12.410,00 HUF Vásárlás</t>
  </si>
  <si>
    <t>ALDI 156.SZ. BUDAORS 828,00 HUF Vásárlás</t>
  </si>
  <si>
    <t>AUCHAN BUDAORS BUDAORS 5.980,00 HUF Vásárlás</t>
  </si>
  <si>
    <t>BARKACSBOLT MARTONVASAR 2.860,00 HUF Vásárlás</t>
  </si>
  <si>
    <t>APPLE.COM/BILL 0680983435 6.990,00 HUF Vásárlás 16,99 EUR</t>
  </si>
  <si>
    <t>GBR-Manchester myprotein Vásárlás(2022.11.24) Card:5444-0XXX-XX68-8737 MCC5499 GBR-Manchester myprotein 9.506,00 HUF Kártyatranzakció</t>
  </si>
  <si>
    <t>LIDL ARUHAZ 0349.SZ. BUDAORS 2.472,00 HUF Vásárlás</t>
  </si>
  <si>
    <t>MARTON MARKET MARTONVASAR 3.616,00 HUF Vásárlás</t>
  </si>
  <si>
    <t>BARKACSBOLT MARTONVASAR 850,00 HUF Vásárlás</t>
  </si>
  <si>
    <t>BARKACSBOLT MARTONVASAR 1.690,00 HUF Vásárlás</t>
  </si>
  <si>
    <t>DECATHLON BUDAO RS BUDAORS 11.180,00 HUF Vásárlás</t>
  </si>
  <si>
    <t>MEDICINA PATIKA BUDAORS 12.608,00 HUF Vásárlás</t>
  </si>
  <si>
    <t>TESCO 44089 O NKISZOLG MARTONVASAR 1.521,00 HUF Vásárlás</t>
  </si>
  <si>
    <t>NETFLIX.COM 408-724-9160 3.490,00 HUF Vásárlás 8,48 EUR</t>
  </si>
  <si>
    <t>HUN-BUDAPEST HM Hennes  Mauritz K Vásárlás(2022.11.21) Card:5444-0XXX-XX68-8737 MCC5651 HUN-BUDAPEST HM Hennes  Mauritz K 27.265,00 HUF Kártyatranzakció</t>
  </si>
  <si>
    <t>MARTON MARKET MARTONVASAR 699,00 HUF Vásárlás</t>
  </si>
  <si>
    <t>VIANNI U ZLET MARTONVASAR 660,00 HUF Vásárlás</t>
  </si>
  <si>
    <t>Medicz Gyogyszertar Martonvasar 1.690,00 HUF Vásárlás 4,13 EUR</t>
  </si>
  <si>
    <t>Medicz Gyogyszertar Martonvasar 2.400,00 HUF Vásárlás 5,87 EUR</t>
  </si>
  <si>
    <t>Csibefaló Friss Étterem Tesco Áruház</t>
  </si>
  <si>
    <t>ALDI 156.SZ. BUDAORS 8.239,00 HUF Vásárlás</t>
  </si>
  <si>
    <t>MEDICINA PATIKA BUDAORS 6.400,00 HUF Vásárlás</t>
  </si>
  <si>
    <t>BUDAO RS BENZINKU'T AU BUDAORS 35.000,00 HUF Vásárlás</t>
  </si>
  <si>
    <t>DM 311.SZ. BUDAORS 6.946,00 HUF Vásárlás</t>
  </si>
  <si>
    <t>BRENDON BABAARUHAZ BUDAORS 4.690,00 HUF Vásárlás</t>
  </si>
  <si>
    <t>OSMAN SHOARMA KFT. BUDAORS 890,00 HUF Vásárlás</t>
  </si>
  <si>
    <t>Deichmann Budaörs 079 Budaörs 4.990,00 HUF Vásárlás</t>
  </si>
  <si>
    <t>TESCO 41520 O NKISZOLG BUDAORS 5.821,00 HUF Vásárlás</t>
  </si>
  <si>
    <t>HUN-BUDAPEST OTPMOBL*SHOP.ROSSMANN. Vásárlás(2022.11.18) Card:5444-0XXX-XX68-8737 MCC5977 HUN-BUDAPEST OTPMOBL*SHOP.ROSSMANN. 4.499,00 HUF Kártyatranzakció</t>
  </si>
  <si>
    <t>SZENT KERESZT GYO'GYSZ RACKERESZTUR 1.034,00 HUF Vásárlás</t>
  </si>
  <si>
    <t>DM 311.SZ. BUDAORS 5.745,00 HUF Vásárlás</t>
  </si>
  <si>
    <t>TESCO 41520 O NKISZOLG BUDAORS 3.275,00 HUF Vásárlás</t>
  </si>
  <si>
    <t>Nhkv Azonosíto 16252513 számla szám 1572 82604</t>
  </si>
  <si>
    <t>LIDL ARUHAZ 0349.SZ. BUDAORS 10.490,00 HUF Vásárlás</t>
  </si>
  <si>
    <t>TESCO 41520 O NKISZOLG BUDAORS 7.398,00 HUF Vásárlás</t>
  </si>
  <si>
    <t>BioTech USA Budaörs Te Budaörs 1.770,00 HUF Vásárlás</t>
  </si>
  <si>
    <t>BRENDON BABAARUHAZ BUDAORS 75.679,00 HUF Vásárlás</t>
  </si>
  <si>
    <t>MEDICINA PATIKA BUDAORS 3.174,00 HUF Vásárlás</t>
  </si>
  <si>
    <t>DM 311.SZ. BUDAORS 5.798,00 HUF Vásárlás</t>
  </si>
  <si>
    <t>ARTIZAN PEKSEG KAVEZO BUDAPEST 2.750,00 HUF Vásárlás</t>
  </si>
  <si>
    <t>VIZ-, GAZ SZERELVENYB MARTONVASAR 2.654,00 HUF Vásárlás</t>
  </si>
  <si>
    <t>OSMAN SHOARMA KFT. BUDAORS 1.780,00 HUF Vásárlás</t>
  </si>
  <si>
    <t>MVM NEXT ENERGIAK BUDAPEST 2.557,00 HUF Vásárlás</t>
  </si>
  <si>
    <t>SZALONSKICC BUDAPEST 5.190,00 HUF Vásárlás</t>
  </si>
  <si>
    <t>SIMPLE PARKOL S BUDAPEST 1.424,00 HUF Vásárlás</t>
  </si>
  <si>
    <t>TESCO 41520 O NKISZOLG BUDAORS 15.924,00 HUF Vásárlás</t>
  </si>
  <si>
    <t>KINIZSI UT 1-3. BUDAORS 4.000,00 HUF Kp felvét</t>
  </si>
  <si>
    <t>PREMIUM DONER KEBAB HO BUDAPEST 1.200,00 HUF Vásárlás</t>
  </si>
  <si>
    <t>TESCO 41520 O NKISZOLG BUDAORS 2.682,00 HUF Vásárlás</t>
  </si>
  <si>
    <t>AUCHAN BUDAORS BUDAORS 7.327,00 HUF Vásárlás</t>
  </si>
  <si>
    <t>BRENDON BABAARUHAZ BUDAORS 3.890,00 HUF Vásárlás</t>
  </si>
  <si>
    <t>OMV 2072 Budapest M1_ 1.275,00 HUF Vásárlás</t>
  </si>
  <si>
    <t>OTPMOBL CSASZARVONAL.H BUDAPEST 6.390,00 HUF Vásárlás</t>
  </si>
  <si>
    <t>DM 311.SZ. BUDAORS 9.525,00 HUF Vásárlás</t>
  </si>
  <si>
    <t>SIMPLE PARKOL S BUDAPEST 1.439,00 HUF Vásárlás</t>
  </si>
  <si>
    <t>SIMPLE PARKOL S BUDAPEST 1.274,00 HUF Vásárlás</t>
  </si>
  <si>
    <t>SIMPLE PARKOL S BUDAPEST 1.387,00 HUF Vásárlás</t>
  </si>
  <si>
    <t>McDonald's Budaörs 2.</t>
  </si>
  <si>
    <t>KFC Budaörs Agip DT</t>
  </si>
  <si>
    <t>BRENDON WEBARUHAZ BUDAPEST 37.179,00 HUF Vásárlás</t>
  </si>
  <si>
    <t>PL:P/10NOV22 Tőkefizetés Hitel /21-41194/</t>
  </si>
  <si>
    <t>HUN-MARTONVASAR OTP ATM készpénzfelvétel(2022.11.08) Card:5444-0XXX-XX68-8737 MCC6011 HUN-MARTONVASAR OTP 100.000,00 HUF Kártyatranzakció</t>
  </si>
  <si>
    <t>PL:I/10NOV22 Kamatfizetés  Hitel /21-41194/</t>
  </si>
  <si>
    <t>TESCO 44089 O NKISZOLG MARTONVASAR 1.918,00 HUF Vásárlás</t>
  </si>
  <si>
    <t>KISKIFLI KAVEZO BUDAPEST 1.300,00 HUF Vásárlás</t>
  </si>
  <si>
    <t>HUN-Törökbalint dm Kft. Vásárlás(2022.11.06) Card:5444-0XXX-XX68-8737 MCC5977 HUN-Törökbalint dm Kft. 16.113,00 HUF Kártyatranzakció</t>
  </si>
  <si>
    <t>127.COOP SZUPER 1. MARTONVASAR 599,00 HUF Vásárlás</t>
  </si>
  <si>
    <t>ALDI 156.SZ. BUDAORS 2.368,00 HUF Vásárlás</t>
  </si>
  <si>
    <t>LIDL ARUHAZ 0349.SZ. BUDAORS 5.444,00 HUF Vásárlás</t>
  </si>
  <si>
    <t>TESCO 41520 O NKISZOLG BUDAORS 6.252,00 HUF Vásárlás</t>
  </si>
  <si>
    <t>TESCO 44089 O NKISZOLG MARTONVASAR 279,00 HUF Vásárlás</t>
  </si>
  <si>
    <t>IKEA BUDAORS UGYFE Budaors 11.000,00 HUF Vásárlás</t>
  </si>
  <si>
    <t>TOP CLEAN HUNGARIA KFT BUDAORS 3.960,00 HUF Vásárlás</t>
  </si>
  <si>
    <t>TESCO 44089 O NKISZOLG MARTONVASAR 3.413,00 HUF Vásárlás</t>
  </si>
  <si>
    <t>HUN-BUDAORS MEDICINA PATIKA Vásárlás(2022.10.28) Card:5444-0XXX-XX68-8737 MCC5912 HUN-BUDAORS MEDICINA PATIKA 5.367,00 HUF Kártyatranzakció</t>
  </si>
  <si>
    <t>HUN-Erd PEPCO 3546 Stop Shop Vásárlás(2022.10.29) Card:5444-0XXX-XX68-8737 MCC5331 HUN-Erd PEPCO 3546 Stop Shop 5.800,00 HUF Kártyatranzakció</t>
  </si>
  <si>
    <t>10700691-61570722-51100005 Barabás Anna 2022-116 Kimenő azonnali megbízás</t>
  </si>
  <si>
    <t>IKEA BUDAORS UGYFE Budaors 17.870,00 HUF Vásárlás</t>
  </si>
  <si>
    <t>HUN-MARTONVASAR 127.COOP SZUPER 1. Vásárlás(2022.10.28) Card:5444-0XXX-XX68-8737 MCC5411 HUN-MARTONVASAR 127.COOP SZUPER 1. 886,00 HUF Kártyatranzakció</t>
  </si>
  <si>
    <t>BAUHAUS SZIGETSZENTMIK SZIGETSZENTM 18.958,00 HUF Vásárlás</t>
  </si>
  <si>
    <t>BAUHAUS SZIGETSZENTMIK SZIGETSZENTM 2.250,00 HUF Vásárlás</t>
  </si>
  <si>
    <t>BOHACS BARKACS ERD 1.151,00 HUF Vásárlás</t>
  </si>
  <si>
    <t>BRENDON BABAARUHAZ BUDAORS 13.797,00 HUF Vásárlás</t>
  </si>
  <si>
    <t>EURONICS MEGA MU'SZAKI BUDAORS 64.989,00 HUF Vásárlás</t>
  </si>
  <si>
    <t>Paris Attila 2022 decemberig</t>
  </si>
  <si>
    <t>Pepco</t>
  </si>
  <si>
    <t>Coop</t>
  </si>
  <si>
    <t>HUN-MARTONVASAR VIANNI U:ZLET Vásárlás(2022.10.26) Card:5444-0XXX-XX68-8737 MCC5399 HUN-MARTONVASAR VIANNI U:ZLET 990,00 HUF Kártyatranzakció</t>
  </si>
  <si>
    <t>Medicina Patika</t>
  </si>
  <si>
    <t>ALDI 156.SZ. BUDAORS TRAN IDEJE 20221028 172136 TRAN ÖSSZEG 4,814.00 HUF</t>
  </si>
  <si>
    <t>ROSSMANN 260 BUDAORS TRAN IDEJE 20221028 180310 TRAN ÖSSZEG 369.00 HUF</t>
  </si>
  <si>
    <t>LIDL ARUHAZ 0349.SZ. BUDAORS TRAN IDEJE 20221028 183513 TRAN ÖSSZEG 5,245.00 HUF</t>
  </si>
  <si>
    <t>BOHACS BARKACS ERD TRAN IDEJE 20221029 123658 TRAN ÖSSZEG 1,151.00 HUF</t>
  </si>
  <si>
    <t>BAUHAUS SZIGETSZENTMIK SZIGETSZENTM TRAN IDEJE 20221029 135141 TRAN ÖSSZEG 18,958.00 HUF</t>
  </si>
  <si>
    <t>BAUHAUS SZIGETSZENTMIK SZIGETSZENTM TRAN IDEJE 20221029 135227 TRAN ÖSSZEG 2,250.00 HUF</t>
  </si>
  <si>
    <t>ALDI 156.SZ. BUDAORS TRAN IDEJE 20221031 163755 TRAN ÖSSZEG 4,385.00 HUF</t>
  </si>
  <si>
    <t>IKEA Budaors TRAN IDEJE 20221031 171851 TRAN ÖSSZEG 17,870.00 HUF</t>
  </si>
  <si>
    <t>MARTONCOLOR FESTE'K MARTONVASAR 4.300,00 HUF Vásárlás</t>
  </si>
  <si>
    <t>NETFLIX.COM 408-724-9160 3.490,00 HUF Vásárlás 8,55 USD</t>
  </si>
  <si>
    <t>Bakos Barna - - -</t>
  </si>
  <si>
    <t>HUN-BUDAORS ALDI 156.SZ. Vásárlás(2022.10.25) Card:5444-0XXX-XX68-8737 MCC5411 HUN-BUDAORS ALDI 156.SZ. 4.075,00 HUF Kártyatranzakció</t>
  </si>
  <si>
    <t>TESCO 44089 MARTONVASAR 1.554,00 HUF Vásárlás</t>
  </si>
  <si>
    <t>HUN-MARTONVASAR VIANNI U:ZLET Vásárlás(2022.10.24) Card:5444-0XXX-XX68-8737 MCC5399 HUN-MARTONVASAR VIANNI U:ZLET 220,00 HUF Kártyatranzakció</t>
  </si>
  <si>
    <t>HUN-MARTONVASAR MARTON MARKET Vásárlás(2022.10.24) Card:5444-0XXX-XX68-8737 MCC5411 HUN-MARTONVASAR MARTON MARKET 1.509,00 HUF Kártyatranzakció</t>
  </si>
  <si>
    <t>HUN-Budaors LIDL 0349 Budaors Vásárlás(2022.10.25) Card:5444-0XXX-XX68-8737 MCC5411 HUN-Budaors LIDL 0349 Budaors 20.500,00 HUF Kártyatranzakció</t>
  </si>
  <si>
    <t>MARTONCOLOR FESTE'K MARTONVASAR 3.200,00 HUF Vásárlás</t>
  </si>
  <si>
    <t>MARTONCOLOR FESTE'K MARTONVASAR 15.000,00 HUF Vásárlás</t>
  </si>
  <si>
    <t>HUN-MARTONVASAR OTP ATM készpénzfelvétel(2022.10.23) Card:5444-0XXX-XX68-8737 MCC6011 HUN-MARTONVASAR OTP 50.000,00 HUF Kártyatranzakció</t>
  </si>
  <si>
    <t>HUN-MARTONVASAR OTP ATM készpénzfelvétel(2022.10.23) Card:5444-0XXX-XX68-8737 MCC6011 HUN-MARTONVASAR OTP 100.000,00 HUF Kártyatranzakció</t>
  </si>
  <si>
    <t>POL-LODZ WWW.BONPRIX.HU Áru vissza/befizetés(2022.10.20) Card:5444-0XXX-XX68-8737 MCC5311 POL-LODZ WWW.BONPRIX.HU 24.999,00 HUF Kártyatranzakció</t>
  </si>
  <si>
    <t>HUN-BUDAORS MEDICINA PATIKA Vásárlás(2022.10.22) Card:5444-0XXX-XX68-8737 MCC5912 HUN-BUDAORS MEDICINA PATIKA 6.310,00 HUF Kártyatranzakció</t>
  </si>
  <si>
    <t>HUN-BUDAPEST BARIONP*BARION.COM/GUE Vásárlás(2022.10.20) Card:5444-0XXX-XX68-8737 MCC7299 HUN-BUDAPEST BARIONP*BARION.COM/GUE 8.796,00 HUF Kártyatranzakció</t>
  </si>
  <si>
    <t>OTPMOBL DIJNET.HU BUDAPEST 18.259,00 HUF Vásárlás</t>
  </si>
  <si>
    <t>JYSK H824 BUDAORS 8.000,00 HUF Vásárlás</t>
  </si>
  <si>
    <t>ALDI 156.SZ. BUDAORS 7.936,00 HUF Vásárlás</t>
  </si>
  <si>
    <t>TESCO 41520 BUDAORS 7.873,00 HUF Vásárlás</t>
  </si>
  <si>
    <t>PRAKTIKER 333. BUDAORS 6.313,00 HUF Vásárlás</t>
  </si>
  <si>
    <t>DELILI BUDAORS 2.030,00 HUF Vásárlás</t>
  </si>
  <si>
    <t>PANIFICIO ILBASILICO SZENTENDRE 7.500,00 HUF Vásárlás</t>
  </si>
  <si>
    <t>étterem</t>
  </si>
  <si>
    <t>VIANNI U ZLET MARTONVASAR 847,00 HUF Vásárlás</t>
  </si>
  <si>
    <t>OTPMOBL EON.HU BUDAPEST 11.742,00 HUF Vásárlás</t>
  </si>
  <si>
    <t>TELEKOMSZAML 525540982 BUDAPEST 7.080,00 HUF Vásárlás 16,82 USD</t>
  </si>
  <si>
    <t>IMO Hungary kft Budaors 2.790,00 HUF Vásárlás 6,63 USD</t>
  </si>
  <si>
    <t>HUN-MARTONVASAR TESCO 44089 Vásárlás(2022.10.19) Card:5444-0XXX-XX68-8737 MCC5311 HUN-MARTONVASAR TESCO 44089 2.487,00 HUF Kártyatranzakció</t>
  </si>
  <si>
    <t>HUN-BUDAPEST OTPMOBL*JEGY.MAV.HU Vásárlás(2022.10.18) Card:5444-0XXX-XX68-8737 MCC4112 HUN-BUDAPEST OTPMOBL*JEGY.MAV.HU 293,00 HUF Kártyatranzakció</t>
  </si>
  <si>
    <t>HUN-BUDAPEST FORNETTI Vásárlás(2022.10.18) Card:5444-0XXX-XX68-8737 MCC5462 HUN-BUDAPEST FORNETTI 759,00 HUF Kártyatranzakció</t>
  </si>
  <si>
    <t>TESCO 44089 O NKISZOLG MARTONVASAR 261,00 HUF Vásárlás</t>
  </si>
  <si>
    <t>VIZ-, GAZ SZERELVENYB MARTONVASAR 1.975,00 HUF Vásárlás</t>
  </si>
  <si>
    <t>DEU-HAMBURG WWW.ABOUTYOU.HU Áru vissza/befizetés(2022.10.17) Card:5444-0XXX-XX68-8737 MCC5311 DEU-HAMBURG WWW.ABOUTYOU.HU 27.990,00 HUF Kártyatranzakció</t>
  </si>
  <si>
    <t>HUN-BUDAPEST OTPMOBL*VITAMINBOLT.NE Vásárlás(2022.10.17) Card:5444-0XXX-XX68-8737 MCC5499 HUN-BUDAPEST OTPMOBL*VITAMINBOLT.NE 2.550,00 HUF Kártyatranzakció</t>
  </si>
  <si>
    <t>HUN-BUDAORS DM 311.SZ. Vásárlás(2022.10.17) Card:5444-0XXX-XX68-8737 MCC5977 HUN-BUDAORS DM 311.SZ. 3.802,00 HUF Kártyatranzakció</t>
  </si>
  <si>
    <t>10700529-62328528-51100005 Réka BR-2022-58 Kimenő azonnali megbízás</t>
  </si>
  <si>
    <t>HUN-BUDAPEST BARIONP*BIOEGESZSEG Vásárlás(2022.10.17) Card:5444-0XXX-XX68-8737 MCC5499 HUN-BUDAPEST BARIONP*BIOEGESZSEG 5.629,00 HUF Kártyatranzakció</t>
  </si>
  <si>
    <t>22222222-21300099-00000000 Péter Mátyás PM-2022-656 Kimenő azonnali megbízás</t>
  </si>
  <si>
    <t>MOM PARKOLO'AUTOMATA BUDAPEST 660,00 HUF Vásárlás</t>
  </si>
  <si>
    <t>SPAR 0170 BUDAPEST 4.600,00 HUF Vásárlás</t>
  </si>
  <si>
    <t>MINI BOUTIQUE MOM PARK BUDAPEST 4.950,00 HUF Vásárlás</t>
  </si>
  <si>
    <t>Budha Original Bartók Ház</t>
  </si>
  <si>
    <t>10800007-70000000-12522061 Velux Magyarorszag Kft 16276689 Kimenő azonnali megbízás</t>
  </si>
  <si>
    <t>10918001-00000002-68950006 TETŐCENTRUM MAGYARORSZÁG KERESKEDEL 79231666074556 Gergely Czuprik Kimenő azonnali megbízás</t>
  </si>
  <si>
    <t>FODOR ORSOLYA Leesésgátló köszi szépen</t>
  </si>
  <si>
    <t>DM 311.SZ. BUDAORS 2.799,00 HUF Vásárlás</t>
  </si>
  <si>
    <t>KO' FAGYI BUDAPEST 1.000,00 HUF Vásárlás</t>
  </si>
  <si>
    <t>ALDI 156.SZ. BUDAORS 12.173,00 HUF Vásárlás</t>
  </si>
  <si>
    <t>SIMPLE PARKOL S BUDAPEST 1.042,00 HUF Vásárlás</t>
  </si>
  <si>
    <t>HUN-MARTONVASAR MARTON MARKET Vásárlás(2022.10.15) Card:5444-0XXX-XX68-8737 MCC5411 HUN-MARTONVASAR MARTON MARKET 1.755,00 HUF Kártyatranzakció</t>
  </si>
  <si>
    <t>HUN-BUDAPEST BARIONP*BARION.COM/GUE Vásárlás(2022.10.15) Card:5444-0XXX-XX68-8737 MCC7299 HUN-BUDAPEST BARIONP*BARION.COM/GUE 8.439,00 HUF Kártyatranzakció</t>
  </si>
  <si>
    <t>KISKIFLI KAVEZO BUDAPEST 1.180,00 HUF Vásárlás</t>
  </si>
  <si>
    <t>LIDL ARUHAZ 0254.SZ. SOLT 4.870,00 HUF Vásárlás</t>
  </si>
  <si>
    <t>LIDL ARUHAZ 0254.SZ. SOLT 3.820,00 HUF Vásárlás</t>
  </si>
  <si>
    <t>TESCO 41880 KISKOROS 16.970,00 HUF Vásárlás</t>
  </si>
  <si>
    <t>FERMENTO BUDAPEST 11.385,00 HUF Vásárlás</t>
  </si>
  <si>
    <t>SIMPLE PARKOL S BUDAPEST 709,00 HUF Vásárlás</t>
  </si>
  <si>
    <t>HUN-MARTONVASAR TESCO 44089 Vásárlás(2022.10.12) Card:5444-0XXX-XX68-8737 MCC5311 HUN-MARTONVASAR TESCO 44089 643,00 HUF Kártyatranzakció</t>
  </si>
  <si>
    <t>BUDAO RS BENZINKU'T AU BUDAORS 10.000,00 HUF Vásárlás</t>
  </si>
  <si>
    <t>BUDAO RS BENZINKU'T AU BUDAORS 2.412,00 HUF Vásárlás</t>
  </si>
  <si>
    <t>Auchan Budaors Budaors 22.470,00 HUF Vásárlás</t>
  </si>
  <si>
    <t>TESCO 41520 O NKISZOLG BUDAORS 799,00 HUF Vásárlás</t>
  </si>
  <si>
    <t>KISKIFLI KAVEZO BUDAPEST 3.590,00 HUF Vásárlás</t>
  </si>
  <si>
    <t>IKEA BUDAORS UGYFE Budaors 4.990,00 HUF Vásárlás</t>
  </si>
  <si>
    <t>Cafe Frei Budapest- No Budapest 2.820,00 HUF Vásárlás 6,50 USD</t>
  </si>
  <si>
    <t>PL:P/10OCT22 Tőkefizetés Hitel /21-41194/</t>
  </si>
  <si>
    <t>HUN-Budaors IKEA BUDAORS ETTEREM Vásárlás(2022.10.07) Card:5444-0XXX-XX68-8737 MCC5814 HUN-Budaors IKEA BUDAORS ETTEREM 490,00 HUF Kártyatranzakció</t>
  </si>
  <si>
    <t>HUN-Martonvasar POSTA5324 Vásárlás(2022.10.07) Card:5444-0XXX-XX68-8737 MCC4900 HUN-Martonvasar POSTA5324 2.060,00 HUF Kártyatranzakció</t>
  </si>
  <si>
    <t>HUN-BUDAPEST H&amp;M Hennes &amp; Mauritz K Vásárlás(2022.10.07) Card:5444-0XXX-XX68-8737 MCC5651 HUN-BUDAPEST H&amp;M Hennes &amp; Mauritz K 10.285,00 HUF Kártyatranzakció</t>
  </si>
  <si>
    <t>HUN-BUDAPEST BRENDON WEBARUHAZ Vásárlás(2022.10.07) Card:5444-0XXX-XX68-8737 MCC5331 HUN-BUDAPEST BRENDON WEBARUHAZ 27.892,00 HUF Kártyatranzakció</t>
  </si>
  <si>
    <t>PL:I/10OCT22 Kamatfizetés  Hitel /21-41194/</t>
  </si>
  <si>
    <t>IKEA BUDAORS ETTEREM Budaors 690,00 HUF Vásárlás</t>
  </si>
  <si>
    <t>MEDICINA PATIKA BUDAORS 6.914,00 HUF Vásárlás</t>
  </si>
  <si>
    <t>LIDL ARUHAZ 0349.SZ. BUDAORS 6.623,00 HUF Vásárlás</t>
  </si>
  <si>
    <t>TESCO 41520 O NKISZOLG BUDAORS 8.307,00 HUF Vásárlás</t>
  </si>
  <si>
    <t>IKEA BUDAORS UGYFE Budaors 8.480,00 HUF Vásárlás</t>
  </si>
  <si>
    <t>SIMPLE PARKOL S BUDAPEST 214,00 HUF Vásárlás</t>
  </si>
  <si>
    <t>ALDI 156.SZ. BUDAORS 10.738,00 HUF Vásárlás</t>
  </si>
  <si>
    <t>HUN-MARTONVASAR MARTON MARKET Vásárlás(2022.10.03) Card:5444-0XXX-XX68-8737 MCC5411 HUN-MARTONVASAR MARTON MARKET 1.627,00 HUF Kártyatranzakció</t>
  </si>
  <si>
    <t>HUN-MARTONVASAR MARTONCOLOR FESTE'K Vásárlás(2022.10.03) Card:5444-0XXX-XX68-8737 MCC5198 HUN-MARTONVASAR MARTONCOLOR FESTE'K 2.340,00 HUF Kártyatranzakció</t>
  </si>
  <si>
    <t>HUN-BUDAPEST H&amp;M Hennes &amp; Mauritz K Áru vissza/befizetés(2022.10.03) Card:5444-0XXX-XX68-8737 MCC5651 HUN-BUDAPEST H&amp;M Hennes &amp; Mauritz K 17.485,00 HUF Kártyatranzakció</t>
  </si>
  <si>
    <t>10700691-61570722-51100005 Barabás Anna 2022-100 Kimenő azonnali megbízás</t>
  </si>
  <si>
    <t>MAGLO'D BENZINKU'T AUT MAGLOD 25.000,00 HUF Vásárlás</t>
  </si>
  <si>
    <t>TELEKOMSZAML 518705487 BUDAPEST 7.080,00 HUF Vásárlás 16,47 USD</t>
  </si>
  <si>
    <t>HUN-BUDAPEST PHILLIPPOS GYROS BAR Vásárlás(2022.09.30) Card:5444-0XXX-XX68-8737 MCC5814 HUN-BUDAPEST PHILLIPPOS GYROS BAR 1.450,00 HUF Kártyatranzakció</t>
  </si>
  <si>
    <t>DM 316.SZ. GARDONY 5.415,00 HUF Vásárlás</t>
  </si>
  <si>
    <t>ALDI 156.SZ. BUDAORS 1.672,00 HUF Vásárlás</t>
  </si>
  <si>
    <t>ALDI 5.SZ. GARDONY 10.296,00 HUF Vásárlás</t>
  </si>
  <si>
    <t>ALDI 5.SZ. GARDONY 5.942,00 HUF Vásárlás</t>
  </si>
  <si>
    <t>LIDL ARUHAZ 0306.SZ. AGARD 9.854,00 HUF Vásárlás</t>
  </si>
  <si>
    <t>Int.Appl. to   30/09/22</t>
  </si>
  <si>
    <t>CRT to         30/09/22</t>
  </si>
  <si>
    <t>HUN-BICSKE GLS D120 DEPO' Vásárlás(2022.09.28) Card:5444-0XXX-XX68-8737 MCC4214 HUN-BICSKE GLS D120 DEPO' 15.930,00 HUF Kártyatranzakció</t>
  </si>
  <si>
    <t>BOSCH 101 KANTIN BUDAPEST 1.071,00 HUF Vásárlás</t>
  </si>
  <si>
    <t>Auchan Maglod Maglod 20.565,00 HUF Vásárlás</t>
  </si>
  <si>
    <t>HUN-MARTONVASAR TESCO 44089 Vásárlás(2022.09.27) Card:5444-0XXX-XX68-8737 MCC5311 HUN-MARTONVASAR TESCO 44089 689,00 HUF Kártyatranzakció</t>
  </si>
  <si>
    <t>HUN-MARTONVASAR TESCO 44089 Vásárlás(2022.09.26) Card:5444-0XXX-XX68-8737 MCC5311 HUN-MARTONVASAR TESCO 44089 814,00 HUF Kártyatranzakció</t>
  </si>
  <si>
    <t>SIMPLE PARKOL S BUDAPEST 319,00 HUF Vásárlás</t>
  </si>
  <si>
    <t>NETFLIX.COM 408-724-9160 3.490,00 HUF Vásárlás 8,25 USD</t>
  </si>
  <si>
    <t>HUN-BUDAORS MEDICINA PATIKA Vásárlás(2022.09.25) Card:5444-0XXX-XX68-8737 MCC5912 HUN-BUDAORS MEDICINA PATIKA 16.856,00 HUF Kártyatranzakció</t>
  </si>
  <si>
    <t>HUN-MARTONVASAR MARTON MARKET Vásárlás(2022.09.22) Card:5444-0XXX-XX68-8737 MCC5411 HUN-MARTONVASAR MARTON MARKET 507,00 HUF Kártyatranzakció</t>
  </si>
  <si>
    <t>HUN-BUDAPEST PHILLIPPOS GYROS BAR Vásárlás(2022.09.23) Card:5444-0XXX-XX68-8737 MCC5814 HUN-BUDAPEST PHILLIPPOS GYROS BAR 2.490,00 HUF Kártyatranzakció</t>
  </si>
  <si>
    <t>HUN-BUDAPEST Dr. Bogdan and Dr. Gye Vásárlás(2022.09.22) Card:5444-0XXX-XX68-8737 MCC8021 HUN-BUDAPEST Dr. Bogdan and Dr. Gye 35.000,00 HUF Kártyatranzakció</t>
  </si>
  <si>
    <t>KARSAINÉ GASSER MÁRIA -</t>
  </si>
  <si>
    <t>IKEA BUDAORS UGYFE Budaors 22.540,00 HUF Vásárlás</t>
  </si>
  <si>
    <t>SIMPLE PARKOL S BUDAPEST 329,00 HUF Vásárlás</t>
  </si>
  <si>
    <t>ALDI 156.SZ. BUDAORS 6.130,00 HUF Vásárlás</t>
  </si>
  <si>
    <t>IKEA BUDAORS ETTEREM Budaors 490,00 HUF Vásárlás</t>
  </si>
  <si>
    <t>LIDL ARUHAZ 0349.SZ. BUDAORS 6.283,00 HUF Vásárlás</t>
  </si>
  <si>
    <t>Kemal Pasa Torok Et Budapest 1.900,00 HUF Vásárlás</t>
  </si>
  <si>
    <t>IKEA BUDAORS ETTEREM Budaors 1.000,00 HUF Vásárlás</t>
  </si>
  <si>
    <t>HUN-Törökbalint dm Kft. Vásárlás(2022.09.20) Card:5444-0XXX-XX68-8737 MCC5977 HUN-Törökbalint dm Kft. 21.806,00 HUF Kártyatranzakció</t>
  </si>
  <si>
    <t>HUN-BUDAPEST H&amp;M Hennes &amp; Mauritz K Vásárlás(2022.09.21) Card:5444-0XXX-XX68-8737 MCC5651 HUN-BUDAPEST H&amp;M Hennes &amp; Mauritz K 39.970,00 HUF Kártyatranzakció</t>
  </si>
  <si>
    <t>SUPER WOK BUDAPEST 1.450,00 HUF Vásárlás</t>
  </si>
  <si>
    <t>ALDI 156.SZ. BUDAORS 4.803,00 HUF Vásárlás</t>
  </si>
  <si>
    <t>DEU-HAMBURG WWW.ABOUTYOU.HU Vásárlás(2022.09.19) Card:5444-0XXX-XX68-8737 MCC5311 DEU-HAMBURG WWW.ABOUTYOU.HU 27.990,00 HUF Kártyatranzakció</t>
  </si>
  <si>
    <t>POL-LODZ WWW.BONPRIX.HU Vásárlás(2022.09.19) Card:5444-0XXX-XX68-8737 MCC5311 POL-LODZ WWW.BONPRIX.HU 36.187,00 HUF Kártyatranzakció</t>
  </si>
  <si>
    <t>HUN-Budapest IKEA HU ecom Vásárlás(2022.09.19) Card:5444-0XXX-XX68-8737 MCC5712 HUN-Budapest IKEA HU ecom 73.680,00 HUF Kártyatranzakció</t>
  </si>
  <si>
    <t>VIANNI U ZLET MARTONVASAR 1.380,00 HUF Vásárlás</t>
  </si>
  <si>
    <t>OMV 2087 M7 Kajaszo b 18.293,00 HUF Vásárlás</t>
  </si>
  <si>
    <t>OTPMOBL GENERTEL.HU BUDAPEST 42.233,00 HUF Vásárlás</t>
  </si>
  <si>
    <t>Revolut 8767 Dublin 25.000,00 HUF Vásárlás 61,51 USD</t>
  </si>
  <si>
    <t>HUN-Budapest sin-say.com/hu/hu/ Áru vissza/befizetés(2022.09.15) Card:5444-0XXX-XX68-8737 MCC5611 HUN-Budapest sin-say.com/hu/hu/ 3.995,00 HUF Kártyatranzakció</t>
  </si>
  <si>
    <t>HUN-MARTONVASAR VIANNI U:ZLET Vásárlás(2022.09.15) Card:5444-0XXX-XX68-8737 MCC5399 HUN-MARTONVASAR VIANNI U:ZLET 880,00 HUF Kártyatranzakció</t>
  </si>
  <si>
    <t>HUN-MARTONVASAR MARTON KLINIK Vásárlás(2022.09.16) Card:5444-0XXX-XX68-8737 MCC8099 HUN-MARTONVASAR MARTON KLINIK 8.100,00 HUF Kártyatranzakció</t>
  </si>
  <si>
    <t>HUN-BUDAORS DM 311.SZ. Vásárlás(2022.09.17) Card:5444-0XXX-XX68-8737 MCC5977 HUN-BUDAORS DM 311.SZ. 10.273,00 HUF Kártyatranzakció</t>
  </si>
  <si>
    <t>HUN-BUDAORS H&amp;M HU0341 Vásárlás(2022.09.17) Card:5444-0XXX-XX68-8737 MCC5691 HUN-BUDAORS H&amp;M HU0341 11.990,00 HUF Kártyatranzakció</t>
  </si>
  <si>
    <t>HUN-BUDAORS HA'DA HASZNA'LTRUHA U: Vásárlás(2022.09.17) Card:5444-0XXX-XX68-8737 MCC5691 HUN-BUDAORS HA'DA HASZNA'LTRUHA U: 11.998,00 HUF Kártyatranzakció</t>
  </si>
  <si>
    <t>HUN-Budapest www.doranatura.hu Vásárlás(2022.09.17) Card:5444-0XXX-XX68-8737 MCC5977 HUN-Budapest www.doranatura.hu 14.740,00 HUF Kártyatranzakció</t>
  </si>
  <si>
    <t>TESCO 41520 O NKISZOLG BUDAORS 12.049,00 HUF Vásárlás</t>
  </si>
  <si>
    <t>BAUHAUS SZIGETSZENTMIK SZIGETSZENTM 32.788,00 HUF Vásárlás</t>
  </si>
  <si>
    <t>TESCO 44089 MARTONVASAR 1.098,00 HUF Vásárlás</t>
  </si>
  <si>
    <t>VARTA MINTABOLT BUDAPEST 23.990,00 HUF Vásárlás</t>
  </si>
  <si>
    <t>HUN-BUDAPEST HELLOPAY ZRT-KERESKEDO Vásárlás(2022.09.13) Card:5444-0XXX-XX68-8737 MCC7999 HUN-BUDAPEST HELLOPAY ZRT-KERESKEDO 380,00 HUF Kártyatranzakció</t>
  </si>
  <si>
    <t>HUN-BUDAPEST BOUTIQUE ALLEE Vásárlás(2022.09.13) Card:5444-0XXX-XX68-8737 MCC5399 HUN-BUDAPEST BOUTIQUE ALLEE 4.650,00 HUF Kártyatranzakció</t>
  </si>
  <si>
    <t>HUN-BUDAPEST SPAR MAGYARORSZAG KFT Vásárlás(2022.09.13) Card:5444-0XXX-XX68-8737 MCC5411 HUN-BUDAPEST SPAR MAGYARORSZAG KFT 4.963,00 HUF Kártyatranzakció</t>
  </si>
  <si>
    <t>HUN-BUDAPEST H&amp;M HU0309 Vásárlás(2022.09.13) Card:5444-0XXX-XX68-8737 MCC5691 HUN-BUDAPEST H&amp;M HU0309 22.486,00 HUF Kártyatranzakció</t>
  </si>
  <si>
    <t>OTPMOBL NAV EFER BUDAPEST 29.250,00 HUF Vásárlás</t>
  </si>
  <si>
    <t>VIANNI U ZLET MARTONVASAR 220,00 HUF Vásárlás</t>
  </si>
  <si>
    <t>Lipoti Pekseg Budapest 990,00 HUF Vásárlás 2,46 USD</t>
  </si>
  <si>
    <t>HUN-BUDAORS SZENT JOBB GYO'GYSZERT Vásárlás(2022.09.12) Card:5444-0XXX-XX68-8737 MCC5912 HUN-BUDAORS SZENT JOBB GYO'GYSZERT 780,00 HUF Kártyatranzakció</t>
  </si>
  <si>
    <t>BUDAO RS BENZINKU'T AU BUDAORS 24.000,00 HUF Vásárlás</t>
  </si>
  <si>
    <t>PRAKTIKER 333. BUDAORS 969,00 HUF Vásárlás</t>
  </si>
  <si>
    <t>BELLOZZO ALLEE BUDAPEST 3.610,00 HUF Vásárlás</t>
  </si>
  <si>
    <t>SIMPLE PARKOL S BUDAPEST 389,00 HUF Vásárlás</t>
  </si>
  <si>
    <t>PM-ABACUS FIZETO'AUT 4 BUDAPEST 1.050,00 HUF Vásárlás</t>
  </si>
  <si>
    <t>BOHACS BARKACS ERD 22.231,00 HUF Vásárlás</t>
  </si>
  <si>
    <t>TESCO 44089 O NKISZOLG MARTONVASAR 1.439,00 HUF Vásárlás</t>
  </si>
  <si>
    <t>HUN-BUDAPEST OTPMOBL*JEGY.MAV.HU Vásárlás(2022.09.08) Card:5444-0XXX-XX68-8737 MCC4112 HUN-BUDAPEST OTPMOBL*JEGY.MAV.HU 293,00 HUF Kártyatranzakció</t>
  </si>
  <si>
    <t>HUN-BUDAPEST Dr. Bogdan and Dr. Gye Vásárlás(2022.09.08) Card:5444-0XXX-XX68-8737 MCC8021 HUN-BUDAPEST Dr. Bogdan and Dr. Gye 15.000,00 HUF Kártyatranzakció</t>
  </si>
  <si>
    <t>HUN-Törökbalint dm Kft. Vásárlás(2022.09.08) Card:5444-0XXX-XX68-8737 MCC5977 HUN-Törökbalint dm Kft. 22.495,00 HUF Kártyatranzakció</t>
  </si>
  <si>
    <t>LIDL ARUHAZ 0349.SZ. BUDAORS 14.793,00 HUF Vásárlás</t>
  </si>
  <si>
    <t>VIANNI U ZLET MARTONVASAR 1.360,00 HUF Vásárlás</t>
  </si>
  <si>
    <t>OBI 010 BUDAORS 11.051,00 HUF Vásárlás</t>
  </si>
  <si>
    <t>MARTONCOLOR FESTE'K MARTONVASAR 6.450,00 HUF Vásárlás</t>
  </si>
  <si>
    <t>LIPO'TI PE'KSE'G E'S K SALGOTARJAN 810,00 HUF Vásárlás</t>
  </si>
  <si>
    <t>Martonvásár Város Önkormányzata Azon 8325</t>
  </si>
  <si>
    <t>PL:P/10SEP22 Tőkefizetés Hitel /21-41194/</t>
  </si>
  <si>
    <t>PL:I/10SEP22 Kamatfizetés  Hitel /21-41194/</t>
  </si>
  <si>
    <t>HUN-Agard LIDL 0306 Agard Vásárlás(2022.09.08) Card:5444-0XXX-XX68-8737 MCC5411 HUN-Agard LIDL 0306 Agard 34.282,00 HUF Kártyatranzakció</t>
  </si>
  <si>
    <t>HUN-BUDAPEST OTPMOBL*JEGY.MAV.HU Vásárlás(2022.09.06) Card:5444-0XXX-XX68-8737 MCC4112 HUN-BUDAPEST OTPMOBL*JEGY.MAV.HU 293,00 HUF Kártyatranzakció</t>
  </si>
  <si>
    <t>WHITE HOUSE BUDAPEST 655,00 HUF Vásárlás</t>
  </si>
  <si>
    <t>TESCO 41520 O NKISZOLG BUDAORS 14.051,00 HUF Vásárlás</t>
  </si>
  <si>
    <t>HUN-BUDAORS MEDICINA PATIKA Vásárlás(2022.09.04) Card:5444-0XXX-XX68-8737 MCC5912 HUN-BUDAORS MEDICINA PATIKA 4.752,00 HUF Kártyatranzakció</t>
  </si>
  <si>
    <t>10700691-61570722-51100005 Barabás Anna EV. 2022-59 Kimenő azonnali megbízás</t>
  </si>
  <si>
    <t>ALDI 3.SZ. BUDAORS 9.861,00 HUF Vásárlás</t>
  </si>
  <si>
    <t>TESCO 44089 O NKISZOLG MARTONVASAR 1.978,00 HUF Vásárlás</t>
  </si>
  <si>
    <t>TESCO 41520 O NKISZOLG BUDAORS 6.398,00 HUF Vásárlás</t>
  </si>
  <si>
    <t>MOUNTEX PRESSZO BUDAORS 1.600,00 HUF Vásárlás</t>
  </si>
  <si>
    <t>SPAR MAGYARORSZAG KFT SALGOTARJAN 2.178,00 HUF Vásárlás</t>
  </si>
  <si>
    <t>LIBRI SALGOTARJAN 10.000,00 HUF Vásárlás</t>
  </si>
  <si>
    <t>LIDL ARUHAZ 0314.SZ. SALGOTARJAN 6.605,00 HUF Vásárlás</t>
  </si>
  <si>
    <t>DM 311.SZ. BUDAORS 11.174,00 HUF Vásárlás</t>
  </si>
  <si>
    <t>TELEKOMSZAML 511362246 BUDAPEST 7.080,00 HUF Vásárlás 17,66 USD</t>
  </si>
  <si>
    <t>Alois Dallmayr Automat Biatorbagy 170,00 HUF Vásárlás 0,42 USD</t>
  </si>
  <si>
    <t>CATCH</t>
  </si>
  <si>
    <t>HUN-GARDONY ALDI 5.SZ. Vásárlás(2022.08.29) Card:5444-0XXX-XX68-8737 MCC5411 HUN-GARDONY ALDI 5.SZ. 2.967,00 HUF Kártyatranzakció</t>
  </si>
  <si>
    <t>HUN-MARTONVASAR MARTON MARKET Vásárlás(2022.08.30) Card:5444-0XXX-XX68-8737 MCC5411 HUN-MARTONVASAR MARTON MARKET 3.296,00 HUF Kártyatranzakció</t>
  </si>
  <si>
    <t>HUN-BUDAPEST ZAGONI ISTVAN Vásárlás(2022.08.30) Card:5444-0XXX-XX68-8737 MCC5399 HUN-BUDAPEST ZAGONI ISTVAN 9.700,00 HUF Kártyatranzakció</t>
  </si>
  <si>
    <t>ISTENHEGYI NOGYOGYASZ BUDAPEST 32.000,00 HUF Vásárlás</t>
  </si>
  <si>
    <t>SIMPLE PARKOL S BUDAPEST 368,00 HUF Vásárlás</t>
  </si>
  <si>
    <t>HUN-Budapest sin-say.com/hu/hu/ Vásárlás(2022.08.26) Card:5444-0XXX-XX68-8737 MCC5611 HUN-Budapest sin-say.com/hu/hu/ 10.985,00 HUF Kártyatranzakció</t>
  </si>
  <si>
    <t>OMV 2072 Budapest M1_ 23.950,00 HUF Vásárlás</t>
  </si>
  <si>
    <t>KENEZ ES TARSA KFT. BUDAPEST 4.444,00 HUF Vásárlás</t>
  </si>
  <si>
    <t>PANIFICIO IL BASILICO SZENTENDRE 4.650,00 HUF Vásárlás</t>
  </si>
  <si>
    <t>Kemal Pasa Torok Et Budapest 1.950,00 HUF Vásárlás</t>
  </si>
  <si>
    <t>PANIFICIO IL BASILICO SZENTENDRE 1.440,00 HUF Vásárlás</t>
  </si>
  <si>
    <t>HUN-Agard LIDL 0306 Agard Vásárlás(2022.08.29) Card:5444-0XXX-XX68-8737 MCC5411 HUN-Agard LIDL 0306 Agard 7.805,00 HUF Kártyatranzakció</t>
  </si>
  <si>
    <t>TESCO 44089 O NKISZOLG MARTONVASAR 1.503,00 HUF Vásárlás</t>
  </si>
  <si>
    <t>TESCO 41520 BUDAORS 29.093,00 HUF Vásárlás</t>
  </si>
  <si>
    <t>AUCHAN BUDAORS BUDAORS 25.900,00 HUF Vásárlás</t>
  </si>
  <si>
    <t>PARISI UDVAR HOTEL BUDAPEST 28.339,00 HUF Vásárlás</t>
  </si>
  <si>
    <t>IKEA BUDAORS UGYFE Budaors 50.250,00 HUF Vásárlás</t>
  </si>
  <si>
    <t>Franklin Ház Kft Budapest 1.400,00 HUF Vásárlás</t>
  </si>
  <si>
    <t>NETFLIX.COM 408-724-9160 3.490,00 HUF Vásárlás 8,48 USD</t>
  </si>
  <si>
    <t>HUN-MARTONVASAR MARTON MARKET Vásárlás(2022.08.26) Card:5444-0XXX-XX68-8737 MCC5411 HUN-MARTONVASAR MARTON MARKET 338,00 HUF Kártyatranzakció</t>
  </si>
  <si>
    <t>HUN-Martonvasar Medicz Gyogyszertar Vásárlás(2022.08.26) Card:5444-0XXX-XX68-8737 MCC5912 HUN-Martonvasar Medicz Gyogyszertar 8.370,00 HUF Kártyatranzakció</t>
  </si>
  <si>
    <t>HUN-MARTONVASAR VIANNI U:ZLET Vásárlás(2022.08.24) Card:5444-0XXX-XX68-8737 MCC5399 HUN-MARTONVASAR VIANNI U:ZLET 792,00 HUF Kártyatranzakció</t>
  </si>
  <si>
    <t>HUN-MARTONVASAR TESCO 44089 Vásárlás(2022.08.24) Card:5444-0XXX-XX68-8737 MCC5311 HUN-MARTONVASAR TESCO 44089 974,00 HUF Kártyatranzakció</t>
  </si>
  <si>
    <t>HUN-BUDAPEST OTPMOBL*VITAMINBOLT.NE Vásárlás(2022.08.23) Card:5444-0XXX-XX68-8737 MCC5499 HUN-BUDAPEST OTPMOBL*VITAMINBOLT.NE 8.245,00 HUF Kártyatranzakció</t>
  </si>
  <si>
    <t>ALDI 156.SZ. BUDAORS 7.648,00 HUF Vásárlás</t>
  </si>
  <si>
    <t>TESCO 44089 MARTONVASAR 3.418,00 HUF Vásárlás</t>
  </si>
  <si>
    <t>TESCO 44089 MARTONVASAR 1.544,00 HUF Vásárlás</t>
  </si>
  <si>
    <t>LIDL ARUHAZ 0349.SZ. BUDAORS 30.265,00 HUF Vásárlás</t>
  </si>
  <si>
    <t>ALDI 156.SZ. BUDAORS 4.868,00 HUF Vásárlás</t>
  </si>
  <si>
    <t>TESCO 41520 O NKISZOLG BUDAORS 7.743,00 HUF Vásárlás</t>
  </si>
  <si>
    <t>OMV 2086 M7 Kajaszo j 15.609,00 HUF Vásárlás</t>
  </si>
  <si>
    <t>VIANNI U ZLET MARTONVASAR 792,00 HUF Vásárlás</t>
  </si>
  <si>
    <t>HUN-BUDAORS DM 311.SZ. Vásárlás(2022.08.18) Card:5444-0XXX-XX68-8737 MCC5977 HUN-BUDAORS DM 311.SZ. 1.299,00 HUF Kártyatranzakció</t>
  </si>
  <si>
    <t>HUN-Martonvasar SumUp  *Veing Bogla Vásárlás(2022.08.19) Card:5444-0XXX-XX68-8737 MCC5999 HUN-Martonvasar SumUp  *Veing Bogla rka 5.000,00 HUF Kártyatranzakció</t>
  </si>
  <si>
    <t>HUN-BUDAORS DM 311.SZ. Vásárlás(2022.08.18) Card:5444-0XXX-XX68-8737 MCC5977 HUN-BUDAORS DM 311.SZ. 10.000,00 HUF Kártyatranzakció</t>
  </si>
  <si>
    <t>CBA PRI'MA CSEMEGE BUDAPEST 1.161,00 HUF Vásárlás</t>
  </si>
  <si>
    <t>MARTON MARKET MARTONVASAR 1.038,00 HUF Vásárlás</t>
  </si>
  <si>
    <t>VIANNI U ZLET MARTONVASAR 1.888,00 HUF Vásárlás</t>
  </si>
  <si>
    <t>ADVANCE KANTIN BUDAPEST 2.200,00 HUF Vásárlás</t>
  </si>
  <si>
    <t>10700529-62328528-51100005 Réka BR-2022-41 Kimenő azonnali megbízás</t>
  </si>
  <si>
    <t>ALDI 156.SZ. BUDAORS 12.545,00 HUF Vásárlás</t>
  </si>
  <si>
    <t>TESCO 44089 MARTONVASAR 570,00 HUF Vásárlás</t>
  </si>
  <si>
    <t>MOL Nyrt. Kisker.,5521 HATVAN 10.522,00 HUF Vásárlás</t>
  </si>
  <si>
    <t>Fulop Balazs Czuprik G</t>
  </si>
  <si>
    <t>TESCO 44089 O NKISZOLG MARTONVASAR 569,00 HUF Vásárlás</t>
  </si>
  <si>
    <t>AUCHAN BUDAORS BUDAORS 9.949,00 HUF Vásárlás</t>
  </si>
  <si>
    <t>OMV 2062 M3 Karacsond 12.663,00 HUF Vásárlás</t>
  </si>
  <si>
    <t>OMV 2061 M3 Karacsond 2.667,00 HUF Vásárlás</t>
  </si>
  <si>
    <t>LIBRI BUDAO RS BUDAORS 4.335,00 HUF Vásárlás</t>
  </si>
  <si>
    <t>MINI-MANO KFT. BUDAPEST 590,00 HUF Vásárlás</t>
  </si>
  <si>
    <t>OTPMOBL EON.HU BUDAPEST 5.546,00 HUF Vásárlás</t>
  </si>
  <si>
    <t>HUN-BUDAPEST DM 420 Vásárlás(2022.08.13) Card:5444-0XXX-XX68-8737 MCC5977 HUN-BUDAPEST DM 420 691,00 HUF Kártyatranzakció</t>
  </si>
  <si>
    <t>HUN-BUDAORS MEDICINA PATIKA Vásárlás(2022.08.11) Card:5444-0XXX-XX68-8737 MCC5912 HUN-BUDAORS MEDICINA PATIKA 1.699,00 HUF Kártyatranzakció</t>
  </si>
  <si>
    <t>HUN-Budaörs 9999KT Kft. Vásárlás(2022.08.11) Card:5444-0XXX-XX68-8737 MCC5944 HUN-Budaörs 9999KT Kft. 27.000,00 HUF Kártyatranzakció</t>
  </si>
  <si>
    <t>Padthai Wok Bar</t>
  </si>
  <si>
    <t>VIZ-, GAZ SZERELVENYB MARTONVASAR 1.137,00 HUF Vásárlás</t>
  </si>
  <si>
    <t>Nhkv 16252513 szamlaszam 154317932</t>
  </si>
  <si>
    <t>OMV 2072 Budapest M1_ 19.342,00 HUF Vásárlás</t>
  </si>
  <si>
    <t>AUCHAN BUDAORS BUDAORS 1.069,00 HUF Vásárlás</t>
  </si>
  <si>
    <t>ALDI 156.SZ. BUDAORS 15.617,00 HUF Vásárlás</t>
  </si>
  <si>
    <t>HUN-BUDAPEST OTPMOBL*JEGY.MAV.HU Vásárlás(2022.08.08) Card:5444-0XXX-XX68-8737 MCC4112 HUN-BUDAPEST OTPMOBL*JEGY.MAV.HU 293,00 HUF Kártyatranzakció</t>
  </si>
  <si>
    <t>HUN-BUDAPEST DM 115 Vásárlás(2022.08.08) Card:5444-0XXX-XX68-8737 MCC5977 HUN-BUDAPEST DM 115 569,00 HUF Kártyatranzakció</t>
  </si>
  <si>
    <t>PL:P/10AUG22 Tőkefizetés Hitel /21-41194/</t>
  </si>
  <si>
    <t>PL:I/10AUG22 Kamatfizetés  Hitel /21-41194/</t>
  </si>
  <si>
    <t>L33 Medical Budaors Budaors 25.000,00 HUF Vásárlás 64,83 USD</t>
  </si>
  <si>
    <t>HUN-ERD SALON PARTNERS KFT Vásárlás(2022.08.09) Card:5444-0XXX-XX68-8737 MCC5977 HUN-ERD SALON PARTNERS KFT 16.870,00 HUF Kártyatranzakció</t>
  </si>
  <si>
    <t>HUN-Budapest Www.babiesonboard.hu Vásárlás(2022.08.08) Card:5444-0XXX-XX68-8737 MCC5641 HUN-Budapest Www.babiesonboard.hu 36.980,00 HUF Kártyatranzakció</t>
  </si>
  <si>
    <t>KISKIFLI KAVEZO BUDAPEST 1.440,00 HUF Vásárlás</t>
  </si>
  <si>
    <t>TESCO 41520 O NKISZOLG BUDAORS 4.000,00 HUF Vásárlás</t>
  </si>
  <si>
    <t>OTP BUDAPEST 39.000,00 HUF Kp felvét</t>
  </si>
  <si>
    <t>Wok n Go étterem Budapest 2.030,00 HUF Vásárlás</t>
  </si>
  <si>
    <t>SIMPLE PARKOL S BUDAPEST 1.629,00 HUF Vásárlás</t>
  </si>
  <si>
    <t>SHELL BUDAPEST 20.103,00 HUF Vásárlás</t>
  </si>
  <si>
    <t>Tisza Fa Kft Csongrad 2.050,00 HUF Vásárlás</t>
  </si>
  <si>
    <t>Czazy Flash Budapest 3.000,00 HUF Vásárlás</t>
  </si>
  <si>
    <t>Szilagyi Zsolt - - -</t>
  </si>
  <si>
    <t>HUN-BUDAPEST OTPMOBL*JEGY.MAV.HU Vásárlás(2022.08.06) Card:5444-0XXX-XX68-8737 MCC4112 HUN-BUDAPEST OTPMOBL*JEGY.MAV.HU 586,00 HUF Kártyatranzakció</t>
  </si>
  <si>
    <t>HUN-BUDAPEST DM 148 Vásárlás(2022.08.06) Card:5444-0XXX-XX68-8737 MCC5977 HUN-BUDAPEST DM 148 1.078,00 HUF Kártyatranzakció</t>
  </si>
  <si>
    <t>HUN-MARTONVASAR MARTON MARKET Vásárlás(2022.08.05) Card:5444-0XXX-XX68-8737 MCC5411 HUN-MARTONVASAR MARTON MARKET 1.955,00 HUF Kártyatranzakció</t>
  </si>
  <si>
    <t>HUN-Budaörs Wok n'go Budaörs Vásárlás(2022.08.06) Card:5444-0XXX-XX68-8737 MCC5812 HUN-Budaörs Wok n'go Budaörs 2.380,00 HUF Kártyatranzakció</t>
  </si>
  <si>
    <t>HUN-BUDAPEST BKK AUTOMATA - A57 Vásárlás(2022.08.06) Card:5444-0XXX-XX68-8737 MCC4131 HUN-BUDAPEST BKK AUTOMATA - A57 3.000,00 HUF Kártyatranzakció</t>
  </si>
  <si>
    <t>HUN-BUDAORS MEDICINA PATIKA Vásárlás(2022.08.06) Card:5444-0XXX-XX68-8737 MCC5912 HUN-BUDAORS MEDICINA PATIKA 5.237,00 HUF Kártyatranzakció</t>
  </si>
  <si>
    <t>HUN-MARTONVASAR TESCO 44089 Vásárlás(2022.08.04) Card:5444-0XXX-XX68-8737 MCC5311 HUN-MARTONVASAR TESCO 44089 1.144,00 HUF Kártyatranzakció</t>
  </si>
  <si>
    <t>OTPMOBL GENERALI.HU BUDAPEST 35.611,00 HUF Vásárlás</t>
  </si>
  <si>
    <t>OTPMOBL EON.HU/UGYINTE BUDAPEST 5.545,00 HUF Vásárlás</t>
  </si>
  <si>
    <t>HUN-Budapest Express One - Softpos Vásárlás(2022.08.03) Card:5444-0XXX-XX68-8737 MCC4215 HUN-Budapest Express One - Softpos 7.840,00 HUF Kártyatranzakció</t>
  </si>
  <si>
    <t>MVM NEXT ENERGIAK BUDAPEST 10.916,00 HUF Vásárlás</t>
  </si>
  <si>
    <t>FESTIPAY KERESKEDO 3 BUDAPEST 799,00 HUF Vásárlás</t>
  </si>
  <si>
    <t>CATCH BUDAPEST 2.350,00 HUF Vásárlás</t>
  </si>
  <si>
    <t>TELEKOMSZAML 503047956 BUDAPEST 6.479,00 HUF Vásárlás 16,65 USD</t>
  </si>
  <si>
    <t>HUN-Budapest sin-say.com/hu/hu/ Áru vissza/befizetés(2022.08.01) Card:5444-0XXX-XX68-8737 MCC5611 HUN-Budapest sin-say.com/hu/hu/ 14.480,00 HUF Kártyatranzakció</t>
  </si>
  <si>
    <t>HUN-BUDAPEST OTPMOBL*JEGY.MAV.HU Vásárlás(2022.08.02) Card:5444-0XXX-XX68-8737 MCC4112 HUN-BUDAPEST OTPMOBL*JEGY.MAV.HU 293,00 HUF Kártyatranzakció</t>
  </si>
  <si>
    <t>HUN-BUDAPEST MINI BOUTIQUE MAMMUT Vásárlás(2022.08.02) Card:5444-0XXX-XX68-8737 MCC5399 HUN-BUDAPEST MINI BOUTIQUE MAMMUT 4.650,00 HUF Kártyatranzakció</t>
  </si>
  <si>
    <t>10700529-62328528-51100005 Réka BR-2022-37 Kimenő azonnali megbízás</t>
  </si>
  <si>
    <t>IKEA BUDAORS ETTEREM Budaors 3.225,00 HUF Vásárlás</t>
  </si>
  <si>
    <t>IKEA BUDAORS UGYFE Budaors 2.085,00 HUF Vásárlás</t>
  </si>
  <si>
    <t>HUN-MARTONVASAR VIANNI U:ZLET Vásárlás(2022.08.01) Card:5444-0XXX-XX68-8737 MCC5399 HUN-MARTONVASAR VIANNI U:ZLET 495,00 HUF Kártyatranzakció</t>
  </si>
  <si>
    <t>HUN-BUDAPEST OTPMOBL*WISETREENATURA Vásárlás(2022.08.01) Card:5444-0XXX-XX68-8737 MCC5977 HUN-BUDAPEST OTPMOBL*WISETREENATURA 5.790,00 HUF Kártyatranzakció</t>
  </si>
  <si>
    <t>10700691-61570722-51100005 Barabás Anna 2022-39 Kimenő azonnali megbízás</t>
  </si>
  <si>
    <t>22222222-21300099-00000000 Péter Mátyás gyógytorna Kimenő azonnali megbízás</t>
  </si>
  <si>
    <t>BURGER KING ASTORIA BUDAPEST 2.320,00 HUF Vásárlás</t>
  </si>
  <si>
    <t>AULA E'TTEREM BUDAPEST 1.900,00 HUF Vásárlás</t>
  </si>
  <si>
    <t>KISKIFLI KAVEZO BUDAPEST 850,00 HUF Vásárlás</t>
  </si>
  <si>
    <t>Esküvői ruha</t>
  </si>
  <si>
    <t>Esküvő</t>
  </si>
  <si>
    <t>LIDL ARUHAZ 0306.SZ. AGARD 12.462,00 HUF Vásárlás</t>
  </si>
  <si>
    <t>ALDI 5.SZ. GARDONY 9.109,00 HUF Vásárlás</t>
  </si>
  <si>
    <t>CSASZI2020 KFT. GARDONY 7.853,00 HUF Vásárlás</t>
  </si>
  <si>
    <t>TŐKE KORREKCIÓ</t>
  </si>
  <si>
    <t>BABAVÁRÓ KEZ.DÍJ JÓVÁÍRÁS 2022. 06-07. HÓ</t>
  </si>
  <si>
    <t>HUN-BUDAPEST BARIONP*BARION.COM/GUE Vásárlás(2022.07.29) Card:5444-0XXX-XX68-8737 MCC7299 HUN-BUDAPEST BARIONP*BARION.COM/GUE 3.498,00 HUF Kártyatranzakció</t>
  </si>
  <si>
    <t>HUN-MARTONVASAR MARTON KLINIK Vásárlás(2022.07.27) Card:5444-0XXX-XX68-8737 MCC8099 HUN-MARTONVASAR MARTON KLINIK 40.800,00 HUF Kártyatranzakció</t>
  </si>
  <si>
    <t>Babavaro</t>
  </si>
  <si>
    <t>ADVANCE KANTIN BUDAPEST 1.950,00 HUF Vásárlás</t>
  </si>
  <si>
    <t>NETFLIX.COM 408-724-9160 3.490,00 HUF Vásárlás 8,77 USD</t>
  </si>
  <si>
    <t>SIMPLE PARKOL S BUDAPEST 825,00 HUF Vásárlás</t>
  </si>
  <si>
    <t>SIMPLE PARKOL S BUDAPEST 194,00 HUF Vásárlás</t>
  </si>
  <si>
    <t>HUN-BUDAORS MEDICINA PATIKA Vásárlás(2022.07.25) Card:5444-0XXX-XX68-8737 MCC5912 HUN-BUDAORS MEDICINA PATIKA 16.366,00 HUF Kártyatranzakció</t>
  </si>
  <si>
    <t>babakocsi</t>
  </si>
  <si>
    <t>HUN-BUDAPEST OTP ATM készpénzfelvétel(2022.07.25) Card:5444-0XXX-XX68-8737 MCC6011 HUN-BUDAPEST OTP 50.000,00 HUF Kártyatranzakció</t>
  </si>
  <si>
    <t>OTP BUDAPEST 29.000,00 HUF Kp felvét</t>
  </si>
  <si>
    <t>IKEA BUDAORS UGYFE Budaors 94.990,00 HUF Vásárlás</t>
  </si>
  <si>
    <t>LIDL ARUHAZ 0306.SZ. AGARD 9.571,00 HUF Vásárlás</t>
  </si>
  <si>
    <t>LIDL ARUHAZ 0306.SZ. AGARD 12.296,00 HUF Vásárlás</t>
  </si>
  <si>
    <t>ALDI 5.SZ. GARDONY 9.507,00 HUF Vásárlás</t>
  </si>
  <si>
    <t>TESCO 41520 BUDAORS 8.656,00 HUF Vásárlás</t>
  </si>
  <si>
    <t>SIMPLE PARKOL S BUDAPEST 298,00 HUF Vásárlás</t>
  </si>
  <si>
    <t>OMV 2087 M7 Kajaszo b 18.524,00 HUF Vásárlás</t>
  </si>
  <si>
    <t>KO'FAGYI MINDSZENTKAL 2.020,00 HUF Vásárlás</t>
  </si>
  <si>
    <t>Babaváró kez.díj 25JLY22</t>
  </si>
  <si>
    <t>PL:P/25JLY22 Tőkefizetés Hitel /22-13488/</t>
  </si>
  <si>
    <t>Kittenberger Kálmán Nonprofit Kft.</t>
  </si>
  <si>
    <t>Nyaralás</t>
  </si>
  <si>
    <t>Pizza Dellarosso</t>
  </si>
  <si>
    <t>Balatonakali Község Önkormányzata</t>
  </si>
  <si>
    <t>Vagodeszka Balaton Abrahamhegy 8.400,00 HUF Vásárlás</t>
  </si>
  <si>
    <t>ABRAHAMHEGY STRAND ABRAHAMHEGY 1.600,00 HUF Vásárlás</t>
  </si>
  <si>
    <t>CBA FE'K PRIMA BALATONAKALI 3.137,00 HUF Vásárlás</t>
  </si>
  <si>
    <t>KAROLINA KAVEHAZ BALATONFURED 7.378,00 HUF Vásárlás</t>
  </si>
  <si>
    <t>SIMPLE MATRICA BUDAPEST 5.725,00 HUF Vásárlás</t>
  </si>
  <si>
    <t>SumUp Lelkem kisvend Dorgicse 15.000,00 HUF Vásárlás 38,29 USD</t>
  </si>
  <si>
    <t>Vitorlás Büfé</t>
  </si>
  <si>
    <t>Zánka Községi Strand</t>
  </si>
  <si>
    <t>VIANNI U ZLET MARTONVASAR 1.071,00 HUF Vásárlás</t>
  </si>
  <si>
    <t>Neked Föztem gasztroko Zanka 12.465,00 HUF Vásárlás</t>
  </si>
  <si>
    <t>DM 316.SZ. GARDONY 1.956,00 HUF Vásárlás</t>
  </si>
  <si>
    <t>MERX A'RUHA'Z GARDONY 5.590,00 HUF Vásárlás</t>
  </si>
  <si>
    <t>ALDI 5.SZ. GARDONY 4.198,00 HUF Vásárlás</t>
  </si>
  <si>
    <t>ALDI 5.SZ. GARDONY 449,00 HUF Vásárlás</t>
  </si>
  <si>
    <t>HUN-MARTONVASAR MARTON KLINIK Vásárlás(2022.07.18) Card:5444-0XXX-XX68-8737 MCC8099 HUN-MARTONVASAR MARTON KLINIK 34.489,00 HUF Kártyatranzakció</t>
  </si>
  <si>
    <t>LIDL ARUHAZ 0349.SZ. BUDAORS 11.751,00 HUF Vásárlás</t>
  </si>
  <si>
    <t>ALDI 156.SZ. BUDAORS 28.828,00 HUF Vásárlás</t>
  </si>
  <si>
    <t>MOUNTEX PRESSZO BUDAORS 1.700,00 HUF Vásárlás</t>
  </si>
  <si>
    <t>MOL Nyrt. Kisker.,6330 BUDAORS 19.656,00 HUF Vásárlás</t>
  </si>
  <si>
    <t>HUN-BUDAPEST OTPMOBL*JEGY.MAV.HU Vásárlás(2022.07.14) Card:5444-0XXX-XX68-8737 MCC4112 HUN-BUDAPEST OTPMOBL*JEGY.MAV.HU 586,00 HUF Kártyatranzakció</t>
  </si>
  <si>
    <t>HUN-BUDAORS DM 311.SZ. Vásárlás(2022.07.16) Card:5444-0XXX-XX68-8737 MCC5977 HUN-BUDAORS DM 311.SZ. 5.844,00 HUF Kártyatranzakció</t>
  </si>
  <si>
    <t>HUN-BUDAORS MEDICINA PATIKA Vásárlás(2022.07.16) Card:5444-0XXX-XX68-8737 MCC5912 HUN-BUDAORS MEDICINA PATIKA 21.831,00 HUF Kártyatranzakció</t>
  </si>
  <si>
    <t>MVM NEXT ENERGIAK BUDAPEST 10.881,00 HUF Vásárlás</t>
  </si>
  <si>
    <t>TESCO 44089 MARTONVASAR 849,00 HUF Vásárlás</t>
  </si>
  <si>
    <t>HUN-MARTONVASAR VIANNI U:ZLET Vásárlás(2022.07.13) Card:5444-0XXX-XX68-8737 MCC5399 HUN-MARTONVASAR VIANNI U:ZLET 1.315,00 HUF Kártyatranzakció</t>
  </si>
  <si>
    <t>SIMPLE PARKOL S BUDAPEST 200,00 HUF Vásárlás</t>
  </si>
  <si>
    <t>MARTON MARKET MARTONVASAR 649,00 HUF Vásárlás</t>
  </si>
  <si>
    <t>10700529-62328528-51100005 Réka BR-2022-28 Kimenő azonnali megbízás</t>
  </si>
  <si>
    <t>Foodpanda.hu</t>
  </si>
  <si>
    <t>KISKIFLI KAVEZO BUDAPEST 1.200,00 HUF Vásárlás</t>
  </si>
  <si>
    <t>DM 311.SZ. BUDAORS 899,00 HUF Vásárlás</t>
  </si>
  <si>
    <t>ALDI 156.SZ. BUDAORS 2.565,00 HUF Vásárlás</t>
  </si>
  <si>
    <t>Vásárlás(2022.07.12) Card:5444-0XXX-XX68-8737 MCC7011 NLD-Amsterdam Hotel on Booking.com 330,00 EUR 330,00 EUR/HUF .002395</t>
  </si>
  <si>
    <t>HUN-GARDONY DM 316.SZ. Vásárlás(2022.07.10) Card:5444-0XXX-XX68-8737 MCC5977 HUN-GARDONY DM 316.SZ. 1.398,00 HUF Kártyatranzakció</t>
  </si>
  <si>
    <t>10700615-53713177-51100005 Szitkey Szilvia EV. Karsai Adrienn Kimenő azonnali megbízás</t>
  </si>
  <si>
    <t>HUN-Budapest sin-say.com/hu/hu/ Vásárlás(2022.07.07) Card:5444-0XXX-XX68-8737 MCC5611 HUN-Budapest sin-say.com/hu/hu/ 23.340,00 HUF Kártyatranzakció</t>
  </si>
  <si>
    <t>Pizza &amp; Wurlitzer</t>
  </si>
  <si>
    <t>TESCO 44089 O NKISZOLG MARTONVASAR 2.288,00 HUF Vásárlás</t>
  </si>
  <si>
    <t>DECATHLON BUDAO RS BUDAORS 7.980,00 HUF Vásárlás</t>
  </si>
  <si>
    <t>AUCHAN BUDAORS BUDAORS 7.151,00 HUF Vásárlás</t>
  </si>
  <si>
    <t>MEDICINA PATIKA BUDAORS 2.699,00 HUF Vásárlás</t>
  </si>
  <si>
    <t>TESCO 41520 BUDAORS 778,00 HUF Vásárlás</t>
  </si>
  <si>
    <t>PRAKTIKER 330. BUDAPEST 18.991,00 HUF Vásárlás</t>
  </si>
  <si>
    <t>PRAKTIKER 330. BUDAPEST 2.848,00 HUF Vásárlás</t>
  </si>
  <si>
    <t>TESCO 44089 MARTONVASAR 907,00 HUF Vásárlás</t>
  </si>
  <si>
    <t>Revolut 7644 Dublin 1.000.000,00 HUF Vásárlás 2.488,00 USD</t>
  </si>
  <si>
    <t>Értékpapír befektetés</t>
  </si>
  <si>
    <t>HUN-BUDAPEST KELENFO:LD FORNETTI Vásárlás(2022.07.07) Card:5444-0XXX-XX68-8737 MCC5814 HUN-BUDAPEST KELENFO:LD FORNETTI 489,00 HUF Kártyatranzakció</t>
  </si>
  <si>
    <t>HUN-BUDAPEST OTPMOBL*JEGY.MAV.HU Vásárlás(2022.07.07) Card:5444-0XXX-XX68-8737 MCC4112 HUN-BUDAPEST OTPMOBL*JEGY.MAV.HU 504,00 HUF Kártyatranzakció</t>
  </si>
  <si>
    <t>HUN-MARTONVASAR MARTON MARKET Vásárlás(2022.07.08) Card:5444-0XXX-XX68-8737 MCC5411 HUN-MARTONVASAR MARTON MARKET 966,00 HUF Kártyatranzakció</t>
  </si>
  <si>
    <t>HUN-MARTONVASAR TESCO 44089 O:NKISZ Vásárlás(2022.07.08) Card:5444-0XXX-XX68-8737 MCC5311 HUN-MARTONVASAR TESCO 44089 O:NKISZ OLG 1.334,00 HUF Kártyatranzakció</t>
  </si>
  <si>
    <t>HUN-MARTONVASAR TESCO 44089 Vásárlás(2022.07.08) Card:5444-0XXX-XX68-8737 MCC5311 HUN-MARTONVASAR TESCO 44089 2.792,00 HUF Kártyatranzakció</t>
  </si>
  <si>
    <t>HUN-MARTONVASAR MARTON MARKET Vásárlás(2022.07.09) Card:5444-0XXX-XX68-8737 MCC5411 HUN-MARTONVASAR MARTON MARKET 3.545,00 HUF Kártyatranzakció</t>
  </si>
  <si>
    <t>HUN-BUDAPEST DM 080 Vásárlás(2022.07.07) Card:5444-0XXX-XX68-8737 MCC5977 HUN-BUDAPEST DM 080 5.798,00 HUF Kártyatranzakció</t>
  </si>
  <si>
    <t>HUN-BUDAPEST JYSK H889 Vásárlás(2022.07.07) Card:5444-0XXX-XX68-8737 MCC5712 HUN-BUDAPEST JYSK H889 11.000,00 HUF Kártyatranzakció</t>
  </si>
  <si>
    <t>PL:P/10JLY22 Tőkefizetés Hitel /21-41194/</t>
  </si>
  <si>
    <t>PL:I/10JLY22 Kamatfizetés  Hitel /21-41194/</t>
  </si>
  <si>
    <t>HUN-BICSKE GLS D120 DEPO' Vásárlás(2022.07.06) Card:5444-0XXX-XX68-8737 MCC4214 HUN-BICSKE GLS D120 DEPO' 19.300,00 HUF Kártyatranzakció</t>
  </si>
  <si>
    <t>KFC TESCO M7 BUDAORS BUDAORS 3.960,00 HUF Vásárlás</t>
  </si>
  <si>
    <t>ALDI 156.SZ. BUDAORS 1.049,00 HUF Vásárlás</t>
  </si>
  <si>
    <t>HUN-BUDAPEST OTPMOBL*JEGY.MAV.HU Vásárlás(2022.07.05) Card:5444-0XXX-XX68-8737 MCC4112 HUN-BUDAPEST OTPMOBL*JEGY.MAV.HU 293,00 HUF Kártyatranzakció</t>
  </si>
  <si>
    <t>HUN-Budapest Free] Pékség (Fény) Vásárlás(2022.07.05) Card:5444-0XXX-XX68-8737 MCC5462 HUN-Budapest Free] Pékség (Fény) 845,00 HUF Kártyatranzakció</t>
  </si>
  <si>
    <t>10700529-62328528-51100005 Réka BR-2022-24 Kimenő azonnali megbízás</t>
  </si>
  <si>
    <t>OMV 2072 Budapest M1_ 21.226,00 HUF Vásárlás</t>
  </si>
  <si>
    <t>LIDL ARUHAZ 0306.SZ. AGARD 5.933,00 HUF Vásárlás</t>
  </si>
  <si>
    <t>ALDI 5.SZ. GARDONY 8.916,00 HUF Vásárlás</t>
  </si>
  <si>
    <t>DPD KOZPONT BUDAPEST 5.890,00 HUF Vásárlás</t>
  </si>
  <si>
    <t>ALDI 156.SZ. BUDAORS 9.370,00 HUF Vásárlás</t>
  </si>
  <si>
    <t>TESCO 41760 SALGOTARJAN 24.691,00 HUF Vásárlás</t>
  </si>
  <si>
    <t>HUN-SZIGETSZENTMI MCD M0 19 Vásárlás(2022.06.30) Card:5444-0XXX-XX68-8737 MCC5812 HUN-SZIGETSZENTMI MCD M0 19 1.030,00 HUF Kártyatranzakció</t>
  </si>
  <si>
    <t>HUN-SALGOTARJAN DM 151 Vásárlás(2022.07.01) Card:5444-0XXX-XX68-8737 MCC5977 HUN-SALGOTARJAN DM 151 5.000,00 HUF Kártyatranzakció</t>
  </si>
  <si>
    <t>HUN-Agard LIDL 0306 Agard Vásárlás(2022.07.03) Card:5444-0XXX-XX68-8737 MCC5411 HUN-Agard LIDL 0306 Agard 5.296,00 HUF Kártyatranzakció</t>
  </si>
  <si>
    <t>HUN-SALGOTARJAN DM 151 Vásárlás(2022.07.01) Card:5444-0XXX-XX68-8737 MCC5977 HUN-SALGOTARJAN DM 151 7.196,00 HUF Kártyatranzakció</t>
  </si>
  <si>
    <t>Skoda javitas</t>
  </si>
  <si>
    <t>OMV 1773 M0 Szigetszt 16.686,00 HUF Vásárlás</t>
  </si>
  <si>
    <t>HUN-MARTONVASAR OTP ATM készpénzfelvétel(2022.06.30) Card:5444-0XXX-XX68-8737 MCC6011 HUN-MARTONVASAR OTP 100.000,00 HUF Kártyatranzakció</t>
  </si>
  <si>
    <t>penzugy</t>
  </si>
  <si>
    <t>Kemal Pasa Torok Et Budapest 1.250,00 HUF Vásárlás</t>
  </si>
  <si>
    <t>TELEKOMSZAML 493582087 BUDAPEST 6.479,00 HUF Vásárlás 17,13 USD</t>
  </si>
  <si>
    <t>Int.Appl. to   30/06/22</t>
  </si>
  <si>
    <t>CRT to         30/06/22</t>
  </si>
  <si>
    <t>TESCO 44089 MARTONVASAR 1.849,00 HUF Vásárlás</t>
  </si>
  <si>
    <t>TESCO 41520 O NKISZOLG BUDAORS 2.573,00 HUF Vásárlás</t>
  </si>
  <si>
    <t>Kemal Pasa Torok Et Budapest 2.050,00 HUF Vásárlás</t>
  </si>
  <si>
    <t>ATM UHB CAATM17 BUDAPEST 29.000,00 HUF Kp felvét</t>
  </si>
  <si>
    <t>SIMPLE PARKOL S BUDAPEST 745,00 HUF Vásárlás</t>
  </si>
  <si>
    <t>ALDI 156.SZ. BUDAORS 3.441,00 HUF Vásárlás</t>
  </si>
  <si>
    <t>MOL Nyrt. Kisker.,6330 BUDAORS 23.462,00 HUF Vásárlás</t>
  </si>
  <si>
    <t>NETFLIX.COM 408-724-9160 3.490,00 HUF Vásárlás 9,17 USD</t>
  </si>
  <si>
    <t>HUN-GARDONY ALDI 5.SZ. Vásárlás(2022.06.26) Card:5444-0XXX-XX68-8737 MCC5411 HUN-GARDONY ALDI 5.SZ. 24.391,00 HUF Kártyatranzakció</t>
  </si>
  <si>
    <t>LIDL ARUHAZ 0306.SZ. AGARD 549,00 HUF Vásárlás</t>
  </si>
  <si>
    <t>ALDI 5.SZ. GARDONY 2.223,00 HUF Vásárlás</t>
  </si>
  <si>
    <t>TESCO 44089 O NKISZOLG MARTONVASAR 2.768,00 HUF Vásárlás</t>
  </si>
  <si>
    <t>TESCO 44089 O NKISZOLG MARTONVASAR 3.299,00 HUF Vásárlás</t>
  </si>
  <si>
    <t>ROSSMANN 213. BUDAPEST 658,00 HUF Vásárlás</t>
  </si>
  <si>
    <t>GELATI FAGYLALTOZO' BUDAPEST 1.560,00 HUF Vásárlás</t>
  </si>
  <si>
    <t>KINCSES BUTIK BUDAPEST 7.000,00 HUF Vásárlás</t>
  </si>
  <si>
    <t>ARTIZAN PEKSEG KAVEZO BUDAPEST 4.550,00 HUF Vásárlás</t>
  </si>
  <si>
    <t>IMO Hungary kft Budaors 3.190,00 HUF Vásárlás 8,39 USD</t>
  </si>
  <si>
    <t>HUN-Agard LIDL 0306 Agard Vásárlás(2022.06.26) Card:5444-0XXX-XX68-8737 MCC5411 HUN-Agard LIDL 0306 Agard 999,00 HUF Kártyatranzakció</t>
  </si>
  <si>
    <t>HUN-Agard LIDL 0306 Agard Vásárlás(2022.06.26) Card:5444-0XXX-XX68-8737 MCC5411 HUN-Agard LIDL 0306 Agard 1.899,00 HUF Kártyatranzakció</t>
  </si>
  <si>
    <t>Bocanova Étterem</t>
  </si>
  <si>
    <t>Babaváró kez.díj 25JUN22</t>
  </si>
  <si>
    <t>PL:P/25JUN22 Tőkefizetés Hitel /22-13488/</t>
  </si>
  <si>
    <t>DEU-HAMBURG WWW.ABOUTYOU.HU Áru vissza/befizetés(2022.06.22) Card:5444-0XXX-XX68-8737 MCC5311 DEU-HAMBURG WWW.ABOUTYOU.HU 18.370,00 HUF Kártyatranzakció</t>
  </si>
  <si>
    <t>HUN-MARTONVASAR TESCO 44089 Vásárlás(2022.06.22) Card:5444-0XXX-XX68-8737 MCC5311 HUN-MARTONVASAR TESCO 44089 4.070,00 HUF Kártyatranzakció</t>
  </si>
  <si>
    <t>WHITE HOUSE BUDAPEST 820,00 HUF Vásárlás</t>
  </si>
  <si>
    <t>11600006-00000000-48392181 Mitruska Kitty Adri felkészítő Kimenő azonnali megbízás</t>
  </si>
  <si>
    <t>HUN-BUDAPEST BABAMAMAAKADEMIA.HU Vásárlás(2022.06.21) Card:5444-0XXX-XX68-8737 MCC8299 HUN-BUDAPEST BABAMAMAAKADEMIA.HU 23.980,00 HUF Kártyatranzakció</t>
  </si>
  <si>
    <t>SPAR PARTNER 6915900 ERD 534,00 HUF Vásárlás</t>
  </si>
  <si>
    <t>TESCO 41520 O NKISZOLG BUDAORS 299,00 HUF Vásárlás</t>
  </si>
  <si>
    <t>Kemal Pasa Torok Et Budapest 1.850,00 HUF Vásárlás</t>
  </si>
  <si>
    <t>MOM PARKOLO'AUTOMATA BUDAPEST 440,00 HUF Vásárlás</t>
  </si>
  <si>
    <t>BIOHAIR SZALON ERD 3.790,00 HUF Vásárlás</t>
  </si>
  <si>
    <t>HUN-BUDAORS VISION EXPRESS Vásárlás(2022.06.20) Card:5444-0XXX-XX68-8737 MCC8043 HUN-BUDAORS VISION EXPRESS 4.090,00 HUF Kártyatranzakció</t>
  </si>
  <si>
    <t>OSMAN SHOARMA KFT. BUDAORS 390,00 HUF Vásárlás</t>
  </si>
  <si>
    <t>ISTENHEGYI NOGYOGYASZ BUDAPEST 33.000,00 HUF Vásárlás</t>
  </si>
  <si>
    <t>Wok n'go Budaörs Budaörs 4.160,00 HUF Vásárlás</t>
  </si>
  <si>
    <t>KFC MAGLO'D AUCHAN DT MAGLOD 1.490,00 HUF Vásárlás</t>
  </si>
  <si>
    <t>KATEX KFT. BIATORBAGY 15.390,00 HUF Vásárlás</t>
  </si>
  <si>
    <t>KARSAI ADRIENN ÁGNES Számlazárás</t>
  </si>
  <si>
    <t>HUN-BUDAPEST OTPMOBL*PREVENCIOPATIK Vásárlás(2022.06.19) Card:5444-0XXX-XX68-8737 MCC5912 HUN-BUDAPEST OTPMOBL*PREVENCIOPATIK 7.309,00 HUF Kártyatranzakció</t>
  </si>
  <si>
    <t>HUN-BUDAPEST OTPMOBL*VITAMINBOLT.NE Vásárlás(2022.06.19) Card:5444-0XXX-XX68-8737 MCC5499 HUN-BUDAPEST OTPMOBL*VITAMINBOLT.NE 14.533,00 HUF Kártyatranzakció</t>
  </si>
  <si>
    <t>OMV 1934 Salgotarjan 20.458,00 HUF Vásárlás</t>
  </si>
  <si>
    <t>HUN-BUDAPEST OTPMOBL*JEGY.MAV.HU Vásárlás(2022.06.16) Card:5444-0XXX-XX68-8737 MCC4112 HUN-BUDAPEST OTPMOBL*JEGY.MAV.HU 252,00 HUF Kártyatranzakció</t>
  </si>
  <si>
    <t>HUN-BUDAPEST OTPMOBL*JEGY.MAV.HU Vásárlás(2022.06.16) Card:5444-0XXX-XX68-8737 MCC4112 HUN-BUDAPEST OTPMOBL*JEGY.MAV.HU 504,00 HUF Kártyatranzakció</t>
  </si>
  <si>
    <t>HUN-Salgotarjan Papirhaz Vásárlás(2022.06.17) Card:5444-0XXX-XX68-8737 MCC5943 HUN-Salgotarjan Papirhaz 890,00 HUF Kártyatranzakció</t>
  </si>
  <si>
    <t>HUN-SALGOTARJAN ST FERGE-TEG KFT. Vásárlás(2022.06.17) Card:5444-0XXX-XX68-8737 MCC5462 HUN-SALGOTARJAN ST FERGE-TEG KFT. 1.705,00 HUF Kártyatranzakció</t>
  </si>
  <si>
    <t>HUN-SALGOTARJAN LIBRI Vásárlás(2022.06.17) Card:5444-0XXX-XX68-8737 MCC5942 HUN-SALGOTARJAN LIBRI 6.640,00 HUF Kártyatranzakció</t>
  </si>
  <si>
    <t>HUN-BUDAPEST 527.VISION EXPRESS Vásárlás(2022.06.16) Card:5444-0XXX-XX68-8737 MCC8043 HUN-BUDAPEST 527.VISION EXPRESS 13.539,00 HUF Kártyatranzakció</t>
  </si>
  <si>
    <t>HUN-BUDAPEST ALLEE GYO'GYSZERTA'R Vásárlás(2022.06.16) Card:5444-0XXX-XX68-8737 MCC5912 HUN-BUDAPEST ALLEE GYO'GYSZERTA'R 19.570,00 HUF Kártyatranzakció</t>
  </si>
  <si>
    <t>KISKIFLI KAVEZO BUDAPEST 640,00 HUF Vásárlás</t>
  </si>
  <si>
    <t>Zsu-Ann Kft. Budapest 2.180,00 HUF Vásárlás</t>
  </si>
  <si>
    <t>AUCHAN BUDAORS BUDAORS 12.441,00 HUF Vásárlás</t>
  </si>
  <si>
    <t>VIANNI U ZLET MARTONVASAR 594,00 HUF Vásárlás</t>
  </si>
  <si>
    <t>TESCO 44089 MARTONVASAR 1.729,00 HUF Vásárlás</t>
  </si>
  <si>
    <t>MARTON MARKET MARTONVASAR 2.026,00 HUF Vásárlás</t>
  </si>
  <si>
    <t>Szilagyi Zsolt kösz!</t>
  </si>
  <si>
    <t>HUN-BUDAPEST OTPMOBL*JEGY.MAV.HU Vásárlás(2022.06.14) Card:5444-0XXX-XX68-8737 MCC4112 HUN-BUDAPEST OTPMOBL*JEGY.MAV.HU 293,00 HUF Kártyatranzakció</t>
  </si>
  <si>
    <t>HUN-BUDAPEST FORNETTI Vásárlás(2022.06.14) Card:5444-0XXX-XX68-8737 MCC5462 HUN-BUDAPEST FORNETTI 349,00 HUF Kártyatranzakció</t>
  </si>
  <si>
    <t>HUN-Budapest Calzedonia Vásárlás(2022.06.14) Card:5444-0XXX-XX68-8737 MCC5651 HUN-Budapest Calzedonia 16.000,00 HUF Kártyatranzakció</t>
  </si>
  <si>
    <t>ARRIBA TAQUERIA BUDAPEST 6.680,00 HUF Vásárlás</t>
  </si>
  <si>
    <t>KISKIFLI KAVEZO BUDAPEST 1.100,00 HUF Vásárlás</t>
  </si>
  <si>
    <t>TELEKOMFELT 490300796 BUDAPEST 5.000,00 HUF Vásárlás 13,08 USD</t>
  </si>
  <si>
    <t>HUN-BUDAPEST RELAY DE'LI PU. 1467. Vásárlás(2022.06.13) Card:5444-0XXX-XX68-8737 MCC5994 HUN-BUDAPEST RELAY DE'LI PU. 1467. 249,00 HUF Kártyatranzakció</t>
  </si>
  <si>
    <t>HUN-Budapest Princess Kossuth ter Vásárlás(2022.06.13) Card:5444-0XXX-XX68-8737 MCC5462 HUN-Budapest Princess Kossuth ter 420,00 HUF Kártyatranzakció</t>
  </si>
  <si>
    <t>HUN-BUDAPEST OTPMOBL*JEGY.MAV.HU Vásárlás(2022.06.13) Card:5444-0XXX-XX68-8737 MCC4112 HUN-BUDAPEST OTPMOBL*JEGY.MAV.HU 586,00 HUF Kártyatranzakció</t>
  </si>
  <si>
    <t>TESCO 44089 O NKISZOLG MARTONVASAR 1.921,00 HUF Vásárlás</t>
  </si>
  <si>
    <t>LIDL ARUHAZ 0306.SZ. AGARD 11.596,00 HUF Vásárlás</t>
  </si>
  <si>
    <t>KI'NAI BU FE' BUDAPEST 1.000,00 HUF Vásárlás</t>
  </si>
  <si>
    <t>ALDI 156.SZ. BUDAORS 856,00 HUF Vásárlás</t>
  </si>
  <si>
    <t>AUCHAN BUDAORS BUDAORS 2.468,00 HUF Vásárlás</t>
  </si>
  <si>
    <t>PRAKTIKER 333. BUDAORS 3.719,00 HUF Vásárlás</t>
  </si>
  <si>
    <t>LIDL ARUHAZ 0306.SZ. AGARD 8.396,00 HUF Vásárlás</t>
  </si>
  <si>
    <t>ALDI 5.SZ. GARDONY 8.911,00 HUF Vásárlás</t>
  </si>
  <si>
    <t>SIMPLE PARKOL S BUDAPEST 135,00 HUF Vásárlás</t>
  </si>
  <si>
    <t>KISKIFLI KAVEZO BUDAPEST 1.990,00 HUF Vásárlás</t>
  </si>
  <si>
    <t>WHITE HOUSE BUDAPEST 875,00 HUF Vásárlás</t>
  </si>
  <si>
    <t>HUN-MARTONVASAR MARTON MARKET Vásárlás(2022.06.10) Card:5444-0XXX-XX68-8737 MCC5411 HUN-MARTONVASAR MARTON MARKET 878,00 HUF Kártyatranzakció</t>
  </si>
  <si>
    <t>HUN-VELENCE DOLCE VENEZIA KFT. Vásárlás(2022.06.11) Card:5444-0XXX-XX68-8737 MCC5441 HUN-VELENCE DOLCE VENEZIA KFT. 2.100,00 HUF Kártyatranzakció</t>
  </si>
  <si>
    <t>HUN-Budapest Nestle Hungaria, Kft Vásárlás(2022.06.09) Card:5444-0XXX-XX68-8737 MCC5499 HUN-Budapest Nestle Hungaria, Kft 5.850,00 HUF Kártyatranzakció</t>
  </si>
  <si>
    <t>HUN-MARTONVASAR MARTON KLINIK Vásárlás(2022.06.09) Card:5444-0XXX-XX68-8737 MCC8099 HUN-MARTONVASAR MARTON KLINIK 7.900,00 HUF Kártyatranzakció</t>
  </si>
  <si>
    <t>PL:P/10JUN22 Tőkefizetés Hitel /21-41194/</t>
  </si>
  <si>
    <t>PL:I/10JUN22 Kamatfizetés  Hitel /21-41194/</t>
  </si>
  <si>
    <t>OTPMOBL EON.HU/UGYINTE BUDAPEST 5.546,00 HUF Vásárlás</t>
  </si>
  <si>
    <t>OMV 1772 Budapest Bud 28.117,00 HUF Vásárlás</t>
  </si>
  <si>
    <t>TESCO 44089 O NKISZOLG MARTONVASAR 1.985,00 HUF Vásárlás</t>
  </si>
  <si>
    <t>HUN-MARTONVASAR TESCO 44089 Vásárlás(2022.06.08) Card:5444-0XXX-XX68-8737 MCC5311 HUN-MARTONVASAR TESCO 44089 770,00 HUF Kártyatranzakció</t>
  </si>
  <si>
    <t>HUN-MARTONVASAR MARTON MARKET Vásárlás(2022.06.08) Card:5444-0XXX-XX68-8737 MCC5411 HUN-MARTONVASAR MARTON MARKET 996,00 HUF Kártyatranzakció</t>
  </si>
  <si>
    <t>HUN-Martonvasar MEDICZ PATIKA Vásárlás(2022.06.08) Card:5444-0XXX-XX68-8737 MCC5912 HUN-Martonvasar MEDICZ PATIKA 2.617,00 HUF Kártyatranzakció</t>
  </si>
  <si>
    <t>HUN-MARTONVASAR POSTAKOCSI E'TTEREM Vásárlás(2022.06.08) Card:5444-0XXX-XX68-8737 MCC5812 HUN-MARTONVASAR POSTAKOCSI E'TTEREM 4.135,00 HUF Kártyatranzakció</t>
  </si>
  <si>
    <t>MVM NEXT ENERGIAK BUDAPEST 10.912,00 HUF Vásárlás</t>
  </si>
  <si>
    <t>LIDL ARUHAZ 0306.SZ. AGARD 17.011,00 HUF Vásárlás</t>
  </si>
  <si>
    <t>ALDI 5.SZ. GARDONY 2.199,00 HUF Vásárlás</t>
  </si>
  <si>
    <t>TESCO 44089 MARTONVASAR 318,00 HUF Vásárlás</t>
  </si>
  <si>
    <t>GARDONYI PIAC TEJBOLT GARDONY 1.265,00 HUF Vásárlás</t>
  </si>
  <si>
    <t>OMV 2087 M7 Kajaszo b 19.422,00 HUF Vásárlás</t>
  </si>
  <si>
    <t>MERX A'RUHA'Z GARDONY 7.710,00 HUF Vásárlás</t>
  </si>
  <si>
    <t>MCD BUDAO RS BUDAORS 1.480,00 HUF Vásárlás</t>
  </si>
  <si>
    <t>EMAG BUDAO RS BUDAORS 22.990,00 HUF Vásárlás</t>
  </si>
  <si>
    <t>PRAKTIKER 333. BUDAORS 3.544,00 HUF Vásárlás</t>
  </si>
  <si>
    <t>TESCO 44089 O NKISZOLG MARTONVASAR 594,00 HUF Vásárlás</t>
  </si>
  <si>
    <t>OTPMOBL VIMPAY.MAV-STA BUDAPEST 419,00 HUF Vásárlás</t>
  </si>
  <si>
    <t>LIPO'TI PE'KSE'G E'S K BUDAPEST 869,00 HUF Vásárlás</t>
  </si>
  <si>
    <t>TELEKOMSZAML 487075507 BUDAPEST 6.044,00 HUF Vásárlás 16,33 USD</t>
  </si>
  <si>
    <t>HUN-GARDONY ALDI 5.SZ. Vásárlás(2022.06.04) Card:5444-0XXX-XX68-8737 MCC5411 HUN-GARDONY ALDI 5.SZ. 5.525,00 HUF Kártyatranzakció</t>
  </si>
  <si>
    <t>DEU-HAMBURG WWW.ABOUTYOU.HU Vásárlás(2022.06.02) Card:5444-0XXX-XX68-8737 MCC5311 DEU-HAMBURG WWW.ABOUTYOU.HU 30.850,00 HUF Kártyatranzakció</t>
  </si>
  <si>
    <t>Generali Ktgb 202282212766</t>
  </si>
  <si>
    <t>10700529-62328528-51100005 Réka BR-2022-10 Kimenő azonnali megbízás</t>
  </si>
  <si>
    <t>CATCH BUDAPEST 950,00 HUF Vásárlás</t>
  </si>
  <si>
    <t>ADVANCE KANTIN BUDAPEST 1.750,00 HUF Vásárlás</t>
  </si>
  <si>
    <t>KELENFO LD FORNETTI BUDAPEST 565,00 HUF Vásárlás</t>
  </si>
  <si>
    <t>HUN-BUDAPEST ROSSMANN 241. Vásárlás(2022.05.31) Card:5444-0XXX-XX68-8737 MCC5977 HUN-BUDAPEST ROSSMANN 241. 289,00 HUF Kártyatranzakció</t>
  </si>
  <si>
    <t>HUN-BUDAPEST OTPMOBL*JEGY.MAV.HU Vásárlás(2022.05.31) Card:5444-0XXX-XX68-8737 MCC4112 HUN-BUDAPEST OTPMOBL*JEGY.MAV.HU 293,00 HUF Kártyatranzakció</t>
  </si>
  <si>
    <t>HUN-BUDAPEST FORNETTI Vásárlás(2022.05.31) Card:5444-0XXX-XX68-8737 MCC5462 HUN-BUDAPEST FORNETTI 475,00 HUF Kártyatranzakció</t>
  </si>
  <si>
    <t>HUN-MARTONVASAR TESCO 44089 Vásárlás(2022.05.31) Card:5444-0XXX-XX68-8737 MCC5311 HUN-MARTONVASAR TESCO 44089 1.289,00 HUF Kártyatranzakció</t>
  </si>
  <si>
    <t>HUN-BUDAPEST MAMMUT PATIKA Vásárlás(2022.05.31) Card:5444-0XXX-XX68-8737 MCC5912 HUN-BUDAPEST MAMMUT PATIKA 17.442,00 HUF Kártyatranzakció</t>
  </si>
  <si>
    <t>Zsu-Ann Kft. Budapest 5.310,00 HUF Vásárlás</t>
  </si>
  <si>
    <t>ASIAN.NOODLE E'TTEREM BUDAPEST 3.960,00 HUF Vásárlás</t>
  </si>
  <si>
    <t>SPAR MAGYARORSZAG KFT. BUDAPEST 799,00 HUF Vásárlás</t>
  </si>
  <si>
    <t>BMW javitás</t>
  </si>
  <si>
    <t>BARKACSBOLT MARTONVASAR 540,00 HUF Vásárlás</t>
  </si>
  <si>
    <t>HUN-BUDAPEST OTPMOBL*JEGY.MAV.HU Vásárlás(2022.05.26) Card:5444-0XXX-XX68-8737 MCC4112 HUN-BUDAPEST OTPMOBL*JEGY.MAV.HU 252,00 HUF Kártyatranzakció</t>
  </si>
  <si>
    <t>HUN-BUDAPEST DM 233.SZ. Vásárlás(2022.05.26) Card:5444-0XXX-XX68-8737 MCC5977 HUN-BUDAPEST DM 233.SZ. 758,00 HUF Kártyatranzakció</t>
  </si>
  <si>
    <t>HUN-Budapest Szamos Vásárlás(2022.05.26) Card:5444-0XXX-XX68-8737 MCC5462 HUN-Budapest Szamos 1.350,00 HUF Kártyatranzakció</t>
  </si>
  <si>
    <t>HUN-Budapest Allee Calzedonia Vásárlás(2022.05.26) Card:5444-0XXX-XX68-8737 MCC5699 HUN-Budapest Allee Calzedonia 4.995,00 HUF Kártyatranzakció</t>
  </si>
  <si>
    <t>HUN-Budapest Padthai Allee Vásárlás(2022.05.26) Card:5444-0XXX-XX68-8737 MCC5812 HUN-Budapest Padthai Allee 6.600,00 HUF Kártyatranzakció</t>
  </si>
  <si>
    <t>HUN-BUDAPEST C&amp;A ALLEE 530. Vásárlás(2022.05.26) Card:5444-0XXX-XX68-8737 MCC5691 HUN-BUDAPEST C&amp;A ALLEE 530. 9.995,00 HUF Kártyatranzakció</t>
  </si>
  <si>
    <t>HUN-BUDAPEST RESERVED ALLEE Vásárlás(2022.05.26) Card:5444-0XXX-XX68-8737 MCC5651 HUN-BUDAPEST RESERVED ALLEE 13.070,00 HUF Kártyatranzakció</t>
  </si>
  <si>
    <t>HUN-BUDAPEST H&amp;M HU0309 Vásárlás(2022.05.26) Card:5444-0XXX-XX68-8737 MCC5691 HUN-BUDAPEST H&amp;M HU0309 25.480,00 HUF Kártyatranzakció</t>
  </si>
  <si>
    <t>HUN-Budapest Triumph International Vásárlás(2022.05.26) Card:5444-0XXX-XX68-8737 MCC5699 HUN-Budapest Triumph International 28.827,00 HUF Kártyatranzakció</t>
  </si>
  <si>
    <t>TESCO 44089 MARTONVASAR 469,00 HUF Vásárlás</t>
  </si>
  <si>
    <t>SPAR MAGYARORSZAG KFT SALGOTARJAN 1.378,00 HUF Vásárlás</t>
  </si>
  <si>
    <t>OMV 1934 Salgotarjan 14.160,00 HUF Vásárlás</t>
  </si>
  <si>
    <t>IKEA BUDAORS ETTEREM Budaors 3.875,00 HUF Vásárlás</t>
  </si>
  <si>
    <t>SPAR SALGOTARJAN 2.977,00 HUF Vásárlás</t>
  </si>
  <si>
    <t>SPAR MAGYARORSZAG KFT SALGOTARJAN 352,00 HUF Vásárlás</t>
  </si>
  <si>
    <t>KFC SZIGETSZENTM.M0 DT SZIGETSZENTM 3.840,00 HUF Vásárlás</t>
  </si>
  <si>
    <t>NETFLIX.COM 408-724-9160 3.490,00 HUF Vásárlás 9,54 USD</t>
  </si>
  <si>
    <t>Czuprik Györgyné temetés</t>
  </si>
  <si>
    <t>FNS E'TTEREM BUDAPEST 2.150,00 HUF Vásárlás</t>
  </si>
  <si>
    <t>ALDI 156.SZ. BUDAORS 318,00 HUF Vásárlás</t>
  </si>
  <si>
    <t>DEU-HAMBURG WWW.ABOUTYOU.HU Áru vissza/befizetés(2022.05.24) Card:5444-0XXX-XX68-8737 MCC5311 DEU-HAMBURG WWW.ABOUTYOU.HU 9.190,00 HUF Kártyatranzakció</t>
  </si>
  <si>
    <t>HUN-BUDAPEST FORNETTI Vásárlás(2022.05.24) Card:5444-0XXX-XX68-8737 MCC5462 HUN-BUDAPEST FORNETTI 446,00 HUF Kártyatranzakció</t>
  </si>
  <si>
    <t>HUN-BUDAPEST OTPMOBL*JEGY.MAV.HU Vásárlás(2022.05.24) Card:5444-0XXX-XX68-8737 MCC4112 HUN-BUDAPEST OTPMOBL*JEGY.MAV.HU 586,00 HUF Kártyatranzakció</t>
  </si>
  <si>
    <t>POSTAKOCSI E'TTEREM MARTONVASAR 8.820,00 HUF Vásárlás</t>
  </si>
  <si>
    <t>MCD E'RD STOP SHOP ERD 860,00 HUF Vásárlás</t>
  </si>
  <si>
    <t>IMO Hungary kft Budaors 4.590,00 HUF Vásárlás 12,86 USD</t>
  </si>
  <si>
    <t>Babaváró kez.díj 25MAY22</t>
  </si>
  <si>
    <t>PL:P/25MAY22 Tőkefizetés Hitel /22-13488/</t>
  </si>
  <si>
    <t>10700529-62328528-51100005 Réka BR-2022-5 Kimenő azonnali megbízás</t>
  </si>
  <si>
    <t>MARTON MARKET MARTONVASAR 1.642,00 HUF Vásárlás</t>
  </si>
  <si>
    <t>LIDL ARUHAZ 0306.SZ. AGARD 24.145,00 HUF Vásárlás</t>
  </si>
  <si>
    <t>GBR-NORTHWICH MYPROTEIN.COM Vásárlás(2022.05.20) Card:5444-0XXX-XX68-8737 MCC5499 GBR-NORTHWICH MYPROTEIN.COM 11.635,00 HUF Kártyatranzakció</t>
  </si>
  <si>
    <t>Fusion Befektetesi Budapest 2.560,00 HUF Vásárlás</t>
  </si>
  <si>
    <t>BURGER KING BUDAO RS BUDAORS 2.190,00 HUF Vásárlás</t>
  </si>
  <si>
    <t>MARTON MARKET MARTONVASAR 774,00 HUF Vásárlás</t>
  </si>
  <si>
    <t>OMV 1934 Salgotarjan 20.924,00 HUF Vásárlás</t>
  </si>
  <si>
    <t>HUN-GARDONY CSASZI2020 KFT. Vásárlás(2022.05.17) Card:5444-0XXX-XX68-8737 MCC5411 HUN-GARDONY CSASZI2020 KFT. 1.652,00 HUF Kártyatranzakció</t>
  </si>
  <si>
    <t>HUN-BUDAPEST ARRIBA TAQUERIA Vásárlás(2022.05.16) Card:5444-0XXX-XX68-8737 MCC5812 HUN-BUDAPEST ARRIBA TAQUERIA 4.784,00 HUF Kártyatranzakció</t>
  </si>
  <si>
    <t>HUN-Budapest Stühmer Édességbolt Vásárlás(2022.05.16) Card:5444-0XXX-XX68-8737 MCC5462 HUN-Budapest Stühmer Édességbolt 2.400,00 HUF Kártyatranzakció</t>
  </si>
  <si>
    <t>LIDL ARUHAZ 0306.SZ. AGARD 7.755,00 HUF Vásárlás</t>
  </si>
  <si>
    <t>TELEKOMFELT 483382305 BUDAPEST 5.000,00 HUF Vásárlás 13,52 USD</t>
  </si>
  <si>
    <t>OBI 010 BUDAORS BUDAORS 9.296,00 HUF Vásárlás</t>
  </si>
  <si>
    <t>POSTAKOCSI E'TTEREM MARTONVASAR 3.650,00 HUF Vásárlás</t>
  </si>
  <si>
    <t>MARTON FRUIT MARTONVASAR 2.276,00 HUF Vásárlás</t>
  </si>
  <si>
    <t>ALDI 22.SZ. ERD 3.861,00 HUF Vásárlás</t>
  </si>
  <si>
    <t>ALDI 156.SZ. BUDAORS 25.481,00 HUF Vásárlás</t>
  </si>
  <si>
    <t>HUN-BUDAORS MCD BUDAO:RS Vásárlás(2022.05.11) Card:5444-0XXX-XX68-8737 MCC5812 HUN-BUDAORS MCD BUDAO:RS 1.090,00 HUF Kártyatranzakció</t>
  </si>
  <si>
    <t>HUN-BUDAPEST OTPMOBL*BOOKLINE.HU Vásárlás(2022.05.11) Card:5444-0XXX-XX68-8737 MCC5942 HUN-BUDAPEST OTPMOBL*BOOKLINE.HU 4.621,00 HUF Kártyatranzakció</t>
  </si>
  <si>
    <t>HUN-BUDAORS HA'DA HASZNA'LTRUHA U: Vásárlás(2022.05.11) Card:5444-0XXX-XX68-8737 MCC5691 HUN-BUDAORS HA'DA HASZNA'LTRUHA U: 6.798,00 HUF Kártyatranzakció</t>
  </si>
  <si>
    <t>HUN-Budaörs Deichmann Budaörs 079 Vásárlás(2022.05.11) Card:5444-0XXX-XX68-8737 MCC5661 HUN-Budaörs Deichmann Budaörs 079 13.270,00 HUF Kártyatranzakció</t>
  </si>
  <si>
    <t>DEU-HAMBURG WWW.ABOUTYOU.HU Vásárlás(2022.05.11) Card:5444-0XXX-XX68-8737 MCC5311 DEU-HAMBURG WWW.ABOUTYOU.HU 40.520,00 HUF Kártyatranzakció</t>
  </si>
  <si>
    <t>KISKIFLI KAVEZO BUDAPEST 750,00 HUF Vásárlás</t>
  </si>
  <si>
    <t>SHELL TO LTO'A'LL.546 BUDAORS 20.631,00 HUF Vásárlás</t>
  </si>
  <si>
    <t>TESCO 41520 O NKISZOLG BUDAORS 912,00 HUF Vásárlás</t>
  </si>
  <si>
    <t>HUN-MARTONVASAR MARTON MARKET Vásárlás(2022.05.10) Card:5444-0XXX-XX68-8737 MCC5411 HUN-MARTONVASAR MARTON MARKET 2.734,00 HUF Kártyatranzakció</t>
  </si>
  <si>
    <t>KORMA'NYABLAK MARTONVA MARTONVASAR 7.500,00 HUF Vásárlás</t>
  </si>
  <si>
    <t>VIANNI U ZLET MARTONVASAR 675,00 HUF Vásárlás</t>
  </si>
  <si>
    <t>MVM NEXT ENERGIAK BUDAPEST 10.882,00 HUF Vásárlás</t>
  </si>
  <si>
    <t>TESCO 44089 MARTONVASAR 4.025,00 HUF Vásárlás</t>
  </si>
  <si>
    <t>HELLOPAY KERESKEDO' BUDAPEST 2.270,00 HUF Vásárlás</t>
  </si>
  <si>
    <t>PL:P/10MAY22 Tőkefizetés Hitel /21-41194/</t>
  </si>
  <si>
    <t>PL:I/10MAY22 Kamatfizetés  Hitel /21-41194/</t>
  </si>
  <si>
    <t>Cafe Frei Budapest- No Budapest 1.215,00 HUF Vásárlás 3,36 USD</t>
  </si>
  <si>
    <t>HUN-MARTONVASAR POSTAKOCSI E'TTEREM Vásárlás(2022.05.05) Card:5444-0XXX-XX68-8737 MCC5812 HUN-MARTONVASAR POSTAKOCSI E'TTEREM 3.650,00 HUF Kártyatranzakció</t>
  </si>
  <si>
    <t>MAGYAR ALLAMKINCSTAR BUDAPEST 10.019.273,00 HUF Vásárlás</t>
  </si>
  <si>
    <t>KFC AUCHAN BUDAORS 3.810,00 HUF Vásárlás</t>
  </si>
  <si>
    <t>AUCHAN BUDAORS BUDAORS 18.376,00 HUF Vásárlás</t>
  </si>
  <si>
    <t>OBI 010 BUDAORS 17.714,00 HUF Vásárlás</t>
  </si>
  <si>
    <t>HUN-SZEKESFEHERVA DAMNICZKI CUKRA'S Vásárlás(2022.05.04) Card:5444-0XXX-XX68-8737 MCC5441 HUN-SZEKESFEHERVA DAMNICZKI CUKRA'S ZDA 1.772,00 HUF Kártyatranzakció</t>
  </si>
  <si>
    <t>HUN-SZEKESFEHERVA DM 313.SZ. Vásárlás(2022.05.04) Card:5444-0XXX-XX68-8737 MCC5977 HUN-SZEKESFEHERVA DM 313.SZ. 1.948,00 HUF Kártyatranzakció</t>
  </si>
  <si>
    <t>HUN-MARTONVASAR MARTON KLINIK Vásárlás(2022.05.04) Card:5444-0XXX-XX68-8737 MCC8099 HUN-MARTONVASAR MARTON KLINIK 10.650,00 HUF Kártyatranzakció</t>
  </si>
  <si>
    <t>HUN-Székesfehérvá RUB-INT Rendelö Vásárlás(2022.05.04) Card:5444-0XXX-XX68-8737 MCC8011 HUN-Székesfehérvá RUB-INT Rendelö 48.000,00 HUF Kártyatranzakció</t>
  </si>
  <si>
    <t>New York Bagel Kft Budapest 1.150,00 HUF Vásárlás 3,20 USD</t>
  </si>
  <si>
    <t>KFC SZE'KESF. BUDAI DT SZEKESFEHERV 3.830,00 HUF Vásárlás</t>
  </si>
  <si>
    <t>SPAR MAGYARORSZAG KFT SZEKESFEHERV 3.498,00 HUF Vásárlás</t>
  </si>
  <si>
    <t>VIZ-, GAZ SZERELVENYB MARTONVASAR 7.366,00 HUF Vásárlás</t>
  </si>
  <si>
    <t>Gazda-SAGI Bolt Martonvasar 7.650,00 HUF Vásárlás 21,10 USD</t>
  </si>
  <si>
    <t>HUN-MARTONVASAR TESCO 44089 O:NKISZ Vásárlás(2022.05.02) Card:5444-0XXX-XX68-8737 MCC5311 HUN-MARTONVASAR TESCO 44089 O:NKISZ OLG 1.031,00 HUF Kártyatranzakció</t>
  </si>
  <si>
    <t>HUN-BUDAPEST OTPMOBL*VITAMINVILAG.H Vásárlás(2022.05.02) Card:5444-0XXX-XX68-8737 MCC5499 HUN-BUDAPEST OTPMOBL*VITAMINVILAG.H 9.180,00 HUF Kártyatranzakció</t>
  </si>
  <si>
    <t>TESCO 44089 MARTONVASAR 1.382,00 HUF Vásárlás</t>
  </si>
  <si>
    <t>TESCO 44089 O NKISZOLG MARTONVASAR 378,00 HUF Vásárlás</t>
  </si>
  <si>
    <t>PM-ABACUS FIZETO'AUT 4 BUDAPEST 700,00 HUF Vásárlás</t>
  </si>
  <si>
    <t>ALDI 156.SZ. BUDAORS 10.560,00 HUF Vásárlás</t>
  </si>
  <si>
    <t>PRAKTIKER 333. BUDAORS 7.397,00 HUF Vásárlás</t>
  </si>
  <si>
    <t>Szamos Budapest 1.400,00 HUF Vásárlás</t>
  </si>
  <si>
    <t>TESCO 44089 MARTONVASAR 1.896,00 HUF Vásárlás</t>
  </si>
  <si>
    <t>Istambul étterem</t>
  </si>
  <si>
    <t>HUN-BUDAORS POSTA7933 Vásárlás(2022.04.27) Card:5444-0XXX-XX68-8737 MCC9402 HUN-BUDAORS POSTA7933 9.455,00 HUF Kártyatranzakció</t>
  </si>
  <si>
    <t>OMV 1772 Budapest Bud 19.162,00 HUF Vásárlás</t>
  </si>
  <si>
    <t>KISKIFLI KAVEZO BUDAPEST 1.240,00 HUF Vásárlás</t>
  </si>
  <si>
    <t>OBI 036 FO'T FOT 11.893,00 HUF Vásárlás</t>
  </si>
  <si>
    <t>NETFLIX.COM 408-724-9160 3.490,00 HUF Vásárlás 9,78 USD</t>
  </si>
  <si>
    <t>HUN-MARTONVASAR TESCO 44089 O:NKISZ Vásárlás(2022.04.25) Card:5444-0XXX-XX68-8737 MCC5311 HUN-MARTONVASAR TESCO 44089 O:NKISZ OLG 899,00 HUF Kártyatranzakció</t>
  </si>
  <si>
    <t>11773054-00693288-00000000 Csató Enikő Kimenő azonnali megbízás</t>
  </si>
  <si>
    <t>MCD E'RD STOP SHOP ERD 170,00 HUF Vásárlás</t>
  </si>
  <si>
    <t>SPAR PARTNER 6915900 ERD 3.554,00 HUF Vásárlás</t>
  </si>
  <si>
    <t>McDONALD'S ÉRD STOP-SHOP93.</t>
  </si>
  <si>
    <t>HUN-BUDAORS DM 311.SZ. Vásárlás(2022.04.24) Card:5444-0XXX-XX68-8737 MCC5977 HUN-BUDAORS DM 311.SZ. 23.167,00 HUF Kártyatranzakció</t>
  </si>
  <si>
    <t>ALDI 156.SZ. BUDAORS 10.340,00 HUF Vásárlás</t>
  </si>
  <si>
    <t>HUN-MARTONVASAR POSTAKOCSI E'TTEREM Vásárlás(2022.04.21) Card:5444-0XXX-XX68-8737 MCC5812 HUN-MARTONVASAR POSTAKOCSI E'TTEREM 3.640,00 HUF Kártyatranzakció</t>
  </si>
  <si>
    <t>HUN-MARTONVASAR POSTAKOCSI E'TTEREM Vásárlás(2022.04.23) Card:5444-0XXX-XX68-8737 MCC5812 HUN-MARTONVASAR POSTAKOCSI E'TTEREM 6.850,00 HUF Kártyatranzakció</t>
  </si>
  <si>
    <t>TESCO 44089 O NKISZOLG MARTONVASAR 534,00 HUF Vásárlás</t>
  </si>
  <si>
    <t>22/13488 Folyósítás</t>
  </si>
  <si>
    <t>BP. GARDEN KFT. BUDAPEST 810,00 HUF Vásárlás</t>
  </si>
  <si>
    <t>BAUHAUS SZIGETSZENTMIK SZIGETSZENTM 144.770,00 HUF Vásárlás</t>
  </si>
  <si>
    <t>BAUHAUS SZIGETSZENTMIK SZIGETSZENTM 14.060,00 HUF Vásárlás</t>
  </si>
  <si>
    <t>POSTAKOCSI E'TTEREM MARTONVASAR 4.230,00 HUF Vásárlás</t>
  </si>
  <si>
    <t>HUN-MARTONVASAR POSTAKOCSI E'TTEREM Vásárlás(2022.04.20) Card:5444-0XXX-XX68-8737 MCC5812 HUN-MARTONVASAR POSTAKOCSI E'TTEREM 5.680,00 HUF Kártyatranzakció</t>
  </si>
  <si>
    <t>TESCO 44089 MARTONVASAR 1.123,00 HUF Vásárlás</t>
  </si>
  <si>
    <t>OMV 2087 M7 Kajaszo b 20.117,00 HUF Vásárlás</t>
  </si>
  <si>
    <t>VIZ-, GAZ SZERELVENYB MARTONVASAR 1.365,00 HUF Vásárlás</t>
  </si>
  <si>
    <t>HUN-MARTONVASAR MARTON KLINIK Vásárlás(2022.04.13) Card:5444-0XXX-XX68-8737 MCC8099 HUN-MARTONVASAR MARTON KLINIK 14.900,00 HUF Kártyatranzakció</t>
  </si>
  <si>
    <t>TESCO 44089 MARTONVASAR 7.129,00 HUF Vásárlás</t>
  </si>
  <si>
    <t>ALDI 3.SZ. BUDAORS 15.271,00 HUF Vásárlás</t>
  </si>
  <si>
    <t>OBI 010 BUDAORS 37.877,00 HUF Vásárlás</t>
  </si>
  <si>
    <t>TELEKOMSZAML 475873398 BUDAPEST 6.479,00 HUF Vásárlás 18,68 USD</t>
  </si>
  <si>
    <t>Nemzeti Adó- és Vámhivatal 22KB64761182 CZUPRIK GERGELY 246 2 MARTONVÁSÁR PIPACS UTCA 6. 3. AJTÓ</t>
  </si>
  <si>
    <t>LIDL ARUHAZ 0349.SZ. BUDAORS 5.260,00 HUF Vásárlás</t>
  </si>
  <si>
    <t>IKEA BUDAORS ETTEREM Budaors 2.880,00 HUF Vásárlás</t>
  </si>
  <si>
    <t>IKEA BUDAORS ETTEREM Budaors 1.540,00 HUF Vásárlás</t>
  </si>
  <si>
    <t>PRAKTIKER 330. BUDAPEST 10.079,00 HUF Vásárlás</t>
  </si>
  <si>
    <t>TESCO 44089 O NKISZOLG MARTONVASAR 399,00 HUF Vásárlás</t>
  </si>
  <si>
    <t>OMV 1773 M0 Szigetszt 18.507,00 HUF Vásárlás</t>
  </si>
  <si>
    <t>MARTON MARKET MARTONVASAR 898,00 HUF Vásárlás</t>
  </si>
  <si>
    <t>MVM NEXT ENERGIAK BUDAPEST 11.008,00 HUF Vásárlás</t>
  </si>
  <si>
    <t>PL:P/10APR22 Tőkefizetés Hitel /21-41194/</t>
  </si>
  <si>
    <t>PL:I/10APR22 Kamatfizetés  Hitel /21-41194/</t>
  </si>
  <si>
    <t>Super Wok</t>
  </si>
  <si>
    <t>IKEA BUDAORS ETTEREM Budaors 6.060,00 HUF Vásárlás</t>
  </si>
  <si>
    <t>IKEA BUDAORS ETTEREM Budaors 1.150,00 HUF Vásárlás</t>
  </si>
  <si>
    <t>KISKIFLI KAVEZO BUDAPEST 1.040,00 HUF Vásárlás</t>
  </si>
  <si>
    <t>TELEKOMFELT 473110072 BUDAPEST 5.000,00 HUF Vásárlás 14,46 USD</t>
  </si>
  <si>
    <t>Mazsa Nordik Kft. Budapest 229,00 HUF Vásárlás 0,66 USD</t>
  </si>
  <si>
    <t>ALDI 5.SZ. GARDONY 7.311,00 HUF Vásárlás</t>
  </si>
  <si>
    <t>TESCO 44089 MARTONVASAR 4.040,00 HUF Vásárlás</t>
  </si>
  <si>
    <t>HUN-MARTONVASAR NEMZETI DOHA'NYBOLT Vásárlás(2022.04.04) Card:5444-0XXX-XX68-8737 MCC5993 HUN-MARTONVASAR NEMZETI DOHA'NYBOLT 598,00 HUF Kártyatranzakció</t>
  </si>
  <si>
    <t>TESCO 44089 O NKISZOLG MARTONVASAR 843,00 HUF Vásárlás</t>
  </si>
  <si>
    <t>MARTON MARKET MARTONVASAR 999,00 HUF Vásárlás</t>
  </si>
  <si>
    <t>HUN-MARTONVASAR POSTAKOCSI E'TTEREM Vásárlás(2022.04.02) Card:5444-0XXX-XX68-8737 MCC5812 HUN-MARTONVASAR POSTAKOCSI E'TTEREM 10.230,00 HUF Kártyatranzakció</t>
  </si>
  <si>
    <t>ALDI 156.SZ. BUDAORS 8.349,00 HUF Vásárlás</t>
  </si>
  <si>
    <t>MARTON MARKET MARTONVASAR 1.805,00 HUF Vásárlás</t>
  </si>
  <si>
    <t>HUN-BUDAPEST OTPMOBL*VITAMINVILAG.H Vásárlás(2022.03.30) Card:5444-0XXX-XX68-8737 MCC5499 HUN-BUDAPEST OTPMOBL*VITAMINVILAG.H 8.880,00 HUF Kártyatranzakció</t>
  </si>
  <si>
    <t>Int.Appl. to   31/03/22</t>
  </si>
  <si>
    <t>CRT to         31/03/22</t>
  </si>
  <si>
    <t>Joe Falat Catering</t>
  </si>
  <si>
    <t>VIANNI U ZLET MARTONVASAR 1.807,00 HUF Vásárlás</t>
  </si>
  <si>
    <t>TESCO 44089 O NKISZOLG MARTONVASAR 4.082,00 HUF Vásárlás</t>
  </si>
  <si>
    <t>TESCO 44089 O NKISZOLG MARTONVASAR 500,00 HUF Vásárlás</t>
  </si>
  <si>
    <t>GLS D120 DEPO' BICSKE 13.150,00 HUF Vásárlás</t>
  </si>
  <si>
    <t>KISKIFLI KAVEZO BUDAPEST 690,00 HUF Vásárlás</t>
  </si>
  <si>
    <t>Grammosz Kt. BUDAPEST 990,00 HUF Vásárlás</t>
  </si>
  <si>
    <t>Tamp and Pull Espresso Budapest 550,00 HUF Vásárlás</t>
  </si>
  <si>
    <t>HUN-BUDAPEST OTPMOBL*VITAMINVILAG.H Vásárlás(2022.03.28) Card:5444-0XXX-XX68-8737 MCC5499 HUN-BUDAPEST OTPMOBL*VITAMINVILAG.H 6.380,00 HUF Kártyatranzakció</t>
  </si>
  <si>
    <t>MARTON MARKET MARTONVASAR 1.298,00 HUF Vásárlás</t>
  </si>
  <si>
    <t>MARTON MARKET MARTONVASAR 249,00 HUF Vásárlás</t>
  </si>
  <si>
    <t>ALDI 22.SZ. ERD 9.781,00 HUF Vásárlás</t>
  </si>
  <si>
    <t>TESCO 44089 MARTONVASAR 3.490,00 HUF Vásárlás</t>
  </si>
  <si>
    <t>SHELL TO LTO'A'LLOMA'S ERD 20.991,00 HUF Vásárlás</t>
  </si>
  <si>
    <t>AUCHAN SOLYMAR SOLYMAR 5.676,00 HUF Vásárlás</t>
  </si>
  <si>
    <t>AUCHAN BUDAORS BUDAORS 6.935,00 HUF Vásárlás</t>
  </si>
  <si>
    <t>NETFLIX.COM 408-724-9160 3.490,00 HUF Vásárlás 10,25 USD</t>
  </si>
  <si>
    <t>HUN-Budapest Delivery Hero Hungary Vásárlás(2022.03.25) Card:5444-0XXX-XX68-8737 MCC5499 HUN-Budapest Delivery Hero Hungary 4.169,00 HUF Kártyatranzakció</t>
  </si>
  <si>
    <t>PIPECON Kft Budapest 1.000,00 HUF Vásárlás 2,94 USD</t>
  </si>
  <si>
    <t>HUN-BUDAPEST OTPMOBL*HERBAFERM.HU Vásárlás(2022.03.24) Card:5444-0XXX-XX68-8737 MCC5499 HUN-BUDAPEST OTPMOBL*HERBAFERM.HU 7.240,00 HUF Kártyatranzakció</t>
  </si>
  <si>
    <t>HUN-MARTONVASAR MARTON MARKET Vásárlás(2022.03.22) Card:5444-0XXX-XX68-8737 MCC5411 HUN-MARTONVASAR MARTON MARKET 998,00 HUF Kártyatranzakció</t>
  </si>
  <si>
    <t>HUN-MARTONVASAR MARTON MARKET Vásárlás(2022.03.22) Card:5444-0XXX-XX68-8737 MCC5411 HUN-MARTONVASAR MARTON MARKET 1.115,00 HUF Kártyatranzakció</t>
  </si>
  <si>
    <t>HUN-MARTONVASAR TESCO 44089 O:NKISZ Vásárlás(2022.03.22) Card:5444-0XXX-XX68-8737 MCC5311 HUN-MARTONVASAR TESCO 44089 O:NKISZ OLG 3.378,00 HUF Kártyatranzakció</t>
  </si>
  <si>
    <t>HUN-MARTONVASAR POSTAKOCSI E'TTEREM Vásárlás(2022.03.22) Card:5444-0XXX-XX68-8737 MCC5812 HUN-MARTONVASAR POSTAKOCSI E'TTEREM 6.530,00 HUF Kártyatranzakció</t>
  </si>
  <si>
    <t>HUN-BUDAPEST COOP SARKI KO:ZE'RT Vásárlás(2022.03.21) Card:5444-0XXX-XX68-8737 MCC5411 HUN-BUDAPEST COOP SARKI KO:ZE'RT 557,00 HUF Kártyatranzakció</t>
  </si>
  <si>
    <t>BKK AUTOMATA - B35 BUDAPEST 350,00 HUF Vásárlás</t>
  </si>
  <si>
    <t>VIZ-, GAZ SZERELVENYB MARTONVASAR 4.872,00 HUF Vásárlás</t>
  </si>
  <si>
    <t>BARKACSBOLT MARTONVASAR 1.260,00 HUF Vásárlás</t>
  </si>
  <si>
    <t>Gazda-SAGI Bolt Martonvasar 11.190,00 HUF Vásárlás 33,13 USD</t>
  </si>
  <si>
    <t>CATCH BUDAPEST 2.100,00 HUF Vásárlás</t>
  </si>
  <si>
    <t>Anker Klub Budapest 6.458,00 HUF Vásárlás</t>
  </si>
  <si>
    <t>GLE'DA VENDE'GLO' BUDAPEST 14.000,00 HUF Vásárlás</t>
  </si>
  <si>
    <t>TELEKOMSZAML 469030747 BUDAPEST 6.479,00 HUF Vásárlás 19,18 USD</t>
  </si>
  <si>
    <t>HUN-SALGOTARJAN SPAR Vásárlás(2022.03.19) Card:5444-0XXX-XX68-8737 MCC5411 HUN-SALGOTARJAN SPAR 4.870,00 HUF Kártyatranzakció</t>
  </si>
  <si>
    <t>HUN-BUDAPEST MAMMUT SYNLAB Vásárlás(2022.03.17) Card:5444-0XXX-XX68-8737 MCC8099 HUN-BUDAPEST MAMMUT SYNLAB 5.688,00 HUF Kártyatranzakció</t>
  </si>
  <si>
    <t>PRAKTIKER 333. BUDAORS 1.999,00 HUF Vásárlás</t>
  </si>
  <si>
    <t>HUN-BUDAORS MEDICINA PATIKA Vásárlás(2022.03.16) Card:5444-0XXX-XX68-8737 MCC5912 HUN-BUDAORS MEDICINA PATIKA 138,00 HUF Kártyatranzakció</t>
  </si>
  <si>
    <t>OMV 1772 Budapest Bud 20.770,00 HUF Vásárlás</t>
  </si>
  <si>
    <t>LIDL ARUHAZ 0349.SZ. BUDAORS 22.931,00 HUF Vásárlás</t>
  </si>
  <si>
    <t>TESCO 44089 MARTONVASAR 199,00 HUF Vásárlás</t>
  </si>
  <si>
    <t>BAUHAUS SZIGETSZENTMIK SZIGETSZENTM 14.080,00 HUF Vásárlás</t>
  </si>
  <si>
    <t>SIMPLE PARKOL S BUDAPEST 403,00 HUF Vásárlás</t>
  </si>
  <si>
    <t>DM 407 BUDAPEST 1.568,00 HUF Vásárlás</t>
  </si>
  <si>
    <t>OBI 010 BUDAORS 19.084,00 HUF Vásárlás</t>
  </si>
  <si>
    <t>DECATHLON BUDAO RS BUDAORS 5.160,00 HUF Vásárlás</t>
  </si>
  <si>
    <t>PRAKTIKER 333. BUDAORS 22.759,00 HUF Vásárlás</t>
  </si>
  <si>
    <t>HUN-BUDAORS DM 311.SZ. Vásárlás(2022.03.12) Card:5444-0XXX-XX68-8737 MCC5977 HUN-BUDAORS DM 311.SZ. 19.777,00 HUF Kártyatranzakció</t>
  </si>
  <si>
    <t>11709002-21135853-00000000 wtn T3NZ0103532 Kimenő azonnali megbízás</t>
  </si>
  <si>
    <t>Padthai Budapest 6.170,00 HUF Vásárlás</t>
  </si>
  <si>
    <t>Mazsa Nordik Kft. Budapest 949,00 HUF Vásárlás 2,72 USD</t>
  </si>
  <si>
    <t>HUN-MARTONVASAR MARTON MARKET Vásárlás(2022.03.09) Card:5444-0XXX-XX68-8737 MCC5411 HUN-MARTONVASAR MARTON MARKET 903,00 HUF Kártyatranzakció</t>
  </si>
  <si>
    <t>HUN-BUDAPEST PHILLIPPOS GYROS BAR Vásárlás(2022.03.09) Card:5444-0XXX-XX68-8737 MCC5814 HUN-BUDAPEST PHILLIPPOS GYROS BAR 2.150,00 HUF Kártyatranzakció</t>
  </si>
  <si>
    <t>PL:P/10MAR22 Tőkefizetés Hitel /21-41194/</t>
  </si>
  <si>
    <t>PL:I/10MAR22 Kamatfizetés  Hitel /21-41194/</t>
  </si>
  <si>
    <t>ALDI 156.SZ. BUDAORS 5.551,00 HUF Vásárlás</t>
  </si>
  <si>
    <t>HUN-BUDAPEST COOP SARKI KO:ZE'RT Vásárlás(2022.03.07) Card:5444-0XXX-XX68-8737 MCC5411 HUN-BUDAPEST COOP SARKI KO:ZE'RT 278,00 HUF Kártyatranzakció</t>
  </si>
  <si>
    <t>HUN-MARTONVASAR MARTON MARKET Vásárlás(2022.03.07) Card:5444-0XXX-XX68-8737 MCC5411 HUN-MARTONVASAR MARTON MARKET 3.054,00 HUF Kártyatranzakció</t>
  </si>
  <si>
    <t>HUN-BUDAPEST DM 148 Vásárlás(2022.03.07) Card:5444-0XXX-XX68-8737 MCC5977 HUN-BUDAPEST DM 148 3.098,00 HUF Kártyatranzakció</t>
  </si>
  <si>
    <t>HUN-BUDAPEST MA'V BP. DE'LI BELF.PE Vásárlás(2022.03.07) Card:5444-0XXX-XX68-8737 MCC4112 HUN-BUDAPEST MA'V BP. DE'LI BELF.PE 24.900,00 HUF Kártyatranzakció</t>
  </si>
  <si>
    <t>HUN-BUDAPEST OTPMOBL*VIMPAY.MAV-STA Vásárlás(2022.03.06) Card:5444-0XXX-XX68-8737 MCC4112 HUN-BUDAPEST OTPMOBL*VIMPAY.MAV-STA 293,00 HUF Kártyatranzakció</t>
  </si>
  <si>
    <t>OMV 1772 Budapest Bud 17.276,00 HUF Vásárlás</t>
  </si>
  <si>
    <t>Martonvásár Város Önkormányzata azon 8325</t>
  </si>
  <si>
    <t>HUN-BUDAPEST COOP SARKI KO:ZE'RT Vásárlás(2022.03.03) Card:5444-0XXX-XX68-8737 MCC5411 HUN-BUDAPEST COOP SARKI KO:ZE'RT 470,00 HUF Kártyatranzakció</t>
  </si>
  <si>
    <t>HUN-BUDAPEST DAIGA SUSHI Vásárlás(2022.03.03) Card:5444-0XXX-XX68-8737 MCC5812 HUN-BUDAPEST DAIGA SUSHI 1.380,00 HUF Kártyatranzakció</t>
  </si>
  <si>
    <t>10300002-10479831-49020011 Belnatur I6V103718 Kimenő azonnali megbízás</t>
  </si>
  <si>
    <t>HUN-BUDAPEST Dr. Bogdan and Dr. Gye Vásárlás(2022.03.03) Card:5444-0XXX-XX68-8737 MCC8021 HUN-BUDAPEST Dr. Bogdan and Dr. Gye 50.000,00 HUF Kártyatranzakció</t>
  </si>
  <si>
    <t>Panificio Il Basilico</t>
  </si>
  <si>
    <t>ALDI 156.SZ. BUDAORS 9.156,00 HUF Vásárlás</t>
  </si>
  <si>
    <t>PRAKTIKER 333. BUDAORS 851,00 HUF Vásárlás</t>
  </si>
  <si>
    <t>HUN-BUDAPEST COOP SARKI KO:ZE'RT Vásárlás(2022.03.02) Card:5444-0XXX-XX68-8737 MCC5411 HUN-BUDAPEST COOP SARKI KO:ZE'RT 218,00 HUF Kártyatranzakció</t>
  </si>
  <si>
    <t>KISKIFLI KAVEZO BUDAPEST 650,00 HUF Vásárlás</t>
  </si>
  <si>
    <t>HUN-MARTONVASAR MARTON MARKET Vásárlás(2022.03.01) Card:5444-0XXX-XX68-8737 MCC5411 HUN-MARTONVASAR MARTON MARKET 568,00 HUF Kártyatranzakció</t>
  </si>
  <si>
    <t>HUN-Martonvasar MEDICZ PATIKA Vásárlás(2022.03.01) Card:5444-0XXX-XX68-8737 MCC5912 HUN-Martonvasar MEDICZ PATIKA 4.850,00 HUF Kártyatranzakció</t>
  </si>
  <si>
    <t>MARTON MARKET MARTONVASAR 1.945,00 HUF Vásárlás</t>
  </si>
  <si>
    <t>NETFLIX.COM 408-724-9160 3.490,00 HUF Vásárlás 10,71 USD</t>
  </si>
  <si>
    <t>VIANNI U ZLET MARTONVASAR 249,00 HUF Vásárlás</t>
  </si>
  <si>
    <t>OBI 010 BUDAORS 10.122,00 HUF Vásárlás</t>
  </si>
  <si>
    <t>LIDL ARUHAZ 0349.SZ. BUDAORS 23.442,00 HUF Vásárlás</t>
  </si>
  <si>
    <t>OBI 010 BUDAORS BUDAORS 26.958,00 HUF Vásárlás</t>
  </si>
  <si>
    <t>VIANNI U ZLET MARTONVASAR 699,00 HUF Vásárlás</t>
  </si>
  <si>
    <t>OBI 010 BUDAORS 12.590,00 HUF Vásárlás</t>
  </si>
  <si>
    <t>TELEKOMSZAML 462298075 BUDAPEST 6.486,00 HUF Vásárlás 19,90 USD</t>
  </si>
  <si>
    <t>Gazda-SAGI Bolt Martonvasar 13.485,00 HUF Vásárlás 41,38 USD</t>
  </si>
  <si>
    <t>HUN-MARTONVASAR TESCO 44089 Vásárlás(2022.02.24) Card:5444-0XXX-XX68-8737 MCC5311 HUN-MARTONVASAR TESCO 44089 1.144,00 HUF Kártyatranzakció</t>
  </si>
  <si>
    <t>HUN-MARTONVASAR MARTON MARKET Vásárlás(2022.02.24) Card:5444-0XXX-XX68-8737 MCC5411 HUN-MARTONVASAR MARTON MARKET 2.414,00 HUF Kártyatranzakció</t>
  </si>
  <si>
    <t>M.PETROL E'RD AUTOMATA ERD 19.014,00 HUF Vásárlás</t>
  </si>
  <si>
    <t>BAUHAUS SZIGETSZENTMIK SZIGETSZENTM 5.265,00 HUF Vásárlás</t>
  </si>
  <si>
    <t>HUN-MARTONVASAR TESCO 44089 Vásárlás(2022.02.22) Card:5444-0XXX-XX68-8737 MCC5311 HUN-MARTONVASAR TESCO 44089 1.613,00 HUF Kártyatranzakció</t>
  </si>
  <si>
    <t>VIZ-, GAZ SZERELVENYB MARTONVASAR 9.581,00 HUF Vásárlás</t>
  </si>
  <si>
    <t>TESCO 44089 O NKISZOLG MARTONVASAR 295,00 HUF Vásárlás</t>
  </si>
  <si>
    <t>POSTA5324 MARTONVASAR 1.077,00 HUF Vásárlás</t>
  </si>
  <si>
    <t>ALDI 156.SZ. BUDAORS 2.331,00 HUF Vásárlás</t>
  </si>
  <si>
    <t>jokonyvek.hu +3616130468 6.440,00 HUF Vásárlás 20,47 USD</t>
  </si>
  <si>
    <t>TESCO 44089 O NKISZOLG MARTONVASAR 1.924,00 HUF Vásárlás</t>
  </si>
  <si>
    <t>SPAR SALGOTARJAN 705,00 HUF Vásárlás</t>
  </si>
  <si>
    <t>SPAR SALGOTARJAN 12.270,00 HUF Vásárlás</t>
  </si>
  <si>
    <t>HUN-BUDAPEST BUDAI PEKSEG Vásárlás(2022.02.17) Card:5444-0XXX-XX68-8737 MCC5462 HUN-BUDAPEST BUDAI PEKSEG 450,00 HUF Kártyatranzakció</t>
  </si>
  <si>
    <t>HUN-Budapest Delivery Hero Hungary Vásárlás(2022.02.18) Card:5444-0XXX-XX68-8737 MCC5499 HUN-Budapest Delivery Hero Hungary 3.399,00 HUF Kártyatranzakció</t>
  </si>
  <si>
    <t>HUN-Salgotarjan LIDL 0314 Salgotarj Vásárlás(2022.02.18) Card:5444-0XXX-XX68-8737 MCC5411 HUN-Salgotarjan LIDL 0314 Salgotarj 4.327,00 HUF Kártyatranzakció</t>
  </si>
  <si>
    <t>11717009-20195933-00000000 ProVitamix Kft 75846 Kimenő azonnali megbízás</t>
  </si>
  <si>
    <t>HUN-BUDAPEST Dr. Bogdan and Dr. Gye Vásárlás(2022.02.17) Card:5444-0XXX-XX68-8737 MCC8021 HUN-BUDAPEST Dr. Bogdan and Dr. Gye 70.000,00 HUF Kártyatranzakció</t>
  </si>
  <si>
    <t>HUN-BUDAPEST DM 148 Vásárlás(2022.02.14) Card:5444-0XXX-XX68-8737 MCC5977 HUN-BUDAPEST DM 148 5.630,00 HUF Kártyatranzakció</t>
  </si>
  <si>
    <t>HUN-BUDAPEST DE'LI GYO'GYSZERTA'R Vásárlás(2022.02.14) Card:5444-0XXX-XX68-8737 MCC5912 HUN-BUDAPEST DE'LI GYO'GYSZERTA'R 5.947,00 HUF Kártyatranzakció</t>
  </si>
  <si>
    <t>TESCO 44089 O NKISZOLG MARTONVASAR 2.158,00 HUF Vásárlás</t>
  </si>
  <si>
    <t>HUN-BUDAPEST COOP SARKI KO:ZE'RT Vásárlás(2022.02.10) Card:5444-0XXX-XX68-8737 MCC5411 HUN-BUDAPEST COOP SARKI KO:ZE'RT 338,00 HUF Kártyatranzakció</t>
  </si>
  <si>
    <t>AQUA Webáruház - aqua. Budapest 7.100,00 HUF Vásárlás Víztiszító</t>
  </si>
  <si>
    <t>OBI 010 BUDAORS 53.541,00 HUF Vásárlás</t>
  </si>
  <si>
    <t>OMV 2087 M7 Kajaszo b 19.561,00 HUF Vásárlás</t>
  </si>
  <si>
    <t>HUN-BUDAPEST COOP SARKI KO:ZE'RT Vásárlás(2022.02.09) Card:5444-0XXX-XX68-8737 MCC5411 HUN-BUDAPEST COOP SARKI KO:ZE'RT 477,00 HUF Kártyatranzakció</t>
  </si>
  <si>
    <t>HUN-BUDAPEST KELENFO:LD FORNETTI Vásárlás(2022.02.09) Card:5444-0XXX-XX68-8737 MCC5814 HUN-BUDAPEST KELENFO:LD FORNETTI 567,00 HUF Kártyatranzakció</t>
  </si>
  <si>
    <t>HUN-MARTONVASAR MARTON MARKET Vásárlás(2022.02.11) Card:5444-0XXX-XX68-8737 MCC5411 HUN-MARTONVASAR MARTON MARKET 2.992,00 HUF Kártyatranzakció</t>
  </si>
  <si>
    <t>10102529-15474300-01001004 medinatural 109031 Kimenő azonnali megbízás</t>
  </si>
  <si>
    <t>HUN-BUDAORS ALDI 3.SZ. Vásárlás(2022.02.11) Card:5444-0XXX-XX68-8737 MCC5411 HUN-BUDAORS ALDI 3.SZ. 11.318,00 HUF Kártyatranzakció</t>
  </si>
  <si>
    <t>Cafe Frei Budapest- No Budapest 1.280,00 HUF Vásárlás 4,14 USD</t>
  </si>
  <si>
    <t>FODOR ORSOLYA Edénykék</t>
  </si>
  <si>
    <t>10700529-62328528-51100005 Réka Kimenő azonnali megbízás</t>
  </si>
  <si>
    <t>PL:P/10FEB22 Tőkefizetés Hitel /21-41194/</t>
  </si>
  <si>
    <t>PL:I/10FEB22 Kamatfizetés  Hitel /21-41194/</t>
  </si>
  <si>
    <t>HUN-BUDAPEST COOP SARKI KO:ZE'RT Vásárlás(2022.02.07) Card:5444-0XXX-XX68-8737 MCC5411 HUN-BUDAPEST COOP SARKI KO:ZE'RT 338,00 HUF Kártyatranzakció</t>
  </si>
  <si>
    <t>HUN-BUDAPEST MA'V BP. DE'LI BELF.PE Vásárlás(2022.02.03) Card:5444-0XXX-XX68-8737 MCC4112 HUN-BUDAPEST MA'V BP. DE'LI BELF.PE 24.900,00 HUF Kártyatranzakció</t>
  </si>
  <si>
    <t>MVM NEXT ENERGIAK BUDAPEST 10.996,00 HUF Vásárlás</t>
  </si>
  <si>
    <t>HUN-BUDAORS ALDI 156.SZ. Vásárlás(2022.02.06) Card:5444-0XXX-XX68-8737 MCC5411 HUN-BUDAORS ALDI 156.SZ. 1.528,00 HUF Kártyatranzakció</t>
  </si>
  <si>
    <t>HUN-ERD ALDI 22.SZ. Vásárlás(2022.02.06) Card:5444-0XXX-XX68-8737 MCC5411 HUN-ERD ALDI 22.SZ. 5.523,00 HUF Kártyatranzakció</t>
  </si>
  <si>
    <t>OMV 1773 M0 Szigetszt 17.728,00 HUF Vásárlás</t>
  </si>
  <si>
    <t>PORSCHE M5 ETKEZDE BUDAPEST 350,00 HUF Vásárlás</t>
  </si>
  <si>
    <t>HUN-Budaors LIDL 0349 Budaors Vásárlás(2022.02.06) Card:5444-0XXX-XX68-8737 MCC5411 HUN-Budaors LIDL 0349 Budaors 5.509,00 HUF Kártyatranzakció</t>
  </si>
  <si>
    <t>HUN-BUDAPEST Dr. Bogdan and Dr. Gye Vásárlás(2022.02.03) Card:5444-0XXX-XX68-8737 MCC8021 HUN-BUDAPEST Dr. Bogdan and Dr. Gye 13.000,00 HUF Kártyatranzakció</t>
  </si>
  <si>
    <t>TESCO 44089 O NKISZOLG MARTONVASAR 1.228,00 HUF Vásárlás</t>
  </si>
  <si>
    <t>PRAKTIKER 333. BUDAORS 9.306,00 HUF Vásárlás</t>
  </si>
  <si>
    <t>IKEA BUDAORS UGYFE Budaors 10.480,00 HUF Vásárlás</t>
  </si>
  <si>
    <t>IKEA BUDAORS ETTEREM Budaors 3.705,00 HUF Vásárlás</t>
  </si>
  <si>
    <t>LIDL ARUHAZ 0306.SZ. AGARD 17.839,00 HUF Vásárlás</t>
  </si>
  <si>
    <t>ALDI 5.SZ. GARDONY 32.510,00 HUF Vásárlás Dzseki</t>
  </si>
  <si>
    <t>ALDI 5.SZ. GARDONY 32.510,00 HUF Vásárlás</t>
  </si>
  <si>
    <t>HELLOPAY KERESKEDO' BUDAPEST 1.980,00 HUF Vásárlás</t>
  </si>
  <si>
    <t>CATCH BUDAPEST 850,00 HUF Vásárlás</t>
  </si>
  <si>
    <t>ALDI 156.SZ. BUDAORS 6.903,00 HUF Vásárlás</t>
  </si>
  <si>
    <t>PRAKTIKER 333. BUDAORS 4.696,00 HUF Vásárlás</t>
  </si>
  <si>
    <t>SumUp Dr. Kelemen Ha Rackeresztur 405,00 HUF Vásárlás 1,26 USD</t>
  </si>
  <si>
    <t>HUN-Martonvasar MEDICZ PATIKA Vásárlás(2022.01.26) MCC5912 HUN-Martonvasar MEDICZ PATIKA 8.860,00 HUF Kártyatranzakció</t>
  </si>
  <si>
    <t>PRAKTIKER 333. BUDAORS TRAN IDEJE 20220130 112503 TRAN ÖSSZEG 9,306.00 HUF</t>
  </si>
  <si>
    <t>NETFLIX.COM 408-724-9160 3.490,00 HUF Vásárlás 10,89 USD</t>
  </si>
  <si>
    <t>Bullet coffee and bake Budapest 1.000,00 HUF Vásárlás 3,14 USD</t>
  </si>
  <si>
    <t>HUN-Martonvasar MEDICZ PATIKA Vásárlás(2022.01.25) MCC5912 HUN-Martonvasar MEDICZ PATIKA 703,00 HUF Kártyatranzakció</t>
  </si>
  <si>
    <t>HUN-MARTONVASAR TESCO 44089 Vásárlás(2022.01.25) MCC5311 HUN-MARTONVASAR TESCO 44089 857,00 HUF Kártyatranzakció</t>
  </si>
  <si>
    <t>22222222-21300099-00000000 Péter Mátyás Adri cranio Kimenő azonnali megbízás</t>
  </si>
  <si>
    <t>OMV 2087 M7 Kajaszo b 25.553,00 HUF Vásárlás</t>
  </si>
  <si>
    <t>Fejér Víz Zrt. 100011559146</t>
  </si>
  <si>
    <t>HUN-BUDAPEST OTPMOBL*STYLEHUB.COM Vásárlás(2022.01.24) MCC5641 HUN-BUDAPEST OTPMOBL*STYLEHUB.COM 21.220,00 HUF Kártyatranzakció</t>
  </si>
  <si>
    <t>HUN-BUDAORS SZENT JOBB GYO'GYSZERT Vásárlás(2022.01.21) MCC5912 HUN-BUDAORS SZENT JOBB GYO'GYSZERT 3.828,00 HUF Kártyatranzakció</t>
  </si>
  <si>
    <t>BARKACSBOLT MARTONVASAR 400,00 HUF Vásárlás</t>
  </si>
  <si>
    <t>PORSCHE M5 ETKEZDE BUDAPEST 300,00 HUF Vásárlás</t>
  </si>
  <si>
    <t>TESCO 44089 O NKISZOLG MARTONVASAR 385,00 HUF Vásárlás</t>
  </si>
  <si>
    <t>ALDI 3.SZ. BUDAORS 8.074,00 HUF Vásárlás</t>
  </si>
  <si>
    <t>AUCHAN BUDAORS BUDAORS 5.497,00 HUF Vásárlás</t>
  </si>
  <si>
    <t>PRAKTIKER 333. BUDAORS 8.978,00 HUF Vásárlás</t>
  </si>
  <si>
    <t>OBI 010 BUDAORS 53.376,00 HUF Vásárlás</t>
  </si>
  <si>
    <t>HUN-BUDAPEST LIPOTI PEKSEG-ETELE T Vásárlás(2022.01.19) MCC5462 HUN-BUDAPEST LIPOTI PEKSEG-ETELE T 495,00 HUF Kártyatranzakció</t>
  </si>
  <si>
    <t>GYURIVILL KFT. MARTONVASAR 634,00 HUF Vásárlás</t>
  </si>
  <si>
    <t>Értékpapír - - -</t>
  </si>
  <si>
    <t>10032000-00282637-00000000 TECHNIKAI-TÖRZS-FELETTES SZERVEZ MUNKABÉR UTALÁS Bejövő Forint Átutalás</t>
  </si>
  <si>
    <t>HUN-BUDAPEST BRENDON WEBARUHAZ Vásárlás(2022.01.17) MCC5331 HUN-BUDAPEST BRENDON WEBARUHAZ 4.940,00 HUF Kártyatranzakció</t>
  </si>
  <si>
    <t>HUN-BUDAPEST OTPMOBL*HERBAFERM.HU Vásárlás(2022.01.17) MCC5499 HUN-BUDAPEST OTPMOBL*HERBAFERM.HU 7.240,00 HUF Kártyatranzakció</t>
  </si>
  <si>
    <t>HUN-BUDAPEST OTPMOBL*VITAMINBOLT.NE Vásárlás(2022.01.17) MCC5499 HUN-BUDAPEST OTPMOBL*VITAMINBOLT.NE 12.243,00 HUF Kártyatranzakció</t>
  </si>
  <si>
    <t>TELEKOMSZAML 452968276 BUDAPEST 6.479,00 HUF Vásárlás 20,78 USD</t>
  </si>
  <si>
    <t>MARTON MARKET MARTONVASAR 1.373,00 HUF Vásárlás</t>
  </si>
  <si>
    <t>HUN-BUDAPEST COOP SARKI KO:ZE'RT Vásárlás(2022.01.13) MCC5411 HUN-BUDAPEST COOP SARKI KO:ZE'RT 417,00 HUF Kártyatranzakció</t>
  </si>
  <si>
    <t>HUN-BUDAPEST OTPMOBL*UNIPATIKA.HU Vásárlás(2022.01.14) MCC5912 HUN-BUDAPEST OTPMOBL*UNIPATIKA.HU 13.888,00 HUF Kártyatranzakció</t>
  </si>
  <si>
    <t>CZE-Brno Notino, s.r.o. Vásárlás(2022.01.14) MCC5977 CZE-Brno Notino, s.r.o. 27.050,00 HUF Kártyatranzakció</t>
  </si>
  <si>
    <t>MARTON MARKET MARTONVASAR 549,00 HUF Vásárlás</t>
  </si>
  <si>
    <t>SPAR SALGOTARJAN 9.990,00 HUF Vásárlás</t>
  </si>
  <si>
    <t>LIDL ARUHAZ 0314.SZ. SALGOTARJAN 16.149,00 HUF Vásárlás</t>
  </si>
  <si>
    <t>OMV 1934 Salgotarjan 17.454,00 HUF Vásárlás</t>
  </si>
  <si>
    <t>PHILLIPPOS GYROS BAR BUDAPEST 2.380,00 HUF Vásárlás</t>
  </si>
  <si>
    <t>HUN-BUDAPEST COOP SARKI KO:ZE'RT Vásárlás(2022.01.10) MCC5411 HUN-BUDAPEST COOP SARKI KO:ZE'RT 218,00 HUF Kártyatranzakció</t>
  </si>
  <si>
    <t>ALDI 156.SZ. BUDAORS 2.971,00 HUF Vásárlás</t>
  </si>
  <si>
    <t>IMO Hungary kft Budaors 3.440,00 HUF Vásárlás 10,83 USD</t>
  </si>
  <si>
    <t>Autó olaj csere váltóolajcsere</t>
  </si>
  <si>
    <t>PL:P/10JAN22 Tőkefizetés Hitel /21-41194/</t>
  </si>
  <si>
    <t>PL:I/10JAN22 Kamatfizetés  Hitel /21-41194/</t>
  </si>
  <si>
    <t>HUN-BUDAPEST COOP SARKI KO:ZE'RT Vásárlás(2022.01.06) MCC5411 HUN-BUDAPEST COOP SARKI KO:ZE'RT 457,00 HUF Kártyatranzakció</t>
  </si>
  <si>
    <t>HUN-BUDAPEST PHILLIPPOS GYROS BAR Vásárlás(2022.01.06) MCC5814 HUN-BUDAPEST PHILLIPPOS GYROS BAR 1.190,00 HUF Kártyatranzakció</t>
  </si>
  <si>
    <t>HUN-Budaors LIDL 0349 Budaors Vásárlás(2022.01.08) MCC5411 HUN-Budaors LIDL 0349 Budaors 1.972,00 HUF Kártyatranzakció</t>
  </si>
  <si>
    <t>HUN-BUDAPEST BUDAI PEKSEG Vásárlás(2022.01.06) MCC5812 HUN-BUDAPEST BUDAI PEKSEG 2.030,00 HUF Kártyatranzakció</t>
  </si>
  <si>
    <t>HUN-BUDAORS ALDI 156.SZ. Vásárlás(2022.01.08) MCC5411 HUN-BUDAORS ALDI 156.SZ. 4.140,00 HUF Kártyatranzakció</t>
  </si>
  <si>
    <t>HUN-BUDAORS PRAKTIKER 333. Vásárlás(2022.01.08) MCC5200 HUN-BUDAORS PRAKTIKER 333. 10.568,00 HUF Kártyatranzakció</t>
  </si>
  <si>
    <t>ALDI 156.SZ. BUDAORS 5.814,00 HUF Vásárlás</t>
  </si>
  <si>
    <t>OTPMOBL ANRODISZLEC.HU BUDAPEST 13.050,00 HUF Vásárlás</t>
  </si>
  <si>
    <t>HELLOPAY KERESKEDO' BUDAPEST 3.080,00 HUF Vásárlás</t>
  </si>
  <si>
    <t>OTPMOBL ANRODISZLEC.HU BUDAPEST 13.200,00 HUF Vásárlás</t>
  </si>
  <si>
    <t>CSASZI2020 KFT. GARDONY 2.611,00 HUF Vásárlás</t>
  </si>
  <si>
    <t>LIDL ARUHAZ 0306.SZ. AGARD 2.730,00 HUF Vásárlás</t>
  </si>
  <si>
    <t>OMV 2026 Erd jobb 20.074,00 HUF Vásárlás</t>
  </si>
  <si>
    <t>HUN-BUDAPEST COOP SARKI KO:ZE'RT Vásárlás(2022.01.03) MCC5411 HUN-BUDAPEST COOP SARKI KO:ZE'RT 627,00 HUF Kártyatranzakció</t>
  </si>
  <si>
    <t>POL-Warszawa MODESSA POLSKA SP.  Z. Vásárlás(2022.01.04) MCC5631 POL-Warszawa MODESSA POLSKA SP.  Z. 7.095,00 HUF Kártyatranzakció</t>
  </si>
  <si>
    <t>HUN-BUDAPEST MA'V BP. DE'LI BELF.PE Vásárlás(2022.01.03) MCC4112 HUN-BUDAPEST MA'V BP. DE'LI BELF.PE 24.900,00 HUF Kártyatranzakció</t>
  </si>
  <si>
    <t>SPAR 5360 ERD 4.581,00 HUF Vásárlás</t>
  </si>
  <si>
    <t>Desingcourse</t>
  </si>
  <si>
    <t>Vásárlás, táska</t>
  </si>
  <si>
    <t>Réka</t>
  </si>
  <si>
    <t>Eszter</t>
  </si>
  <si>
    <t>Masszázs</t>
  </si>
  <si>
    <t>HUN-BUDAPEST OTPMOBL*JEGY.MAV.HU Vásárlás(2022.01.02) MCC4112 HUN-BUDAPEST OTPMOBL*JEGY.MAV.HU 293,00 HUF Kártyatranzakció</t>
  </si>
  <si>
    <t>MVM NEXT ENERGIAK BUDAPEST 11.171,00 HUF Vásárlás</t>
  </si>
  <si>
    <t>TESCO 44089 O NKISZOLG MARTONVASAR 3.869,00 HUF Vásárlás</t>
  </si>
  <si>
    <t>TELEKOMSZAML 447603527 BUDAPEST 7.976,00 HUF Vásárlás 24,50 USD</t>
  </si>
  <si>
    <t>TELEKOMFELT 447604920 BUDAPEST 5.000,00 HUF Vásárlás 15,36 USD</t>
  </si>
  <si>
    <t>HUN-Martonvasar MEDICZ PATIKA Vásárlás(2021.12.30) MCC5912 HUN-Martonvasar MEDICZ PATIKA 357,00 HUF Kártyatranzakció</t>
  </si>
  <si>
    <t>HUN-MARTONVASAR MARTON MARKET Vásárlás(2021.12.31) MCC5411 HUN-MARTONVASAR MARTON MARKET 868,00 HUF Kártyatranzakció</t>
  </si>
  <si>
    <t>HUN-GARDONY ALDI 5.SZ. Vásárlás(2021.12.30) MCC5411 HUN-GARDONY ALDI 5.SZ. 8.839,00 HUF Kártyatranzakció</t>
  </si>
  <si>
    <t>TESCO 44089 O NKISZOLG MARTONVASAR 1.319,00 HUF Vásárlás</t>
  </si>
  <si>
    <t>Paris Attila HBO okt- márc</t>
  </si>
  <si>
    <t>0028 2637 0000 0000 Oktatási Hivatal 1091 XXXX XXXX 0114 09160004 KARSAI ADRIENN ÁGNES 2462 MARTONVÁSÁR PIPACS utca 6 3 MUNKABÉR UTALÁS</t>
  </si>
  <si>
    <t>10918001-00000083-47290003 KARSAINÉ GASSER MÁRIA .</t>
  </si>
  <si>
    <t>Int.Appl. to   31/12/21</t>
  </si>
  <si>
    <t>CRT to         31/12/21</t>
  </si>
  <si>
    <t>Marton Market</t>
  </si>
  <si>
    <t>HUN-Agard LIDL 0306 Agard Vásárlás(2021.12.30) MCC5411 HUN-Agard LIDL 0306 Agard 8.803,00 HUF</t>
  </si>
  <si>
    <t>TESCO 44089 O NKISZOLG MARTONVASAR TRAN IDEJE 20211231 112432 TRAN ÖSSZEG 1,319.00 HUF</t>
  </si>
  <si>
    <t>Medicz Patika</t>
  </si>
  <si>
    <t>Aldi</t>
  </si>
  <si>
    <t>10918001-00000097-08110006 GENERALI EGÉSZSÉG ÉS ÖNSEGÉLYEZŐ PÉ 9518507, 2021/00430, 2020/00726, 20 20/109, 20-47753</t>
  </si>
  <si>
    <t>NETFLIX.COM 408-724-9160 3.490,00 HUF Vásárlás 10,67 USD</t>
  </si>
  <si>
    <t>GENERALI EGÉSZSÉG ÉS ÖNSEGÉLYEZŐ PÉ 2021-5028, 55187,, A18177796202112 81867000277, 72763</t>
  </si>
  <si>
    <t>HUN-GARDONY MERX A'RUHA'Z Vásárlás(2021.12.22) MCC5691 HUN-GARDONY MERX A'RUHA'Z 1.580,00 HUF</t>
  </si>
  <si>
    <t>HUN-GARDONY CSASZI2020 KFT. Vásárlás(2021.12.22) MCC5411 HUN-GARDONY CSASZI2020 KFT. 1.637,00 HUF</t>
  </si>
  <si>
    <t>HUN-GARDONY CSASZI2020 KFT. Vásárlás(2021.12.22) MCC5411 HUN-GARDONY CSASZI2020 KFT. 3.756,00 HUF</t>
  </si>
  <si>
    <t>HUN-GARDONY ALDI 5.SZ. Vásárlás(2021.12.22) MCC5411 HUN-GARDONY ALDI 5.SZ. 7.050,00 HUF</t>
  </si>
  <si>
    <t>HUN-Agard LIDL 0306 Agard Vásárlás(2021.12.22) MCC5411 HUN-Agard LIDL 0306 Agard 12.662,00 HUF</t>
  </si>
  <si>
    <t>HUN-BUDAORS OBI 010 Vásárlás(2021.12.22) MCC5200 HUN-BUDAORS OBI 010 15.196,00 HUF</t>
  </si>
  <si>
    <t>OMV 2026 Erd jobb 12.617,00 HUF Vásárlás</t>
  </si>
  <si>
    <t>VIANNI U ZLET MARTONVASAR 1.628,00 HUF Vásárlás</t>
  </si>
  <si>
    <t>MARTON MARKET MARTONVASAR 2.915,00 HUF Vásárlás</t>
  </si>
  <si>
    <t>ORIGO GE'PKO LCSO NZO' GARDONY 5.000,00 HUF Vásárlás</t>
  </si>
  <si>
    <t>Mátyás Áron Adri karácsonyi felső</t>
  </si>
  <si>
    <t>HUN-MARTONVASAR POSTAKOCSI E'TTEREM Vásárlás(2021.12.21) MCC5812 HUN-MARTONVASAR POSTAKOCSI E'TTEREM 6.530,00 HUF</t>
  </si>
  <si>
    <t>POSTA5324 MARTONVASAR 420,00 HUF Vásárlás</t>
  </si>
  <si>
    <t>IKEA BUDAORS UGYFE Budaors 85,00 HUF Vásárlás</t>
  </si>
  <si>
    <t>MANNA ABC AGORA BUDAPEST 598,00 HUF Vásárlás</t>
  </si>
  <si>
    <t>NAV Belfoldi Gépjárműadó 8439602758 Czuprik Gergely</t>
  </si>
  <si>
    <t>Vásárlás vegyes</t>
  </si>
  <si>
    <t>Navigátor díj 2022/01</t>
  </si>
  <si>
    <t>HUN-BICSKE GLS D120 DEPO' Vásárlás(2021.12.17) MCC4214 HUN-BICSKE GLS D120 DEPO' 15.880,00 HUF</t>
  </si>
  <si>
    <t>LIDL ARUHAZ 0314.SZ. SALGOTARJAN 8.797,00 HUF Vásárlás</t>
  </si>
  <si>
    <t>OMV 2026 Erd jobb 29.584,00 HUF Vásárlás</t>
  </si>
  <si>
    <t>MARTON MARKET MARTONVASAR 1.638,00 HUF Vásárlás</t>
  </si>
  <si>
    <t>MARTON MARKET MARTONVASAR 1.078,00 HUF Vásárlás</t>
  </si>
  <si>
    <t>GLS D120 DEPO' BICSKE 14.580,00 HUF Vásárlás</t>
  </si>
  <si>
    <t>DM 289.SZ. ERD 899,00 HUF Vásárlás</t>
  </si>
  <si>
    <t>ALDI 22.SZ. ERD 3.878,00 HUF Vásárlás</t>
  </si>
  <si>
    <t>VIANNI U ZLET MARTONVASAR 712,00 HUF Vásárlás</t>
  </si>
  <si>
    <t>TESCO 41970 O NKISZOLG ERD 2.427,00 HUF Vásárlás</t>
  </si>
  <si>
    <t>2021.12. havi Egyéni befizetés Adri</t>
  </si>
  <si>
    <t>2021.12. havi Egyéni befizetés Gergő</t>
  </si>
  <si>
    <t>Generali Egészség-és Önsegélyező Karsai Adrienn Ágnes 73323</t>
  </si>
  <si>
    <t>Generali Egészség-és Önsegélyező Czuprik Gergely 72763</t>
  </si>
  <si>
    <t>Karacsonyfa</t>
  </si>
  <si>
    <t>MARTON MARKET MARTONVASAR 2.233,00 HUF Vásárlás</t>
  </si>
  <si>
    <t>MEDICZ PATIKA Martonvasar 5.700,00 HUF Vásárlás 17,54 USD</t>
  </si>
  <si>
    <t>LIDL ARUHAZ 0306.SZ. AGARD 8.627,00 HUF Vásárlás</t>
  </si>
  <si>
    <t>CSASZI2020 KFT. GARDONY 499,00 HUF Vásárlás</t>
  </si>
  <si>
    <t>Medicz Gyogyszertar Martonvasar 4.069,00 HUF Vásárlás 12,57 USD</t>
  </si>
  <si>
    <t>OMV 2087 M7 Kajaszo b 20.660,00 HUF Vásárlás</t>
  </si>
  <si>
    <t>PL:P/10DEC21 Tőkefizetés Hitel /21-41194/</t>
  </si>
  <si>
    <t>PL:I/10DEC21 Kamatfizetés  Hitel /21-41194/</t>
  </si>
  <si>
    <t>HUN-MARTONVASAR POSTAKOCSI E'TTEREM Vásárlás(2021.12.07) MCC5812 HUN-MARTONVASAR POSTAKOCSI E'TTEREM 2.650,00 HUF</t>
  </si>
  <si>
    <t>TESCO 44089 MARTONVASAR 345,00 HUF Vásárlás</t>
  </si>
  <si>
    <t>MVM NEXT ENERGIAK BUDAPEST 11.128,00 HUF Vásárlás</t>
  </si>
  <si>
    <t>EXTREME DIGITAL BUDAO BUDAORS 58.290,00 HUF Vásárlás</t>
  </si>
  <si>
    <t>TESCO 44089 MARTONVASAR 1.753,00 HUF Vásárlás</t>
  </si>
  <si>
    <t>NÉMETH BARNABÁS Márk ajándék</t>
  </si>
  <si>
    <t>HUN-GARDONY ALDI 5.SZ. Vásárlás(2021.12.06) MCC5411 HUN-GARDONY ALDI 5.SZ. 6.433,00 HUF</t>
  </si>
  <si>
    <t>MEDICZ PATIKA Martonvasar 4.590,00 HUF Vásárlás 14,20 USD</t>
  </si>
  <si>
    <t>PETRIK TAMÁS</t>
  </si>
  <si>
    <t>Dániel Vass kossszepen...</t>
  </si>
  <si>
    <t>HUN-SALGOTARJAN KEVAIMPEX ZRT. Vásárlás(2021.12.05) MCC5947 HUN-SALGOTARJAN KEVAIMPEX ZRT. 899,00 HUF</t>
  </si>
  <si>
    <t>HUN-Erd PEPCO 3546 Stop Shop Vásárlás(2021.12.05) MCC5331 HUN-Erd PEPCO 3546 Stop Shop 1.490,00 HUF</t>
  </si>
  <si>
    <t>HUN-SALGOTARJAN KELETI DIVATCENTRUM Vásárlás(2021.12.05) MCC5691 HUN-SALGOTARJAN KELETI DIVATCENTRUM 2.780,00 HUF</t>
  </si>
  <si>
    <t>LIDL ARUHAZ 0306.SZ. AGARD 10.267,00 HUF Vásárlás</t>
  </si>
  <si>
    <t>LIDL ARUHAZ 0306.SZ. AGARD 33.020,00 HUF Vásárlás</t>
  </si>
  <si>
    <t>BIOHAIR SZT.ISTVA'N BUDAPEST 3.290,00 HUF Vásárlás</t>
  </si>
  <si>
    <t>JYSK H868 SALGOTARJAN 8.250,00 HUF Vásárlás</t>
  </si>
  <si>
    <t>LIDL ARUHAZ 0314.SZ. SALGOTARJAN 12.848,00 HUF Vásárlás</t>
  </si>
  <si>
    <t>TESCO 41760 SALGOTARJAN 17.428,00 HUF Vásárlás</t>
  </si>
  <si>
    <t>Cafe Frei Budapest Budapest 4.075,00 HUF Vásárlás 12,63 USD</t>
  </si>
  <si>
    <t>KISKIFLI KAVEZO BUDAPEST 1.070,00 HUF Vásárlás</t>
  </si>
  <si>
    <t>Zsu-Ann Kft. Budapest 2.830,00 HUF Vásárlás</t>
  </si>
  <si>
    <t>IKEA BUDAORS UGYFE Budaors 43.470,00 HUF Vásárlás</t>
  </si>
  <si>
    <t>IKEA BUDAORS ETTEREM Budaors 3.525,00 HUF Vásárlás</t>
  </si>
  <si>
    <t>OTPMOBL ROLLET.HU BUDAPEST 500,00 HUF Vásárlás</t>
  </si>
  <si>
    <t>OTPMOBL ROLLET.HU BUDAPEST 1.000,00 HUF Vásárlás</t>
  </si>
  <si>
    <t>Oktatási hivatal - Prémium</t>
  </si>
  <si>
    <t>Havi Zárlati Díj</t>
  </si>
  <si>
    <t>PRAKTIKER 333. BUDAORS 15.029,00 HUF Vásárlás</t>
  </si>
  <si>
    <t>MARTON MARKET MARTONVASAR 1.376,00 HUF Vásárlás</t>
  </si>
  <si>
    <t>MOL TO LTO'A'LLOMA'S HATVAN 23.707,00 HUF Vásárlás</t>
  </si>
  <si>
    <t>ALDI 156.SZ. BUDAORS 2.425,00 HUF Vásárlás</t>
  </si>
  <si>
    <t>VIANNI U ZLET MARTONVASAR 890,00 HUF Vásárlás</t>
  </si>
  <si>
    <t>NETFLIX.COM 408-724-9160 3.990,00 HUF Vásárlás 12,20 USD</t>
  </si>
  <si>
    <t>IMO Hungary kft Budaors 3.940,00 HUF Vásárlás 12,05 USD</t>
  </si>
  <si>
    <t>Fejér Víz Zrt. 100011559145</t>
  </si>
  <si>
    <t>MOL Nyrt. Kisker.,1104 BUDAPEST 20.828,00 HUF Vásárlás</t>
  </si>
  <si>
    <t>Zsu-Ann Kft. Budapest 2.880,00 HUF Vásárlás</t>
  </si>
  <si>
    <t>Fejér Víz Zrt. 709854814</t>
  </si>
  <si>
    <t>MEDICZ PATIKA Martonvasar 5.840,00 HUF Vásárlás 18,21 USD</t>
  </si>
  <si>
    <t>IKEA BUDAORS UGYFE Budaors 24.990,00 HUF Vásárlás</t>
  </si>
  <si>
    <t>DM 316.SZ. GARDONY 6.946,00 HUF Vásárlás</t>
  </si>
  <si>
    <t>LIDL ARUHAZ 0306.SZ. AGARD 24.392,00 HUF Vásárlás</t>
  </si>
  <si>
    <t>CZUPRIK GÁBOR</t>
  </si>
  <si>
    <t>OTPMOBL TELEKOM1095 BUDAPEST 5.000,00 HUF Vásárlás</t>
  </si>
  <si>
    <t>PRESSZO BUDAPEST 6.900,00 HUF Vásárlás</t>
  </si>
  <si>
    <t>A TABLE PE'KSE'G BUDAPEST 2.480,00 HUF Vásárlás</t>
  </si>
  <si>
    <t>Navigátor díj 2021/12</t>
  </si>
  <si>
    <t>HELLOPAY KERESKEDO' BUDAPEST 2.380,00 HUF Vásárlás</t>
  </si>
  <si>
    <t>BADASS COFFEE BUDAPEST 850,00 HUF Vásárlás</t>
  </si>
  <si>
    <t>LIDL ARUHAZ 0306.SZ. AGARD 14.272,00 HUF Vásárlás</t>
  </si>
  <si>
    <t>POSTAKOCSI E'TTEREM MARTONVASAR 10.780,00 HUF Vásárlás</t>
  </si>
  <si>
    <t>TESCO 44089 MARTONVASAR 1.923,00 HUF Vásárlás</t>
  </si>
  <si>
    <t>AUCHAN BUDAORS BUDAORS 3.246,00 HUF Vásárlás</t>
  </si>
  <si>
    <t>OMV 2026 Erd jobb 22.124,00 HUF Vásárlás</t>
  </si>
  <si>
    <t>IKEA BUDAORS ETTEREM Budaors 2.375,00 HUF Vásárlás</t>
  </si>
  <si>
    <t>ALFA-RADIA'L MARTONVASAR 155.060,00 HUF Vásárlás</t>
  </si>
  <si>
    <t>LIDL ARUHAZ 0306.SZ. AGARD 10.147,00 HUF Vásárlás</t>
  </si>
  <si>
    <t>CSASZI2020 KFT. GARDONY 1.594,00 HUF Vásárlás</t>
  </si>
  <si>
    <t>ALDI 5.SZ. GARDONY 7.691,00 HUF Vásárlás</t>
  </si>
  <si>
    <t>TESCO 44089 MARTONVASAR 1.429,00 HUF Vásárlás</t>
  </si>
  <si>
    <t>ALDI 22.SZ. ERD 189,00 HUF Vásárlás</t>
  </si>
  <si>
    <t>ALDI 22.SZ. ERD 4.052,00 HUF Vásárlás</t>
  </si>
  <si>
    <t>Tőkefizetés</t>
  </si>
  <si>
    <t>Kamatfizetés</t>
  </si>
  <si>
    <t>STAR PARK PARKOLO' BUDAPEST 1.500,00 HUF Vásárlás</t>
  </si>
  <si>
    <t>KI'NAI BU FE' BUDAPEST 1.150,00 HUF Vásárlás</t>
  </si>
  <si>
    <t>Mazsa Nordik Kft. Budapest 769,00 HUF Vásárlás 2,47 USD</t>
  </si>
  <si>
    <t>POSTAKOCSI E'TTEREM MARTONVASAR 2.700,00 HUF Vásárlás</t>
  </si>
  <si>
    <t>MOL TO LTO'A'LLOMA'S GARDONY 18.497,00 HUF Vásárlás</t>
  </si>
  <si>
    <t>OTPMOBL EON.HU BUDAPEST 14.893,00 HUF Vásárlás</t>
  </si>
  <si>
    <t>SPAR MAGYARORSZAG KFT SALGOTARJAN 2.936,00 HUF Vásárlás</t>
  </si>
  <si>
    <t>Kazánellenőrzés</t>
  </si>
  <si>
    <t>KANAHA KFT NYAREGYHAZA 12.447,00 HUF Vásárlás</t>
  </si>
  <si>
    <t>MVM NEXT ENERGIAK BUDAPEST 11.175,00 HUF Vásárlás</t>
  </si>
  <si>
    <t>CR Forgalmi kedvezmény</t>
  </si>
  <si>
    <t>HELLOPAY KERESKEDO' BUDAPEST 1.790,00 HUF Vásárlás</t>
  </si>
  <si>
    <t>KFC AUCHAN BUDAORS 4.480,00 HUF Vásárlás</t>
  </si>
  <si>
    <t>AUCHAN BUDAORS BUDAORS 26.099,00 HUF Vásárlás</t>
  </si>
  <si>
    <t>Nemzeti Útdíjfizetési Szolgáltat 121014047447</t>
  </si>
  <si>
    <t>Oktatási hivatal - fizetés</t>
  </si>
  <si>
    <t>Fusion Befektetesi Budapest 6.510,00 HUF Vásárlás</t>
  </si>
  <si>
    <t>MOL TO LTO'A'LL.45265 SOLT 17.385,00 HUF Vásárlás</t>
  </si>
  <si>
    <t>OTPMOBL HU-GO.HU BUDAPEST 3.640,00 HUF Vásárlás</t>
  </si>
  <si>
    <t>POSTAKOCSI E'TTEREM MARTONVASAR 9.030,00 HUF Vásárlás</t>
  </si>
  <si>
    <t>Elszámolt kamatössz. Bruttó kamat: 3,02 HUF Levont adó : 0,45 HUF</t>
  </si>
  <si>
    <t>Fusion Befektetesi Budapest 2.670,00 HUF Vásárlás</t>
  </si>
  <si>
    <t>KERESKEDO' BUDAPEST 2.380,00 HUF Vásárlás</t>
  </si>
  <si>
    <t>NETFLIX.COM 408-724-9160 3.990,00 HUF Vásárlás 12,70 USD</t>
  </si>
  <si>
    <t>OTPMOBL JEGY.MAV.H 022S4189 2412881 - BANKKARTYA</t>
  </si>
  <si>
    <t>AUCHAN BUDAORS 00158870 0218897 - BANKKARTYA</t>
  </si>
  <si>
    <t>Mazsa Nordik Kft. Budapest 699,00 HUF Vásárlás</t>
  </si>
  <si>
    <t>SumUp Kiss Soma Bene Zamardi 3.000,00 HUF Vásárlás 9,55 USD</t>
  </si>
  <si>
    <t>ATK MARTONVASAR 2.300,00 HUF Vásárlás</t>
  </si>
  <si>
    <t>ALDI 5.SZ. SIA03152 0833377 - BANKKARTYA</t>
  </si>
  <si>
    <t>LIDL ARUHAZ 0306.SZ. AGARD 13.680,00 HUF Vásárlás</t>
  </si>
  <si>
    <t>SHELL TO LTO'A'LLOMA'S BUDAPEST 22.143,00 HUF Vásárlás</t>
  </si>
  <si>
    <t>Jutalék SM305368382 MOBIL HAVI DÍJ (Kártyafigyelő DR) EM5KX8 +36 305368382 0GB Bank által megfizetett tranzakciós illeték: 0,22 HUF</t>
  </si>
  <si>
    <t>Jutalék SM305368382 MOBIL ÜZENET DÍJ (Kártyafigyelő DR) Küldött SMS, 33 Db EM5KX8 +36 305368382 0EB Bank által megfizetett tranzakciós illeték: 4,36 HUF</t>
  </si>
  <si>
    <t>GLS D120 DEPO" 00137465 1135389 - BANKKARTYA</t>
  </si>
  <si>
    <t>OTPMOBL STYLEHUB.C 022P8017 0976627 - BANKKARTYA</t>
  </si>
  <si>
    <t>CSIZ SAJTMuHELY KF 80016355 5914600 - BANKKARTYA</t>
  </si>
  <si>
    <t>DM 316.SZ. 00059705 3205120 - BANKKARTYA</t>
  </si>
  <si>
    <t>CZUPRIKGERGE Hivatkozási szám BCKOZP/39297072 Értékpapír számla egyenlegrendezés</t>
  </si>
  <si>
    <t>TESCO 44089 00078396 2094083 - BANKKARTYA</t>
  </si>
  <si>
    <t>TESCO 44089 MARTONVASAR 3.893,00 HUF Vásárlás</t>
  </si>
  <si>
    <t>AUCHAN BUDAORS BUDAORS 7.453,00 HUF Vásárlás</t>
  </si>
  <si>
    <t>TESCO 44089 00078396 2100683 - BANKKARTYA</t>
  </si>
  <si>
    <t>Fusion Befektetesi Budapest 5.640,00 HUF Vásárlás</t>
  </si>
  <si>
    <t>SIMPLE PARKOL S BUDAPEST 495,00 HUF Vásárlás</t>
  </si>
  <si>
    <t>Navigátor díj 2021/11</t>
  </si>
  <si>
    <t>Kocsis T Pizza</t>
  </si>
  <si>
    <t>AMZ South sun AMAZON.CO.UK 25,05 GBP Vásárlás 34,65- USD 318.6200</t>
  </si>
  <si>
    <t>LIDL ARUHAZ 0306.S HH330602 1057326 - BANKKARTYA</t>
  </si>
  <si>
    <t>ALDI 5.SZ. GARDONY 12.141,00 HUF Vásárlás</t>
  </si>
  <si>
    <t>Fusion Befektetesi Budapest 5.830,00 HUF Vásárlás</t>
  </si>
  <si>
    <t>OBI 010 BUDAORS BUDAORS 24.042,00 HUF Vásárlás</t>
  </si>
  <si>
    <t>PANIFICIO IL BASILICO SZENTENDRE 7.000,00 HUF Vásárlás</t>
  </si>
  <si>
    <t>LIDL ARUHAZ 0306.SZ. AGARD 6.771,00 HUF Vásárlás</t>
  </si>
  <si>
    <t>ALDI 5.SZ. GARDONY 2.026,00 HUF Vásárlás</t>
  </si>
  <si>
    <t>MARTON MARKET 43226621 4533231 - BANKKARTYA</t>
  </si>
  <si>
    <t>IKEA BUDAORS UGYFE 00182212 9042992 - BANKKARTYA</t>
  </si>
  <si>
    <t>IKEA BUDAORS UGYFE 00182212 9043105 - BANKKARTYA</t>
  </si>
  <si>
    <t>PRAKTIKER 333. BUDAORS 9.024,00 HUF Vásárlás</t>
  </si>
  <si>
    <t>Kemal Pasa Torok Et Budapest 1.800,00 HUF Vásárlás</t>
  </si>
  <si>
    <t>HUNGEXPO BUDAPEST 9.000,00 HUF Vásárlás</t>
  </si>
  <si>
    <t>Múzeum</t>
  </si>
  <si>
    <t>KERESKEDO' BUDAPEST 1.790,00 HUF Vásárlás</t>
  </si>
  <si>
    <t>OTPMOBL ROLLET.HU BUDAPEST 100,00 HUF Vásárlás</t>
  </si>
  <si>
    <t>127.SZ. MAXI MARTONVASAR 1.953,00 HUF Vásárlás</t>
  </si>
  <si>
    <t>Zadori Kave Debrecen 1.250,00 HUF Vásárlás</t>
  </si>
  <si>
    <t>PANIFICIO IL BASILICO SZENTENDRE 14.000,00 HUF Vásárlás</t>
  </si>
  <si>
    <t>AMZNMktplace amazon.co.uk 25,05 GBP Vásárlás 34,31 USD 319.8500</t>
  </si>
  <si>
    <t>VIANNI U ZLET 00102759 2607666 - BANKKARTYA</t>
  </si>
  <si>
    <t>Mazsa Nordik Kft. Budapest 679,00 HUF Vásárlás</t>
  </si>
  <si>
    <t>MVM NEXT ENERGIAK BUDAPEST 11.609,00 HUF Vásárlás</t>
  </si>
  <si>
    <t>OMV 1772 Budapest Bud 20.398,00 HUF Vásárlás</t>
  </si>
  <si>
    <t>Kemal Pasa Torok Et Budapest 1.450,00 HUF Vásárlás</t>
  </si>
  <si>
    <t>MARTON MARKET 43226621 3774370 - BANKKARTYA</t>
  </si>
  <si>
    <t>OTPMOBL JEGY.MAV.H 022S4189 1147113 - BANKKARTYA</t>
  </si>
  <si>
    <t>FOODOO TRIO DELI 1 80016079 5006283 - BANKKARTYA</t>
  </si>
  <si>
    <t>TESCO 44089 00078397 2208011 - BANKKARTYA</t>
  </si>
  <si>
    <t>Fusion Befektetesi Budapest 6.250,00 HUF Vásárlás</t>
  </si>
  <si>
    <t>SUMUP LETA-TESZT 12345678 3210835 - BANKKARTYA</t>
  </si>
  <si>
    <t>IKEA SOROKSAR UGYF 00507208 5039911 - BANKKARTYA</t>
  </si>
  <si>
    <t>BARIONP BARION.COM 02202681 2635962 - BANKKARTYA</t>
  </si>
  <si>
    <t>OLCSO ARUK BOLTJA P5AP7840 0596306 - BANKKARTYA</t>
  </si>
  <si>
    <t>DM 149 SALGO"TARJA 00049662 1527880 - BANKKARTYA</t>
  </si>
  <si>
    <t>KERESKEDO' 06011756 0478265 - BANKKARTYA</t>
  </si>
  <si>
    <t>E"LELMISZER BOLT 00125792 0389696 - BANKKARTYA</t>
  </si>
  <si>
    <t>LIDL ARUHAZ 0136.S HH313609 2449837 - BANKKARTYA</t>
  </si>
  <si>
    <t>VALTOZO CIMEN, VAS 22287614 0024565 - BANKKARTYA</t>
  </si>
  <si>
    <t>Cafe Frei Budapest- No Budapest 1.125,00 HUF Vásárlás</t>
  </si>
  <si>
    <t>OMV 2026 Erd jobb 16.632,00 HUF Vásárlás</t>
  </si>
  <si>
    <t>MARTON MARKET 43226621 0331615 - BANKKARTYA</t>
  </si>
  <si>
    <t>VIANNI U ZLET 00102759 2356969 - BANKKARTYA</t>
  </si>
  <si>
    <t>Mazsa Nordik Kft. Budapest 759,00 HUF Vásárlás</t>
  </si>
  <si>
    <t>VIANNI U ZLET 00102759 1081644 - BANKKARTYA</t>
  </si>
  <si>
    <t>VEL-VET MARTONVASAR 9.000,00 HUF Vásárlás</t>
  </si>
  <si>
    <t>Oktatási Hivatal MUNKABÉR UTALÁS KARSAI ADRIENN ÁGNES 2462 MARTONVÁSÁR PIPACS utca 6 3 JÓVÁIRÁS</t>
  </si>
  <si>
    <t>Jutalék SNKFHH0060770083 HS-Havi számlavezetési díj ONLHSFHH0LAKSAG H05s Bank által megfizetett tranzakciós illeték: 3,60 HUF</t>
  </si>
  <si>
    <t>MARTON MARKET 43226621 1227520 - BANKKARTYA</t>
  </si>
  <si>
    <t>POSTAKOCSI E"TTERE 00121290 1808892 - BANKKARTYA</t>
  </si>
  <si>
    <t>LIDL ARUHAZ 0306.S HH330607 2458180 - BANKKARTYA</t>
  </si>
  <si>
    <t>ALDI 5.SZ. SIA00377 2693104 - BANKKARTYA</t>
  </si>
  <si>
    <t>DM 316.SZ. 00059705 2796322 - BANKKARTYA</t>
  </si>
  <si>
    <t>Mazsa Nordik Kft. Budapest 979,00 HUF Vásárlás</t>
  </si>
  <si>
    <t>HOZAM 2021. III. NEGYEDÉV</t>
  </si>
  <si>
    <t>Tagdíjhiány miatti hozam zárolás</t>
  </si>
  <si>
    <t>Elszámolt kamatössz. Bruttó kamat: 2,15 HUF Levont adó : 0,32 HUF</t>
  </si>
  <si>
    <t>Int.Appl. to   30/09/21</t>
  </si>
  <si>
    <t>CRT to         30/09/21</t>
  </si>
  <si>
    <t>MARTON MARKET 43226621 3179893 - BANKKARTYA</t>
  </si>
  <si>
    <t>OMV 1772 Budapest Bud 20.168,00 HUF Vásárlás</t>
  </si>
  <si>
    <t>Mazsa Nordik Kft. Budapest 879,00 HUF Vásárlás</t>
  </si>
  <si>
    <t>PANIFICIO IL BASIL 36000510 0572821 - BANKKARTYA</t>
  </si>
  <si>
    <t>NETFLIX.COM 408-724-9160 3.990,00 HUF Vásárlás 13,07 USD</t>
  </si>
  <si>
    <t>Jutalék SM305368382 MOBIL HAVI DÍJ (Kártyafigyelő DR) EM5KX8 +36 305368382 0Fh Bank által megfizetett tranzakciós illeték: 0,22 HUF</t>
  </si>
  <si>
    <t>Jutalék SM305368382 MOBIL ÜZENET DÍJ (Kártyafigyelő DR) Küldött SMS, 37 Db EM5KX8 +36 305368382 0FF Bank által megfizetett tranzakciós illeték: 4,88 HUF</t>
  </si>
  <si>
    <t>VIANNI U ZLET 00102759 0496648 - BANKKARTYA</t>
  </si>
  <si>
    <t>OTPMOBL JEGY.MAV.H 022S4189 1898861 - BANKKARTYA</t>
  </si>
  <si>
    <t>POSTAKOCSI E"TTERE 00121290 2557654 - BANKKARTYA</t>
  </si>
  <si>
    <t>MERX A"RUHA"Z 00126999 0931706 - BANKKARTYA</t>
  </si>
  <si>
    <t>LIDL ARUHAZ 0306.S HH330605 0852548 - BANKKARTYA</t>
  </si>
  <si>
    <t>ALDI 5.SZ. SIA00376 1635903 - BANKKARTYA</t>
  </si>
  <si>
    <t>DM 316.SZ. 00059705 1713938 - BANKKARTYA</t>
  </si>
  <si>
    <t>OTPMOBL GENERALI.HU BUDAPEST 2.459,00 HUF Vásárlás</t>
  </si>
  <si>
    <t>KIMENŐ ÁTUTALÁS SPETES0134808804 10700268-64485010-54000007 KARSAI ADRIENN ÁGNES Átutaló azonosító: 64485010 Kedvezményezett azonosító: 64485010</t>
  </si>
  <si>
    <t>OTPMOBL 128 BUDAPEST 4.279,00 HUF Vásárlás</t>
  </si>
  <si>
    <t>Minya Gergely Adri és Gergő esküvői fotózás</t>
  </si>
  <si>
    <t>MARTON KLINIK 80005817 2030100 - BANKKARTYA</t>
  </si>
  <si>
    <t>JOEFALAT CATERING BUDAPEST 2.150,00 HUF Vásárlás</t>
  </si>
  <si>
    <t>Mazsa Nordik Kft. Budapest 709,00 HUF Vásárlás</t>
  </si>
  <si>
    <t>VEL-VET MARTONVASAR 19.595,00 HUF Vásárlás</t>
  </si>
  <si>
    <t>Fressnapf Erd Erd 3.439,00 HUF Vásárlás</t>
  </si>
  <si>
    <t>KOZPONTI GYOGYSZERTAR ERD 2.964,00 HUF Vásárlás</t>
  </si>
  <si>
    <t>Navigátor díj 2021/10</t>
  </si>
  <si>
    <t>MARTON MARKET 43226621 5535515 - BANKKARTYA</t>
  </si>
  <si>
    <t>LEL KI FOZDE 22287963 0020448 - BANKKARTYA</t>
  </si>
  <si>
    <t>TESCO 44089 00078395 2022155 - BANKKARTYA</t>
  </si>
  <si>
    <t>PATIKAPLUS GYO'GYSZERT SZEKESFEHERV 6.790,00 HUF Vásárlás</t>
  </si>
  <si>
    <t>PATIKAPLUS GYO'GYSZERT SZEKESFEHERV 3.190,00 HUF Vásárlás</t>
  </si>
  <si>
    <t>AVIA BENZINKU'T MARTONVASAR 26.341,00 HUF Vásárlás</t>
  </si>
  <si>
    <t>MVM NEXT ENERGIAK BUDAPEST 3.272,00 HUF Vásárlás</t>
  </si>
  <si>
    <t>MARTON MARKET MARTONVASAR 1.173,00 HUF Vásárlás</t>
  </si>
  <si>
    <t>VIZ-, GAZ SZERELVENYB MARTONVASAR 8.382,00 HUF Vásárlás</t>
  </si>
  <si>
    <t>POSTAKOCSI E'TTEREM MARTONVASAR 2.940,00 HUF Vásárlás</t>
  </si>
  <si>
    <t>MCD NYIREGYHA'ZA 1. NYIREGYHAZA 2.660,00 HUF Vásárlás</t>
  </si>
  <si>
    <t>OMV 1725 Nyiregyhaza 13.663,00 HUF Vásárlás</t>
  </si>
  <si>
    <t>TELEKOMSZAML 421364505 BUDAPEST 2.599,00 HUF Vásárlás 8,75 USD</t>
  </si>
  <si>
    <t>Allianz AHB956494331</t>
  </si>
  <si>
    <t>OKOSGAZDI.HU ERD 36.850,00 HUF Vásárlás</t>
  </si>
  <si>
    <t>LIPOTI PEKSEG-ETELE T BUDAPEST 315,00 HUF Vásárlás</t>
  </si>
  <si>
    <t>JOEFALAT CATERING BUDAPEST 1.600,00 HUF Vásárlás</t>
  </si>
  <si>
    <t>OBI 010 BUDAORS BUDAORS 58.090,00 HUF Vásárlás</t>
  </si>
  <si>
    <t>OMV 1702 Budapest Nag 25.772,00 HUF Vásárlás</t>
  </si>
  <si>
    <t>MARTON MARKET 43226621 0234382 - BANKKARTYA</t>
  </si>
  <si>
    <t>LIDL ARUHAZ 0306.S HH330604 2455779 - BANKKARTYA</t>
  </si>
  <si>
    <t>ALDI 5.SZ. SIA00376 2692507 - BANKKARTYA</t>
  </si>
  <si>
    <t>DM 316.SZ. 00059705 2795509 - BANKKARTYA</t>
  </si>
  <si>
    <t>Baj-Natur Bt. 17735257 8947815 - BANKKARTYA</t>
  </si>
  <si>
    <t>OTPMOBL SKINSMART. 022P6518 0495081 - BANKKARTYA</t>
  </si>
  <si>
    <t>BARIONP BARION.COM 02202681 0501192 - BANKKARTYA</t>
  </si>
  <si>
    <t>BAKERS PIZZA BUDAPEST 900,00 HUF Vásárlás</t>
  </si>
  <si>
    <t>LIPO'TI PE'KSE'G E'S K BUDAPEST 630,00 HUF Vásárlás</t>
  </si>
  <si>
    <t>BKK AUTOMATA - A25 BUDAPEST 3.000,00 HUF Vásárlás</t>
  </si>
  <si>
    <t>VIZ-, GAZ SZERELVENYB MARTONVASAR 6.516,00 HUF Vásárlás</t>
  </si>
  <si>
    <t>AURO'RA VENDE'GHA'Z HEVIZ 6.360,00 HUF Vásárlás</t>
  </si>
  <si>
    <t>KIS-BALATON LATOGATOK KESZTHELY-FE 13.400,00 HUF Vásárlás</t>
  </si>
  <si>
    <t>Czuprik Gábor nyaralás</t>
  </si>
  <si>
    <t>DM 165. 00027430 1581181 - BANKKARTYA</t>
  </si>
  <si>
    <t>Lady Hamilton Kave S00S2764 0096864 - BANKKARTYA</t>
  </si>
  <si>
    <t>TO'FU RDO' HEVIZ 6.400,00 HUF Vásárlás</t>
  </si>
  <si>
    <t>SIMPLE MATRICA BUDAPEST 3.860,00 HUF Vásárlás</t>
  </si>
  <si>
    <t>SO RSAROK HEVIZ 11.000,00 HUF Vásárlás</t>
  </si>
  <si>
    <t>SIMPLE PARKOL S BUDAPEST 817,00 HUF Vásárlás</t>
  </si>
  <si>
    <t>AMAZON HA'Z LA'TOGATO' KESZTHELY 10.600,00 HUF Vásárlás</t>
  </si>
  <si>
    <t>295. SZUPER1 HEVIZ 587,00 HUF Vásárlás</t>
  </si>
  <si>
    <t>Faló Büfé Hévíz 2.200,00 HUF Vásárlás</t>
  </si>
  <si>
    <t>MOL TO LTO'A'LL. 17100 ERD 10.379,00 HUF Vásárlás</t>
  </si>
  <si>
    <t>Gasztro Malom - Fricsk Veszprém 9.000,00 HUF Vásárlás</t>
  </si>
  <si>
    <t>Folly Arborétum Nonpro Badacsonyörs 3.500,00 HUF Vásárlás</t>
  </si>
  <si>
    <t>Folly Arborétum Nonpro Badacsonyörs 3.600,00 HUF Vásárlás</t>
  </si>
  <si>
    <t>Matula Etterem Keszthely 900,00 HUF Vásárlás</t>
  </si>
  <si>
    <t>Aurora Üdülőház</t>
  </si>
  <si>
    <t>Folly Arborétum és Borászati Nonprofit Kft.</t>
  </si>
  <si>
    <t>PL:P/10SEP21 Tőkefizetés Hitel /21-41194/</t>
  </si>
  <si>
    <t>PL:I/10SEP21 Kamatfizetés  Hitel /21-41194/</t>
  </si>
  <si>
    <t>FOODOO TRIO DELI 2 80016081 5834494 - BANKKARTYA</t>
  </si>
  <si>
    <t>MARTON MARKET MARTONVASAR 1.496,00 HUF Vásárlás</t>
  </si>
  <si>
    <t>JOEFALAT CATERING BUDAPEST 1.500,00 HUF Vásárlás</t>
  </si>
  <si>
    <t>LIPO'TI PE'KSE'G E'S K BUDAPEST 948,00 HUF Vásárlás</t>
  </si>
  <si>
    <t>BKK AUTOMATA - A46 BUDAPEST 3.000,00 HUF Vásárlás</t>
  </si>
  <si>
    <t>Czuprik Györgyné kastély</t>
  </si>
  <si>
    <t>OTPMOBL JEGY.MAV.H 022S4189 0572136 - BANKKARTYA</t>
  </si>
  <si>
    <t>KERESKEDO' BUDAPEST 2.080,00 HUF Vásárlás</t>
  </si>
  <si>
    <t>ALDI 5.SZ. SIA00377 0426600 - BANKKARTYA</t>
  </si>
  <si>
    <t>CSASZI2020 KFT. S6921508 0265101 - BANKKARTYA</t>
  </si>
  <si>
    <t>Lipoti Pekseg Budapest 690,00 HUF Vásárlás</t>
  </si>
  <si>
    <t>TELEKOMFELT 417467098 BUDAPEST 5.000,00 HUF Vásárlás 17,05 USD</t>
  </si>
  <si>
    <t>OTPMOBL ORSEGIMAGO 022S3978 0790752 - BANKKARTYA</t>
  </si>
  <si>
    <t>OBI 037 SOROKSA"R SIA00275 0721602 - BANKKARTYA</t>
  </si>
  <si>
    <t>IKEA BUDAORS UGYFE Budaors 117.400,00 HUF Vásárlás</t>
  </si>
  <si>
    <t>OMV 2026 Erd jobb 24.083,00 HUF Vásárlás</t>
  </si>
  <si>
    <t>MCD ME'TA BUDAPEST 5.700,00 HUF Vásárlás</t>
  </si>
  <si>
    <t>SZATMARI KFT. SALGOTARJAN 8.690,00 HUF Vásárlás</t>
  </si>
  <si>
    <t>Welt Auto NFU597 vételár + átírási költségek</t>
  </si>
  <si>
    <t>Értékpapír f könyvi szlák. - - UB KÜLÖNBÖZET BANKI UTALÁS - -</t>
  </si>
  <si>
    <t>Jutalék AR1701546 C8 4796 8501 0011 1523 CA-Főkártya éves tagsági díja DI CABTX0LAKSAG H00Y Bank által megfizetett tranzakciós illeték: 13,83 HUF</t>
  </si>
  <si>
    <t>MCD M3-FO'TI U'T BUDAPEST 4.990,00 HUF Vásárlás</t>
  </si>
  <si>
    <t>KI'NAI BU FE' BUDAPEST 1.250,00 HUF Vásárlás</t>
  </si>
  <si>
    <t>Jutalék SNKFHH0060498825 HS-Havi számlavezetési díj ONLHSFHH0LAKSAG H05t Bank által megfizetett tranzakciós illeték: 3,60 HUF</t>
  </si>
  <si>
    <t>Lipoti Pekseg Budapest 590,00 HUF Vásárlás</t>
  </si>
  <si>
    <t>MARTON MARKET 43226621 0286028 - BANKKARTYA</t>
  </si>
  <si>
    <t>FUR ELISE CUKRASZD 80019466 0286029 - BANKKARTYA</t>
  </si>
  <si>
    <t>SIMPLE PARKOL S BUDAPEST 2.596,00 HUF Vásárlás</t>
  </si>
  <si>
    <t>KERESKEDO' BUDAPEST 2.480,00 HUF Vásárlás</t>
  </si>
  <si>
    <t>Fusion Befektetesi Budapest 5.480,00 HUF Vásárlás</t>
  </si>
  <si>
    <t>Elszámolt kamatössz. Bruttó kamat: 6,25 HUF Levont adó : 0,94 HUF</t>
  </si>
  <si>
    <t>Autójavítás BMW</t>
  </si>
  <si>
    <t>LUDWIG HOTEL MARTONVASAR 40.000,00 HUF Vásárlás</t>
  </si>
  <si>
    <t>FUR ELISE BISTRO MARTONVASAR 175.210,00 HUF Vásárlás</t>
  </si>
  <si>
    <t>PRAKTIKER 335. VECSES 28.050,00 HUF Vásárlás</t>
  </si>
  <si>
    <t>OMV 2026 Erd jobb 26.593,00 HUF Vásárlás</t>
  </si>
  <si>
    <t>Fressnapf Ferihegy Vecses 36.574,00 HUF Vásárlás</t>
  </si>
  <si>
    <t>TESCO 44089 MARTONVASAR 2.278,00 HUF Vásárlás</t>
  </si>
  <si>
    <t>OTP 84001188 4414967 Bank által megfizetett tranzakciós illeték: 300,00 HUF - BANKKARTYA</t>
  </si>
  <si>
    <t>GOURMET SERVICE KF S6915719 1834056 - BANKKARTYA</t>
  </si>
  <si>
    <t>IKEA BUDAORS UGYFE 00182205 7028679 - BANKKARTYA</t>
  </si>
  <si>
    <t>MERX A"RUHA"Z 00127000 2544396 - BANKKARTYA</t>
  </si>
  <si>
    <t>VIANNI U ZLET 00102759 2440075 - BANKKARTYA</t>
  </si>
  <si>
    <t>MARTON MARKET 43226621 3036454 - BANKKARTYA</t>
  </si>
  <si>
    <t>VIANNI U ZLET 00102759 1146321 - BANKKARTYA</t>
  </si>
  <si>
    <t>ATM készpénzfelvétel(2021.08.27) MCC6011 HUN-MARTONVASAR OTP 50.000,00 HUF Kártyatranzakció</t>
  </si>
  <si>
    <t>ATM készpénzfelvétel(2021.08.27) MCC6011 HUN-MARTONVASAR OTP 100.000,00 HUF Kártyatranzakció</t>
  </si>
  <si>
    <t>OTP BUDAPEST 100.000,00 HUF Kp felvét</t>
  </si>
  <si>
    <t>GLS D120 DEPO' BICSKE 13.270,00 HUF Vásárlás</t>
  </si>
  <si>
    <t>NETFLIX.COM 408-724-9160 3.990,00 HUF Vásárlás 13,41 USD</t>
  </si>
  <si>
    <t>Almássy Bálint 2021-000125</t>
  </si>
  <si>
    <t>Czuprik Györgyné Gergő esküvő</t>
  </si>
  <si>
    <t>Sike Lilla Adri esküvő smink</t>
  </si>
  <si>
    <t>Támogatás</t>
  </si>
  <si>
    <t>Fűtőgomba</t>
  </si>
  <si>
    <t>Templom</t>
  </si>
  <si>
    <t>Ceremonia</t>
  </si>
  <si>
    <t>DJ</t>
  </si>
  <si>
    <t>BURGER KING KECSKEME'T KECSKEMET 2.640,00 HUF Vásárlás</t>
  </si>
  <si>
    <t>BIJOU BRIGITTE 43216291 1032340 - BANKKARTYA</t>
  </si>
  <si>
    <t>OTPMOBL JEGY.MAV.H 022S4189 0566810 - BANKKARTYA</t>
  </si>
  <si>
    <t>Free| Pekseg S00H3986 0647082 - BANKKARTYA</t>
  </si>
  <si>
    <t>Banyai by Beans ka S00S1726 0707806 - BANKKARTYA</t>
  </si>
  <si>
    <t>E"TTEREM 07001485 1487228 - BANKKARTYA</t>
  </si>
  <si>
    <t>Phillipp Biatorbágy 21.990,00 HUF Vásárlás</t>
  </si>
  <si>
    <t>KERESKEDO' BUDAPEST 2.580,00 HUF Vásárlás</t>
  </si>
  <si>
    <t>LIPO'TI PE'KSE'G E'S K BUDAPEST 660,00 HUF Vásárlás</t>
  </si>
  <si>
    <t>OMV 2026 Erd jobb 16.825,00 HUF Vásárlás</t>
  </si>
  <si>
    <t>Jutalék SM305368382 MOBIL HAVI DÍJ (Kártyafigyelő DR) EM5KX8 +36 305368382 05t Bank által megfizetett tranzakciós illeték: 0,22 HUF</t>
  </si>
  <si>
    <t>Jutalék SM305368382 MOBIL ÜZENET DÍJ (Kártyafigyelő DR) Küldött SMS, 66 Db EM5KX8 +36 305368382 06B Bank által megfizetett tranzakciós illeték: 8,71 HUF</t>
  </si>
  <si>
    <t>COOP ABC 71-ES VEG 80004362 2470910 - BANKKARTYA</t>
  </si>
  <si>
    <t>FUR ELISE BISTRO 80017353 2470911 - BANKKARTYA</t>
  </si>
  <si>
    <t>FUR ELISE CUKRASZD 80019466 2470912 - BANKKARTYA</t>
  </si>
  <si>
    <t>ASTRATEX.HU 456028 2328972 - BANKKARTYA</t>
  </si>
  <si>
    <t>www.vizklinika.hu EC009525 6598680 - BANKKARTYA</t>
  </si>
  <si>
    <t>OTPMOBL JEGY.MAV.H 022S4189 1741552 - BANKKARTYA</t>
  </si>
  <si>
    <t>DM 148 00049436 2603961 - BANKKARTYA</t>
  </si>
  <si>
    <t>www.vizklinika.hu 06 20 941 88 1.990,00 HUF Vásárlás</t>
  </si>
  <si>
    <t>VIANNI U ZLET MARTONVASAR 1.194,00 HUF Vásárlás</t>
  </si>
  <si>
    <t>TESCO 44089 00078395 0644932 - BANKKARTYA</t>
  </si>
  <si>
    <t>OBI 010 BUDAORS SIA00040 1854535 - BANKKARTYA</t>
  </si>
  <si>
    <t>1140916 21/41194                Ért ékbecslési díj jóváírása Bejövő Forint Átutalás</t>
  </si>
  <si>
    <t>Ingatlan vásárlás</t>
  </si>
  <si>
    <t>LIPOTI PEKSEG-ETELE T BUDAPEST 630,00 HUF Vásárlás</t>
  </si>
  <si>
    <t>XV. sz. Pekaru Szak Budapest 620,00 HUF Vásárlás</t>
  </si>
  <si>
    <t>Sütizz Kft. Budapest 660,00 HUF Vásárlás</t>
  </si>
  <si>
    <t>Sütizz Kft. Budapest 39.850,00 HUF Vásárlás</t>
  </si>
  <si>
    <t>DRAGO ROSSO PIZZERIA MARTONVASAR 1.950,00 HUF Vásárlás</t>
  </si>
  <si>
    <t>MCD BUDAO RS BUDAORS 2.690,00 HUF Vásárlás</t>
  </si>
  <si>
    <t>PRAKTIKER 333. BUDAORS 7.027,00 HUF Vásárlás</t>
  </si>
  <si>
    <t>PRAKTIKER 333. BUDAORS 16.990,00 HUF Vásárlás</t>
  </si>
  <si>
    <t>OBI 010 BUDAORS 17.595,00 HUF Vásárlás</t>
  </si>
  <si>
    <t>BIOHAIR SZALON SUGA'R BUDAPEST 2.790,00 HUF Vásárlás</t>
  </si>
  <si>
    <t>BKK AUTOMATA F29 BUDAPEST 3.000,00 HUF Vásárlás</t>
  </si>
  <si>
    <t>LIDL ARUHAZ 0306.S HH330609 2361583 - BANKKARTYA</t>
  </si>
  <si>
    <t>LIDL ARUHAZ 0306.S HH330607 0189107 - BANKKARTYA</t>
  </si>
  <si>
    <t>ALDI 5.SZ. SIA00376 0255487 - BANKKARTYA</t>
  </si>
  <si>
    <t>Navigátor díj 2021/09</t>
  </si>
  <si>
    <t>KIMENŐ ÁTUTALÁS AZKIG38133522790 16200223-10029792-00000000 Bencsik Judit Közlemény: Menyasszonyi ruha második részlet Karsai Adri Átutaló azonosító: 64485010 Bank által megfizetett tranzakciós illeték: 468,49 HUF</t>
  </si>
  <si>
    <t>BARIONP BARION.COM 02202681 2523054 - BANKKARTYA</t>
  </si>
  <si>
    <t>BARIONP BARION.COM 02202681 2523040 - BANKKARTYA</t>
  </si>
  <si>
    <t>LAVARD HB243479 3832700 - BANKKARTYA</t>
  </si>
  <si>
    <t>Ropogo Biatorbagy S00S2465 8200062 - BANKKARTYA</t>
  </si>
  <si>
    <t>BARIONP BARION.COM/GUE BUDAPEST 10.496,00 HUF Vásárlás</t>
  </si>
  <si>
    <t>MARTON MARKET MARTONVASAR 918,00 HUF Vásárlás</t>
  </si>
  <si>
    <t>MOL TO LTO'A'LL. 17100 ERD 15.559,00 HUF Vásárlás</t>
  </si>
  <si>
    <t>MARTON MARKET 43226621 2538333 - BANKKARTYA</t>
  </si>
  <si>
    <t>VIANNI U ZLET 00102759 1198016 - BANKKARTYA</t>
  </si>
  <si>
    <t>MARTON MARKET 43226621 3342363 - BANKKARTYA</t>
  </si>
  <si>
    <t>OTPMOBL JEGY.MAV.H 022S4189 0681863 - BANKKARTYA</t>
  </si>
  <si>
    <t>IKEA BUDAORS ETTER 00182505 7025793 - BANKKARTYA</t>
  </si>
  <si>
    <t>IKEA BUDAORS UGYFE 00182205 7024184 - BANKKARTYA</t>
  </si>
  <si>
    <t>OTP 84000930 5137189 Bank által megfizetett tranzakciós illeték: 300,00 HUF - BANKKARTYA</t>
  </si>
  <si>
    <t>OBI 010 BUDAORS SIA04327 0767882 - BANKKARTYA</t>
  </si>
  <si>
    <t>TESCO 44089 00078396 2882131 - BANKKARTYA</t>
  </si>
  <si>
    <t>PANIFICIO IL BASILICO SZENTENDRE 2.190,00 HUF Vásárlás</t>
  </si>
  <si>
    <t>BURGER KING BUDAO RS BUDAORS 830,00 HUF Vásárlás</t>
  </si>
  <si>
    <t>BURGER KING BUDAO RS BUDAORS 4.490,00 HUF Vásárlás</t>
  </si>
  <si>
    <t>TESCO 41400 BUDAPEST 368,00 HUF Vásárlás</t>
  </si>
  <si>
    <t>OBI 024 FOGARASI BUDAPEST 20.950,00 HUF Vásárlás</t>
  </si>
  <si>
    <t>POSTAKOCSI E'TTEREM MARTONVASAR 4.330,00 HUF Vásárlás</t>
  </si>
  <si>
    <t>POSTAKOCSI E'TTEREM MARTONVASAR 3.340,00 HUF Vásárlás</t>
  </si>
  <si>
    <t>Nhkv Vevő azonosító 16252513</t>
  </si>
  <si>
    <t>FUR ELISE BISTRO 80017353 4638420 - BANKKARTYA</t>
  </si>
  <si>
    <t>POSTAKOCSI E"TTERE 00121291 1843340 - BANKKARTYA</t>
  </si>
  <si>
    <t>BRUCK SANDORNE EV. 22270340 0028388 - BANKKARTYA</t>
  </si>
  <si>
    <t>VIANNI U ZLET 00102759 2554925 - BANKKARTYA</t>
  </si>
  <si>
    <t>KERESKEDO' BUDAPEST 2.280,00 HUF Vásárlás</t>
  </si>
  <si>
    <t>LIPO'TI PE'KSE'G E'S K BUDAPEST 955,00 HUF Vásárlás</t>
  </si>
  <si>
    <t>MARTON MARKET 43226621 2798054 - BANKKARTYA</t>
  </si>
  <si>
    <t>VIANNI U ZLET 00102759 1081412 - BANKKARTYA</t>
  </si>
  <si>
    <t>9999KT Kft. 31962297 8008982 - BANKKARTYA</t>
  </si>
  <si>
    <t>LIDL ARUHAZ 0349.S HH334902 2380574 - BANKKARTYA</t>
  </si>
  <si>
    <t>PL:P/10AUG21 Tőkefizetés Hitel /21-41194/</t>
  </si>
  <si>
    <t>PL:I/10AUG21 Kamatfizetés  Hitel /21-41194/</t>
  </si>
  <si>
    <t>OTPMOBL JEGY.MAV.H 022S4189 1819188 - BANKKARTYA</t>
  </si>
  <si>
    <t>Mazsa Nordik Kft. Budapest 794,00 HUF Vásárlás</t>
  </si>
  <si>
    <t>VIZ-, GAZ SZERELVENYB MARTONVASAR 2.606,00 HUF Vásárlás</t>
  </si>
  <si>
    <t>MARTON MARKET 43226621 4235380 - BANKKARTYA</t>
  </si>
  <si>
    <t>VIANNI U ZLET 00102759 1105492 - BANKKARTYA</t>
  </si>
  <si>
    <t>CALZEDONIA SPA 00672291 0303983 - BANKKARTYA</t>
  </si>
  <si>
    <t>MERX A"RUHA"Z 00127000 2626809 - BANKKARTYA</t>
  </si>
  <si>
    <t>DM 316.SZ. 00059706 2838915 - BANKKARTYA</t>
  </si>
  <si>
    <t>LIDL ARUHAZ 0306.S HH330609 2486082 - BANKKARTYA</t>
  </si>
  <si>
    <t>LIDL ARUHAZ 0306.S HH330605 2485913 - BANKKARTYA</t>
  </si>
  <si>
    <t>PRAKTIKER 333. 00084251 3407167 - BANKKARTYA</t>
  </si>
  <si>
    <t>IKEA BUDAORS UGYFE 00182202 2025679 - BANKKARTYA</t>
  </si>
  <si>
    <t>127.SZ. MAXI 12901753 4105368 - BANKKARTYA</t>
  </si>
  <si>
    <t>VIANNI U ZLET 00102759 1000398 - BANKKARTYA</t>
  </si>
  <si>
    <t>PRAKTIKER 333. BUDAORS 11.704,00 HUF Vásárlás</t>
  </si>
  <si>
    <t>IKEA BUDAORS ETTEREM Budaors 1.340,00 HUF Vásárlás</t>
  </si>
  <si>
    <t>PAYPAL BANGGOOD 35314369001 7.080,00 HUF Vásárlás 23,63 USD</t>
  </si>
  <si>
    <t>JYSK H824 BUDAORS 35.000,00 HUF Vásárlás</t>
  </si>
  <si>
    <t>TESCO 44089 00078394 3235537 - BANKKARTYA</t>
  </si>
  <si>
    <t>BRUCK SANDORNE EV. 22270340 0027088 - BANKKARTYA</t>
  </si>
  <si>
    <t>BRUCK SANDORNE EV. 22270340 0027087 - BANKKARTYA</t>
  </si>
  <si>
    <t>POSTAKOCSI E'TTEREM MARTONVASAR 2.470,00 HUF Vásárlás</t>
  </si>
  <si>
    <t>BARIONP BARION.COM 02202681 1018846 - BANKKARTYA</t>
  </si>
  <si>
    <t>OBI 010 SIA00039 2706252 - BANKKARTYA</t>
  </si>
  <si>
    <t>ALDI 3.SZ. SIA00331 0248476 - BANKKARTYA</t>
  </si>
  <si>
    <t>LIDL ARUHAZ 0280.S HH328004 0178877 - BANKKARTYA</t>
  </si>
  <si>
    <t>BURGER KING E'RD ERD 3.480,00 HUF Vásárlás</t>
  </si>
  <si>
    <t>FUR ELISE CUKRASZDA MARTONVASAR 2.800,00 HUF Vásárlás</t>
  </si>
  <si>
    <t>FUR ELISE BISTRO MARTONVASAR 15.000,00 HUF Vásárlás</t>
  </si>
  <si>
    <t>Jutalék SNKFHH0060322742 HS-Havi számlavezetési díj ONLHSFHH0LAKSAG H05s Bank által megfizetett tranzakciós illeték: 3,60 HUF</t>
  </si>
  <si>
    <t>OTPMOBL STYLEHUB.C 022P8017 1588472 - BANKKARTYA</t>
  </si>
  <si>
    <t>BARIONP BARION.COM 02202681 1682387 - BANKKARTYA</t>
  </si>
  <si>
    <t>OTPMOBL SKINSMART. 022P6518 1674124 - BANKKARTYA</t>
  </si>
  <si>
    <t>ALDI 57.SZ. SIA00539 2641671 - BANKKARTYA</t>
  </si>
  <si>
    <t>KJO DÍJ 21/41194 Bejövő Forint Átutalás</t>
  </si>
  <si>
    <t>KFC AUCHAN BUDAORS 1.890,00 HUF Vásárlás</t>
  </si>
  <si>
    <t>LIPO'TI PE'KSE'G E'S K BUDAPEST 295,00 HUF Vásárlás</t>
  </si>
  <si>
    <t>LIPO'TI PE'KSE'G E'S K BUDAPEST 510,00 HUF Vásárlás</t>
  </si>
  <si>
    <t>Elszámolt kamatössz. Bruttó kamat: 12,04 HUF Levont adó : 1,81 HUF</t>
  </si>
  <si>
    <t>IKEA HU ecom E3800103 1006949 - BANKKARTYA</t>
  </si>
  <si>
    <t>Portech Hygienia Kft +3672516367 13.240,00 HUF Vásárlás</t>
  </si>
  <si>
    <t>BKK AUTOMATA - A45 BUDAPEST 3.000,00 HUF Vásárlás</t>
  </si>
  <si>
    <t>COOP SARKI KO ZE"R 00130791 1187838 - BANKKARTYA</t>
  </si>
  <si>
    <t>PANIFICIO IL BASIL P5BP0733 0581250 - BANKKARTYA</t>
  </si>
  <si>
    <t>PHILLIPPOS GYROS B 22288947 0013963 - BANKKARTYA</t>
  </si>
  <si>
    <t>Zsu-Ann Kft. Budapest 2.050,00 HUF Vásárlás</t>
  </si>
  <si>
    <t>JYSK H824 BUDAORS 175.000,00 HUF Vásárlás</t>
  </si>
  <si>
    <t>SumUp Kiskifli Kavez Budapest 1.190,00 HUF Vásárlás 3,90 USD</t>
  </si>
  <si>
    <t>OTPMOBL JEGY.MAV.H 022S4189 1050278 - BANKKARTYA</t>
  </si>
  <si>
    <t>DM 148 00049436 1760715 - BANKKARTYA</t>
  </si>
  <si>
    <t>Medicz Gyogyszerta TB002836 9080870 - BANKKARTYA</t>
  </si>
  <si>
    <t>JYSK H824 00056779 2525197 - BANKKARTYA</t>
  </si>
  <si>
    <t>OTPMOBL JEGY.MAV.H 022S4189 0232567 - BANKKARTYA</t>
  </si>
  <si>
    <t>IKEA BUDAORS UGYFE Budaors 53.970,00 HUF Vásárlás</t>
  </si>
  <si>
    <t>MOL TO LTO'A'LL. 17100 ERD 16.214,00 HUF Vásárlás</t>
  </si>
  <si>
    <t>PRAKTIKER 333. BUDAORS 81.646,00 HUF Vásárlás</t>
  </si>
  <si>
    <t>IKEA BUDAORS ETTEREM Budaors 1.240,00 HUF Vásárlás</t>
  </si>
  <si>
    <t>IKEA BUDAORS BEVASAR Budaors 2.000,00 HUF Vásárlás</t>
  </si>
  <si>
    <t>Jutalék SM305368382 MOBIL HAVI DÍJ (Kártyafigyelő DR) EM5KX8 +36 305368382 0FH Bank által megfizetett tranzakciós illeték: 0,22 HUF</t>
  </si>
  <si>
    <t>Jutalék SM305368382 MOBIL ÜZENET DÍJ (Kártyafigyelő DR) Küldött SMS, 40 Db EM5KX8 +36 305368382 0F1 Bank által megfizetett tranzakciós illeték: 5,28 HUF</t>
  </si>
  <si>
    <t>CZUPRIKGERGE Hivatkozási szám BCKOZP/38671095 Értékpapír számla egyenlegrendezés</t>
  </si>
  <si>
    <t>JYSK H856 ERD 35.000,00 HUF Vásárlás</t>
  </si>
  <si>
    <t>PRAKTIKER 333. BUDAORS 24.101,00 HUF Vásárlás</t>
  </si>
  <si>
    <t>OTPMOBL JEGY.MAV.HU BUDAPEST 584,00 HUF Vásárlás</t>
  </si>
  <si>
    <t>OTPMOBL JEGY.MAV.H 022S4189 1095298 - BANKKARTYA</t>
  </si>
  <si>
    <t>Ujbuda Swiss Premi S00S1650 5587762 - BANKKARTYA</t>
  </si>
  <si>
    <t>Generali Ktgb 202184097757</t>
  </si>
  <si>
    <t>Navigátor díj 2021/08</t>
  </si>
  <si>
    <t>ALDI 5.SZ. SIA00375 2369058 - BANKKARTYA</t>
  </si>
  <si>
    <t>DM 316.SZ. 00059705 2461631 - BANKKARTYA</t>
  </si>
  <si>
    <t>CSASZI2020 KFT. S6921402 2311961 - BANKKARTYA</t>
  </si>
  <si>
    <t>SIMPLE PARKOL S BUDAPEST 362,00 HUF Vásárlás</t>
  </si>
  <si>
    <t>SIMPLE PARKOL S BUDAPEST 893,00 HUF Vásárlás</t>
  </si>
  <si>
    <t>PRAKTIKER 333. BUDAORS 6.205,00 HUF Vásárlás</t>
  </si>
  <si>
    <t>Diego Kft Budaors Budaors 1.999,00 HUF Vásárlás</t>
  </si>
  <si>
    <t>GYURIVILL KFT. MARTONVASAR 1.458,00 HUF Vásárlás</t>
  </si>
  <si>
    <t>MOL TO LTO'A'LLOMA'S GARDONY 15.972,00 HUF Vásárlás</t>
  </si>
  <si>
    <t>PRAKTIKER 333. 00019116 1375942 - BANKKARTYA</t>
  </si>
  <si>
    <t>OTP 84000930 6543763 Bank által megfizetett tranzakciós illeték: 600,00 HUF - BANKKARTYA</t>
  </si>
  <si>
    <t>GYURIVILL KFT. MARTONVASAR 20.938,00 HUF Vásárlás</t>
  </si>
  <si>
    <t>VIZ-, GAZ SZERELVENYB MARTONVASAR 8.488,00 HUF Vásárlás</t>
  </si>
  <si>
    <t>IKEA BUDAORS BEVAS 00182106 0021777 - BANKKARTYA</t>
  </si>
  <si>
    <t>PRAKTIKER 333. 00019116 1888516 - BANKKARTYA</t>
  </si>
  <si>
    <t>IKEA BUDAORS UGYFE Budaors 232.760,00 HUF Vásárlás</t>
  </si>
  <si>
    <t>AUCHAN BUDAORS BUDAORS 4.987,00 HUF Vásárlás</t>
  </si>
  <si>
    <t>PRAKTIKER 333. BUDAORS 9.566,00 HUF Vásárlás</t>
  </si>
  <si>
    <t>KI'NAI BU FE' BUDAPEST 1.100,00 HUF Vásárlás</t>
  </si>
  <si>
    <t>TELEKOMFELT 405311257 BUDAPEST 5.000,00 HUF Vásárlás 16,44 USD</t>
  </si>
  <si>
    <t>MARTON MARKET 43226621 3036381 - BANKKARTYA</t>
  </si>
  <si>
    <t>COOP ABC 71-ES VEG 80004362 3036380 - BANKKARTYA</t>
  </si>
  <si>
    <t>COOP ABC 71-ES VEG 80004362 3136251 - BANKKARTYA</t>
  </si>
  <si>
    <t>Burkolás</t>
  </si>
  <si>
    <t>Festés</t>
  </si>
  <si>
    <t>OMV 2080 Budapest Ker 15.015,00 HUF Vásárlás</t>
  </si>
  <si>
    <t>IKEA ORS VEZER UGYFE Budapest 30.295,00 HUF Vásárlás</t>
  </si>
  <si>
    <t>BOHACS BARKACS ERD 1.644,00 HUF Vásárlás</t>
  </si>
  <si>
    <t>MOL TO LTO'A"LLOMA HU212792 0847177 - BANKKARTYA</t>
  </si>
  <si>
    <t>KIMENŐ ÁTUTALÁS AZKIG38124139373 16200223-10029792-00000000 Bencsik Judit Közlemény: Csipke body Átutaló azonosító: 64485010 Bank által megfizetett tranzakciós illeték: 0,00 HUF</t>
  </si>
  <si>
    <t>ALPHABED KFT. 43209026 4236218 - BANKKARTYA</t>
  </si>
  <si>
    <t>ALPHABED KFT. 43209026 4236219 - BANKKARTYA</t>
  </si>
  <si>
    <t>CSASZI2020 KFT. S6921403 1495063 - BANKKARTYA</t>
  </si>
  <si>
    <t>MERX A"RUHA"Z 00127000 1454983 - BANKKARTYA</t>
  </si>
  <si>
    <t>BURGER KING BUDAO RS BUDAORS 2.880,00 HUF Vásárlás</t>
  </si>
  <si>
    <t>OBI 024 FOGARASI BUDAPEST 2.199,00 HUF Vásárlás</t>
  </si>
  <si>
    <t>Templomvölgy Resort Mátrakereszt 85.000,00 HUF Vásárlás</t>
  </si>
  <si>
    <t>LIDL ARUHAZ 0306.SZ. AGARD 14.997,00 HUF Vásárlás</t>
  </si>
  <si>
    <t>TESCO 41760 O NKISZOLG SALGOTARJAN 4.502,00 HUF Vásárlás</t>
  </si>
  <si>
    <t>XIV. Bp Egressy u. 110. Társas Egressy út 110/a/2/5</t>
  </si>
  <si>
    <t>Közösköltség</t>
  </si>
  <si>
    <t>PL:DI/10JLY21 Kamatfizetés - Hitel /21-41194/</t>
  </si>
  <si>
    <t>OMV 2075 Budapest Fog 26.488,00 HUF Vásárlás</t>
  </si>
  <si>
    <t>IKEA BUDAORS ETTEREM Budaors 2.130,00 HUF Vásárlás</t>
  </si>
  <si>
    <t>ALDI 5.SZ. GARDONY 937,00 HUF Vásárlás</t>
  </si>
  <si>
    <t>PRAKTIKER 333. BUDAORS 15.695,00 HUF Vásárlás</t>
  </si>
  <si>
    <t>PRAKTIKER 333. BUDAORS 8.896,00 HUF Vásárlás</t>
  </si>
  <si>
    <t>GLOBA'L FESTE'KA'RUHA' VELENCE 1.334,00 HUF Vásárlás</t>
  </si>
  <si>
    <t>ROYALMOSAIC KFT BUDAPEST 24.265,00 HUF Vásárlás</t>
  </si>
  <si>
    <t>GYURIVILL KFT. MARTONVASAR 3.005,00 HUF Vásárlás</t>
  </si>
  <si>
    <t>ROSSMANN 237. 00097469 0492874 - BANKKARTYA</t>
  </si>
  <si>
    <t>OTPMOBL JEGY.MAV.H 022S4189 0575397 - BANKKARTYA</t>
  </si>
  <si>
    <t>C&amp;A ALLEE 530. 00062810 2208744 - BANKKARTYA</t>
  </si>
  <si>
    <t>DM 233.SZ. 00052685 2224098 - BANKKARTYA</t>
  </si>
  <si>
    <t>PRAKTIKER 333. 00019120 3020629 - BANKKARTYA</t>
  </si>
  <si>
    <t>PRAKTIKER 333. 00019120 3020634 - BANKKARTYA</t>
  </si>
  <si>
    <t>PRAKTIKER 333. 00019118 3020464 - BANKKARTYA</t>
  </si>
  <si>
    <t>MARTONCOLOR FESTE'K MARTONVASAR 3.250,00 HUF Vásárlás</t>
  </si>
  <si>
    <t>OMV 1934 Salgotarjan 25.769,00 HUF Vásárlás</t>
  </si>
  <si>
    <t>LOTTOZO 206 SZ SALGOTARJAN 5.000,00 HUF Vásárlás</t>
  </si>
  <si>
    <t>KOMA UZLETHAZ MARTONVASAR 4.970,00 HUF Vásárlás</t>
  </si>
  <si>
    <t>XIV. Bp Egressy u. 110. Társas Egressy út 110 a/2/5 közösköltség</t>
  </si>
  <si>
    <t>Jutalék SNKFHH8006974672 HS-Számlavezetési díjkedvezmény ONLHSFHH8LAKSAG H03w</t>
  </si>
  <si>
    <t>Jutalék SNKFHH0060049834 HS-Havi számlavezetési díj ONLHSFHH0LAKSAG H05t Bank által megfizetett tranzakciós illeték: 3,60 HUF</t>
  </si>
  <si>
    <t>RESERVED ALLEE 56730505 1771513 - BANKKARTYA</t>
  </si>
  <si>
    <t>BIJOBOLT.HU EGPE0149 0571753 - BANKKARTYA</t>
  </si>
  <si>
    <t>BARIONP BARION.COM 02202681 1928758 - BANKKARTYA</t>
  </si>
  <si>
    <t>BARIONP BIOEGESZSE 02204105 1974763 - BANKKARTYA</t>
  </si>
  <si>
    <t>MYPROTEIN.COM WPGTID01 0209976 - BANKKARTYA</t>
  </si>
  <si>
    <t>MERX A"RUHA"Z 00127000 1982131 - BANKKARTYA</t>
  </si>
  <si>
    <t>LIDL ARUHAZ 0306.S HH330608 1060493 - BANKKARTYA</t>
  </si>
  <si>
    <t>ALDI 5.SZ. SIA00376 1259780 - BANKKARTYA</t>
  </si>
  <si>
    <t>CSASZI2020 KFT. S6921506 0965654 - BANKKARTYA</t>
  </si>
  <si>
    <t>eBanking aláíró SMS díj 06. havi elszámolás</t>
  </si>
  <si>
    <t>MCD EGRESSY BUDAPEST 1.540,00 HUF Vásárlás</t>
  </si>
  <si>
    <t>HOZAM 2021. II. NEGYEDÉV</t>
  </si>
  <si>
    <t>Elszámolt kamatössz. Bruttó kamat: 5,25 HUF Levont adó : 0,79 HUF</t>
  </si>
  <si>
    <t>KIMENŐ ÁTUTALÁS AZKIG38120372420 10300002-10479831-49020011 Belnatur Közlemény: RSCK02918 Átutaló azonosító: 64485010 Bank által megfizetett tranzakciós illeték: 0,00 HUF</t>
  </si>
  <si>
    <t>127.SZ. MAXI 12901753 4503692 - BANKKARTYA</t>
  </si>
  <si>
    <t>MARTONCOLOR FESTE" 00109317 0974658 - BANKKARTYA</t>
  </si>
  <si>
    <t>YIYA ETREND-KIEGE IEBL3413 6260711 - BANKKARTYA</t>
  </si>
  <si>
    <t>Int.Appl. to   30/06/21</t>
  </si>
  <si>
    <t>CRT to         30/06/21</t>
  </si>
  <si>
    <t>ARTIZAN PEKSEG KAVEZO BUDAPEST 3.430,00 HUF Vásárlás</t>
  </si>
  <si>
    <t>Intimissimi 31465378 0706176 - BANKKARTYA</t>
  </si>
  <si>
    <t>BUDAI PEKSEG 43220050 0932022 - BANKKARTYA</t>
  </si>
  <si>
    <t>ALDI 57.SZ. SIA00538 2357618 - BANKKARTYA</t>
  </si>
  <si>
    <t>LIBRI A'RKA'D I. BUDAPEST 6.000,00 HUF Vásárlás</t>
  </si>
  <si>
    <t>Go Print Arkad Budapest 390,00 HUF Vásárlás</t>
  </si>
  <si>
    <t>OMV 2075 Budapest Fog 22.888,00 HUF Vásárlás</t>
  </si>
  <si>
    <t>NETFLIX.COM 408-724-9160 3.990,00 HUF Vásárlás 13,57 USD</t>
  </si>
  <si>
    <t>Netpincer.hu</t>
  </si>
  <si>
    <t>UNION VIENNA INSURANCE GROUP BIZTOS Közlemény: Fiz.megb.szám: 0000321330 23385370Élet kár - BEJÖVŐ ÁTUTALÁS</t>
  </si>
  <si>
    <t>Jutalék SM305368382 MOBIL HAVI DÍJ (Kártyafigyelő DR) EM5KX8 +36 305368382 06V Bank által megfizetett tranzakciós illeték: 0,22 HUF</t>
  </si>
  <si>
    <t>Jutalék SM305368382 MOBIL ÜZENET DÍJ (Kártyafigyelő DR) Küldött SMS, 16 Db EM5KX8 +36 305368382 06R Bank által megfizetett tranzakciós illeték: 2,11 HUF</t>
  </si>
  <si>
    <t>Vásárlás(2021.06.21) MCC5712 HUN-BUDAPEST ALPHABED KFT. 75.000,00 HUF Kártyatranzakció</t>
  </si>
  <si>
    <t>OTPMOBL VODAFONE.HU BUDAPEST 3.990,00 HUF Vásárlás</t>
  </si>
  <si>
    <t>IKEA ORS VEZER UGYFE Budapest 5.960,00 HUF Vásárlás</t>
  </si>
  <si>
    <t>GLOBAL COPY BUDAPEST 780,00 HUF Vásárlás</t>
  </si>
  <si>
    <t>ALDI 125.SZ. BUDAPEST 3.594,00 HUF Vásárlás</t>
  </si>
  <si>
    <t>KÁRTÉRÍTÉS JÓVÁÍRÁS</t>
  </si>
  <si>
    <t>Clean-Restarting Kft 200-2021-9072</t>
  </si>
  <si>
    <t>KIMENŐ ÁTUTALÁS SPETES0132968873 10700268-64485010-54000007 KARSAI ADRIENN ÁGNES Átutaló azonosító: 64485010 Kedvezményezett azonosító: 64485010</t>
  </si>
  <si>
    <t>IKEA ORS VEZER BEV 00180107 5016329 - BANKKARTYA</t>
  </si>
  <si>
    <t>DM 319.SZ. 00075401 0670159 - BANKKARTYA</t>
  </si>
  <si>
    <t>Wolt Magyarorszag 7849494 - BANKKARTYA</t>
  </si>
  <si>
    <t>OMV 2075 Budapest Fog 24.864,00 HUF Vásárlás</t>
  </si>
  <si>
    <t>IKEA ORS VEZER ETTER Budapest 590,00 HUF Vásárlás</t>
  </si>
  <si>
    <t>IKEA ORS VEZER ETTER Budapest 2.880,00 HUF Vásárlás</t>
  </si>
  <si>
    <t>100FT-OS BOLT BUDAPEST 848,00 HUF Vásárlás</t>
  </si>
  <si>
    <t>374 COOP SZUPER BUDAPEST 2.567,00 HUF Vásárlás</t>
  </si>
  <si>
    <t>OTPMOBL MEDIAMARKT.HU BUDAPEST 139.406,00 HUF Vásárlás</t>
  </si>
  <si>
    <t>Elmű-Émász Energiaszolgáltató Zr 984340183720626005404255</t>
  </si>
  <si>
    <t>Navigátor díj 2021/07</t>
  </si>
  <si>
    <t>374 COOP SZUPER BUDAPEST 1.037,00 HUF Vásárlás</t>
  </si>
  <si>
    <t>Clean-Restarting Kft 200-2021-8988</t>
  </si>
  <si>
    <t>ALDI 125.SZ. BUDAPEST 3.533,00 HUF Vásárlás</t>
  </si>
  <si>
    <t>VISION EXPRESS 513 00022486 2223426 - BANKKARTYA</t>
  </si>
  <si>
    <t>VISION EXPRESS 513 00022486 2223425 - BANKKARTYA</t>
  </si>
  <si>
    <t>LIDL ARUHAZ 0167.SZ. BUDAPEST 11.205,00 HUF Vásárlás</t>
  </si>
  <si>
    <t>TESCO 41400 O NKISZOLG BUDAPEST 1.796,00 HUF Vásárlás</t>
  </si>
  <si>
    <t>LIDL ARUHAZ 0314.SZ. SALGOTARJAN 4.857,00 HUF Vásárlás</t>
  </si>
  <si>
    <t>Cafe Frei ARKAD Budapest 1.850,00 HUF Vásárlás</t>
  </si>
  <si>
    <t>XXXLUTZ E'TTEREM BA BUDAPEST 4.700,00 HUF Vásárlás</t>
  </si>
  <si>
    <t>XXXLUTZ LEHEL U. BUDAPEST 3.839,00 HUF Vásárlás</t>
  </si>
  <si>
    <t>TESCO 41400 O NKISZOLG BUDAPEST 10.557,00 HUF Vásárlás</t>
  </si>
  <si>
    <t>DM 393. BUDAPEST 4.095,00 HUF Vásárlás</t>
  </si>
  <si>
    <t>BURGER KING BUDAO RS BUDAORS 2.960,00 HUF Vásárlás</t>
  </si>
  <si>
    <t>PL:DI/10JUN21 Kamatfizetés - Hitel /21-41194/</t>
  </si>
  <si>
    <t>KIMENŐ ÁTUTALÁS AZKIG38115448487 11773054-00328557-00000000 Greff Brigitta Közlemény: D-GB-128 Átutaló azonosító: 64485010 Bank által megfizetett tranzakciós illeték: 165,00 HUF</t>
  </si>
  <si>
    <t>Delivery Hero Hung 7052585 - BANKKARTYA</t>
  </si>
  <si>
    <t>Vásárlás(2021.06.08) MCC5411 HUN-BUDAPEST ALDI 125.SZ. 5.539,00 HUF Kártyatranzakció</t>
  </si>
  <si>
    <t>SPAR 0190 BUDAPEST 2.598,00 HUF Vásárlás</t>
  </si>
  <si>
    <t>BENU URANUS PATIKA 00071070 2639731 - BANKKARTYA</t>
  </si>
  <si>
    <t>OMV 2075 Budapest Fog 21.788,00 HUF Vásárlás</t>
  </si>
  <si>
    <t>JOEFALAT CATERING BUDAPEST 1.400,00 HUF Vásárlás</t>
  </si>
  <si>
    <t>BKK AUTOMATA - D22 BUDAPEST 3.000,00 HUF Vásárlás</t>
  </si>
  <si>
    <t>2021.06. havi Adókedvezmény befizetés</t>
  </si>
  <si>
    <t>OYSHO ARENA 80003392 1602443 - BANKKARTYA</t>
  </si>
  <si>
    <t>RONI ABC BUDAPEST 1.088,00 HUF Vásárlás</t>
  </si>
  <si>
    <t>Wolt 2142585 - BANKKARTYA</t>
  </si>
  <si>
    <t>LIBRI ARE'NA BUDAPEST 10.000,00 HUF Vásárlás</t>
  </si>
  <si>
    <t>TESCO 41014 BUDAPEST 5.767,00 HUF Vásárlás</t>
  </si>
  <si>
    <t>BOMBOLONI BUDAPEST 2.760,00 HUF Vásárlás</t>
  </si>
  <si>
    <t>Hetti-Ker. Kft. BUDAPEST 1.610,00 HUF Vásárlás</t>
  </si>
  <si>
    <t>Értékpapír f könyvi szlák. - - UB KÜLÖNBÖZET BANKI UTALÁS - mak -</t>
  </si>
  <si>
    <t>KIMENŐ ÁTUTALÁS AZKIG38113642998 10300002-10479831-49020011 Belnatur Közlemény: 5WPK02841 Átutaló azonosító: 64485010 Bank által megfizetett tranzakciós illeték: 0,69 HUF</t>
  </si>
  <si>
    <t>KIMENŐ ÁTUTALÁS AZKIG38113648111 10800007-60000000-14870008 Notino Közlemény: 65472478 Átutaló azonosító: 64485010 Bank által megfizetett tranzakciós illeték: 0,00 HUF</t>
  </si>
  <si>
    <t>KIMENŐ ÁTUTALÁS AZKIG38113944344 11705008-22538541-00000000 Skinsmart Közlemény: 100303400 Átutaló azonosító: 64485010 Bank által megfizetett tranzakciós illeték: 0,00 HUF</t>
  </si>
  <si>
    <t>Tájfun Biliárdszalon és Étterem</t>
  </si>
  <si>
    <t>ALDI 125.SZ. BUDAPEST 2.765,00 HUF Vásárlás</t>
  </si>
  <si>
    <t>Paris Attila HBO apr-szept</t>
  </si>
  <si>
    <t>Jutalék SNKFHH0059824212 HS-Havi számlavezetési díj ONLHSFHH0LAKSAG H05z Bank által megfizetett tranzakciós illeték: 3,60 HUF</t>
  </si>
  <si>
    <t>21/41194 Átvezetés fedezeti szlára</t>
  </si>
  <si>
    <t>ÁTVEZETÉS FEDEZETI SZLÁRA</t>
  </si>
  <si>
    <t>CSOK - 0001140916 CSOK KIUTALT</t>
  </si>
  <si>
    <t>21/41194 Folyósítás</t>
  </si>
  <si>
    <t>Elszámolt kamatössz. Bruttó kamat: 2,04 HUF Levont adó : 0,31 HUF</t>
  </si>
  <si>
    <t>OTP 84002211 9563741 Bank által megfizetett tranzakciós illeték: 300,00 HUF - BANKKARTYA</t>
  </si>
  <si>
    <t>OTPMOBL JEGY.MAV.H 022S4189 1715858 - BANKKARTYA</t>
  </si>
  <si>
    <t>LIDL ARUHAZ 0314.SZ. SALGOTARJAN 10.636,00 HUF Vásárlás</t>
  </si>
  <si>
    <t>STOKLASA.HU KRAVARE 24,87 EUR Vásárlás 30,47 USD 293.0500</t>
  </si>
  <si>
    <t>6HDFA=SIMPLE KARTYAREG BUDAPEST 100,00 HUF Vásárlás</t>
  </si>
  <si>
    <t>NETFLIX.COM 408-724-9160 3.990,00 HUF Vásárlás 13,94 USD</t>
  </si>
  <si>
    <t>LIDL ARUHAZ 0167.S HH316705 0979234 - BANKKARTYA</t>
  </si>
  <si>
    <t>ALDI 125.SZ. SIA02950 1218206 - BANKKARTYA</t>
  </si>
  <si>
    <t>FMKH SZFVA'R SZEKESFEHERV 12.600,00 HUF Vásárlás</t>
  </si>
  <si>
    <t>CAS6W=SIMPLE KARTYAREG BUDAPEST 100,00 HUF Vásárlás</t>
  </si>
  <si>
    <t>TELEKOMFELT 389036814 BUDAPEST 5.000,00 HUF Vásárlás 17,55 USD</t>
  </si>
  <si>
    <t>OMV 2075 Budapest Fog 21.737,00 HUF Vásárlás</t>
  </si>
  <si>
    <t>Kozjegyzoi Iroda Budapest 73.604,00 HUF Vásárlás</t>
  </si>
  <si>
    <t>Jutalék SM305368382 MOBIL HAVI DÍJ (Kártyafigyelő DR) EM5KX8 +36 305368382 0K7 Bank által megfizetett tranzakciós illeték: 0,22 HUF</t>
  </si>
  <si>
    <t>Jutalék SM305368382 MOBIL ÜZENET DÍJ (Kártyafigyelő DR) Küldött SMS, 19 Db EM5KX8 +36 305368382 0KF Bank által megfizetett tranzakciós illeték: 2,45 HUF</t>
  </si>
  <si>
    <t>OTPMOBL SKINSMART. 022P6518 1934294 - BANKKARTYA</t>
  </si>
  <si>
    <t>ALDI 125.SZ. BUDAPEST 199,00 HUF Vásárlás</t>
  </si>
  <si>
    <t>OTPMOBL GENERALI.HU BUDAPEST 22.258,00 HUF Vásárlás</t>
  </si>
  <si>
    <t>TESCO 41400 O NKISZOLG BUDAPEST 19.575,00 HUF Vásárlás</t>
  </si>
  <si>
    <t>Burger King Étterem Hungária</t>
  </si>
  <si>
    <t>374 COOP SZUPER 43223725 3103836 - BANKKARTYA</t>
  </si>
  <si>
    <t>WELMAX DIVAT U ZLE 00066024 2567324 - BANKKARTYA</t>
  </si>
  <si>
    <t>TESCO 41400 O NKISZOLG BUDAPEST 5.692,00 HUF Vásárlás</t>
  </si>
  <si>
    <t>Express One Hungary Kf Budapest 3.850,00 HUF Vásárlás</t>
  </si>
  <si>
    <t>Navigátor díj 2021/06</t>
  </si>
  <si>
    <t>IKEA ORS VEZER ETT 00180512 7020103 - BANKKARTYA</t>
  </si>
  <si>
    <t>ALDI 125.SZ. BUDAPEST 1.254,00 HUF Vásárlás</t>
  </si>
  <si>
    <t>Kiskifli kavezo Budapest 650,00 HUF Vásárlás</t>
  </si>
  <si>
    <t>Gábor Lívia Czuprik-Karsai - ingatlan</t>
  </si>
  <si>
    <t>Wolt 4281494 - BANKKARTYA</t>
  </si>
  <si>
    <t>PAYPAL ALIPAYSINGA AL 35314369001 4,61 USD Vásárlás 4,61 USD 295.6900</t>
  </si>
  <si>
    <t>PAYPAL ALIPAYSINGA AL 35314369001 15,31 USD Vásárlás 15,31 USD 295.6900</t>
  </si>
  <si>
    <t>XIV. Bp Egressy u. 110. Társas Közös költség Egressy út 110 a/2/5</t>
  </si>
  <si>
    <t>KIMENŐ ÁTUTALÁS AZKIG38109258031 12011856-01700264-00100003 Medconnexus Medical Közlemény: 2021/01025 Átutaló azonosító: 64485010 Bank által megfizetett tranzakciós illeték: 144,21 HUF</t>
  </si>
  <si>
    <t>Delivery Hero Hung 9324873 - BANKKARTYA</t>
  </si>
  <si>
    <t>OMV 2075 Budapest Fog 23.021,00 HUF Vásárlás</t>
  </si>
  <si>
    <t>Albérlet</t>
  </si>
  <si>
    <t>Go Print Arkad Budapest 525,00 HUF Vásárlás</t>
  </si>
  <si>
    <t>SPAR SALGOTARJAN 13.799,00 HUF Vásárlás</t>
  </si>
  <si>
    <t>ALDI 125.SZ. BUDAPEST 1.018,00 HUF Vásárlás</t>
  </si>
  <si>
    <t>Elmű-Émász Energiaszolgáltató Zr 984390109512226005404250</t>
  </si>
  <si>
    <t>OMV 2086 M7 Kajaszo j 4.842,00 HUF Vásárlás</t>
  </si>
  <si>
    <t>Banki reklám</t>
  </si>
  <si>
    <t>TERMELO'I TEJBOLT 00143534 2215753 - BANKKARTYA</t>
  </si>
  <si>
    <t>TESCO 41400 O NKISZOLG BUDAPEST 10.828,00 HUF Vásárlás</t>
  </si>
  <si>
    <t>CZUPRIK GÁBOR Közlemény: Gergő ajándék - BEJÖVŐ ÁTUTALÁS</t>
  </si>
  <si>
    <t>KFC Árkád</t>
  </si>
  <si>
    <t>S.N.K.ARDACO KFT. 43230405 4830421 - BANKKARTYA</t>
  </si>
  <si>
    <t>Etsy.com - PrinceC 9840872 - BANKKARTYA</t>
  </si>
  <si>
    <t>Sütizz Kft. Budapest 7.280,00 HUF Vásárlás</t>
  </si>
  <si>
    <t>TESCO 41400 BUDAPEST 4.409,00 HUF Vásárlás</t>
  </si>
  <si>
    <t>374 COOP SZUPER BUDAPEST 568,00 HUF Vásárlás</t>
  </si>
  <si>
    <t>Fur Elise Karsai-Czuprik</t>
  </si>
  <si>
    <t>Wolt 2207872 - BANKKARTYA</t>
  </si>
  <si>
    <t>ALDI 125.SZ. SIA02950 2193692 - BANKKARTYA</t>
  </si>
  <si>
    <t>NEMZETI DOHA'NYBOLT BUDAPEST 499,00 HUF Vásárlás</t>
  </si>
  <si>
    <t>PETER MATYAS 22289107 0000734 - BANKKARTYA</t>
  </si>
  <si>
    <t>SPAR 5190 BUDAPEST 504,00 HUF Vásárlás</t>
  </si>
  <si>
    <t>Árkád Cukrászda Budapest 1.400,00 HUF Vásárlás</t>
  </si>
  <si>
    <t>Zsombolyay Balazs Czuprik-Eskuvo</t>
  </si>
  <si>
    <t>HS-Számlavezetési díjkedvezmény</t>
  </si>
  <si>
    <t>Jutalék SNKFHH0059645162 HS-Havi számlavezetési díj ONLHSFHH0LAKSAG H05w Bank által megfizetett tranzakciós illeték: 3,60 HUF</t>
  </si>
  <si>
    <t>374 COOP SZUPER 43223724 5504113 - BANKKARTYA</t>
  </si>
  <si>
    <t>ALDI 125.SZ. SIA02952 1102130 - BANKKARTYA</t>
  </si>
  <si>
    <t>OMV 2075 Budapest Fog 22.850,00 HUF Vásárlás</t>
  </si>
  <si>
    <t>TESCO 41400 O NKISZOLG BUDAPEST 17.708,00 HUF Vásárlás</t>
  </si>
  <si>
    <t>Navigátor díj 2021/05</t>
  </si>
  <si>
    <t>CATCH BUDAPEST 500,00 HUF Vásárlás</t>
  </si>
  <si>
    <t>NETFLIX.COM 408-724-9160 3.990,00 HUF Vásárlás 13,27 USD</t>
  </si>
  <si>
    <t>XIV. Bp Egressy u. 110. Társas Egressy ut 110. A 2/5 közös költség</t>
  </si>
  <si>
    <t>IKEA SOROKSAR ETTERE Budapest Sor 920,00 HUF Vásárlás</t>
  </si>
  <si>
    <t>ARKAD CUKRASZDA SALGOTARJAN 2.140,00 HUF Vásárlás</t>
  </si>
  <si>
    <t>IKEA SOROKSAR UGYFE Budapest Sor 8.850,00 HUF Vásárlás</t>
  </si>
  <si>
    <t>CZUPRIKGERGE Hivatkozási szám BCKOZP/38042673 Értékpapír számla egyenlegrendezés</t>
  </si>
  <si>
    <t>TESCO 41400 O NKISZOLG BUDAPEST 16.719,00 HUF Vásárlás</t>
  </si>
  <si>
    <t>Sütizz Kft. Budapest 2.900,00 HUF Vásárlás</t>
  </si>
  <si>
    <t>GYONGY-HAZ EKSZER BUDAPEST 33.540,00 HUF Vásárlás</t>
  </si>
  <si>
    <t>ALDI 125.SZ. BUDAPEST 2.223,00 HUF Vásárlás</t>
  </si>
  <si>
    <t>OMV 2075 Budapest Fog 20.125,00 HUF Vásárlás</t>
  </si>
  <si>
    <t>SPAR MAGYARORSZAG KFT BUDAPEST 2.596,00 HUF Vásárlás</t>
  </si>
  <si>
    <t>LIDL ARUHAZ 0167.SZ. BUDAPEST 4.785,00 HUF Vásárlás</t>
  </si>
  <si>
    <t>TESCO 41400 O NKISZOLG BUDAPEST 2.654,00 HUF Vásárlás</t>
  </si>
  <si>
    <t>LEVENDULA KE'ZMU'VES F BUDAPEST 1.723,00 HUF Vásárlás</t>
  </si>
  <si>
    <t>374 COOP SZUPER BUDAPEST 2.067,00 HUF Vásárlás</t>
  </si>
  <si>
    <t>ZOLDBOLT.HU VESZPREM 25.888,00 HUF Vásárlás</t>
  </si>
  <si>
    <t>Lehner Tamas Czuprik Gergely</t>
  </si>
  <si>
    <t>Elmű-Émász Energiaszolgáltató Zr 984140301480926005404259</t>
  </si>
  <si>
    <t>Albérlet - 110000 Ft</t>
  </si>
  <si>
    <t>Exon Hungary Kft értékbecslés EXON-2021-482</t>
  </si>
  <si>
    <t>MOL TO LTO'A'LLOMA'S HATVAN 2.499,00 HUF Vásárlás</t>
  </si>
  <si>
    <t>OMV 2075 Budapest Fog 18.852,00 HUF Vásárlás</t>
  </si>
  <si>
    <t>WELMAX DIVAT U ZLET BUDAPEST 549,00 HUF Vásárlás</t>
  </si>
  <si>
    <t>LIDL ARUHAZ 0167.SZ. BUDAPEST 5.899,00 HUF Vásárlás</t>
  </si>
  <si>
    <t>374 COOP SZUPER BUDAPEST 998,00 HUF Vásárlás</t>
  </si>
  <si>
    <t>ALDI 125.SZ. BUDAPEST 4.829,00 HUF Vásárlás</t>
  </si>
  <si>
    <t>Robert Bosch Kft. Munkabér10622618, A106226182021040 11307480002, 0638980002</t>
  </si>
  <si>
    <t>HOZAM 2021. I. NEGYEDÉV</t>
  </si>
  <si>
    <t>ALDI 125.SZ. BUDAPEST TRAN ÖSSZEG 4,829.00 HUF</t>
  </si>
  <si>
    <t>OBI 024 FOGARASI BUDAPEST 1.699,00 HUF Vásárlás</t>
  </si>
  <si>
    <t>NETFLIX.COM Amsterdam 3.990,00 HUF Vásárlás</t>
  </si>
  <si>
    <t>Sütizz Kft. Budapest 8.650,00 HUF Vásárlás</t>
  </si>
  <si>
    <t>374 COOP SZUPER BUDAPEST 2.303,00 HUF Vásárlás</t>
  </si>
  <si>
    <t>Navigátor díj 2021/04</t>
  </si>
  <si>
    <t>SHELL TO LTO'A'LL.184. BUDAPEST 25.996,00 HUF Vásárlás</t>
  </si>
  <si>
    <t>GLS D77 DEPO' ALSONEMEDI 9.950,00 HUF Vásárlás</t>
  </si>
  <si>
    <t>SPAR MAGYARORSZAG KFT BUDAPEST 3.583,00 HUF Vásárlás</t>
  </si>
  <si>
    <t>374 COOP SZUPER BUDAPEST 318,00 HUF Vásárlás</t>
  </si>
  <si>
    <t>TESCO 41400 O NKISZOLG BUDAPEST 2.954,00 HUF Vásárlás</t>
  </si>
  <si>
    <t>Dr Porvay Judit Adásvételi szerződés díja</t>
  </si>
  <si>
    <t>Fejer M Kormanyhivatal Foldhivat Martonvásár 498/57/A/3 bejegyzési d íj</t>
  </si>
  <si>
    <t>OTPMOBL VODAFONE.HU BUDAPEST 3.860,00 HUF Vásárlás</t>
  </si>
  <si>
    <t>Gabor Livia Martonvásár 498/57/A/3 foglaló és e lőleg</t>
  </si>
  <si>
    <t>LIDL ARUHAZ 0167.SZ. BUDAPEST 2.245,00 HUF Vásárlás</t>
  </si>
  <si>
    <t>SZERENCSEJATEK ZRT. BUDAPEST 1.800,00 HUF Vásárlás</t>
  </si>
  <si>
    <t>ALDI 125.SZ. BUDAPEST 1.217,00 HUF Vásárlás</t>
  </si>
  <si>
    <t>DM 393. BUDAPEST 13.088,00 HUF Vásárlás</t>
  </si>
  <si>
    <t>CZUPRIKGERGE Hivatkozási szám BIKOZP/37752206</t>
  </si>
  <si>
    <t>LIDL ARUHAZ 0167.SZ. BUDAPEST 6.228,00 HUF Vásárlás</t>
  </si>
  <si>
    <t>GLS D77 DEPO' ALSONEMEDI 8.370,00 HUF Vásárlás</t>
  </si>
  <si>
    <t>McDonalds' Egressy</t>
  </si>
  <si>
    <t>Padthai Wokbar Árkád2 Budapest 6.030,00 HUF Vásárlás</t>
  </si>
  <si>
    <t>OMV 2075 Budapest Fog 22.880,00 HUF Vásárlás</t>
  </si>
  <si>
    <t>OTPMOBL SZERENCSEJATEK BUDAPEST 1.800,00 HUF Vásárlás</t>
  </si>
  <si>
    <t>PEEK CLOPPENBURG KFT BUDAPEST 155.970,00 HUF Vásárlás</t>
  </si>
  <si>
    <t>IL TRENO Expressz - Ar Budapest 610,00 HUF Vásárlás</t>
  </si>
  <si>
    <t>374 COOP SZUPER BUDAPEST 399,00 HUF Vásárlás</t>
  </si>
  <si>
    <t>TELEKOMFELT 365785862 BUDAPEST 5.000,00 HUF Vásárlás 16,53 USD</t>
  </si>
  <si>
    <t>Matyas Czuprik Gergely</t>
  </si>
  <si>
    <t>Robert Bosch Kft. Munkabér10622618, A106226182021030 41223370021, 0629970021</t>
  </si>
  <si>
    <t>TESCO 41400 O NKISZOLG BUDAPEST 12.930,00 HUF Vásárlás</t>
  </si>
  <si>
    <t>BURLESQUE VIRAGHAZ BUDAPEST 950,00 HUF Vásárlás</t>
  </si>
  <si>
    <t>Kemal Pasa Torok Et Budapest 1.750,00 HUF Vásárlás</t>
  </si>
  <si>
    <t>Mazsa Nordik Kft. Budapest 695,00 HUF Vásárlás</t>
  </si>
  <si>
    <t>NETFLIX.COM 408-724-9160 TRAN IDEJE 20210228 61654 TRAN ÖSSZEG 3,990.00 HUF</t>
  </si>
  <si>
    <t>Előleg</t>
  </si>
  <si>
    <t>PANIFICIO IL BASILICO SZENTENDRE TRAN IDEJE 20210227 84721 TRAN ÖSSZEG 9,650.00 HUF</t>
  </si>
  <si>
    <t>OTPMOBL VODAFONE.HU BUDAPEST TRAN IDEJE 20210226 122519 TRAN ÖSSZEG 3,860.00 HUF</t>
  </si>
  <si>
    <t>ALDI 125.SZ. BUDAPEST TRAN IDEJE 20210226 164518 TRAN ÖSSZEG 4,842.00 HUF</t>
  </si>
  <si>
    <t>Kemal Pasa Torok Et Budapest 1.350,00 HUF Vásárlás</t>
  </si>
  <si>
    <t>Kiskifli kavezo Budapest 1.040,00 HUF Vásárlás</t>
  </si>
  <si>
    <t>XIV. Bp Egressy u. 110. Társas Egressy út 110/a/2/5 közösköltség</t>
  </si>
  <si>
    <t>GLS D77 DEPO' ALSONEMEDI 16.700,00 HUF Vásárlás</t>
  </si>
  <si>
    <t>Hetti-Ker. Kft. BUDAPEST 1.590,00 HUF Vásárlás</t>
  </si>
  <si>
    <t>Navigátor díj 2021/03</t>
  </si>
  <si>
    <t>OMV 2075 Budapest Fog 22.512,00 HUF Vásárlás</t>
  </si>
  <si>
    <t>LIDL ARUHAZ 0167.SZ. BUDAPEST 5.296,00 HUF Vásárlás</t>
  </si>
  <si>
    <t>OBI 024 FOGARASI BUDAPEST 8.613,00 HUF Vásárlás</t>
  </si>
  <si>
    <t>374 COOP SZUPER BUDAPEST 795,00 HUF Vásárlás</t>
  </si>
  <si>
    <t>IMO Hungary kft Budapest 1.890,00 HUF Vásárlás</t>
  </si>
  <si>
    <t>374 COOP SZUPER BUDAPEST 863,00 HUF Vásárlás</t>
  </si>
  <si>
    <t>TESCO 41400 BUDAPEST 6.088,00 HUF Vásárlás</t>
  </si>
  <si>
    <t>Elmű-Émász Energiaszolgáltató Zr 842602472630 2600540425</t>
  </si>
  <si>
    <t>ALDI 125.SZ. BUDAPEST 2.665,00 HUF Vásárlás</t>
  </si>
  <si>
    <t>TESCO 41400 O NKISZOLG BUDAPEST 1.476,00 HUF Vásárlás</t>
  </si>
  <si>
    <t>PANIFICIO IL BASILICO SZENTENDRE 5.690,00 HUF Vásárlás</t>
  </si>
  <si>
    <t>Bodo Jozsef Attila 65397-976984 méhpempő</t>
  </si>
  <si>
    <t>374 COOP SZUPER BUDAPEST 1.098,00 HUF Vásárlás</t>
  </si>
  <si>
    <t>PM-ABACUS FIZETO'AUT 4 BUDAPEST 300,00 HUF Vásárlás</t>
  </si>
  <si>
    <t>OBI 029 SZEKSZARD SZEKSZARD 599,00 HUF Vásárlás</t>
  </si>
  <si>
    <t>ALDI 125.SZ. BUDAPEST 1.776,00 HUF Vásárlás</t>
  </si>
  <si>
    <t>OMV 2075 Budapest Fog 23.954,00 HUF Vásárlás</t>
  </si>
  <si>
    <t>Robert Bosch Kft. Munkabér10622618, A106226182021020 41411190011, 0621090011</t>
  </si>
  <si>
    <t>PETER MATYAS BUDAPEST 10.000,00 HUF Vásárlás</t>
  </si>
  <si>
    <t>CATCH BUDAPEST 700,00 HUF Vásárlás</t>
  </si>
  <si>
    <t>374 COOP SZUPER BUDAPEST 937,00 HUF Vásárlás</t>
  </si>
  <si>
    <t>LIDL ARUHAZ 0167.SZ. BUDAPEST 2.326,00 HUF Vásárlás</t>
  </si>
  <si>
    <t>Albérlet -110000Ft</t>
  </si>
  <si>
    <t>MAGYAR ALLAMKINCSTAR BUDAPEST 500.000,00 HUF Vásárlás</t>
  </si>
  <si>
    <t>GLS D77 DEPO' ALSONEMEDI 12.470,00 HUF Vásárlás</t>
  </si>
  <si>
    <t>Wolt Helsinki 5.839,00 HUF Vásárlás</t>
  </si>
  <si>
    <t>NETFLIX.COM 408-724-9160 3.990,00 HUF Vásárlás 13,43 USD</t>
  </si>
  <si>
    <t>WELMAX DIVAT U ZLET BUDAPEST 699,00 HUF Vásárlás</t>
  </si>
  <si>
    <t>LIDL ARUHAZ 0167.SZ. BUDAPEST 1.041,00 HUF Vásárlás</t>
  </si>
  <si>
    <t>TESCO 41400 O NKISZOLG BUDAPEST</t>
  </si>
  <si>
    <t>374 COOP SZUPER BUDAPEST 169,00 HUF Vásárlás</t>
  </si>
  <si>
    <t>CZUPRIKGERGE Értékpapír számla egyenlegrendezés</t>
  </si>
  <si>
    <t>XIV. Bp Egressy u. 110. Társas Közös költség Egressy út 110/a/2/5</t>
  </si>
  <si>
    <t>TELEKOMFELT BUDAPEST 3.000,00 HUF Vásárlás 10,12 USD</t>
  </si>
  <si>
    <t>Navigátor díj 2021/02</t>
  </si>
  <si>
    <t>OMV 2075 Budapest Fog 22.042,00 HUF Vásárlás</t>
  </si>
  <si>
    <t>ZS PLUSZ U KFT BUDAPEST 17.170,00 HUF Vásárlás</t>
  </si>
  <si>
    <t>LIDL ARUHAZ 0167.SZ. BUDAPEST 7.359,00 HUF Vásárlás</t>
  </si>
  <si>
    <t>BURGER KING HUNGA'RIA BUDAPEST 2.780,00 HUF Vásárlás</t>
  </si>
  <si>
    <t>CATCH BUDAPEST</t>
  </si>
  <si>
    <t>374 COOP SZUPER BUDAPEST 439,00 HUF Vásárlás</t>
  </si>
  <si>
    <t>TERMELO'I TEJBOLT BUDAPEST 1.510,00 HUF Vásárlás</t>
  </si>
  <si>
    <t>TERMELO'I TEJBOLT BUDAPEST 2.810,00 HUF Vásárlás</t>
  </si>
  <si>
    <t>WELMAX DIVAT U ZLET BUDAPEST 1.299,00 HUF Vásárlás</t>
  </si>
  <si>
    <t>BEST BIDDER KFT. 8499-8450es megrendelés visszautalás</t>
  </si>
  <si>
    <t>MAGYAR ALLAMKINCSTAR BUDAPEST 200.000,00 HUF Vásárlás</t>
  </si>
  <si>
    <t>PAYPAL YUEPENGKEJI EB 35314369001 9,99 USD Vásárlás 9,99 USD 302.0700</t>
  </si>
  <si>
    <t>ALPHABED KFT. BUDAPEST 48.990,00 HUF Vásárlás</t>
  </si>
  <si>
    <t>SPAR MAGYARORSZAG KFT BUDAPEST 7.906,00 HUF Vásárlás</t>
  </si>
  <si>
    <t>cV Group Vilnius 9.141,46 HUF Vásárlás</t>
  </si>
  <si>
    <t>374 COOP SZUPER BUDAPEST 1.298,00 HUF Vásárlás</t>
  </si>
  <si>
    <t>ALDI 125.SZ. BUDAPEST 5.113,00 HUF Vásárlás</t>
  </si>
  <si>
    <t>Robert Bosch Kft. Munkabér10622618, A106226182021010 82004280026, 0612380026</t>
  </si>
  <si>
    <t>SPAR MAGYARORSZAG KFT BUDAPEST 4.273,00 HUF Vásárlás</t>
  </si>
  <si>
    <t>Revolut - 7793 GBR 200.000,00 HUF Vásárlás 674,22 USD</t>
  </si>
  <si>
    <t>AMZN Mktp US Amzn.com/bil 1,46 USD Vásárlás 1,46- USD 299.7600</t>
  </si>
  <si>
    <t>SIMPLE MATRICA BUDAPEST 5.460,00 HUF Vásárlás</t>
  </si>
  <si>
    <t>LIDL ARUHAZ 0167.SZ. BUDAPEST 5.365,00 HUF Vásárlás</t>
  </si>
  <si>
    <t>OMV 2075 Budapest Fog 14.003,00 HUF Vásárlás</t>
  </si>
  <si>
    <t>HOZAM 2020. IV. NEGYEDÉV</t>
  </si>
  <si>
    <t>LIDL ARUHAZ 0167.SZ. BUDAPEST TRAN IDEJE 20201231 111349 TRAN ÖSSZEG 5,365.00 HUF</t>
  </si>
  <si>
    <t>Delivery Hero Hungary Budapest 5.860,00 HUF Vásárlás</t>
  </si>
  <si>
    <t>MINI BOUTIQUE A'RKA'D BUDAPEST 2.680,00 HUF Vásárlás</t>
  </si>
  <si>
    <t>LIDL ARUHAZ 0167.SZ. BUDAPEST 8.146,00 HUF Vásárlás</t>
  </si>
  <si>
    <t>24 hónapos lekötés - lejárata: 2022.12.29</t>
  </si>
  <si>
    <t>ALDI 125.SZ. BUDAPEST 3.576,00 HUF Vásárlás</t>
  </si>
  <si>
    <t>IMO Hungary kft Budapest 3.140,00 HUF Vásárlás</t>
  </si>
  <si>
    <t>OMV 2075 Budapest Fog 17.535,00 HUF Vásárlás</t>
  </si>
  <si>
    <t>ALDI 125.SZ. BUDAPEST 699,00 HUF Vásárlás</t>
  </si>
  <si>
    <t>NETFLIX.COM 408-724-9160 3.990,00 HUF Vásárlás 13,44 USD</t>
  </si>
  <si>
    <t>CEWE STIFTUNG CO.KGAA BUDAPEST 7.189,00 HUF Vásárlás 24,70 USD</t>
  </si>
  <si>
    <t>Best Bidder Kft 8499 8500</t>
  </si>
  <si>
    <t>XIV. Bp Egressy u. 110. Társas Közös költség Egressy út 110a/2/5</t>
  </si>
  <si>
    <t>Elmű-Émász Energiaszolgáltató Zr 840902920316 2600540425</t>
  </si>
  <si>
    <t>Autoszerelés</t>
  </si>
  <si>
    <t>LIBRI SUGA'R BUDAPEST 5.287,00 HUF Vásárlás</t>
  </si>
  <si>
    <t>MCD EGRESSY BUDAPEST 1.670,00 HUF Vásárlás</t>
  </si>
  <si>
    <t>SPAR MAGYARORSZAG KFT BUDAPEST 3.083,00 HUF Vásárlás</t>
  </si>
  <si>
    <t>MINI BOUTIQUE A'RKA'D BUDAPEST 5.660,00 HUF Vásárlás</t>
  </si>
  <si>
    <t>IKEA ORS VEZER UGYFE Budapest 895,00 HUF Vásárlás</t>
  </si>
  <si>
    <t>ATM1156 ARKD 1106 BUDAPEST 150.000,00 HUF Kp felvét</t>
  </si>
  <si>
    <t>GRILL BUBBLES BALATONAKARA 5.000,00 HUF Vásárlás</t>
  </si>
  <si>
    <t>Navigátor díj 2021/01</t>
  </si>
  <si>
    <t>Vendéglátás JAGUAR LAND ROVER HUNGARY KFT.</t>
  </si>
  <si>
    <t>Szálláshely JAGUAR LAND ROVER HUNGARY KFT.</t>
  </si>
  <si>
    <t>LIDL ARUHAZ 0167.SZ. BUDAPEST 7.311,00 HUF Vásárlás</t>
  </si>
  <si>
    <t>LIDL ARUHAZ 0167.SZ. BUDAPEST 6.021,00 HUF Vásárlás</t>
  </si>
  <si>
    <t>ALDI 125.SZ. BUDAPEST 9.543,00 HUF Vásárlás</t>
  </si>
  <si>
    <t>MCD EGRESSY BUDAPEST 1.520,00 HUF Vásárlás</t>
  </si>
  <si>
    <t>SHELL TO LTO'A'LLOMA'S BUDAPEST 12.430,00 HUF Vásárlás</t>
  </si>
  <si>
    <t>OTPMOBL VODAFONE.HU BUDAPEST 7.439,00 HUF Vásárlás</t>
  </si>
  <si>
    <t>MOL Limitless Mobility Budapest 1.550,00 HUF Vásárlás</t>
  </si>
  <si>
    <t>Vendéglátás Netpincer.hu</t>
  </si>
  <si>
    <t>BÉK Lft Czuprik Gergely 5505-129579</t>
  </si>
  <si>
    <t>TESCO 41400 BUDAPEST 4.298,00 HUF Vásárlás</t>
  </si>
  <si>
    <t>T-PONTI.A'RKA'D BUDAPEST 990,00 HUF Vásárlás</t>
  </si>
  <si>
    <t>IKEA ORS VEZER UGYFE Budapest 4.560,00 HUF Vásárlás</t>
  </si>
  <si>
    <t>SPAR MAGYARORSZAG KFT BUDAPEST 1.527,00 HUF Vásárlás</t>
  </si>
  <si>
    <t>ALDI 125.SZ. BUDAPEST 1.247,00 HUF Vásárlás</t>
  </si>
  <si>
    <t>Kemal Pasa Torok Et Budapest 1.650,00 HUF Vásárlás</t>
  </si>
  <si>
    <t>Mazsa Nordik Kft. Budapest 535,00 HUF Vásárlás</t>
  </si>
  <si>
    <t>TESCO 41760 SALGOTARJAN 4.975,00 HUF Vásárlás</t>
  </si>
  <si>
    <t>SN3298000000110492 BUDAPEST 3.754,00 HUF Vásárlás 12,64 USD</t>
  </si>
  <si>
    <t>IKEA ORS VEZER UGYFE Budapest 4.960,00 HUF Vásárlás</t>
  </si>
  <si>
    <t>Cafe Frei ARKAD Budapest 1.800,00 HUF Vásárlás</t>
  </si>
  <si>
    <t>KARSAI ADRIENN ÁGNES</t>
  </si>
  <si>
    <t>GLS D77 DEPO' ALSONEMEDI 11.890,00 HUF Vásárlás</t>
  </si>
  <si>
    <t>Robert Bosch Kft. Munkabér10622618, A106226182020120 31436090026, 0601390026</t>
  </si>
  <si>
    <t>SPAR MAGYARORSZAG KFT BUDAPEST 1.137,00 HUF Vásárlás</t>
  </si>
  <si>
    <t>Generali Egészség-és Önsegélyező Czuprik Gergely Tagsagi azonosító 72763</t>
  </si>
  <si>
    <t>Delivery Hero Hungary Budapest 1.990,00 HUF Vásárlás</t>
  </si>
  <si>
    <t>374 COOP SZUPER BUDAPEST 209,00 HUF Vásárlás</t>
  </si>
  <si>
    <t>AMZN Mktp US 920PM4363 Amzn.com/bil 53,66 USD Vásárlás 53,66 USD 303.9400</t>
  </si>
  <si>
    <t>PAYPAL ALIPAYSINGA AL 13917489939 9,10 USD Vásárlás 9,10 USD 304.7700</t>
  </si>
  <si>
    <t>ALDI 125.SZ. BUDAPEST 6.304,00 HUF Vásárlás</t>
  </si>
  <si>
    <t>OMV 2075 Budapest Fog 11.680,00 HUF Vásárlás</t>
  </si>
  <si>
    <t>374 COOP SZUPER BUDAPEST 468,00 HUF Vásárlás</t>
  </si>
  <si>
    <t>OTPMOBL VODAFONE.HU BUDAPEST 7.008,00 HUF Vásárlás</t>
  </si>
  <si>
    <t>NETFLIX.COM 408-724-9160 3.990,00 HUF Vásárlás 13,16 USD</t>
  </si>
  <si>
    <t>Kemal Pasa Torok Et Budapest 1.150,00 HUF Vásárlás</t>
  </si>
  <si>
    <t>XIV. Bp Egressy u. 110. Társas közösköltség Egressy út 110/a/2/5</t>
  </si>
  <si>
    <t>SPAR MAGYARORSZAG KFT BUDAPEST 1.424,00 HUF Vásárlás</t>
  </si>
  <si>
    <t>SPAR MAGYARORSZAG KFT BUDAPEST 579,00 HUF Vásárlás</t>
  </si>
  <si>
    <t>NOTEBOOK A'RKA'D BUDAPEST 6.470,00 HUF Vásárlás</t>
  </si>
  <si>
    <t>Navigátor díj 2020/12</t>
  </si>
  <si>
    <t>374 COOP SZUPER BUDAPEST 797,00 HUF Vásárlás</t>
  </si>
  <si>
    <t>SN3298000000102622 BUDAPEST 3.564,00 HUF Vásárlás 11,72 USD</t>
  </si>
  <si>
    <t>Wizz Air Hungary Légiközlekedési WRF3BHNN8 GHKLWK 222169618 Refund V isszatrts</t>
  </si>
  <si>
    <t>374 COOP SZUPER BUDAPEST 649,00 HUF Vásárlás</t>
  </si>
  <si>
    <t>ALDI 125.SZ. BUDAPEST 5.107,00 HUF Vásárlás</t>
  </si>
  <si>
    <t>Amazon Prime amzn.co.uk/p 7,99 GBP Vásárlás 10,57- USD 309.9800</t>
  </si>
  <si>
    <t>TESCO 41400 O NKISZOLG BUDAPEST 1.747,00 HUF Vásárlás</t>
  </si>
  <si>
    <t>374 COOP SZUPER BUDAPEST 1.157,00 HUF Vásárlás</t>
  </si>
  <si>
    <t>ALDI 125.SZ. BUDAPEST 1.947,00 HUF Vásárlás</t>
  </si>
  <si>
    <t>LIDL ARUHAZ 0167.SZ. BUDAPEST 4.441,00 HUF Vásárlás</t>
  </si>
  <si>
    <t>Amazon Prime M787D5HD4 amzn.co.uk/p 7,99 GBP Vásárlás 10,68 USD 308.3400</t>
  </si>
  <si>
    <t>ZS PLUSZ U KFT BUDAPEST 3.399,00 HUF Vásárlás</t>
  </si>
  <si>
    <t>TESCO 41400 O NKISZOLG BUDAPEST 9.421,00 HUF Vásárlás</t>
  </si>
  <si>
    <t>PILLANGO U. 15. BUDAPEST 149.000,00 HUF Kp felvét</t>
  </si>
  <si>
    <t>OMV 2081 Budapest Kac 23.078,00 HUF Vásárlás</t>
  </si>
  <si>
    <t>IKEA ORS VEZER ETTER Budapest 3.030,00 HUF Vásárlás</t>
  </si>
  <si>
    <t>LIDL ARUHAZ 0167.SZ. BUDAPEST 9.122,00 HUF Vásárlás</t>
  </si>
  <si>
    <t>Robert Bosch Kft. Munkabér10622618, A106226182020110 51305410019, 0592710019</t>
  </si>
  <si>
    <t>CATCH BUDAPEST 750,00 HUF Vásárlás</t>
  </si>
  <si>
    <t>SIMPLE PARKOL S BUDAPEST 297,00 HUF Vásárlás</t>
  </si>
  <si>
    <t>AUCHAN BUDAORS BUDAORS 3.083,00 HUF Vásárlás</t>
  </si>
  <si>
    <t xml:space="preserve">CATCH BUDAPEST 750,00 HUF Vásárlás </t>
  </si>
  <si>
    <t xml:space="preserve">Kemal Pasa Torok Et Budapest 1.450,00 HUF Vásárlás </t>
  </si>
  <si>
    <t xml:space="preserve">WELMAX DIVAT U ZLET BUDAPEST 480,00 HUF Vásárlás </t>
  </si>
  <si>
    <t xml:space="preserve">GLS D77 DEPO' ALSONEMEDI 13.760,00 HUF Vásárlás </t>
  </si>
  <si>
    <t>NETFLIX.COM 408-724-9160 3.990,00 HUF Vásárlás 12,93 USD</t>
  </si>
  <si>
    <t xml:space="preserve">374 COOP SZUPER BUDAPEST 1.446,00 HUF Vásárlás </t>
  </si>
  <si>
    <t>CZUPRIKGERGE Hivatkozási szám BCKOZP/36884044 Értékpapír számla egyenlegrendezés</t>
  </si>
  <si>
    <t xml:space="preserve">OTPMOBL VODAFONE.HU BUDAPEST 3.860,00 HUF Vásárlás </t>
  </si>
  <si>
    <t xml:space="preserve">OTPMOBL VODAFONE.HU BUDAPEST 7.008,00 HUF Vásárlás </t>
  </si>
  <si>
    <t xml:space="preserve">AUTO-SZU'RO'BOLT BUDAPEST 27.450,00 HUF Vásárlás </t>
  </si>
  <si>
    <t xml:space="preserve">SZERENCSEJATEK ZRT. BUDAPEST 1.000,00 HUF Vásárlás </t>
  </si>
  <si>
    <t xml:space="preserve">WELMAX DIVAT U ZLET BUDAPEST 1.160,00 HUF Vásárlás </t>
  </si>
  <si>
    <t xml:space="preserve">XIV. Bp Egressy u. 110. Társas Egressy ut 110. A 2/5 közös költség </t>
  </si>
  <si>
    <t>Vendéglátás Tájfun Biliárdszalon és Étterem</t>
  </si>
  <si>
    <t xml:space="preserve">Wolt Helsinki 4.889,00 HUF Vásárlás </t>
  </si>
  <si>
    <t xml:space="preserve">ALDI 125.SZ. BUDAPEST 7.133,00 HUF Vásárlás </t>
  </si>
  <si>
    <t xml:space="preserve">HARSÁNYI JÓZSEF egyéb </t>
  </si>
  <si>
    <t xml:space="preserve">374 COOP SZUPER BUDAPEST 152,00 HUF Vásárlás </t>
  </si>
  <si>
    <t>Navigátor díj 2020/11</t>
  </si>
  <si>
    <t xml:space="preserve">MOL Limitless Mobility Budapest 2.210,00 HUF Vásárlás </t>
  </si>
  <si>
    <t>Taxi</t>
  </si>
  <si>
    <t xml:space="preserve">Halászbástya Étterem Budapest 19.000,00 HUF Vásárlás </t>
  </si>
  <si>
    <t>SumUp Taxi/Hegedus A Budapest 4.200,00 HUF Vásárlás 13,49 USD</t>
  </si>
  <si>
    <t xml:space="preserve">Paris Attila hbo </t>
  </si>
  <si>
    <t xml:space="preserve">TESCO BUDAPEST BUDAPEST 37.424,00 HUF Vásárlás </t>
  </si>
  <si>
    <t xml:space="preserve">ALDI 125.SZ. BUDAPEST 10.532,00 HUF Vásárlás </t>
  </si>
  <si>
    <t xml:space="preserve">BENU URANUS PATIKA BUDAPEST 3.199,00 HUF Vásárlás </t>
  </si>
  <si>
    <t xml:space="preserve">ALDI 125.SZ. BUDAPEST 1.506,00 HUF Vásárlás </t>
  </si>
  <si>
    <t xml:space="preserve">BKK AUTOMATA - D22 BUDAPEST 3.000,00 HUF Vásárlás </t>
  </si>
  <si>
    <t xml:space="preserve">MAGYAR ALLAMKINCSTAR BUDAPEST 500.000,00 HUF Vásárlás </t>
  </si>
  <si>
    <t xml:space="preserve">MAGYAR ALLAMKINCSTAR BUDAPEST 499.224,00 HUF Vásárlás </t>
  </si>
  <si>
    <t xml:space="preserve">89000010 BUDAPEST 49.000,00 HUF Kp felvét </t>
  </si>
  <si>
    <t>Garázs</t>
  </si>
  <si>
    <t xml:space="preserve">Webshop Partner Kft #1551 Czuprik Gergely </t>
  </si>
  <si>
    <t xml:space="preserve">JAGUAR LAND ROVER HUNGARY KFT. Munkaber utalasMunkabér </t>
  </si>
  <si>
    <t>Robert Bosch Kft. Munkabér10622618, A106226182020100 81119450018, 0582850018</t>
  </si>
  <si>
    <t xml:space="preserve">SZERENCSEJATEK ZRT. BUDAPEST 2.265,00 HUF Vásárlás </t>
  </si>
  <si>
    <t xml:space="preserve">ALDI 125.SZ. BUDAPEST 499,00 HUF Vásárlás </t>
  </si>
  <si>
    <t xml:space="preserve">TESCO 41400 O NKISZOLG BUDAPEST 14.796,00 HUF Vásárlás </t>
  </si>
  <si>
    <t xml:space="preserve">KAVEZO, CUKRASZDA BUDAPEST 5.400,00 HUF Vásárlás </t>
  </si>
  <si>
    <t xml:space="preserve">GLS D77 DEPO' ALSONEMEDI 14.040,00 HUF Vásárlás </t>
  </si>
  <si>
    <t xml:space="preserve">Elmű-Émász Energiaszolgáltató Zr 840102936184 2600540425 </t>
  </si>
  <si>
    <t xml:space="preserve">LIDL ARUHAZ 0167.SZ. BUDAPEST 4.596,00 HUF Vásárlás </t>
  </si>
  <si>
    <t>HOZAM 2020. III. NEGYEDÉV</t>
  </si>
  <si>
    <t xml:space="preserve">Kamatadó  </t>
  </si>
  <si>
    <t xml:space="preserve">JOEFALAT CATERING BUDAPEST 2.000,00 HUF Vásárlás </t>
  </si>
  <si>
    <t xml:space="preserve">Kamat  </t>
  </si>
  <si>
    <t xml:space="preserve">TESCO 41400 BUDAPEST 4.683,00 HUF Vásárlás </t>
  </si>
  <si>
    <t xml:space="preserve">OTPMOBL VODAFONE.HU BUDAPEST 7.403,00 HUF Vásárlás </t>
  </si>
  <si>
    <t>NETFLIX.COM 408-724-9160 3.990,00 HUF Vásárlás 12,80 USD</t>
  </si>
  <si>
    <t xml:space="preserve">ISTANBUL E'TTEREM BUDAPEST 1.430,00 HUF Vásárlás </t>
  </si>
  <si>
    <t>RYANAIR0000000LZM45L0 DUBLIN 1.096,40 SEK Vásárlás 123,93- USD 319.3800</t>
  </si>
  <si>
    <t xml:space="preserve">Fodor Orsolya Ajándék </t>
  </si>
  <si>
    <t xml:space="preserve">ALDI 125.SZ. BUDAPEST 2.766,00 HUF Vásárlás </t>
  </si>
  <si>
    <t xml:space="preserve">DM 393. BUDAPEST 3.847,00 HUF Vásárlás </t>
  </si>
  <si>
    <t xml:space="preserve">LIDL ARUHAZ 0167.SZ. BUDAPEST 8.549,00 HUF Vásárlás </t>
  </si>
  <si>
    <t>Navigátor díj 2020/10</t>
  </si>
  <si>
    <t xml:space="preserve">MOL TO LTO'A'LLOMA'S SALGOTARJAN 19.728,00 HUF Vásárlás </t>
  </si>
  <si>
    <t xml:space="preserve">47KC5=SIMPLE KARTYAREG BUDAPEST 100,00 HUF Vásárlás </t>
  </si>
  <si>
    <t xml:space="preserve">MAGYAR ALLAMKINCSTAR BUDAPEST 499.604,00 HUF Vásárlás </t>
  </si>
  <si>
    <t xml:space="preserve">SIMPLE PARKOL S BUDAPEST 312,00 HUF Vásárlás </t>
  </si>
  <si>
    <t xml:space="preserve">HNR6G=SIMPLE KARTYAREG BUDAPEST 100,00 HUF Vásárlás </t>
  </si>
  <si>
    <t xml:space="preserve">BURGER KING HUNGA'RIA BUDAPEST 3.920,00 HUF Vásárlás </t>
  </si>
  <si>
    <t xml:space="preserve">Betétlelejárat  </t>
  </si>
  <si>
    <t xml:space="preserve">374 COOP SZUPER BUDAPEST 478,00 HUF Vásárlás </t>
  </si>
  <si>
    <t xml:space="preserve">TAPOLCAI-TAVASBARLANG TAPOLCA 4.400,00 HUF Vásárlás </t>
  </si>
  <si>
    <t xml:space="preserve">89000010 BUDAPEST 50.000,00 HUF Kp felvét </t>
  </si>
  <si>
    <t xml:space="preserve">89000010 BUDAPEST 100.000,00 HUF Kp felvét </t>
  </si>
  <si>
    <t xml:space="preserve">TO'PART CAFFE TAPOLCA 4.000,00 HUF Vásárlás </t>
  </si>
  <si>
    <t xml:space="preserve">FREYJA BISZTRO BUDAPEST 4.470,00 HUF Vásárlás </t>
  </si>
  <si>
    <t xml:space="preserve">PEKLANY BALATONFURED 590,00 HUF Vásárlás </t>
  </si>
  <si>
    <t xml:space="preserve">KAROLINA KAVEHAZ BALATONFURED 6.000,00 HUF Vásárlás </t>
  </si>
  <si>
    <t xml:space="preserve">Folly Arboretum Kft Badacsonyors 3.000,00 HUF Vásárlás </t>
  </si>
  <si>
    <t xml:space="preserve">Tamasi Tiborne e.v. Balatongyoro 5.000,00 HUF Vásárlás </t>
  </si>
  <si>
    <t xml:space="preserve">SZIGLIGET VA'R SZIGLIGET 2.000,00 HUF Vásárlás </t>
  </si>
  <si>
    <t xml:space="preserve">LAPOSA PINCE BADACSONYTOM 15.640,00 HUF Vásárlás </t>
  </si>
  <si>
    <t xml:space="preserve">SZO'LO'HEGY BISZTRO' BADACSONYTOM 13.000,00 HUF Vásárlás </t>
  </si>
  <si>
    <t xml:space="preserve">OMV 2080 Budapest Ker 12.551,00 HUF Vásárlás </t>
  </si>
  <si>
    <t>Szálláshely Maison Bagatell Badacsony</t>
  </si>
  <si>
    <t xml:space="preserve">JOEFALAT CATERING BUDAPEST 1.800,00 HUF Vásárlás </t>
  </si>
  <si>
    <t xml:space="preserve">LIDL ARUHAZ 0167.SZ. BUDAPEST 10.695,00 HUF Vásárlás </t>
  </si>
  <si>
    <t xml:space="preserve">Mazsa Nordik Kft. Budapest 199,00 HUF Vásárlás </t>
  </si>
  <si>
    <t xml:space="preserve">ALDI 125.SZ. BUDAPEST 2.987,00 HUF Vásárlás </t>
  </si>
  <si>
    <t xml:space="preserve">ZILA KAVEHAZ BUDAPEST 5.800,00 HUF Vásárlás </t>
  </si>
  <si>
    <t xml:space="preserve">Salgótarján Gépjármű Ado Fizetés azonosító 41753 2020.09.15 </t>
  </si>
  <si>
    <t xml:space="preserve">LIDL ARUHAZ 0167.SZ. BUDAPEST 2.294,00 HUF Vásárlás </t>
  </si>
  <si>
    <t>Robert Bosch Kft. Munkabér10622618, A106226182020090 31342400002, 0572300002</t>
  </si>
  <si>
    <t xml:space="preserve">374 COOP SZUPER BUDAPEST 528,00 HUF Vásárlás </t>
  </si>
  <si>
    <t>Vendéglátás Joe Falat Catering</t>
  </si>
  <si>
    <t xml:space="preserve">PASKA'L STRANDFU RDO' BUDAPEST 6.400,00 HUF Vásárlás </t>
  </si>
  <si>
    <t xml:space="preserve">BGYH ZRT / FESTIPAY BUDAPEST 2.150,00 HUF Vásárlás </t>
  </si>
  <si>
    <t xml:space="preserve">LIDL ARUHAZ 0167.SZ. BUDAPEST 7.542,00 HUF Vásárlás </t>
  </si>
  <si>
    <t xml:space="preserve">OMV 1934 Salgotarjan 15.006,00 HUF Vásárlás </t>
  </si>
  <si>
    <t xml:space="preserve">TESCO 41400 O NKISZOLG BUDAPEST 3.204,00 HUF Vásárlás </t>
  </si>
  <si>
    <t xml:space="preserve">MAGYAR ALLAMKINCSTAR BUDAPEST 1.000.000,00 HUF Vásárlás </t>
  </si>
  <si>
    <t xml:space="preserve">BURGER KING KEREPESI BUDAPEST 2.180,00 HUF Vásárlás </t>
  </si>
  <si>
    <t>NETFLIX.COM 408-724-9160 3.990,00 HUF Vásárlás 13,26 USD</t>
  </si>
  <si>
    <t xml:space="preserve">ALDI 125.SZ. BUDAPEST 1.500,00 HUF Vásárlás </t>
  </si>
  <si>
    <t xml:space="preserve">OTPMOBL VODAFONE.HU BUDAPEST 9.412,00 HUF Vásárlás </t>
  </si>
  <si>
    <t xml:space="preserve">CZUPRIKGERGE Hivatkozási szám BIKOZP/36552636 </t>
  </si>
  <si>
    <t xml:space="preserve">UPC Magyarorszag +36 1 688 12 3.860,00 HUF Vásárlás </t>
  </si>
  <si>
    <t xml:space="preserve">CATCH BUDAPEST 2.450,00 HUF Vásárlás </t>
  </si>
  <si>
    <t xml:space="preserve">LIDL ARUHAZ 0167.SZ. BUDAPEST 3.069,00 HUF Vásárlás </t>
  </si>
  <si>
    <t xml:space="preserve">XIV. Bp Egressy u. 110. Társas Közös költség Egressy út 110/a/2/5 </t>
  </si>
  <si>
    <t xml:space="preserve">PANIFICIO IL BASILICO SZENTENDRE 2.340,00 HUF Vásárlás </t>
  </si>
  <si>
    <t xml:space="preserve">OMV 2075 Budapest Fog 20.338,00 HUF Vásárlás </t>
  </si>
  <si>
    <t xml:space="preserve">MAGYAR ALLAMKINCSTAR BUDAPEST 5.000.000,00 HUF Vásárlás </t>
  </si>
  <si>
    <t xml:space="preserve">374 COOP SZUPER BUDAPEST 3.015,00 HUF Vásárlás </t>
  </si>
  <si>
    <t xml:space="preserve">Czuprik Gergely átutalás értékpapírszámlára </t>
  </si>
  <si>
    <t>Bankkártya limitmódosítás díj</t>
  </si>
  <si>
    <t xml:space="preserve">SERCLI PEKSEG BUDAPEST 2.300,00 HUF Vásárlás </t>
  </si>
  <si>
    <t xml:space="preserve">BOTANIKUS KERT VACRATOT 2.800,00 HUF Vásárlás </t>
  </si>
  <si>
    <t>Betétlejárat</t>
  </si>
  <si>
    <t xml:space="preserve">CZUPRIKGERGE Hivatkozási szám BIKOZP/36518780 </t>
  </si>
  <si>
    <t>CZUPRIKGERGE RARA VISSZAVALT RARA Hivatkozási szám ALF/</t>
  </si>
  <si>
    <t>Navigátor díj 2020/09</t>
  </si>
  <si>
    <t xml:space="preserve">Padthai Wokbar Árkád2 Budapest 5.090,00 HUF Vásárlás </t>
  </si>
  <si>
    <t xml:space="preserve">OMV 2075 Budapest Fog 15.452,00 HUF Vásárlás </t>
  </si>
  <si>
    <t xml:space="preserve">Hetti-Ker. Kft. BUDAPEST 3.400,00 HUF Vásárlás </t>
  </si>
  <si>
    <t xml:space="preserve">Crust and Crumb Kft. Budapest 650,00 HUF Vásárlás </t>
  </si>
  <si>
    <t xml:space="preserve">LIDL ARUHAZ 0167.SZ. BUDAPEST 4.657,00 HUF Vásárlás </t>
  </si>
  <si>
    <t xml:space="preserve">PASKA'L STRANDFU RDO' BUDAPEST 4.200,00 HUF Vásárlás </t>
  </si>
  <si>
    <t xml:space="preserve">BORY-VA'R SZEKESFEHERV 3.600,00 HUF Vásárlás </t>
  </si>
  <si>
    <t xml:space="preserve">DM 393. BUDAPEST 249,00 HUF Vásárlás </t>
  </si>
  <si>
    <t>CZUPRIKGERGE CONCORDE2000 VISSZAVALT CONCORDE2000 Hivatkozási szám ALF/</t>
  </si>
  <si>
    <t>Vendéglátás (20080004-99911000-00190849) Netpincer.hu</t>
  </si>
  <si>
    <t xml:space="preserve">XV. sz. Pekaru Szak Budapest 910,00 HUF Vásárlás </t>
  </si>
  <si>
    <t xml:space="preserve">RENOTECH-97 KFT SALGOTARJAN 2.210,00 HUF Vásárlás </t>
  </si>
  <si>
    <t xml:space="preserve">PRAKTIKER 321. BUDAPEST 11.752,00 HUF Vásárlás </t>
  </si>
  <si>
    <t xml:space="preserve">THERMA'L-E'S GYO'GYFU AGARD 8.200,00 HUF Vásárlás </t>
  </si>
  <si>
    <t xml:space="preserve">OTPMOBL NETPINCER.HU BUDAPEST 2.290,00 HUF Vásárlás </t>
  </si>
  <si>
    <t xml:space="preserve">ALLIANZ HUNGARIA ÖNKÉNTESNYP 604669101 KEDV PF3//1058149 </t>
  </si>
  <si>
    <t xml:space="preserve">MCD OSZTYAPENKO BUDAPEST 4.440,00 HUF Vásárlás </t>
  </si>
  <si>
    <t>Robert Bosch Kft. Munkabér10622618, A106226182020080 71201430015, 0564930015</t>
  </si>
  <si>
    <t xml:space="preserve">OMV 2075 Budapest Fog 21.027,00 HUF Vásárlás </t>
  </si>
  <si>
    <t xml:space="preserve">CZUPRIKGERGE Hivatkozási szám BRARKD/ </t>
  </si>
  <si>
    <t xml:space="preserve">KESZEGSU TO' SALGOTARJAN 19.000,00 HUF Vásárlás </t>
  </si>
  <si>
    <t xml:space="preserve">BURGER KING A'RKA'D BUDAPEST 1.350,00 HUF Vásárlás </t>
  </si>
  <si>
    <t xml:space="preserve">KFC GO DO LLO' DT GODOLLO 1.990,00 HUF Vásárlás </t>
  </si>
  <si>
    <t xml:space="preserve">ATM1156 ARKD 1106 BUDAPEST 39.000,00 HUF Kp felvét </t>
  </si>
  <si>
    <t>ATM1156 ARKD 1106 BUDAPEST 110.000,00 HUF Kp felvét  albérlet</t>
  </si>
  <si>
    <t>NETFLIX.COM 408-724-9160 3.990,00 HUF Vásárlás 13,60 USD</t>
  </si>
  <si>
    <t>CZUPRIKGERGE Hivatkozási szám BCKOZP/36440185 Értékpapír számla egyenlegrendezés</t>
  </si>
  <si>
    <t xml:space="preserve">K H BIZTOSITO CP BUDAPEST 42.868,00 HUF Vásárlás </t>
  </si>
  <si>
    <t xml:space="preserve">GELATI FAGYLALTOZO' BUDAPEST 1.190,00 HUF Vásárlás </t>
  </si>
  <si>
    <t xml:space="preserve">OTPMOBL VODAFONE.HU BUDAPEST 7.930,00 HUF Vásárlás </t>
  </si>
  <si>
    <t xml:space="preserve">SPAR 5190 BUDAPEST 12.671,00 HUF Vásárlás </t>
  </si>
  <si>
    <t xml:space="preserve">LALETI Husipari Kft. Godollo 1.250,00 HUF Vásárlás </t>
  </si>
  <si>
    <t xml:space="preserve">IKEA ORS VEZER ETTER Budapest 1.480,00 HUF Vásárlás </t>
  </si>
  <si>
    <t xml:space="preserve">IKEA ORS VEZER BEV Budapest 3.180,00 HUF Vásárlás </t>
  </si>
  <si>
    <t xml:space="preserve">ARTIZAN PEKSEG KAVEZO BUDAPEST 1.990,00 HUF Vásárlás </t>
  </si>
  <si>
    <t xml:space="preserve">TESCO 41400 O NKISZOLG BUDAPEST 6.926,00 HUF Vásárlás </t>
  </si>
  <si>
    <t xml:space="preserve">Elmű-Émász Energiaszolgáltató Zr 840502770398 2600540425 </t>
  </si>
  <si>
    <t xml:space="preserve">Karsai István koszorú </t>
  </si>
  <si>
    <t xml:space="preserve">LIDL ARUHAZ 0167.SZ. BUDAPEST 4.420,00 HUF Vásárlás </t>
  </si>
  <si>
    <t xml:space="preserve">OMV 2075 Budapest Fog 25.187,00 HUF Vásárlás </t>
  </si>
  <si>
    <t xml:space="preserve">FERENCZ PORTA SZALAFO 2.400,00 HUF Vásárlás </t>
  </si>
  <si>
    <t xml:space="preserve">BURGER KING ZALAEGERSZ ZALEGERSZEG 3.820,00 HUF Vásárlás </t>
  </si>
  <si>
    <t xml:space="preserve">HARSFA FOGADO ORISZENTPETE 7.000,00 HUF Vásárlás </t>
  </si>
  <si>
    <t xml:space="preserve">OMAMA KAVEZOJA ORISZENTPETE 2.250,00 HUF Vásárlás </t>
  </si>
  <si>
    <t xml:space="preserve">ARTISAN BAKERY KFT. Zalaegerszeg 1.554,00 HUF Vásárlás </t>
  </si>
  <si>
    <t xml:space="preserve">O'NPI AJA'NDE'KBOLT ORISZENTPETE 1.000,00 HUF Vásárlás </t>
  </si>
  <si>
    <t xml:space="preserve">PAJTA ORISZENTPETE 3.000,00 HUF Vásárlás </t>
  </si>
  <si>
    <t xml:space="preserve">LIDL ARUHAZ 0167.SZ. BUDAPEST 4.655,00 HUF Vásárlás </t>
  </si>
  <si>
    <t xml:space="preserve">OMV 2075 Budapest Fog 19.535,00 HUF Vásárlás </t>
  </si>
  <si>
    <t>Navigátor díj 2020/08</t>
  </si>
  <si>
    <t xml:space="preserve">374 COOP SZUPER BUDAPEST 1.237,00 HUF Vásárlás </t>
  </si>
  <si>
    <t xml:space="preserve">JOEFALAT CATERING BUDAPEST 1.450,00 HUF Vásárlás </t>
  </si>
  <si>
    <t xml:space="preserve">ALDI 125.SZ. BUDAPEST 1.358,00 HUF Vásárlás </t>
  </si>
  <si>
    <t xml:space="preserve">Kiskifli kavezo Budapest 590,00 HUF Vásárlás </t>
  </si>
  <si>
    <t xml:space="preserve">LIDL ARUHAZ 0167.SZ. BUDAPEST 798,00 HUF Vásárlás </t>
  </si>
  <si>
    <t>Rubinpharma Gyógyszerészeti Bt. Gyógyszertárak által forgalmazott készítmények, te (102/696082)</t>
  </si>
  <si>
    <t xml:space="preserve">GYROS TAVERNA VERESEGYHAZ 1.470,00 HUF Vásárlás </t>
  </si>
  <si>
    <t xml:space="preserve">Kaffeine Lövöház Budapest 1.410,00 HUF Vásárlás </t>
  </si>
  <si>
    <t xml:space="preserve">Rattner Réka Czuprik Gergely + 1252 </t>
  </si>
  <si>
    <t xml:space="preserve">SPAR 0190 BUDAPEST 918,00 HUF Vásárlás </t>
  </si>
  <si>
    <t xml:space="preserve">IKEA Budapest Budapest 9.935,00 HUF Vásárlás </t>
  </si>
  <si>
    <t xml:space="preserve">IL TRENO Expressz - Va Budapest 1.100,00 HUF Vásárlás </t>
  </si>
  <si>
    <t xml:space="preserve">KI'NAI BU FE' BUDAPEST 1.000,00 HUF Vásárlás </t>
  </si>
  <si>
    <t xml:space="preserve">TESCO 41400 O NKISZOLG BUDAPEST 699,00 HUF Vásárlás </t>
  </si>
  <si>
    <t xml:space="preserve">OA'ZIS KERTE'SZET BUDAPEST 8.222,00 HUF Vásárlás </t>
  </si>
  <si>
    <t xml:space="preserve">OMV 2075 Budapest Fog 18.344,00 HUF Vásárlás </t>
  </si>
  <si>
    <t xml:space="preserve">LIDL ARUHAZ 0167.SZ. BUDAPEST 6.114,00 HUF Vásárlás </t>
  </si>
  <si>
    <t xml:space="preserve">OBI 024 FOGARASI BUDAPEST 1.395,00 HUF Vásárlás </t>
  </si>
  <si>
    <t>Robert Bosch Kft. Munkabér10622618, A106226182020070 31002200002, 0555100002</t>
  </si>
  <si>
    <t>Szabadidő (20080004-99912000-00190840) Maison Bagatell</t>
  </si>
  <si>
    <t xml:space="preserve">374 COOP SZUPER BUDAPEST 299,00 HUF Vásárlás </t>
  </si>
  <si>
    <t>HOZAM 2020. II. NEGYEDÉV</t>
  </si>
  <si>
    <t xml:space="preserve">ARTIZAN PEKSEG KAVEZO BUDAPEST 490,00 HUF Vásárlás </t>
  </si>
  <si>
    <t xml:space="preserve">ARTIZAN PEKSEG KAVEZO BUDAPEST 4.600,00 HUF Vásárlás </t>
  </si>
  <si>
    <t xml:space="preserve">OBI 024 FOGARASI BUDAPEST 13.983,00 HUF Vásárlás </t>
  </si>
  <si>
    <t xml:space="preserve">GYROS TAVERNA VERESEGYHAZ 1.520,00 HUF Vásárlás </t>
  </si>
  <si>
    <t xml:space="preserve">PANIFICIO IL BASILICO SZENTENDRE 14.000,00 HUF Vásárlás </t>
  </si>
  <si>
    <t xml:space="preserve">SHELL TO LTO'A'LLOMA'S BUDAPEST 20.379,00 HUF Vásárlás </t>
  </si>
  <si>
    <t xml:space="preserve">LIDL ARUHAZ 0136.SZ. SZENTENDRE 2.369,00 HUF Vásárlás </t>
  </si>
  <si>
    <t xml:space="preserve">Szamos Szentendre 1.300,00 HUF Vásárlás </t>
  </si>
  <si>
    <t>NETFLIX.COM 408-724-9160 3.990,00 HUF Vásárlás 12,61 USD</t>
  </si>
  <si>
    <t xml:space="preserve">IMO Hungary kft Budapest 3.040,00 HUF Vásárlás </t>
  </si>
  <si>
    <t xml:space="preserve">XIV. Bp Egressy u. 110. Társas közös költség egressy ut 110 a/2/5 </t>
  </si>
  <si>
    <t xml:space="preserve">ALDI 56.SZ. BUDAPEST 1.299,00 HUF Vásárlás </t>
  </si>
  <si>
    <t xml:space="preserve">Zsohar Fazekas rendeles czuprik Gergely </t>
  </si>
  <si>
    <t xml:space="preserve">ALDI 125.SZ. BUDAPEST 1.507,00 HUF Vásárlás </t>
  </si>
  <si>
    <t xml:space="preserve">SZERENCSEJATEK ZRT. BUDAPEST 2.540,00 HUF Vásárlás </t>
  </si>
  <si>
    <t xml:space="preserve">BENU URANUS PATIKA BUDAPEST 1.687,00 HUF Vásárlás </t>
  </si>
  <si>
    <t xml:space="preserve">GRILL BURGER VERESEGYHAZ 1.790,00 HUF Vásárlás </t>
  </si>
  <si>
    <t xml:space="preserve">374 COOP SZUPER BUDAPEST 198,00 HUF Vásárlás </t>
  </si>
  <si>
    <t>Navigátor díj 2020/07</t>
  </si>
  <si>
    <t xml:space="preserve">E-AUTOPALYAMATRICA.HU BUDAPEST 3.690,00 HUF Vásárlás </t>
  </si>
  <si>
    <t xml:space="preserve">SPAR 0190 BUDAPEST 1.799,00 HUF Vásárlás </t>
  </si>
  <si>
    <t xml:space="preserve">OBI 024 FOGARASI BUDAPEST 3.098,00 HUF Vásárlás </t>
  </si>
  <si>
    <t xml:space="preserve">OMW HU3311B Budapest 16.312,00 HUF Vásárlás </t>
  </si>
  <si>
    <t xml:space="preserve">MCDONALD'S GO DO LLO' GODOLLO 2.060,00 HUF Vásárlás </t>
  </si>
  <si>
    <t xml:space="preserve">LIDL ARUHAZ 0318.SZ. GODOLLO 348,00 HUF Vásárlás </t>
  </si>
  <si>
    <t xml:space="preserve">EXTREME DIGITAL SUGA'R BUDAPEST 19.980,00 HUF Vásárlás </t>
  </si>
  <si>
    <t xml:space="preserve">374 COOP SZUPER BUDAPEST 1.437,00 HUF Vásárlás </t>
  </si>
  <si>
    <t xml:space="preserve">Tari János - - - </t>
  </si>
  <si>
    <t xml:space="preserve">ALDI 125.SZ. BUDAPEST 1.456,00 HUF Vásárlás </t>
  </si>
  <si>
    <t xml:space="preserve">OBI 024 FOGARASI BUDAPEST 3.046,00 HUF Vásárlás </t>
  </si>
  <si>
    <t xml:space="preserve">BURGER KING KEREPESI BUDAPEST 3.730,00 HUF Vásárlás </t>
  </si>
  <si>
    <t xml:space="preserve">JAGUAR LAND ROVER HUNGARY KFT. Munkab.r utal.sMunkabér </t>
  </si>
  <si>
    <t xml:space="preserve">OBI 024 FOGARASI BUDAPEST 3.000,00 HUF Vásárlás </t>
  </si>
  <si>
    <t xml:space="preserve">LIBRI A'RKA'D I. BUDAPEST 5.789,00 HUF Vásárlás </t>
  </si>
  <si>
    <t xml:space="preserve">EXTREME DIGITAL SUGA'R BUDAPEST 8.990,00 HUF Vásárlás </t>
  </si>
  <si>
    <t xml:space="preserve">MOL T.A'LL. BUDAPEST 22.330,00 HUF Vásárlás </t>
  </si>
  <si>
    <t xml:space="preserve">Elmű-Émász Energiaszolgáltató Zr 842702089068 2600540425 </t>
  </si>
  <si>
    <t xml:space="preserve">LIDL ARUHAZ 0167.SZ. BUDAPEST 7.715,00 HUF Vásárlás </t>
  </si>
  <si>
    <t>Robert Bosch Kft. Munkabér10622618, A106226182020060 41203070007, 0546370007</t>
  </si>
  <si>
    <t xml:space="preserve">KFC GO DO LLO' DT GODOLLO 2.690,00 HUF Vásárlás </t>
  </si>
  <si>
    <t xml:space="preserve">LIDL ARUHAZ 0318.SZ. GODOLLO 706,00 HUF Vásárlás </t>
  </si>
  <si>
    <t>NETFLIX.COM 408-724-9160 3.990,00 HUF Vásárlás 12,73 USD</t>
  </si>
  <si>
    <t>2020.05. havi Adókedvezmény befizetés</t>
  </si>
  <si>
    <t xml:space="preserve">OTPMOBL VODAFONE.HU BUDAPEST 7.295,00 HUF Vásárlás </t>
  </si>
  <si>
    <t xml:space="preserve">SPAR 0190 BUDAPEST 3.753,00 HUF Vásárlás </t>
  </si>
  <si>
    <t xml:space="preserve">ALDI 125.SZ. BUDAPEST 4.474,00 HUF Vásárlás </t>
  </si>
  <si>
    <t xml:space="preserve">ATM1086 ZUGL 1140 BUDAPEST 150.000,00 HUF Kp felvét </t>
  </si>
  <si>
    <t xml:space="preserve">XIV. Bp Egressy u. 110. Társas Egressy út 110 a/2/5 közös költség </t>
  </si>
  <si>
    <t>Szabadidő (20080004-99912000-00190840) Hetedhét Nap Háza Ökovendégh</t>
  </si>
  <si>
    <t xml:space="preserve">LIDL ARUHAZ 0167.SZ. BUDAPEST 16.786,00 HUF Vásárlás </t>
  </si>
  <si>
    <t xml:space="preserve">OMV 1934/ Salgotarjan 16.049,00 HUF Vásárlás </t>
  </si>
  <si>
    <t xml:space="preserve">SPAR MAGYARORSZAG KFT SALGOTARJAN 269,00 HUF Vásárlás </t>
  </si>
  <si>
    <t xml:space="preserve">374 COOP SZUPER BUDAPEST 1.606,00 HUF Vásárlás </t>
  </si>
  <si>
    <t xml:space="preserve">BÜKKÖS EGÉSZSÉGTÁR KORLÁTOLT FELELŐ BKM-2020/5688 </t>
  </si>
  <si>
    <t xml:space="preserve">Online Programershop Kft felhasznalonev reczuprik </t>
  </si>
  <si>
    <t>Navigátor díj 2020/06</t>
  </si>
  <si>
    <t xml:space="preserve">OMV 1711/ Vac 17.414,00 HUF Vásárlás </t>
  </si>
  <si>
    <t xml:space="preserve">TESCO 41400 O NKISZOLG BUDAPEST 719,00 HUF Vásárlás </t>
  </si>
  <si>
    <t xml:space="preserve">OTPMOBL SZERENCSEJATEK BUDAPEST 1.800,00 HUF Vásárlás </t>
  </si>
  <si>
    <t xml:space="preserve">TESCO 41400 O NKISZOLG BUDAPEST 10.422,00 HUF Vásárlás </t>
  </si>
  <si>
    <t>UDEMY ONLINE COURSES DUBLIN 2 9,99 EUR Vásárlás 9,99 EUR 362.5500</t>
  </si>
  <si>
    <t xml:space="preserve">LIDL ARUHAZ 0314.SZ. SALGOTARJAN 5.320,00 HUF Vásárlás </t>
  </si>
  <si>
    <t xml:space="preserve">OMV 2081/ Budapest 18.083,00 HUF Vásárlás </t>
  </si>
  <si>
    <t xml:space="preserve">KESZEGSU TO' SALGOTARJAN 13.495,00 HUF Vásárlás </t>
  </si>
  <si>
    <t xml:space="preserve">LIDL ARUHAZ 0167.SZ. BUDAPEST 4.426,00 HUF Vásárlás </t>
  </si>
  <si>
    <t xml:space="preserve">374 COOP SZUPER BUDAPEST 928,00 HUF Vásárlás </t>
  </si>
  <si>
    <t xml:space="preserve">WWW.GYOGYASZATISHOP.HU SZENTENDRE 42.780,00 HUF Vásárlás </t>
  </si>
  <si>
    <t>Robert Bosch Kft. Munkabér10622618, A106226182020050 81431180003, 0538480003</t>
  </si>
  <si>
    <t xml:space="preserve">OTPMOBL EDIGITAL.HU BUDAPEST 11.990,00 HUF Vásárlás </t>
  </si>
  <si>
    <t xml:space="preserve">Robert Bosch Kft. 13 </t>
  </si>
  <si>
    <t>Utazás elszámolás</t>
  </si>
  <si>
    <t xml:space="preserve">LIDL ARUHAZ 0167.SZ. BUDAPEST 4.653,00 HUF Vásárlás </t>
  </si>
  <si>
    <t xml:space="preserve">MOL TO LTO'A'LL. 17100 ERD 17.830,00 HUF Vásárlás </t>
  </si>
  <si>
    <t xml:space="preserve">OTPMOBL LAPTOPCENTRUM. BUDAPEST 6.200,00 HUF Vásárlás </t>
  </si>
  <si>
    <t>Robert Bosch Kft. Munkabér10622618, A106226182020042 91333421192, 0536221192</t>
  </si>
  <si>
    <t xml:space="preserve">LIDL ARUHAZ 0167.SZ. BUDAPEST 5.043,00 HUF Vásárlás </t>
  </si>
  <si>
    <t xml:space="preserve">AUCHAN FO'T FOT 13.287,00 HUF Vásárlás </t>
  </si>
  <si>
    <t xml:space="preserve">CSIBE CUKRASZDA BAROS PASZTO 4.340,00 HUF Vásárlás </t>
  </si>
  <si>
    <t>NETFLIX.COM 408-724-9160 3.990,00 HUF Vásárlás 12,17 USD</t>
  </si>
  <si>
    <t>CZUPRIKGERGE Hivatkozási szám BCKOZP/35943391 Értékpapír számla egyenlegrendezés</t>
  </si>
  <si>
    <t xml:space="preserve">TESCO 41400 O NKISZOLG BUDAPEST 1.717,00 HUF Vásárlás </t>
  </si>
  <si>
    <t xml:space="preserve">OMV 2075/ Budapest 16.963,00 HUF Vásárlás </t>
  </si>
  <si>
    <t xml:space="preserve">LIDL ARUHAZ 0167.SZ. BUDAPEST 9.859,00 HUF Vásárlás </t>
  </si>
  <si>
    <t>Vodafone Ugyfelazonosito 31269140 Számlaszám 0616893807</t>
  </si>
  <si>
    <t xml:space="preserve">XIV. Bp Egressy u. 110. Társas közös költség egressy ut 110/a/2/5 </t>
  </si>
  <si>
    <t xml:space="preserve">STONE-PUB KISKUNLACHAZ 1.850,00 HUF Vásárlás </t>
  </si>
  <si>
    <t xml:space="preserve">EBEDSZUNET KIFOZDE KISKUNLACHAZ 1.740,00 HUF Vásárlás </t>
  </si>
  <si>
    <t xml:space="preserve">STONE-PUB KISKUNLACHAZ 1.650,00 HUF Vásárlás </t>
  </si>
  <si>
    <t>Navigátor díj 2020/05</t>
  </si>
  <si>
    <t xml:space="preserve">SHELL TO LTO'A'LLOMA'S BUDAPEST 16.668,00 HUF Vásárlás </t>
  </si>
  <si>
    <t xml:space="preserve">VILLAMOSSA'GI BOLT BATONYTERENY 3.950,00 HUF Vásárlás </t>
  </si>
  <si>
    <t xml:space="preserve">NEMZETI DOHA'NYBOLT BUDAPEST 410,00 HUF Vásárlás </t>
  </si>
  <si>
    <t xml:space="preserve">LIDL ARUHAZ 0167.SZ. BUDAPEST 10.405,00 HUF Vásárlás </t>
  </si>
  <si>
    <t xml:space="preserve">374 COOP SZUPER BUDAPEST 209,00 HUF Vásárlás </t>
  </si>
  <si>
    <t xml:space="preserve">OMV 2080/ Budapest 22.407,00 HUF Vásárlás </t>
  </si>
  <si>
    <t xml:space="preserve">PANIFICIO IL BASILICO SZENTENDRE 3.875,00 HUF Vásárlás </t>
  </si>
  <si>
    <t xml:space="preserve">Elmű-Émász Energiaszolgáltató Zr 641502446207 2600540425 </t>
  </si>
  <si>
    <t xml:space="preserve">OA'ZIS KERTE'SZET BUDAPEST 8.837,00 HUF Vásárlás </t>
  </si>
  <si>
    <t xml:space="preserve">ARTIZAN PEKSEG KAVEZO BUDAPEST 1.900,00 HUF Vásárlás </t>
  </si>
  <si>
    <t xml:space="preserve">TESCO 41400 O NKISZOLG BUDAPEST 7.863,00 HUF Vásárlás </t>
  </si>
  <si>
    <t xml:space="preserve">Cafe Frei Ferihegy Budapest 2.500,00 HUF Vásárlás </t>
  </si>
  <si>
    <t>Hotel</t>
  </si>
  <si>
    <t>HOZAM 2020. I. NEGYEDÉV</t>
  </si>
  <si>
    <t xml:space="preserve"> átrakva április 1ről: XIV. Bp Egressy u. 110. Társas Egressy ut 110 a/2/5 közös költség </t>
  </si>
  <si>
    <t>Robert Bosch Kft. Munkabér10622618, A106226182020033 01443551193, 0528151193</t>
  </si>
  <si>
    <t xml:space="preserve">BURGER KING KEREPESI BUDAPEST 3.750,00 HUF Vásárlás </t>
  </si>
  <si>
    <t xml:space="preserve">LIDL ARUHAZ 0167.SZ. BUDAPEST 6.872,00 HUF Vásárlás </t>
  </si>
  <si>
    <t>NETFLIX.COM 408-724-9160 3.990,00 HUF Vásárlás 12,38 USD</t>
  </si>
  <si>
    <t xml:space="preserve">VODAFONE POSTPAID PAYM BUDAPEST 7.910,00 HUF Vásárlás </t>
  </si>
  <si>
    <t xml:space="preserve">UPC Magyarorszag +36 1 688 12 3.740,00 HUF Vásárlás </t>
  </si>
  <si>
    <t>Navigátor díj 2020/04</t>
  </si>
  <si>
    <t xml:space="preserve">LIDL 0181 Bp. Sibri Budapest 10.315,00 HUF Vásárlás </t>
  </si>
  <si>
    <t xml:space="preserve">BENU URANUS PATIKA BUDAPEST 449,00 HUF Vásárlás </t>
  </si>
  <si>
    <t xml:space="preserve">SPAR MAGYARORSZAG KFT BUDAPEST 2.917,00 HUF Vásárlás </t>
  </si>
  <si>
    <t xml:space="preserve">ALDI 125.SZ. BUDAPEST 1.492,00 HUF Vásárlás </t>
  </si>
  <si>
    <t xml:space="preserve">MCD BUDAO RS BUDAORS 1.760,00 HUF Vásárlás </t>
  </si>
  <si>
    <t xml:space="preserve">IMO Hungary kft Budaors 2.190,00 HUF Vásárlás </t>
  </si>
  <si>
    <t xml:space="preserve">Paris Attila 6 ho hbo </t>
  </si>
  <si>
    <t xml:space="preserve">ROSSMANN 262. FOT 6.725,00 HUF Vásárlás </t>
  </si>
  <si>
    <t xml:space="preserve">NAGY E'S TA'RSA BUDAPEST 5.341,00 HUF Vásárlás </t>
  </si>
  <si>
    <t xml:space="preserve">JANKER BT. BUDAPEST 2.725,00 HUF Vásárlás </t>
  </si>
  <si>
    <t xml:space="preserve">374 COOP SZUPER BUDAPEST 1.227,00 HUF Vásárlás </t>
  </si>
  <si>
    <t xml:space="preserve">LIDL ARUHAZ 0167.SZ. BUDAPEST 3.755,00 HUF Vásárlás </t>
  </si>
  <si>
    <t xml:space="preserve">ALDI 125.SZ. BUDAPEST 1.696,00 HUF Vásárlás </t>
  </si>
  <si>
    <t xml:space="preserve">OMV 1984/ Budapest 22.973,00 HUF Vásárlás </t>
  </si>
  <si>
    <t xml:space="preserve">Budai Gesztenyés Budakeszi 16.060,00 HUF Vásárlás </t>
  </si>
  <si>
    <t xml:space="preserve">EXTREME DIGITAL SUGA'R BUDAPEST 79.990,00 HUF Vásárlás </t>
  </si>
  <si>
    <t xml:space="preserve">SPAR MAGYARORSZAG KFT BUDAPEST 3.097,00 HUF Vásárlás </t>
  </si>
  <si>
    <t xml:space="preserve">Burger Market Arkad Budapest 4.500,00 HUF Vásárlás </t>
  </si>
  <si>
    <t xml:space="preserve">OTPMOBL NETPINCER.HU BUDAPEST 2.790,00 HUF Vásárlás </t>
  </si>
  <si>
    <t xml:space="preserve">TESCO 41400 O NKISZOLG BUDAPEST 3.749,00 HUF Vásárlás </t>
  </si>
  <si>
    <t xml:space="preserve">BARION Piszkei Labatlan 3.555,00 HUF Vásárlás </t>
  </si>
  <si>
    <t xml:space="preserve">Grapoilashop Budapest 20.000,00 HUF Vásárlás </t>
  </si>
  <si>
    <t xml:space="preserve">NEMZETI DOHA'NYBOLT BUDAPEST 1.480,00 HUF Vásárlás </t>
  </si>
  <si>
    <t xml:space="preserve">LIDL ARUHAZ 0167.SZ. BUDAPEST 1.616,00 HUF Vásárlás </t>
  </si>
  <si>
    <t xml:space="preserve">ALDI 125.SZ. BUDAPEST 872,00 HUF Vásárlás </t>
  </si>
  <si>
    <t xml:space="preserve">KARSAI ADRIENN ÁGNES  </t>
  </si>
  <si>
    <t xml:space="preserve">IKEA Budapest étterem Budapest 1.800,00 HUF Vásárlás </t>
  </si>
  <si>
    <t xml:space="preserve">IKEA BP Bevásárló utca Budapest 870,00 HUF Vásárlás </t>
  </si>
  <si>
    <t xml:space="preserve">IKEA BP Bevásárló utca Budapest 3.670,00 HUF Vásárlás </t>
  </si>
  <si>
    <t>WETHERSPOON BIRMINGHAM 4,20 GBP Vásárlás 5,52 USD 302.2100</t>
  </si>
  <si>
    <t>FIVE GUYS BULLRING BIRMINGHAM 11,90 GBP Vásárlás 15,65 USD 302.2100</t>
  </si>
  <si>
    <t>JLR GAYDON WARWICK 1,95 GBP Vásárlás 2,54 USD 304.7400</t>
  </si>
  <si>
    <t>JLR GAYDON WARWICK 5,70 GBP Vásárlás 7,41 USD 304.7400</t>
  </si>
  <si>
    <t>TESCO STORE 3212 STRATFORD 9,64 GBP Vásárlás 12,53 USD 304.7400</t>
  </si>
  <si>
    <t>WELCOME BREAK-WARWICK WARWICK 8,98 GBP Vásárlás 11,61 USD 307.0400</t>
  </si>
  <si>
    <t xml:space="preserve">SHELL TO LTO'A'LLOMA'S BUDAPEST 24.228,00 HUF Vásárlás </t>
  </si>
  <si>
    <t>TESCO STORE 3212 STRATFORD 13,80 GBP Vásárlás 17,87 USD 307.7900</t>
  </si>
  <si>
    <t>KFC NORTHAMPTON DT NORTHAMPTON 7,09 GBP Vásárlás 9,18 USD 307.7900</t>
  </si>
  <si>
    <t>Vendéglátás (20080004-99911000-00190849) Robert Bosch Kft.</t>
  </si>
  <si>
    <t xml:space="preserve">BENU URANUS PATIKA BUDAPEST 7.746,00 HUF Vásárlás </t>
  </si>
  <si>
    <t xml:space="preserve">MOL T.A'LL. SALGOTARJAN 600,00 HUF Vásárlás </t>
  </si>
  <si>
    <t xml:space="preserve">MOL T.A'LL. SALGOTARJAN 1.999,00 HUF Vásárlás </t>
  </si>
  <si>
    <t xml:space="preserve">BOSCH 105 KANTIN BUDAPEST 1.181,00 HUF Vásárlás </t>
  </si>
  <si>
    <t>Munkahelyi</t>
  </si>
  <si>
    <t xml:space="preserve">BOSCH C KANTIN BUDAPEST 282,00 HUF Vásárlás </t>
  </si>
  <si>
    <t xml:space="preserve">AUCHAN U'JHEGY BUDAPEST 664,00 HUF Vásárlás </t>
  </si>
  <si>
    <t xml:space="preserve">Albert Bar Budapest 2.800,00 HUF Vásárlás </t>
  </si>
  <si>
    <t xml:space="preserve">LIDL ARUHAZ 0167.SZ. BUDAPEST 9.190,00 HUF Vásárlás </t>
  </si>
  <si>
    <t xml:space="preserve">ALDI 125.SZ. BUDAPEST 1.898,00 HUF Vásárlás </t>
  </si>
  <si>
    <t>NETFLIX.COM 408-724-9160 3.990,00 HUF Vásárlás 12,95 USD</t>
  </si>
  <si>
    <t xml:space="preserve">LIDL ARUHAZ 0167.SZ. BUDAPEST 2.011,00 HUF Vásárlás </t>
  </si>
  <si>
    <t xml:space="preserve">AUCHAN U'JHEGY BUDAPEST 2.137,00 HUF Vásárlás </t>
  </si>
  <si>
    <t xml:space="preserve">AUCHAN U'JHEGY BUDAPEST 69,00 HUF Vásárlás </t>
  </si>
  <si>
    <t>Robert Bosch Kft. Munkabér10622618, A106226182020022 71045041203, 0518041203</t>
  </si>
  <si>
    <t xml:space="preserve">LIBRI A'RKA'D I. BUDAPEST 3.345,00 HUF Vásárlás </t>
  </si>
  <si>
    <t xml:space="preserve">GRILL-LAND BUDAPEST 1.611,00 HUF Vásárlás </t>
  </si>
  <si>
    <t xml:space="preserve">AUCHAN U'JHEGY BUDAPEST 258,00 HUF Vásárlás </t>
  </si>
  <si>
    <t xml:space="preserve">POSTA1113 BUDAPEST 405,00 HUF Vásárlás </t>
  </si>
  <si>
    <t xml:space="preserve">AUCHAN U'JHEGY BUDAPEST 278,00 HUF Vásárlás </t>
  </si>
  <si>
    <t xml:space="preserve">VODAFONE POSTPAID PAYM BUDAPEST 7.008,00 HUF Vásárlás </t>
  </si>
  <si>
    <t xml:space="preserve">XIV. Bp Egressy u. 110. Társas egressy ut 110/a 2/5 közös költség </t>
  </si>
  <si>
    <t xml:space="preserve">DM 224 BUDAPEST 1.099,00 HUF Vásárlás </t>
  </si>
  <si>
    <t xml:space="preserve">BOSCH C KANTIN BUDAPEST 1.128,00 HUF Vásárlás </t>
  </si>
  <si>
    <t xml:space="preserve">BOSCH C KANTIN BUDAPEST 304,00 HUF Vásárlás </t>
  </si>
  <si>
    <t xml:space="preserve">OTPMOBL NETPINCER.HU BUDAPEST 2.550,00 HUF Vásárlás </t>
  </si>
  <si>
    <t xml:space="preserve">ROSSMANN 113. BUDAPEST 938,00 HUF Vásárlás </t>
  </si>
  <si>
    <t xml:space="preserve">ROSSMANN 113. BUDAPEST 1.722,00 HUF Vásárlás </t>
  </si>
  <si>
    <t xml:space="preserve">BOSCH B KA'VE'ZO' BUDAPEST 740,00 HUF Vásárlás </t>
  </si>
  <si>
    <t xml:space="preserve">BOSCH B KA'VE'ZO' BUDAPEST 520,00 HUF Vásárlás </t>
  </si>
  <si>
    <t xml:space="preserve">CBA PRI'MA CSEMEGE BUDAPEST 1.517,00 HUF Vásárlás </t>
  </si>
  <si>
    <t xml:space="preserve">AUCHAN U'JHEGY BUDAPEST 929,00 HUF Vásárlás </t>
  </si>
  <si>
    <t>Navigátor díj 2020/03</t>
  </si>
  <si>
    <t xml:space="preserve">OMV 2082/ Budapest 26.688,00 HUF Vásárlás </t>
  </si>
  <si>
    <t xml:space="preserve">AUCHAN U'JHEGY BUDAPEST 525,00 HUF Vásárlás </t>
  </si>
  <si>
    <t xml:space="preserve">LIDL ARUHAZ 0167.SZ. BUDAPEST 4.683,00 HUF Vásárlás </t>
  </si>
  <si>
    <t xml:space="preserve">Dömötör Júlia D-ID-17 </t>
  </si>
  <si>
    <t>Szálláshely (20080004-99910000-00190848) Hetedhét Nap Háza Ökovendégh</t>
  </si>
  <si>
    <t xml:space="preserve">MAMMUT BOWLING CLUB BUDAPEST 11.235,00 HUF Vásárlás </t>
  </si>
  <si>
    <t xml:space="preserve">BURGER KING KEREPESI BUDAPEST 1.610,00 HUF Vásárlás </t>
  </si>
  <si>
    <t xml:space="preserve">AUCHAN U'JHEGY BUDAPEST 454,00 HUF Vásárlás </t>
  </si>
  <si>
    <t xml:space="preserve">WIZZ AIRLGHKLWK Budapest 42.430,00 HUF Vásárlás </t>
  </si>
  <si>
    <t xml:space="preserve">ALDI 125.SZ. BUDAPEST 841,00 HUF Vásárlás </t>
  </si>
  <si>
    <t xml:space="preserve">AUCHAN U'JHEGY BUDAPEST 307,00 HUF Vásárlás </t>
  </si>
  <si>
    <t>RYANAIR0000000LZM45L0 DUBLIN 1.096,40 SEK Vásárlás 114,41 USD 317.2600</t>
  </si>
  <si>
    <t xml:space="preserve">Robert Bosch Kft. 51000 </t>
  </si>
  <si>
    <t xml:space="preserve">Stühmer Édességbolt Budapest 2.960,00 HUF Vásárlás </t>
  </si>
  <si>
    <t xml:space="preserve">AUCHAN U'JHEGY BUDAPEST 926,00 HUF Vásárlás </t>
  </si>
  <si>
    <t xml:space="preserve">ALDI 125.SZ. BUDAPEST 425,00 HUF Vásárlás </t>
  </si>
  <si>
    <t xml:space="preserve">AUCHAN U'JHEGY BUDAPEST 3.267,00 HUF Vásárlás </t>
  </si>
  <si>
    <t xml:space="preserve">BOSCH B KA'VE'ZO' BUDAPEST 415,00 HUF Vásárlás </t>
  </si>
  <si>
    <t xml:space="preserve">SPAR MAGYARORSZAG KFT BUDAPEST 527,00 HUF Vásárlás </t>
  </si>
  <si>
    <t xml:space="preserve">AUCHAN U'JHEGY BUDAPEST 701,00 HUF Vásárlás </t>
  </si>
  <si>
    <t xml:space="preserve">BUDAI PEKSEG BUDAPEST 1.730,00 HUF Vásárlás </t>
  </si>
  <si>
    <t xml:space="preserve">SIMPLE PARKOL S BUDAPEST 160,00 HUF Vásárlás </t>
  </si>
  <si>
    <t xml:space="preserve">SIMPLE PARKOL S BUDAPEST 933,00 HUF Vásárlás </t>
  </si>
  <si>
    <t xml:space="preserve">TESCO 41400 O NKISZOLG BUDAPEST 13.041,00 HUF Vásárlás </t>
  </si>
  <si>
    <t xml:space="preserve">BOSCH C KANTIN BUDAPEST 1.311,00 HUF Vásárlás </t>
  </si>
  <si>
    <t xml:space="preserve">SHELL T.A'LL. BUDAPEST 24.897,00 HUF Vásárlás </t>
  </si>
  <si>
    <t xml:space="preserve">PANIFICIO IL BASILICO SZENTENDRE 8.500,00 HUF Vásárlás </t>
  </si>
  <si>
    <t xml:space="preserve">OTPMOBL HU-GO.HU BUDAPEST 15.000,00 HUF Vásárlás </t>
  </si>
  <si>
    <t xml:space="preserve">374 COOP SZUPER BUDAPEST 899,00 HUF Vásárlás </t>
  </si>
  <si>
    <t xml:space="preserve">BOSCH C KANTIN BUDAPEST 651,00 HUF Vásárlás </t>
  </si>
  <si>
    <t xml:space="preserve">Elmű-Émász Energiaszolgáltató Zr 841302374804 2600540425 </t>
  </si>
  <si>
    <t xml:space="preserve">BOSCH 105 KANTIN BUDAPEST 760,00 HUF Vásárlás </t>
  </si>
  <si>
    <t xml:space="preserve">LIDL ARUHAZ 0167.SZ. BUDAPEST 3.672,00 HUF Vásárlás </t>
  </si>
  <si>
    <t xml:space="preserve">84002227 BUDAPEST 69.000,00 HUF Kp felvét </t>
  </si>
  <si>
    <t xml:space="preserve">BOSCH C KANTIN BUDAPEST 326,00 HUF Vásárlás </t>
  </si>
  <si>
    <t xml:space="preserve">ALDI 125.SZ. BUDAPEST 506,00 HUF Vásárlás </t>
  </si>
  <si>
    <t xml:space="preserve">BOSCH C KANTIN BUDAPEST 1.116,00 HUF Vásárlás </t>
  </si>
  <si>
    <t xml:space="preserve">BOSCH PIAGGIO KA'VE'ZO BUDAPEST 360,00 HUF Vásárlás </t>
  </si>
  <si>
    <t xml:space="preserve">OTPMOBL JEGY.MAV-START BUDAPEST 670,00 HUF Vásárlás </t>
  </si>
  <si>
    <t xml:space="preserve">MA'V MENETJEGY AUTOMAT BUDAPEST 708,00 HUF Vásárlás </t>
  </si>
  <si>
    <t xml:space="preserve">Stex Ház Budapest 2.139,00 HUF Vásárlás </t>
  </si>
  <si>
    <t>5248361669611243,AZ MDSBGBUVH0202 OTPMOBL JEGY.MAV-START BUDAPEST TRAN IDEJE 20200202 144238</t>
  </si>
  <si>
    <t xml:space="preserve">STONE-PUB KISKUNLACHAZ 1.800,00 HUF Vásárlás </t>
  </si>
  <si>
    <t xml:space="preserve">BKK AUTOMATA - A56 BUDAPEST 3.000,00 HUF Vásárlás </t>
  </si>
  <si>
    <t>Robert Bosch Kft. Munkabér10622618, A106226182020013 01428371215, 0508671215</t>
  </si>
  <si>
    <t xml:space="preserve">AUCHAN U'JHEGY BUDAPEST 500,00 HUF Vásárlás </t>
  </si>
  <si>
    <t xml:space="preserve">SPAR BUDAPEST 1.088,00 HUF Vásárlás </t>
  </si>
  <si>
    <t xml:space="preserve">SIMPLE PARKOL S BUDAPEST 484,00 HUF Vásárlás </t>
  </si>
  <si>
    <t xml:space="preserve">AUCHAN U'JHEGY BUDAPEST 2.500,00 HUF Vásárlás </t>
  </si>
  <si>
    <t xml:space="preserve">DM 119 MAMMUT II. BUDAPEST 3.946,00 HUF Vásárlás </t>
  </si>
  <si>
    <t xml:space="preserve">MAMMUT PATIKA BUDAPEST 1.729,00 HUF Vásárlás </t>
  </si>
  <si>
    <t>NETFLIX.COM 408-724-9160 3.990,00 HUF Vásárlás 13,04 USD</t>
  </si>
  <si>
    <t xml:space="preserve">IMO Hungary kft Budapest 2.490,00 HUF Vásárlás </t>
  </si>
  <si>
    <t xml:space="preserve">ALMA GYO'GYSZERTA'R BUDAPEST 1.241,00 HUF Vásárlás </t>
  </si>
  <si>
    <t xml:space="preserve">MARGARE'TA E'TTEREM BUDAPEST 1.300,00 HUF Vásárlás </t>
  </si>
  <si>
    <t xml:space="preserve">SIMPLE PARKOL S BUDAPEST 537,00 HUF Vásárlás </t>
  </si>
  <si>
    <t xml:space="preserve">DM 224 BUDAPEST 238,00 HUF Vásárlás </t>
  </si>
  <si>
    <t xml:space="preserve">AUCHAN U'JHEGY BUDAPEST 1.457,00 HUF Vásárlás </t>
  </si>
  <si>
    <t xml:space="preserve">XIV. Bp Egressy u. 110. Társas Egressy út 110/a/2/5 Közös költség </t>
  </si>
  <si>
    <t xml:space="preserve">KFC KO KI TERMINA'L BUDAPEST 1.990,00 HUF Vásárlás </t>
  </si>
  <si>
    <t xml:space="preserve">SIMPLE PARKOL S BUDAPEST 357,00 HUF Vásárlás </t>
  </si>
  <si>
    <t>Navigátor díj 2020/02</t>
  </si>
  <si>
    <t>CZUPRIKGERGE Hivatkozási szám BCKOZP/35391446 Értékpapír számla egyenlegrendezés</t>
  </si>
  <si>
    <t xml:space="preserve">AUCHAN U'JHEGY BUDAPEST 1.847,00 HUF Vásárlás </t>
  </si>
  <si>
    <t xml:space="preserve">AUCHAN U'JHEGY BUDAPEST 1.175,00 HUF Vásárlás </t>
  </si>
  <si>
    <t xml:space="preserve">LIDL 0167 Bp. Mogyo Budapest 9.191,00 HUF Vásárlás </t>
  </si>
  <si>
    <t xml:space="preserve">TESCO 41400 O NKISZOLG BUDAPEST 6.471,00 HUF Vásárlás </t>
  </si>
  <si>
    <t xml:space="preserve">KFC DUNAHARASZTI DUNAHARASZTI 2.490,00 HUF Vásárlás </t>
  </si>
  <si>
    <t xml:space="preserve">OMV 2081/ Budapest 23.351,00 HUF Vásárlás </t>
  </si>
  <si>
    <t xml:space="preserve">JO'E'TVA'GYAT BISTRO' BUDAPEST 1.190,00 HUF Vásárlás </t>
  </si>
  <si>
    <t xml:space="preserve">BOSCH X KA'VE'ZO' BUDAPEST 350,00 HUF Vásárlás </t>
  </si>
  <si>
    <t xml:space="preserve">ALDI 125.SZ. BUDAPEST 3.896,00 HUF Vásárlás </t>
  </si>
  <si>
    <t xml:space="preserve">AUCHAN U'JHEGY BUDAPEST 480,00 HUF Vásárlás </t>
  </si>
  <si>
    <t xml:space="preserve">MAGYAR LLAMKINCST R BUDAPEST 400.000,00 HUF Vásárlás </t>
  </si>
  <si>
    <t xml:space="preserve">OMV 1500/ Ullo 3.500,00 HUF Vásárlás </t>
  </si>
  <si>
    <t xml:space="preserve">STONE-PUB KISKUNLACHAZ 2.000,00 HUF Vásárlás </t>
  </si>
  <si>
    <t xml:space="preserve">CBA PRI'MA CSEMEGE BUDAPEST 903,00 HUF Vásárlás </t>
  </si>
  <si>
    <t>lekötés</t>
  </si>
  <si>
    <t xml:space="preserve">OMV 2098/ Retsag 1.338,00 HUF Vásárlás </t>
  </si>
  <si>
    <t>DR+Med Kft. Gyógyszertárak által forgalmazott készítmények, te (EGP/2020/001/1000083)</t>
  </si>
  <si>
    <t xml:space="preserve">GRILL-LAND BUDAPEST 1.680,00 HUF Vásárlás </t>
  </si>
  <si>
    <t xml:space="preserve">AUCHAN U'JHEGY BUDAPEST 796,00 HUF Vásárlás </t>
  </si>
  <si>
    <t xml:space="preserve">SIMPLE PARKOL S BUDAPEST 135,00 HUF Vásárlás </t>
  </si>
  <si>
    <t xml:space="preserve">CBA PRI'MA CSEMEGE BUDAPEST 839,00 HUF Vásárlás </t>
  </si>
  <si>
    <t xml:space="preserve">EOPTIKA.HU BUDAPEST 11.104,00 HUF Vásárlás </t>
  </si>
  <si>
    <t xml:space="preserve">SUGA'R PARKOLO' BUDAPEST 450,00 HUF Vásárlás </t>
  </si>
  <si>
    <t xml:space="preserve">BIOHAIR SZALON SUGA'R BUDAPEST 2.790,00 HUF Vásárlás </t>
  </si>
  <si>
    <t xml:space="preserve">BOSCH 105 KANTIN BUDAPEST 5.000,00 HUF Vásárlás </t>
  </si>
  <si>
    <t xml:space="preserve">AUCHAN U'JHEGY BUDAPEST 1.300,00 HUF Vásárlás </t>
  </si>
  <si>
    <t xml:space="preserve">IKEA Budapest étterem Budapest 500,00 HUF Vásárlás </t>
  </si>
  <si>
    <t xml:space="preserve">Cafe Frei ARKAD Budapest 500,00 HUF Vásárlás </t>
  </si>
  <si>
    <t xml:space="preserve">OBI 024 FOGARASI BUDAPEST 949,00 HUF Vásárlás </t>
  </si>
  <si>
    <t xml:space="preserve">OTPMOBL NETPINCER.HU BUDAPEST 2.090,00 HUF Vásárlás </t>
  </si>
  <si>
    <t xml:space="preserve">SUGA'R MOZI BUDAPEST 1.590,00 HUF Vásárlás </t>
  </si>
  <si>
    <t xml:space="preserve">SUGA'R MOZI BUDAPEST 1.850,00 HUF Vásárlás </t>
  </si>
  <si>
    <t xml:space="preserve">BKK AUTOMATA - D22 BUDAPEST 9.500,00 HUF Vásárlás </t>
  </si>
  <si>
    <t>Kiadások - terv 2023</t>
  </si>
  <si>
    <t>Kiadások - tény 2023</t>
  </si>
  <si>
    <t>Eltérés</t>
  </si>
  <si>
    <t>Tételek</t>
  </si>
  <si>
    <t>Terv</t>
  </si>
  <si>
    <t>Tényleges</t>
  </si>
  <si>
    <t>Különbség</t>
  </si>
  <si>
    <t>sum</t>
  </si>
  <si>
    <t>SUM</t>
  </si>
  <si>
    <t>Kiadások - terv 2022</t>
  </si>
  <si>
    <t>Kiadások - tény 2022</t>
  </si>
  <si>
    <t>Törlesztő</t>
  </si>
  <si>
    <t>Row Labels</t>
  </si>
  <si>
    <t>Sum of Összeg</t>
  </si>
  <si>
    <t>Kiadások - terv 2021</t>
  </si>
  <si>
    <t>Kiadások - tény 2021</t>
  </si>
  <si>
    <t>Grand Total</t>
  </si>
  <si>
    <t>Kiadások - terv 2020</t>
  </si>
  <si>
    <t>Kiadások - tény 2020</t>
  </si>
  <si>
    <t>Kiadások - tény 2019</t>
  </si>
  <si>
    <t>Koncert</t>
  </si>
  <si>
    <t>Átvezetés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</si>
</sst>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#,##0\ &quot;Ft&quot;;\-#,##0\ &quot;Ft&quot;"/>
    <numFmt numFmtId="6" formatCode="#,##0\ &quot;Ft&quot;;[Red]\-#,##0\ &quot;Ft&quot;"/>
    <numFmt numFmtId="42" formatCode="_-* #,##0\ &quot;Ft&quot;_-;\-* #,##0\ &quot;Ft&quot;_-;_-* &quot;-&quot;\ &quot;Ft&quot;_-;_-@_-"/>
    <numFmt numFmtId="44" formatCode="_-* #,##0.00\ &quot;Ft&quot;_-;\-* #,##0.00\ &quot;Ft&quot;_-;_-* &quot;-&quot;??\ &quot;Ft&quot;_-;_-@_-"/>
    <numFmt numFmtId="164" formatCode="_-* #,##0\ &quot;Ft&quot;_-;\-* #,##0\ &quot;Ft&quot;_-;_-* &quot;-&quot;??\ &quot;Ft&quot;_-;_-@_-"/>
    <numFmt numFmtId="165" formatCode="_-* #,##0\ [$Ft-40E]_-;\-* #,##0\ [$Ft-40E]_-;_-* &quot;-&quot;??\ [$Ft-40E]_-;_-@_-"/>
    <numFmt numFmtId="166" formatCode="#,##0&quot;Ft&quot;_);[Red]\(#,##0&quot;Ft&quot;\)"/>
    <numFmt numFmtId="167" formatCode="#,##0\ [$Ft-40E];[Red]\-#,##0\ [$Ft-40E]"/>
    <numFmt numFmtId="168" formatCode="#,##0\ [$Ft-40E];[Red]#,##0\ [$Ft-40E]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name val="Bahnschrift SemiBold"/>
      <family val="2"/>
      <charset val="238"/>
    </font>
    <font>
      <b/>
      <sz val="14"/>
      <color theme="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12A6E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theme="4" tint="0.499984740745262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44" fontId="1" fillId="0" borderId="0"/>
    <xf numFmtId="0" fontId="2" fillId="0" borderId="1"/>
    <xf numFmtId="0" fontId="3" fillId="0" borderId="2"/>
    <xf numFmtId="0" fontId="4" fillId="0" borderId="0"/>
    <xf numFmtId="0" fontId="6" fillId="0" borderId="0"/>
    <xf numFmtId="0" fontId="1" fillId="11" borderId="0"/>
    <xf numFmtId="0" fontId="1" fillId="12" borderId="0"/>
    <xf numFmtId="0" fontId="10" fillId="14" borderId="0"/>
    <xf numFmtId="0" fontId="11" fillId="15" borderId="5"/>
    <xf numFmtId="0" fontId="1" fillId="16" borderId="0"/>
    <xf numFmtId="0" fontId="14" fillId="17" borderId="0"/>
    <xf numFmtId="9" fontId="1" fillId="0" borderId="0"/>
    <xf numFmtId="42" fontId="1" fillId="0" borderId="0"/>
  </cellStyleXfs>
  <cellXfs count="89">
    <xf numFmtId="0" fontId="0" fillId="0" borderId="0" xfId="0"/>
    <xf numFmtId="14" fontId="3" fillId="0" borderId="2" xfId="3" applyNumberFormat="1"/>
    <xf numFmtId="164" fontId="0" fillId="0" borderId="0" xfId="0" applyNumberFormat="1"/>
    <xf numFmtId="0" fontId="4" fillId="0" borderId="0" xfId="4"/>
    <xf numFmtId="0" fontId="5" fillId="2" borderId="0" xfId="5" applyFont="1" applyFill="1"/>
    <xf numFmtId="164" fontId="0" fillId="0" borderId="0" xfId="1" applyNumberFormat="1" applyFont="1"/>
    <xf numFmtId="0" fontId="3" fillId="0" borderId="2" xfId="3"/>
    <xf numFmtId="0" fontId="7" fillId="3" borderId="0" xfId="5" applyFont="1" applyFill="1" applyAlignment="1">
      <alignment horizontal="left"/>
    </xf>
    <xf numFmtId="164" fontId="7" fillId="3" borderId="0" xfId="1" applyNumberFormat="1" applyFont="1" applyFill="1" applyAlignment="1">
      <alignment horizontal="left"/>
    </xf>
    <xf numFmtId="0" fontId="7" fillId="4" borderId="3" xfId="5" applyFont="1" applyFill="1" applyBorder="1" applyAlignment="1">
      <alignment horizontal="left"/>
    </xf>
    <xf numFmtId="164" fontId="7" fillId="4" borderId="3" xfId="1" applyNumberFormat="1" applyFont="1" applyFill="1" applyBorder="1" applyAlignment="1">
      <alignment horizontal="left"/>
    </xf>
    <xf numFmtId="0" fontId="7" fillId="4" borderId="3" xfId="5" applyFont="1" applyFill="1" applyBorder="1" applyAlignment="1">
      <alignment horizontal="left" indent="2"/>
    </xf>
    <xf numFmtId="0" fontId="7" fillId="5" borderId="0" xfId="5" applyFont="1" applyFill="1" applyAlignment="1">
      <alignment horizontal="left"/>
    </xf>
    <xf numFmtId="164" fontId="7" fillId="5" borderId="0" xfId="1" applyNumberFormat="1" applyFont="1" applyFill="1" applyAlignment="1">
      <alignment horizontal="left"/>
    </xf>
    <xf numFmtId="0" fontId="7" fillId="6" borderId="0" xfId="5" applyFont="1" applyFill="1" applyAlignment="1">
      <alignment horizontal="left"/>
    </xf>
    <xf numFmtId="164" fontId="7" fillId="6" borderId="0" xfId="1" applyNumberFormat="1" applyFont="1" applyFill="1" applyAlignment="1">
      <alignment horizontal="left"/>
    </xf>
    <xf numFmtId="0" fontId="7" fillId="7" borderId="0" xfId="5" applyFont="1" applyFill="1" applyAlignment="1">
      <alignment horizontal="left"/>
    </xf>
    <xf numFmtId="164" fontId="7" fillId="7" borderId="0" xfId="1" applyNumberFormat="1" applyFont="1" applyFill="1" applyAlignment="1">
      <alignment horizontal="left"/>
    </xf>
    <xf numFmtId="0" fontId="7" fillId="8" borderId="0" xfId="5" applyFont="1" applyFill="1" applyAlignment="1">
      <alignment horizontal="left"/>
    </xf>
    <xf numFmtId="164" fontId="7" fillId="8" borderId="0" xfId="1" applyNumberFormat="1" applyFont="1" applyFill="1" applyAlignment="1">
      <alignment horizontal="left"/>
    </xf>
    <xf numFmtId="0" fontId="8" fillId="9" borderId="0" xfId="0" applyFont="1" applyFill="1"/>
    <xf numFmtId="165" fontId="8" fillId="9" borderId="0" xfId="0" applyNumberFormat="1" applyFont="1" applyFill="1"/>
    <xf numFmtId="165" fontId="0" fillId="0" borderId="0" xfId="0" applyNumberFormat="1"/>
    <xf numFmtId="166" fontId="0" fillId="10" borderId="4" xfId="1" applyNumberFormat="1" applyFont="1" applyFill="1" applyBorder="1"/>
    <xf numFmtId="49" fontId="0" fillId="10" borderId="4" xfId="0" applyNumberFormat="1" applyFill="1" applyBorder="1"/>
    <xf numFmtId="0" fontId="5" fillId="2" borderId="0" xfId="5" applyFont="1" applyFill="1" applyAlignment="1">
      <alignment horizontal="center"/>
    </xf>
    <xf numFmtId="14" fontId="3" fillId="0" borderId="0" xfId="3" applyNumberFormat="1" applyBorder="1"/>
    <xf numFmtId="0" fontId="9" fillId="4" borderId="3" xfId="5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2" fillId="0" borderId="0" xfId="5" applyFont="1" applyAlignment="1">
      <alignment horizontal="left"/>
    </xf>
    <xf numFmtId="164" fontId="12" fillId="0" borderId="0" xfId="1" applyNumberFormat="1" applyFont="1" applyAlignment="1">
      <alignment horizontal="left"/>
    </xf>
    <xf numFmtId="10" fontId="0" fillId="0" borderId="0" xfId="0" applyNumberFormat="1"/>
    <xf numFmtId="0" fontId="0" fillId="0" borderId="6" xfId="0" applyBorder="1"/>
    <xf numFmtId="0" fontId="10" fillId="0" borderId="0" xfId="8" applyFill="1" applyAlignment="1">
      <alignment horizontal="center"/>
    </xf>
    <xf numFmtId="14" fontId="0" fillId="0" borderId="0" xfId="1" applyNumberFormat="1" applyFont="1"/>
    <xf numFmtId="14" fontId="0" fillId="0" borderId="0" xfId="0" applyNumberFormat="1"/>
    <xf numFmtId="1" fontId="0" fillId="0" borderId="0" xfId="0" applyNumberFormat="1"/>
    <xf numFmtId="0" fontId="0" fillId="11" borderId="0" xfId="6" applyFont="1"/>
    <xf numFmtId="0" fontId="0" fillId="16" borderId="0" xfId="10" applyFont="1"/>
    <xf numFmtId="0" fontId="9" fillId="18" borderId="3" xfId="5" applyFont="1" applyFill="1" applyBorder="1"/>
    <xf numFmtId="0" fontId="14" fillId="17" borderId="0" xfId="11" applyAlignment="1">
      <alignment horizontal="left"/>
    </xf>
    <xf numFmtId="164" fontId="14" fillId="17" borderId="0" xfId="11" applyNumberFormat="1" applyAlignment="1">
      <alignment horizontal="left"/>
    </xf>
    <xf numFmtId="0" fontId="14" fillId="17" borderId="0" xfId="11"/>
    <xf numFmtId="0" fontId="15" fillId="0" borderId="0" xfId="5" applyFont="1" applyAlignment="1">
      <alignment horizontal="left"/>
    </xf>
    <xf numFmtId="164" fontId="15" fillId="0" borderId="0" xfId="1" applyNumberFormat="1" applyFont="1" applyAlignment="1">
      <alignment horizontal="left"/>
    </xf>
    <xf numFmtId="0" fontId="16" fillId="0" borderId="0" xfId="0" applyFont="1"/>
    <xf numFmtId="14" fontId="3" fillId="0" borderId="8" xfId="3" applyNumberFormat="1" applyBorder="1"/>
    <xf numFmtId="164" fontId="7" fillId="4" borderId="9" xfId="1" applyNumberFormat="1" applyFont="1" applyFill="1" applyBorder="1" applyAlignment="1">
      <alignment horizontal="left"/>
    </xf>
    <xf numFmtId="164" fontId="7" fillId="5" borderId="7" xfId="1" applyNumberFormat="1" applyFont="1" applyFill="1" applyBorder="1" applyAlignment="1">
      <alignment horizontal="left"/>
    </xf>
    <xf numFmtId="164" fontId="7" fillId="6" borderId="7" xfId="1" applyNumberFormat="1" applyFont="1" applyFill="1" applyBorder="1" applyAlignment="1">
      <alignment horizontal="left"/>
    </xf>
    <xf numFmtId="164" fontId="7" fillId="8" borderId="7" xfId="1" applyNumberFormat="1" applyFont="1" applyFill="1" applyBorder="1" applyAlignment="1">
      <alignment horizontal="left"/>
    </xf>
    <xf numFmtId="164" fontId="7" fillId="7" borderId="7" xfId="1" applyNumberFormat="1" applyFont="1" applyFill="1" applyBorder="1" applyAlignment="1">
      <alignment horizontal="left"/>
    </xf>
    <xf numFmtId="164" fontId="7" fillId="3" borderId="7" xfId="1" applyNumberFormat="1" applyFont="1" applyFill="1" applyBorder="1" applyAlignment="1">
      <alignment horizontal="left"/>
    </xf>
    <xf numFmtId="164" fontId="15" fillId="0" borderId="7" xfId="1" applyNumberFormat="1" applyFont="1" applyBorder="1" applyAlignment="1">
      <alignment horizontal="left"/>
    </xf>
    <xf numFmtId="164" fontId="12" fillId="0" borderId="7" xfId="1" applyNumberFormat="1" applyFont="1" applyBorder="1" applyAlignment="1">
      <alignment horizontal="left"/>
    </xf>
    <xf numFmtId="165" fontId="8" fillId="9" borderId="7" xfId="0" applyNumberFormat="1" applyFont="1" applyFill="1" applyBorder="1"/>
    <xf numFmtId="0" fontId="0" fillId="0" borderId="7" xfId="0" applyBorder="1"/>
    <xf numFmtId="9" fontId="0" fillId="0" borderId="0" xfId="12" applyFont="1"/>
    <xf numFmtId="167" fontId="12" fillId="0" borderId="0" xfId="13" applyNumberFormat="1" applyFont="1" applyAlignment="1">
      <alignment horizontal="right"/>
    </xf>
    <xf numFmtId="167" fontId="12" fillId="0" borderId="7" xfId="13" applyNumberFormat="1" applyFont="1" applyBorder="1" applyAlignment="1">
      <alignment horizontal="right"/>
    </xf>
    <xf numFmtId="167" fontId="13" fillId="0" borderId="0" xfId="0" applyNumberFormat="1" applyFont="1"/>
    <xf numFmtId="14" fontId="0" fillId="10" borderId="4" xfId="0" applyNumberFormat="1" applyFill="1" applyBorder="1"/>
    <xf numFmtId="0" fontId="0" fillId="10" borderId="4" xfId="0" applyFill="1" applyBorder="1"/>
    <xf numFmtId="0" fontId="0" fillId="0" borderId="0" xfId="0"/>
    <xf numFmtId="167" fontId="0" fillId="0" borderId="0" xfId="0" applyNumberFormat="1"/>
    <xf numFmtId="0" fontId="17" fillId="0" borderId="10" xfId="2" applyFont="1" applyBorder="1" applyAlignment="1">
      <alignment horizontal="center" vertical="top"/>
    </xf>
    <xf numFmtId="5" fontId="14" fillId="17" borderId="0" xfId="11" applyNumberFormat="1" applyAlignment="1">
      <alignment horizontal="right"/>
    </xf>
    <xf numFmtId="5" fontId="14" fillId="17" borderId="7" xfId="11" applyNumberFormat="1" applyBorder="1" applyAlignment="1">
      <alignment horizontal="right"/>
    </xf>
    <xf numFmtId="44" fontId="0" fillId="0" borderId="0" xfId="1" applyFont="1"/>
    <xf numFmtId="6" fontId="0" fillId="0" borderId="0" xfId="0" applyNumberFormat="1"/>
    <xf numFmtId="6" fontId="3" fillId="0" borderId="0" xfId="3" applyNumberFormat="1" applyBorder="1"/>
    <xf numFmtId="6" fontId="11" fillId="15" borderId="5" xfId="9" applyNumberFormat="1"/>
    <xf numFmtId="6" fontId="1" fillId="12" borderId="0" xfId="7" applyNumberFormat="1"/>
    <xf numFmtId="6" fontId="1" fillId="0" borderId="0" xfId="7" applyNumberFormat="1" applyFill="1"/>
    <xf numFmtId="6" fontId="9" fillId="4" borderId="3" xfId="5" applyNumberFormat="1" applyFont="1" applyFill="1" applyBorder="1"/>
    <xf numFmtId="6" fontId="9" fillId="13" borderId="2" xfId="3" applyNumberFormat="1" applyFont="1" applyFill="1"/>
    <xf numFmtId="6" fontId="9" fillId="5" borderId="0" xfId="5" applyNumberFormat="1" applyFont="1" applyFill="1" applyAlignment="1">
      <alignment horizontal="left"/>
    </xf>
    <xf numFmtId="6" fontId="9" fillId="6" borderId="0" xfId="5" applyNumberFormat="1" applyFont="1" applyFill="1" applyAlignment="1">
      <alignment horizontal="left"/>
    </xf>
    <xf numFmtId="6" fontId="9" fillId="8" borderId="0" xfId="5" applyNumberFormat="1" applyFont="1" applyFill="1" applyAlignment="1">
      <alignment horizontal="left"/>
    </xf>
    <xf numFmtId="6" fontId="9" fillId="7" borderId="0" xfId="5" applyNumberFormat="1" applyFont="1" applyFill="1" applyAlignment="1">
      <alignment horizontal="left"/>
    </xf>
    <xf numFmtId="6" fontId="9" fillId="3" borderId="0" xfId="5" applyNumberFormat="1" applyFont="1" applyFill="1" applyAlignment="1">
      <alignment horizontal="left"/>
    </xf>
    <xf numFmtId="6" fontId="2" fillId="0" borderId="1" xfId="2" applyNumberFormat="1"/>
    <xf numFmtId="6" fontId="0" fillId="0" borderId="0" xfId="1" applyNumberFormat="1" applyFont="1"/>
    <xf numFmtId="6" fontId="0" fillId="0" borderId="6" xfId="1" applyNumberFormat="1" applyFont="1" applyBorder="1"/>
    <xf numFmtId="42" fontId="0" fillId="0" borderId="0" xfId="13" applyFont="1"/>
    <xf numFmtId="6" fontId="1" fillId="16" borderId="0" xfId="10" applyNumberFormat="1"/>
    <xf numFmtId="6" fontId="1" fillId="11" borderId="0" xfId="6" applyNumberFormat="1"/>
    <xf numFmtId="168" fontId="0" fillId="0" borderId="0" xfId="0" applyNumberFormat="1"/>
  </cellXfs>
  <cellStyles count="14">
    <cellStyle name="20% - Accent1" xfId="7" builtinId="30"/>
    <cellStyle name="20% - Accent2" xfId="10" builtinId="34"/>
    <cellStyle name="40% - Accent1" xfId="6" builtinId="31"/>
    <cellStyle name="Accent2" xfId="11" builtinId="33"/>
    <cellStyle name="Currency" xfId="1" builtinId="4"/>
    <cellStyle name="Currency [0]" xfId="13" builtinId="7"/>
    <cellStyle name="Heading 1" xfId="2" builtinId="16"/>
    <cellStyle name="Heading 2" xfId="3" builtinId="17"/>
    <cellStyle name="Heading 4" xfId="4" builtinId="19"/>
    <cellStyle name="Input" xfId="9" builtinId="20"/>
    <cellStyle name="Neutral" xfId="8" builtinId="28"/>
    <cellStyle name="Normal" xfId="0" builtinId="0"/>
    <cellStyle name="Normal 3" xfId="5" xr:uid="{00000000-0005-0000-0000-000005000000}"/>
    <cellStyle name="Percent" xfId="12" builtinId="5"/>
  </cellStyles>
  <dxfs count="7">
    <dxf>
      <numFmt numFmtId="167" formatCode="#,##0\ [$Ft-40E];[Red]\-#,##0\ [$Ft-40E]"/>
    </dxf>
    <dxf>
      <numFmt numFmtId="168" formatCode="#,##0\ [$Ft-40E];[Red]#,##0\ [$Ft-40E]"/>
    </dxf>
    <dxf>
      <numFmt numFmtId="32" formatCode="_-* #,##0\ &quot;Ft&quot;_-;\-* #,##0\ &quot;Ft&quot;_-;_-* &quot;-&quot;\ &quot;Ft&quot;_-;_-@_-"/>
    </dxf>
    <dxf>
      <numFmt numFmtId="10" formatCode="#,##0\ &quot;Ft&quot;;[Red]\-#,##0\ &quot;Ft&quot;"/>
    </dxf>
    <dxf>
      <numFmt numFmtId="10" formatCode="#,##0\ &quot;Ft&quot;;[Red]\-#,##0\ &quot;Ft&quot;"/>
    </dxf>
    <dxf>
      <alignment horizontal="general" vertical="bottom"/>
    </dxf>
    <dxf>
      <alignment horizontal="general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2022</a:t>
            </a:r>
            <a:r>
              <a:rPr lang="hu-HU" baseline="0"/>
              <a:t> Költség megoszlás</a:t>
            </a:r>
          </a:p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explosion val="24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EA7-46FD-A5BC-3C1530ADD2B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EA7-46FD-A5BC-3C1530ADD2B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EA7-46FD-A5BC-3C1530ADD2B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FEA7-46FD-A5BC-3C1530ADD2B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FEA7-46FD-A5BC-3C1530ADD2B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FEA7-46FD-A5BC-3C1530ADD2B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FEA7-46FD-A5BC-3C1530ADD2B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FEA7-46FD-A5BC-3C1530ADD2BD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('Költség Megoszlás'!$A$3:$A$5,'Költség Megoszlás'!$A$7:$A$11)</c:f>
              <c:strCache>
                <c:ptCount val="8"/>
                <c:pt idx="0">
                  <c:v>Egészség</c:v>
                </c:pt>
                <c:pt idx="1">
                  <c:v>Egyéb</c:v>
                </c:pt>
                <c:pt idx="2">
                  <c:v>Étterem</c:v>
                </c:pt>
                <c:pt idx="3">
                  <c:v>Kikapcsolódás</c:v>
                </c:pt>
                <c:pt idx="4">
                  <c:v>Közlekedés</c:v>
                </c:pt>
                <c:pt idx="5">
                  <c:v>Lakhatás</c:v>
                </c:pt>
                <c:pt idx="6">
                  <c:v>Pénzügy</c:v>
                </c:pt>
                <c:pt idx="7">
                  <c:v>Vásárlás</c:v>
                </c:pt>
              </c:strCache>
            </c:strRef>
          </c:cat>
          <c:val>
            <c:numRef>
              <c:f>('Költség Megoszlás'!$C$3:$C$5,'Költség Megoszlás'!$C$7:$C$11)</c:f>
              <c:numCache>
                <c:formatCode>"Ft"#,##0_);[Red]\("Ft"#,##0\)</c:formatCode>
                <c:ptCount val="8"/>
                <c:pt idx="0">
                  <c:v>-92123.4</c:v>
                </c:pt>
                <c:pt idx="1">
                  <c:v>-125989.6</c:v>
                </c:pt>
                <c:pt idx="2">
                  <c:v>-52284.6</c:v>
                </c:pt>
                <c:pt idx="3">
                  <c:v>-7433</c:v>
                </c:pt>
                <c:pt idx="4">
                  <c:v>-182772</c:v>
                </c:pt>
                <c:pt idx="5">
                  <c:v>-218137.51400000002</c:v>
                </c:pt>
                <c:pt idx="6">
                  <c:v>-19015.513999999999</c:v>
                </c:pt>
                <c:pt idx="7">
                  <c:v>-415058.64399999997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EA7-46FD-A5BC-3C1530ADD2B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gradFill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[penzugy.xlsx]Költség Megoszlás!PivotTable1</c:name>
    <c:fmtId val="12"/>
  </c:pivotSource>
  <c:chart>
    <c:title>
      <c:tx>
        <c:rich>
          <a:bodyPr/>
          <a:lstStyle/>
          <a:p>
            <a:r>
              <a:rPr lang="hu-HU"/>
              <a:t>None</a:t>
            </a:r>
          </a:p>
        </c:rich>
      </c:tx>
      <c:overlay val="0"/>
    </c:title>
    <c:autoTitleDeleted val="0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4"/>
        <c:spPr>
          <a:solidFill>
            <a:schemeClr val="accent3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5"/>
        <c:spPr>
          <a:solidFill>
            <a:schemeClr val="accent4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6"/>
        <c:spPr>
          <a:solidFill>
            <a:schemeClr val="accent5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7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  <a:prstDash val="solid"/>
          </a:ln>
        </c:spPr>
      </c:pivotFmt>
      <c:pivotFmt>
        <c:idx val="8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  <a:prstDash val="solid"/>
          </a:ln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</c:pivotFmts>
    <c:plotArea>
      <c:layout/>
      <c:pieChart>
        <c:varyColors val="1"/>
        <c:ser>
          <c:idx val="0"/>
          <c:order val="0"/>
          <c:tx>
            <c:strRef>
              <c:f>'Költség Megoszlás'!$B$19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560-4EFB-959B-45E8101793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560-4EFB-959B-45E8101793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D560-4EFB-959B-45E81017933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D560-4EFB-959B-45E81017933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D560-4EFB-959B-45E81017933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D560-4EFB-959B-45E81017933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D560-4EFB-959B-45E81017933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D560-4EFB-959B-45E81017933E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11-D560-4EFB-959B-45E81017933E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13-D560-4EFB-959B-45E81017933E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15-D560-4EFB-959B-45E81017933E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17-D560-4EFB-959B-45E81017933E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19-D560-4EFB-959B-45E81017933E}"/>
              </c:ext>
            </c:extLst>
          </c:dPt>
          <c:dPt>
            <c:idx val="13"/>
            <c:bubble3D val="0"/>
            <c:extLst>
              <c:ext xmlns:c16="http://schemas.microsoft.com/office/drawing/2014/chart" uri="{C3380CC4-5D6E-409C-BE32-E72D297353CC}">
                <c16:uniqueId val="{0000001B-D560-4EFB-959B-45E81017933E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1D-D560-4EFB-959B-45E81017933E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1F-D560-4EFB-959B-45E81017933E}"/>
              </c:ext>
            </c:extLst>
          </c:dPt>
          <c:dPt>
            <c:idx val="16"/>
            <c:bubble3D val="0"/>
            <c:extLst>
              <c:ext xmlns:c16="http://schemas.microsoft.com/office/drawing/2014/chart" uri="{C3380CC4-5D6E-409C-BE32-E72D297353CC}">
                <c16:uniqueId val="{00000021-D560-4EFB-959B-45E81017933E}"/>
              </c:ext>
            </c:extLst>
          </c:dPt>
          <c:dPt>
            <c:idx val="17"/>
            <c:bubble3D val="0"/>
            <c:extLst>
              <c:ext xmlns:c16="http://schemas.microsoft.com/office/drawing/2014/chart" uri="{C3380CC4-5D6E-409C-BE32-E72D297353CC}">
                <c16:uniqueId val="{00000023-D560-4EFB-959B-45E81017933E}"/>
              </c:ext>
            </c:extLst>
          </c:dPt>
          <c:dPt>
            <c:idx val="18"/>
            <c:bubble3D val="0"/>
            <c:extLst>
              <c:ext xmlns:c16="http://schemas.microsoft.com/office/drawing/2014/chart" uri="{C3380CC4-5D6E-409C-BE32-E72D297353CC}">
                <c16:uniqueId val="{00000025-D560-4EFB-959B-45E81017933E}"/>
              </c:ext>
            </c:extLst>
          </c:dPt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7-D560-4EFB-959B-45E81017933E}"/>
              </c:ext>
            </c:extLst>
          </c:dPt>
          <c:dPt>
            <c:idx val="20"/>
            <c:bubble3D val="0"/>
            <c:extLst>
              <c:ext xmlns:c16="http://schemas.microsoft.com/office/drawing/2014/chart" uri="{C3380CC4-5D6E-409C-BE32-E72D297353CC}">
                <c16:uniqueId val="{00000029-D560-4EFB-959B-45E81017933E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2B-D560-4EFB-959B-45E81017933E}"/>
              </c:ext>
            </c:extLst>
          </c:dPt>
          <c:dPt>
            <c:idx val="22"/>
            <c:bubble3D val="0"/>
            <c:extLst>
              <c:ext xmlns:c16="http://schemas.microsoft.com/office/drawing/2014/chart" uri="{C3380CC4-5D6E-409C-BE32-E72D297353CC}">
                <c16:uniqueId val="{0000002D-D560-4EFB-959B-45E81017933E}"/>
              </c:ext>
            </c:extLst>
          </c:dPt>
          <c:dPt>
            <c:idx val="23"/>
            <c:bubble3D val="0"/>
            <c:extLst>
              <c:ext xmlns:c16="http://schemas.microsoft.com/office/drawing/2014/chart" uri="{C3380CC4-5D6E-409C-BE32-E72D297353CC}">
                <c16:uniqueId val="{0000002F-D560-4EFB-959B-45E81017933E}"/>
              </c:ext>
            </c:extLst>
          </c:dPt>
          <c:dPt>
            <c:idx val="24"/>
            <c:bubble3D val="0"/>
            <c:extLst>
              <c:ext xmlns:c16="http://schemas.microsoft.com/office/drawing/2014/chart" uri="{C3380CC4-5D6E-409C-BE32-E72D297353CC}">
                <c16:uniqueId val="{00000031-D560-4EFB-959B-45E81017933E}"/>
              </c:ext>
            </c:extLst>
          </c:dPt>
          <c:dPt>
            <c:idx val="25"/>
            <c:bubble3D val="0"/>
            <c:extLst>
              <c:ext xmlns:c16="http://schemas.microsoft.com/office/drawing/2014/chart" uri="{C3380CC4-5D6E-409C-BE32-E72D297353CC}">
                <c16:uniqueId val="{00000033-D560-4EFB-959B-45E81017933E}"/>
              </c:ext>
            </c:extLst>
          </c:dPt>
          <c:dPt>
            <c:idx val="26"/>
            <c:bubble3D val="0"/>
            <c:extLst>
              <c:ext xmlns:c16="http://schemas.microsoft.com/office/drawing/2014/chart" uri="{C3380CC4-5D6E-409C-BE32-E72D297353CC}">
                <c16:uniqueId val="{00000035-D560-4EFB-959B-45E81017933E}"/>
              </c:ext>
            </c:extLst>
          </c:dPt>
          <c:dPt>
            <c:idx val="27"/>
            <c:bubble3D val="0"/>
            <c:extLst>
              <c:ext xmlns:c16="http://schemas.microsoft.com/office/drawing/2014/chart" uri="{C3380CC4-5D6E-409C-BE32-E72D297353CC}">
                <c16:uniqueId val="{00000037-D560-4EFB-959B-45E81017933E}"/>
              </c:ext>
            </c:extLst>
          </c:dPt>
          <c:dPt>
            <c:idx val="28"/>
            <c:bubble3D val="0"/>
            <c:extLst>
              <c:ext xmlns:c16="http://schemas.microsoft.com/office/drawing/2014/chart" uri="{C3380CC4-5D6E-409C-BE32-E72D297353CC}">
                <c16:uniqueId val="{00000039-D560-4EFB-959B-45E81017933E}"/>
              </c:ext>
            </c:extLst>
          </c:dPt>
          <c:dPt>
            <c:idx val="29"/>
            <c:bubble3D val="0"/>
            <c:extLst>
              <c:ext xmlns:c16="http://schemas.microsoft.com/office/drawing/2014/chart" uri="{C3380CC4-5D6E-409C-BE32-E72D297353CC}">
                <c16:uniqueId val="{0000003B-D560-4EFB-959B-45E81017933E}"/>
              </c:ext>
            </c:extLst>
          </c:dPt>
          <c:dPt>
            <c:idx val="30"/>
            <c:bubble3D val="0"/>
            <c:extLst>
              <c:ext xmlns:c16="http://schemas.microsoft.com/office/drawing/2014/chart" uri="{C3380CC4-5D6E-409C-BE32-E72D297353CC}">
                <c16:uniqueId val="{0000003D-D560-4EFB-959B-45E81017933E}"/>
              </c:ext>
            </c:extLst>
          </c:dPt>
          <c:dPt>
            <c:idx val="31"/>
            <c:bubble3D val="0"/>
            <c:extLst>
              <c:ext xmlns:c16="http://schemas.microsoft.com/office/drawing/2014/chart" uri="{C3380CC4-5D6E-409C-BE32-E72D297353CC}">
                <c16:uniqueId val="{0000003F-D560-4EFB-959B-45E81017933E}"/>
              </c:ext>
            </c:extLst>
          </c:dPt>
          <c:dPt>
            <c:idx val="32"/>
            <c:bubble3D val="0"/>
            <c:extLst>
              <c:ext xmlns:c16="http://schemas.microsoft.com/office/drawing/2014/chart" uri="{C3380CC4-5D6E-409C-BE32-E72D297353CC}">
                <c16:uniqueId val="{00000041-D560-4EFB-959B-45E81017933E}"/>
              </c:ext>
            </c:extLst>
          </c:dPt>
          <c:dPt>
            <c:idx val="33"/>
            <c:bubble3D val="0"/>
            <c:extLst>
              <c:ext xmlns:c16="http://schemas.microsoft.com/office/drawing/2014/chart" uri="{C3380CC4-5D6E-409C-BE32-E72D297353CC}">
                <c16:uniqueId val="{00000043-D560-4EFB-959B-45E81017933E}"/>
              </c:ext>
            </c:extLst>
          </c:dPt>
          <c:dPt>
            <c:idx val="34"/>
            <c:bubble3D val="0"/>
            <c:extLst>
              <c:ext xmlns:c16="http://schemas.microsoft.com/office/drawing/2014/chart" uri="{C3380CC4-5D6E-409C-BE32-E72D297353CC}">
                <c16:uniqueId val="{00000045-D560-4EFB-959B-45E81017933E}"/>
              </c:ext>
            </c:extLst>
          </c:dPt>
          <c:dPt>
            <c:idx val="35"/>
            <c:bubble3D val="0"/>
            <c:extLst>
              <c:ext xmlns:c16="http://schemas.microsoft.com/office/drawing/2014/chart" uri="{C3380CC4-5D6E-409C-BE32-E72D297353CC}">
                <c16:uniqueId val="{00000047-D560-4EFB-959B-45E81017933E}"/>
              </c:ext>
            </c:extLst>
          </c:dPt>
          <c:dPt>
            <c:idx val="36"/>
            <c:bubble3D val="0"/>
            <c:extLst>
              <c:ext xmlns:c16="http://schemas.microsoft.com/office/drawing/2014/chart" uri="{C3380CC4-5D6E-409C-BE32-E72D297353CC}">
                <c16:uniqueId val="{00000049-D560-4EFB-959B-45E81017933E}"/>
              </c:ext>
            </c:extLst>
          </c:dPt>
          <c:dPt>
            <c:idx val="37"/>
            <c:bubble3D val="0"/>
            <c:extLst>
              <c:ext xmlns:c16="http://schemas.microsoft.com/office/drawing/2014/chart" uri="{C3380CC4-5D6E-409C-BE32-E72D297353CC}">
                <c16:uniqueId val="{0000004B-D560-4EFB-959B-45E81017933E}"/>
              </c:ext>
            </c:extLst>
          </c:dPt>
          <c:dPt>
            <c:idx val="38"/>
            <c:bubble3D val="0"/>
            <c:extLst>
              <c:ext xmlns:c16="http://schemas.microsoft.com/office/drawing/2014/chart" uri="{C3380CC4-5D6E-409C-BE32-E72D297353CC}">
                <c16:uniqueId val="{0000004D-D560-4EFB-959B-45E81017933E}"/>
              </c:ext>
            </c:extLst>
          </c:dPt>
          <c:dPt>
            <c:idx val="39"/>
            <c:bubble3D val="0"/>
            <c:extLst>
              <c:ext xmlns:c16="http://schemas.microsoft.com/office/drawing/2014/chart" uri="{C3380CC4-5D6E-409C-BE32-E72D297353CC}">
                <c16:uniqueId val="{0000004F-D560-4EFB-959B-45E81017933E}"/>
              </c:ext>
            </c:extLst>
          </c:dPt>
          <c:dPt>
            <c:idx val="40"/>
            <c:bubble3D val="0"/>
            <c:extLst>
              <c:ext xmlns:c16="http://schemas.microsoft.com/office/drawing/2014/chart" uri="{C3380CC4-5D6E-409C-BE32-E72D297353CC}">
                <c16:uniqueId val="{00000051-D560-4EFB-959B-45E81017933E}"/>
              </c:ext>
            </c:extLst>
          </c:dPt>
          <c:dPt>
            <c:idx val="41"/>
            <c:bubble3D val="0"/>
            <c:extLst>
              <c:ext xmlns:c16="http://schemas.microsoft.com/office/drawing/2014/chart" uri="{C3380CC4-5D6E-409C-BE32-E72D297353CC}">
                <c16:uniqueId val="{00000053-D560-4EFB-959B-45E81017933E}"/>
              </c:ext>
            </c:extLst>
          </c:dPt>
          <c:dPt>
            <c:idx val="42"/>
            <c:bubble3D val="0"/>
            <c:extLst>
              <c:ext xmlns:c16="http://schemas.microsoft.com/office/drawing/2014/chart" uri="{C3380CC4-5D6E-409C-BE32-E72D297353CC}">
                <c16:uniqueId val="{00000055-D560-4EFB-959B-45E81017933E}"/>
              </c:ext>
            </c:extLst>
          </c:dPt>
          <c:dPt>
            <c:idx val="43"/>
            <c:bubble3D val="0"/>
            <c:extLst>
              <c:ext xmlns:c16="http://schemas.microsoft.com/office/drawing/2014/chart" uri="{C3380CC4-5D6E-409C-BE32-E72D297353CC}">
                <c16:uniqueId val="{00000057-D560-4EFB-959B-45E81017933E}"/>
              </c:ext>
            </c:extLst>
          </c:dPt>
          <c:dPt>
            <c:idx val="44"/>
            <c:bubble3D val="0"/>
            <c:extLst>
              <c:ext xmlns:c16="http://schemas.microsoft.com/office/drawing/2014/chart" uri="{C3380CC4-5D6E-409C-BE32-E72D297353CC}">
                <c16:uniqueId val="{00000059-D560-4EFB-959B-45E81017933E}"/>
              </c:ext>
            </c:extLst>
          </c:dPt>
          <c:dPt>
            <c:idx val="45"/>
            <c:bubble3D val="0"/>
            <c:extLst>
              <c:ext xmlns:c16="http://schemas.microsoft.com/office/drawing/2014/chart" uri="{C3380CC4-5D6E-409C-BE32-E72D297353CC}">
                <c16:uniqueId val="{0000005B-D560-4EFB-959B-45E81017933E}"/>
              </c:ext>
            </c:extLst>
          </c:dPt>
          <c:dPt>
            <c:idx val="46"/>
            <c:bubble3D val="0"/>
            <c:extLst>
              <c:ext xmlns:c16="http://schemas.microsoft.com/office/drawing/2014/chart" uri="{C3380CC4-5D6E-409C-BE32-E72D297353CC}">
                <c16:uniqueId val="{0000005D-D560-4EFB-959B-45E81017933E}"/>
              </c:ext>
            </c:extLst>
          </c:dPt>
          <c:dPt>
            <c:idx val="47"/>
            <c:bubble3D val="0"/>
            <c:extLst>
              <c:ext xmlns:c16="http://schemas.microsoft.com/office/drawing/2014/chart" uri="{C3380CC4-5D6E-409C-BE32-E72D297353CC}">
                <c16:uniqueId val="{0000005F-D560-4EFB-959B-45E81017933E}"/>
              </c:ext>
            </c:extLst>
          </c:dPt>
          <c:dPt>
            <c:idx val="48"/>
            <c:bubble3D val="0"/>
            <c:extLst>
              <c:ext xmlns:c16="http://schemas.microsoft.com/office/drawing/2014/chart" uri="{C3380CC4-5D6E-409C-BE32-E72D297353CC}">
                <c16:uniqueId val="{00000061-D560-4EFB-959B-45E81017933E}"/>
              </c:ext>
            </c:extLst>
          </c:dPt>
          <c:dPt>
            <c:idx val="49"/>
            <c:bubble3D val="0"/>
            <c:extLst>
              <c:ext xmlns:c16="http://schemas.microsoft.com/office/drawing/2014/chart" uri="{C3380CC4-5D6E-409C-BE32-E72D297353CC}">
                <c16:uniqueId val="{00000063-D560-4EFB-959B-45E81017933E}"/>
              </c:ext>
            </c:extLst>
          </c:dPt>
          <c:dPt>
            <c:idx val="50"/>
            <c:bubble3D val="0"/>
            <c:extLst>
              <c:ext xmlns:c16="http://schemas.microsoft.com/office/drawing/2014/chart" uri="{C3380CC4-5D6E-409C-BE32-E72D297353CC}">
                <c16:uniqueId val="{00000065-D560-4EFB-959B-45E81017933E}"/>
              </c:ext>
            </c:extLst>
          </c:dPt>
          <c:dPt>
            <c:idx val="51"/>
            <c:bubble3D val="0"/>
            <c:extLst>
              <c:ext xmlns:c16="http://schemas.microsoft.com/office/drawing/2014/chart" uri="{C3380CC4-5D6E-409C-BE32-E72D297353CC}">
                <c16:uniqueId val="{00000067-D560-4EFB-959B-45E81017933E}"/>
              </c:ext>
            </c:extLst>
          </c:dPt>
          <c:dPt>
            <c:idx val="52"/>
            <c:bubble3D val="0"/>
            <c:extLst>
              <c:ext xmlns:c16="http://schemas.microsoft.com/office/drawing/2014/chart" uri="{C3380CC4-5D6E-409C-BE32-E72D297353CC}">
                <c16:uniqueId val="{00000069-D560-4EFB-959B-45E81017933E}"/>
              </c:ext>
            </c:extLst>
          </c:dPt>
          <c:dPt>
            <c:idx val="53"/>
            <c:bubble3D val="0"/>
            <c:extLst>
              <c:ext xmlns:c16="http://schemas.microsoft.com/office/drawing/2014/chart" uri="{C3380CC4-5D6E-409C-BE32-E72D297353CC}">
                <c16:uniqueId val="{0000006B-D560-4EFB-959B-45E81017933E}"/>
              </c:ext>
            </c:extLst>
          </c:dPt>
          <c:dPt>
            <c:idx val="54"/>
            <c:bubble3D val="0"/>
            <c:extLst>
              <c:ext xmlns:c16="http://schemas.microsoft.com/office/drawing/2014/chart" uri="{C3380CC4-5D6E-409C-BE32-E72D297353CC}">
                <c16:uniqueId val="{0000006D-D560-4EFB-959B-45E81017933E}"/>
              </c:ext>
            </c:extLst>
          </c:dPt>
          <c:dPt>
            <c:idx val="55"/>
            <c:bubble3D val="0"/>
            <c:extLst>
              <c:ext xmlns:c16="http://schemas.microsoft.com/office/drawing/2014/chart" uri="{C3380CC4-5D6E-409C-BE32-E72D297353CC}">
                <c16:uniqueId val="{0000006F-D560-4EFB-959B-45E81017933E}"/>
              </c:ext>
            </c:extLst>
          </c:dPt>
          <c:dPt>
            <c:idx val="56"/>
            <c:bubble3D val="0"/>
            <c:extLst>
              <c:ext xmlns:c16="http://schemas.microsoft.com/office/drawing/2014/chart" uri="{C3380CC4-5D6E-409C-BE32-E72D297353CC}">
                <c16:uniqueId val="{00000071-D560-4EFB-959B-45E81017933E}"/>
              </c:ext>
            </c:extLst>
          </c:dPt>
          <c:dPt>
            <c:idx val="57"/>
            <c:bubble3D val="0"/>
            <c:extLst>
              <c:ext xmlns:c16="http://schemas.microsoft.com/office/drawing/2014/chart" uri="{C3380CC4-5D6E-409C-BE32-E72D297353CC}">
                <c16:uniqueId val="{00000073-D560-4EFB-959B-45E81017933E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'Költség Megoszlás'!$A$20:$A$28</c:f>
              <c:strCache>
                <c:ptCount val="8"/>
                <c:pt idx="0">
                  <c:v>Egészség</c:v>
                </c:pt>
                <c:pt idx="1">
                  <c:v>Egyéb</c:v>
                </c:pt>
                <c:pt idx="2">
                  <c:v>Étterem</c:v>
                </c:pt>
                <c:pt idx="3">
                  <c:v>Kikapcsolódás</c:v>
                </c:pt>
                <c:pt idx="4">
                  <c:v>Közlekedés</c:v>
                </c:pt>
                <c:pt idx="5">
                  <c:v>Lakhatás</c:v>
                </c:pt>
                <c:pt idx="6">
                  <c:v>Pénzügy</c:v>
                </c:pt>
                <c:pt idx="7">
                  <c:v>Vásárlás</c:v>
                </c:pt>
              </c:strCache>
            </c:strRef>
          </c:cat>
          <c:val>
            <c:numRef>
              <c:f>'Költség Megoszlás'!$B$20:$B$28</c:f>
              <c:numCache>
                <c:formatCode>#\ ##0\ [$Ft-40E];[Red]\-#\ ##0\ [$Ft-40E]</c:formatCode>
                <c:ptCount val="8"/>
                <c:pt idx="0">
                  <c:v>-460617</c:v>
                </c:pt>
                <c:pt idx="1">
                  <c:v>-29948</c:v>
                </c:pt>
                <c:pt idx="2">
                  <c:v>-264123</c:v>
                </c:pt>
                <c:pt idx="3">
                  <c:v>-37165</c:v>
                </c:pt>
                <c:pt idx="4">
                  <c:v>-913860</c:v>
                </c:pt>
                <c:pt idx="5">
                  <c:v>-2177545.4500000002</c:v>
                </c:pt>
                <c:pt idx="6">
                  <c:v>-214759.56999999989</c:v>
                </c:pt>
                <c:pt idx="7">
                  <c:v>-2075293.22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D560-4EFB-959B-45E81017933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1142999</xdr:colOff>
      <xdr:row>15</xdr:row>
      <xdr:rowOff>190498</xdr:rowOff>
    </xdr:from>
    <xdr:to>
      <xdr:col>32</xdr:col>
      <xdr:colOff>1047749</xdr:colOff>
      <xdr:row>38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235323</xdr:colOff>
      <xdr:row>18</xdr:row>
      <xdr:rowOff>68354</xdr:rowOff>
    </xdr:from>
    <xdr:to>
      <xdr:col>8</xdr:col>
      <xdr:colOff>605117</xdr:colOff>
      <xdr:row>37</xdr:row>
      <xdr:rowOff>22411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rgely/Downloads/12011069-01600373-00100007%20(9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rgely/Downloads/export_03_06_202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011069-01600373-00100007"/>
    </sheetNames>
    <sheetDataSet>
      <sheetData sheetId="0">
        <row r="3">
          <cell r="A3" t="str">
            <v>MOL 33050 sz. toltoall Balatonlelle</v>
          </cell>
          <cell r="C3" t="str">
            <v>2024.05.29., szerda</v>
          </cell>
          <cell r="F3" t="str">
            <v>-1 099,00 HUF</v>
          </cell>
        </row>
        <row r="4">
          <cell r="A4" t="str">
            <v>TelekomSzaml 713349825 Budapest</v>
          </cell>
          <cell r="C4" t="str">
            <v>2024.05.27., hétfő</v>
          </cell>
          <cell r="F4" t="str">
            <v>-8 520,00 HUF</v>
          </cell>
        </row>
        <row r="5">
          <cell r="A5" t="str">
            <v>SKYSHOWTIME 665C6 HU   Amsterdam</v>
          </cell>
          <cell r="C5" t="str">
            <v>2024.05.27., hétfő</v>
          </cell>
          <cell r="F5" t="str">
            <v>-400,00 HUF</v>
          </cell>
        </row>
        <row r="6">
          <cell r="A6" t="str">
            <v>SKYSHOWTIME 5603A Stan Amsterdam</v>
          </cell>
          <cell r="C6" t="str">
            <v>2024.05.27., hétfő</v>
          </cell>
          <cell r="F6" t="str">
            <v>-999,00 HUF</v>
          </cell>
        </row>
        <row r="7">
          <cell r="A7" t="str">
            <v>KARSAINÉ GASSER MÁRIA</v>
          </cell>
          <cell r="C7" t="str">
            <v>2024.05.27., hétfő</v>
          </cell>
          <cell r="F7" t="str">
            <v>+12 200,00 HUF</v>
          </cell>
        </row>
        <row r="8">
          <cell r="A8" t="str">
            <v>Disney Plus            Hoofddorp</v>
          </cell>
          <cell r="C8" t="str">
            <v>2024.05.21., kedd</v>
          </cell>
          <cell r="F8" t="str">
            <v>-3 090,00 HUF</v>
          </cell>
        </row>
        <row r="9">
          <cell r="A9" t="str">
            <v>SIMPLE PARKOL S        BUDAPEST</v>
          </cell>
          <cell r="C9" t="str">
            <v>2024.05.21., kedd</v>
          </cell>
          <cell r="F9" t="str">
            <v>-299,00 HUF</v>
          </cell>
        </row>
        <row r="10">
          <cell r="A10" t="str">
            <v>Sajat Unicredit</v>
          </cell>
          <cell r="C10" t="str">
            <v>2024.05.21., kedd</v>
          </cell>
          <cell r="F10" t="str">
            <v>-400 000,00 HUF</v>
          </cell>
        </row>
        <row r="11">
          <cell r="A11" t="str">
            <v>127.COOP SZUPER 1.     MARTONVASAR</v>
          </cell>
          <cell r="C11" t="str">
            <v>2024.05.13., hétfő</v>
          </cell>
          <cell r="F11" t="str">
            <v>-199,00 HUF</v>
          </cell>
        </row>
        <row r="12">
          <cell r="A12" t="str">
            <v>JAGUAR LAND ROVER HUNGARY KFT.</v>
          </cell>
          <cell r="C12" t="str">
            <v>2024.05.10., péntek</v>
          </cell>
          <cell r="F12" t="str">
            <v>+1 065 713,00 HUF</v>
          </cell>
        </row>
        <row r="13">
          <cell r="A13" t="str">
            <v>MVM NEXT ENERGIAK      BUDAPEST</v>
          </cell>
          <cell r="C13" t="str">
            <v>2024.05.08., szerda</v>
          </cell>
          <cell r="F13" t="str">
            <v>-8 517,00 HUF</v>
          </cell>
        </row>
        <row r="14">
          <cell r="A14" t="str">
            <v>OTPMOBL DIJNET.HU      BUDAPEST</v>
          </cell>
          <cell r="C14" t="str">
            <v>2024.05.07., kedd</v>
          </cell>
          <cell r="F14" t="str">
            <v>-11 511,00 HUF</v>
          </cell>
        </row>
        <row r="15">
          <cell r="A15" t="str">
            <v>Sajat Unicredit</v>
          </cell>
          <cell r="C15" t="str">
            <v>2024.05.06., hétfő</v>
          </cell>
          <cell r="F15" t="str">
            <v>-400 000,00 HUF</v>
          </cell>
        </row>
        <row r="16">
          <cell r="A16" t="str">
            <v>APPLE.COM/BILL         CORK</v>
          </cell>
          <cell r="C16" t="str">
            <v>2024.05.02., csütörtök</v>
          </cell>
          <cell r="F16" t="str">
            <v>-1 290,00 HUF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"/>
      <sheetName val="export_03_06_2024"/>
    </sheetNames>
    <sheetDataSet>
      <sheetData sheetId="0">
        <row r="5">
          <cell r="A5" t="str">
            <v>10918001-00000114-09160004</v>
          </cell>
          <cell r="B5" t="str">
            <v>13 980,00 HUF</v>
          </cell>
          <cell r="E5" t="str">
            <v>2024.05.31</v>
          </cell>
          <cell r="F5"/>
          <cell r="G5" t="str">
            <v>HUN-Budaors IKEA BUDAORS BEV ECO</v>
          </cell>
          <cell r="H5"/>
          <cell r="I5" t="str">
            <v>Áru vissza/befizetés(2024.05.29) Card:5444-0XXX-XX26-4954 MCC5712 HUN-Budaors IKEA BUDAORS BEV ECO 13.980,00 HUF</v>
          </cell>
          <cell r="J5" t="str">
            <v>Kártyatranzakció</v>
          </cell>
        </row>
        <row r="6">
          <cell r="A6" t="str">
            <v>10918001-00000114-09160004</v>
          </cell>
          <cell r="B6" t="str">
            <v>-2 613,00 HUF</v>
          </cell>
          <cell r="E6" t="str">
            <v>2024.05.31</v>
          </cell>
          <cell r="F6"/>
          <cell r="G6"/>
          <cell r="H6"/>
          <cell r="I6" t="str">
            <v>Havi zárlati díj</v>
          </cell>
          <cell r="J6"/>
        </row>
        <row r="7">
          <cell r="A7" t="str">
            <v>10918001-00000114-09160004</v>
          </cell>
          <cell r="B7" t="str">
            <v>-2 700,00 HUF</v>
          </cell>
          <cell r="E7" t="str">
            <v>2024.05.31</v>
          </cell>
          <cell r="F7"/>
          <cell r="G7" t="str">
            <v>HUN-Budapest Kemal Pasa Torok Et</v>
          </cell>
          <cell r="H7"/>
          <cell r="I7" t="str">
            <v>Vásárlás(2024.05.29) Card:5444-0XXX-XX26-4954 MCC5812 HUN-Budapest Kemal Pasa Torok Et 2.700,00 HUF</v>
          </cell>
          <cell r="J7" t="str">
            <v>Kártyatranzakció</v>
          </cell>
        </row>
        <row r="8">
          <cell r="A8" t="str">
            <v>10918001-00000114-09160004</v>
          </cell>
          <cell r="B8" t="str">
            <v>-20 000,00 HUF</v>
          </cell>
          <cell r="E8" t="str">
            <v>2024.05.31</v>
          </cell>
          <cell r="F8"/>
          <cell r="G8" t="str">
            <v>HUN-BUDAORS JYSK H824</v>
          </cell>
          <cell r="H8"/>
          <cell r="I8" t="str">
            <v>Vásárlás(2024.05.29) Card:5444-0XXX-XX26-4954 MCC5712 HUN-BUDAORS JYSK H824 20.000,00 HUF</v>
          </cell>
          <cell r="J8" t="str">
            <v>Kártyatranzakció</v>
          </cell>
        </row>
        <row r="9">
          <cell r="A9" t="str">
            <v>10918001-00000114-09160004</v>
          </cell>
          <cell r="B9" t="str">
            <v>-2 735,00 HUF</v>
          </cell>
          <cell r="E9" t="str">
            <v>2024.05.30</v>
          </cell>
          <cell r="F9"/>
          <cell r="G9" t="str">
            <v>LTU-Vilnius VINTED 9596902041</v>
          </cell>
          <cell r="H9"/>
          <cell r="I9" t="str">
            <v>Vásárlás(2024.05.28) Card:5444-0XXX-XX26-4954 MCC5931 LTU-Vilnius VINTED 9596902041 2.735,00 HUF</v>
          </cell>
          <cell r="J9" t="str">
            <v>Kártyatranzakció</v>
          </cell>
        </row>
        <row r="10">
          <cell r="A10" t="str">
            <v>10918001-00000114-09160004</v>
          </cell>
          <cell r="B10" t="str">
            <v>-3 755,00 HUF</v>
          </cell>
          <cell r="E10" t="str">
            <v>2024.05.29</v>
          </cell>
          <cell r="F10"/>
          <cell r="G10" t="str">
            <v>HUN-BALATONLELLE MOL 33040</v>
          </cell>
          <cell r="H10"/>
          <cell r="I10" t="str">
            <v>Vásárlás(2024.05.27) Card:5444-0XXX-XX26-4954 MCC5541 HUN-BALATONLELLE MOL 33040 3.755,00 HUF</v>
          </cell>
          <cell r="J10" t="str">
            <v>Kártyatranzakció</v>
          </cell>
        </row>
        <row r="11">
          <cell r="A11" t="str">
            <v>10918001-00000114-09160004</v>
          </cell>
          <cell r="B11" t="str">
            <v>-22 850,00 HUF</v>
          </cell>
          <cell r="E11" t="str">
            <v>2024.05.29</v>
          </cell>
          <cell r="F11"/>
          <cell r="G11" t="str">
            <v>HUN-Agard LIDL HU 306 Agard</v>
          </cell>
          <cell r="H11"/>
          <cell r="I11" t="str">
            <v>Vásárlás(2024.05.27) Card:5444-0XXX-XX26-4954 MCC5411 HUN-Agard LIDL HU 306 Agard 22.850,00 HUF</v>
          </cell>
          <cell r="J11" t="str">
            <v>Kártyatranzakció</v>
          </cell>
        </row>
        <row r="12">
          <cell r="A12" t="str">
            <v>10918001-00000114-09160004</v>
          </cell>
          <cell r="B12" t="str">
            <v>-555,00 HUF</v>
          </cell>
          <cell r="E12" t="str">
            <v>2024.05.28</v>
          </cell>
          <cell r="F12"/>
          <cell r="G12"/>
          <cell r="H12"/>
          <cell r="I12" t="str">
            <v>5444 XXXX XXXX 4954 / null</v>
          </cell>
          <cell r="J12"/>
        </row>
        <row r="13">
          <cell r="A13" t="str">
            <v>10918001-00000114-09160004</v>
          </cell>
          <cell r="B13" t="str">
            <v>-16 042,00 HUF</v>
          </cell>
          <cell r="E13" t="str">
            <v>2024.05.28</v>
          </cell>
          <cell r="F13"/>
          <cell r="G13" t="str">
            <v>HUN-BUDAORS OBI 010 BUDAORS</v>
          </cell>
          <cell r="H13"/>
          <cell r="I13" t="str">
            <v>Vásárlás(2024.05.26) Card:5444-0XXX-XX26-4954 MCC5200 HUN-BUDAORS OBI 010 BUDAORS 16.042,00 HUF</v>
          </cell>
          <cell r="J13" t="str">
            <v>Kártyatranzakció</v>
          </cell>
        </row>
        <row r="14">
          <cell r="A14" t="str">
            <v>10918001-00000114-09160004</v>
          </cell>
          <cell r="B14" t="str">
            <v>-500,00 HUF</v>
          </cell>
          <cell r="E14" t="str">
            <v>2024.05.27</v>
          </cell>
          <cell r="F14"/>
          <cell r="G14" t="str">
            <v>HUN-BARACSKA CSIZ SAJTMUHELY KFT</v>
          </cell>
          <cell r="H14"/>
          <cell r="I14" t="str">
            <v>Vásárlás(2024.05.25) Card:5444-0XXX-XX26-4954 MCC5499 HUN-BARACSKA CSIZ SAJTMUHELY KFT 500,00 HUF</v>
          </cell>
          <cell r="J14" t="str">
            <v>Kártyatranzakció</v>
          </cell>
        </row>
        <row r="15">
          <cell r="A15" t="str">
            <v>10918001-00000114-09160004</v>
          </cell>
          <cell r="B15" t="str">
            <v>-864,00 HUF</v>
          </cell>
          <cell r="E15" t="str">
            <v>2024.05.27</v>
          </cell>
          <cell r="F15"/>
          <cell r="G15" t="str">
            <v>HUN-Martonvasar SASKAEK Kft.</v>
          </cell>
          <cell r="H15"/>
          <cell r="I15" t="str">
            <v>Vásárlás(2024.05.24) Card:5444-0XXX-XX26-4954 MCC5411 HUN-Martonvasar SASKAEK Kft. 864,00 HUF</v>
          </cell>
          <cell r="J15" t="str">
            <v>Kártyatranzakció</v>
          </cell>
        </row>
        <row r="16">
          <cell r="A16" t="str">
            <v>10918001-00000114-09160004</v>
          </cell>
          <cell r="B16" t="str">
            <v>-1 218,00 HUF</v>
          </cell>
          <cell r="E16" t="str">
            <v>2024.05.27</v>
          </cell>
          <cell r="F16"/>
          <cell r="G16" t="str">
            <v>HUN-Martonvasar SASKAEK Kft.</v>
          </cell>
          <cell r="H16"/>
          <cell r="I16" t="str">
            <v>Vásárlás(2024.05.25) Card:5444-0XXX-XX26-4954 MCC5411 HUN-Martonvasar SASKAEK Kft. 1.218,00 HUF</v>
          </cell>
          <cell r="J16" t="str">
            <v>Kártyatranzakció</v>
          </cell>
        </row>
        <row r="17">
          <cell r="A17" t="str">
            <v>10918001-00000114-09160004</v>
          </cell>
          <cell r="B17" t="str">
            <v>-1 500,00 HUF</v>
          </cell>
          <cell r="E17" t="str">
            <v>2024.05.27</v>
          </cell>
          <cell r="F17"/>
          <cell r="G17" t="str">
            <v>HUN-BUDAPEST MAMMUT BEV.KP.PARK.AUT</v>
          </cell>
          <cell r="H17"/>
          <cell r="I17" t="str">
            <v>Vásárlás(2024.05.25) Card:5444-0XXX-XX26-4954 MCC7523 HUN-BUDAPEST MAMMUT BEV.KP.PARK.AUT 1.500,00 HUF</v>
          </cell>
          <cell r="J17" t="str">
            <v>Kártyatranzakció</v>
          </cell>
        </row>
        <row r="18">
          <cell r="A18" t="str">
            <v>10918001-00000114-09160004</v>
          </cell>
          <cell r="B18" t="str">
            <v>-1 570,00 HUF</v>
          </cell>
          <cell r="E18" t="str">
            <v>2024.05.27</v>
          </cell>
          <cell r="F18"/>
          <cell r="G18" t="str">
            <v>HUN-MARTONVASAR MARTONVASAR-HUS KFT</v>
          </cell>
          <cell r="H18"/>
          <cell r="I18" t="str">
            <v>Vásárlás(2024.05.24) Card:5444-0XXX-XX26-4954 MCC5422 HUN-MARTONVASAR MARTONVASAR-HUS KFT 1.570,00 HUF</v>
          </cell>
          <cell r="J18" t="str">
            <v>Kártyatranzakció</v>
          </cell>
        </row>
        <row r="19">
          <cell r="A19" t="str">
            <v>10918001-00000114-09160004</v>
          </cell>
          <cell r="B19" t="str">
            <v>-1 836,00 HUF</v>
          </cell>
          <cell r="E19" t="str">
            <v>2024.05.27</v>
          </cell>
          <cell r="F19"/>
          <cell r="G19" t="str">
            <v>HUN-MARTONVASAR MARTON FRUIT</v>
          </cell>
          <cell r="H19"/>
          <cell r="I19" t="str">
            <v>Vásárlás(2024.05.24) Card:5444-0XXX-XX26-4954 MCC5499 HUN-MARTONVASAR MARTON FRUIT 1.836,00 HUF</v>
          </cell>
          <cell r="J19" t="str">
            <v>Kártyatranzakció</v>
          </cell>
        </row>
        <row r="20">
          <cell r="A20" t="str">
            <v>10918001-00000114-09160004</v>
          </cell>
          <cell r="B20" t="str">
            <v>-3 900,00 HUF</v>
          </cell>
          <cell r="E20" t="str">
            <v>2024.05.27</v>
          </cell>
          <cell r="F20"/>
          <cell r="G20" t="str">
            <v>HUN-BUDAPEST GOURMET  KER</v>
          </cell>
          <cell r="H20"/>
          <cell r="I20" t="str">
            <v>Vásárlás(2024.05.25) Card:5444-0XXX-XX26-4954 MCC7999 HUN-BUDAPEST GOURMET  KER 3.900,00 HUF</v>
          </cell>
          <cell r="J20" t="str">
            <v>Kártyatranzakció</v>
          </cell>
        </row>
        <row r="21">
          <cell r="A21" t="str">
            <v>10918001-00000114-09160004</v>
          </cell>
          <cell r="B21" t="str">
            <v>-3 980,00 HUF</v>
          </cell>
          <cell r="E21" t="str">
            <v>2024.05.27</v>
          </cell>
          <cell r="F21"/>
          <cell r="G21" t="str">
            <v>HUN-BUDAPEST GOURMET  KER</v>
          </cell>
          <cell r="H21"/>
          <cell r="I21" t="str">
            <v>Vásárlás(2024.05.25) Card:5444-0XXX-XX26-4954 MCC7999 HUN-BUDAPEST GOURMET  KER 3.980,00 HUF</v>
          </cell>
          <cell r="J21" t="str">
            <v>Kártyatranzakció</v>
          </cell>
        </row>
        <row r="22">
          <cell r="A22" t="str">
            <v>10918001-00000114-09160004</v>
          </cell>
          <cell r="B22" t="str">
            <v>-4 490,00 HUF</v>
          </cell>
          <cell r="E22" t="str">
            <v>2024.05.27</v>
          </cell>
          <cell r="F22"/>
          <cell r="G22" t="str">
            <v>HUN-BUDAPEST GOURMET  KER</v>
          </cell>
          <cell r="H22"/>
          <cell r="I22" t="str">
            <v>Vásárlás(2024.05.25) Card:5444-0XXX-XX26-4954 MCC7999 HUN-BUDAPEST GOURMET  KER 4.490,00 HUF</v>
          </cell>
          <cell r="J22" t="str">
            <v>Kártyatranzakció</v>
          </cell>
        </row>
        <row r="23">
          <cell r="A23" t="str">
            <v>10918001-00000114-09160004</v>
          </cell>
          <cell r="B23" t="str">
            <v>-6 824,00 HUF</v>
          </cell>
          <cell r="E23" t="str">
            <v>2024.05.27</v>
          </cell>
          <cell r="F23"/>
          <cell r="G23" t="str">
            <v>HUN-BUDAPEST OTPMOBL*EON.HU</v>
          </cell>
          <cell r="H23"/>
          <cell r="I23" t="str">
            <v>Vásárlás(2024.05.25) Card:5444-0XXX-XX26-4954 MCC4900 HUN-BUDAPEST OTPMOBL*EON.HU 6.824,00 HUF</v>
          </cell>
          <cell r="J23" t="str">
            <v>Kártyatranzakció</v>
          </cell>
        </row>
        <row r="24">
          <cell r="A24" t="str">
            <v>10918001-00000114-09160004</v>
          </cell>
          <cell r="B24" t="str">
            <v>-14 938,00 HUF</v>
          </cell>
          <cell r="E24" t="str">
            <v>2024.05.27</v>
          </cell>
          <cell r="F24"/>
          <cell r="G24" t="str">
            <v>HUN-MARTONVASAR ROSSMANN 336.</v>
          </cell>
          <cell r="H24"/>
          <cell r="I24" t="str">
            <v>Vásárlás(2024.05.24) Card:5444-0XXX-XX26-4954 MCC5977 HUN-MARTONVASAR ROSSMANN 336. 14.938,00 HUF</v>
          </cell>
          <cell r="J24" t="str">
            <v>Kártyatranzakció</v>
          </cell>
        </row>
        <row r="25">
          <cell r="A25" t="str">
            <v>10918001-00000114-09160004</v>
          </cell>
          <cell r="B25" t="str">
            <v>-26 775,00 HUF</v>
          </cell>
          <cell r="E25" t="str">
            <v>2024.05.27</v>
          </cell>
          <cell r="F25"/>
          <cell r="G25" t="str">
            <v>HUN-BUDAPEST OTPMOBL*GOURMETFESZTIV</v>
          </cell>
          <cell r="H25"/>
          <cell r="I25" t="str">
            <v>Vásárlás(2024.05.25) Card:5444-0XXX-XX26-4954 MCC7922 HUN-BUDAPEST OTPMOBL*GOURMETFESZTIV 26.775,00 HUF</v>
          </cell>
          <cell r="J25" t="str">
            <v>Kártyatranzakció</v>
          </cell>
        </row>
        <row r="26">
          <cell r="A26" t="str">
            <v>10918001-00000114-09160004</v>
          </cell>
          <cell r="B26" t="str">
            <v>-1 690,00 HUF</v>
          </cell>
          <cell r="E26" t="str">
            <v>2024.05.24</v>
          </cell>
          <cell r="F26"/>
          <cell r="G26" t="str">
            <v>HUN-Budapest New York Bagel Kft</v>
          </cell>
          <cell r="H26"/>
          <cell r="I26" t="str">
            <v>Vásárlás(2024.05.22) Card:5444-0XXX-XX26-4954 MCC5812 HUN-Budapest New York Bagel Kft 1.690,00 HUF</v>
          </cell>
          <cell r="J26" t="str">
            <v>Kártyatranzakció</v>
          </cell>
        </row>
        <row r="27">
          <cell r="A27" t="str">
            <v>10918001-00000114-09160004</v>
          </cell>
          <cell r="B27" t="str">
            <v>-2 700,00 HUF</v>
          </cell>
          <cell r="E27" t="str">
            <v>2024.05.24</v>
          </cell>
          <cell r="F27"/>
          <cell r="G27" t="str">
            <v>HUN-Budapest Kemal Pasa Torok Et</v>
          </cell>
          <cell r="H27"/>
          <cell r="I27" t="str">
            <v>Vásárlás(2024.05.22) Card:5444-0XXX-XX26-4954 MCC5812 HUN-Budapest Kemal Pasa Torok Et 2.700,00 HUF</v>
          </cell>
          <cell r="J27" t="str">
            <v>Kártyatranzakció</v>
          </cell>
        </row>
        <row r="28">
          <cell r="A28" t="str">
            <v>10918001-00000114-09160004</v>
          </cell>
          <cell r="B28" t="str">
            <v>-2 740,00 HUF</v>
          </cell>
          <cell r="E28" t="str">
            <v>2024.05.24</v>
          </cell>
          <cell r="F28"/>
          <cell r="G28" t="str">
            <v>HUN-BARACSKA CSIZ SAJTMUHELY KFT</v>
          </cell>
          <cell r="H28"/>
          <cell r="I28" t="str">
            <v>Vásárlás(2024.05.22) Card:5444-0XXX-XX26-4954 MCC5499 HUN-BARACSKA CSIZ SAJTMUHELY KFT 2.740,00 HUF</v>
          </cell>
          <cell r="J28" t="str">
            <v>Kártyatranzakció</v>
          </cell>
        </row>
        <row r="29">
          <cell r="A29" t="str">
            <v>10918001-00000114-09160004</v>
          </cell>
          <cell r="B29" t="str">
            <v>-6 389,00 HUF</v>
          </cell>
          <cell r="E29" t="str">
            <v>2024.05.23</v>
          </cell>
          <cell r="F29"/>
          <cell r="G29" t="str">
            <v>HUN-Agard LIDL HU 306 Agard</v>
          </cell>
          <cell r="H29"/>
          <cell r="I29" t="str">
            <v>Vásárlás(2024.05.21) Card:5444-0XXX-XX26-4954 MCC5411 HUN-Agard LIDL HU 306 Agard 6.389,00 HUF</v>
          </cell>
          <cell r="J29" t="str">
            <v>Kártyatranzakció</v>
          </cell>
        </row>
        <row r="30">
          <cell r="A30" t="str">
            <v>10918001-00000114-09160004</v>
          </cell>
          <cell r="B30" t="str">
            <v>-20 000,00 HUF</v>
          </cell>
          <cell r="E30" t="str">
            <v>2024.05.23</v>
          </cell>
          <cell r="F30" t="str">
            <v>11773353-59010812-00000000</v>
          </cell>
          <cell r="G30" t="str">
            <v>Kovácsné Tonkó Csilla Mária</v>
          </cell>
          <cell r="H30"/>
          <cell r="I30" t="str">
            <v>KT-2024-161</v>
          </cell>
          <cell r="J30" t="str">
            <v>Kimenő azonnali megbízás</v>
          </cell>
        </row>
        <row r="31">
          <cell r="A31" t="str">
            <v>10918001-00000114-09160004</v>
          </cell>
          <cell r="B31" t="str">
            <v>-22 350,00 HUF</v>
          </cell>
          <cell r="E31" t="str">
            <v>2024.05.23</v>
          </cell>
          <cell r="F31"/>
          <cell r="G31" t="str">
            <v>HUN-BUDAPEST OTPMOBL*HERBAFERM.HU</v>
          </cell>
          <cell r="H31"/>
          <cell r="I31" t="str">
            <v>Vásárlás(2024.05.21) Card:5444-0XXX-XX26-4954 MCC5499 HUN-BUDAPEST OTPMOBL*HERBAFERM.HU 22.350,00 HUF</v>
          </cell>
          <cell r="J31" t="str">
            <v>Kártyatranzakció</v>
          </cell>
        </row>
        <row r="32">
          <cell r="A32" t="str">
            <v>10918001-00000114-09160004</v>
          </cell>
          <cell r="B32" t="str">
            <v>-24 592,00 HUF</v>
          </cell>
          <cell r="E32" t="str">
            <v>2024.05.23</v>
          </cell>
          <cell r="F32"/>
          <cell r="G32" t="str">
            <v>HUN-AGARD LIDL ARUHAZ 0306.SZ.</v>
          </cell>
          <cell r="H32"/>
          <cell r="I32" t="str">
            <v>Vásárlás(2024.05.21) Card:5444-0XXX-XX26-4954 MCC5411 HUN-AGARD LIDL ARUHAZ 0306.SZ. 24.592,00 HUF</v>
          </cell>
          <cell r="J32" t="str">
            <v>Kártyatranzakció</v>
          </cell>
        </row>
        <row r="33">
          <cell r="A33" t="str">
            <v>10918001-00000114-09160004</v>
          </cell>
          <cell r="B33" t="str">
            <v>400 000,00 HUF</v>
          </cell>
          <cell r="E33" t="str">
            <v>2024.05.21</v>
          </cell>
          <cell r="F33" t="str">
            <v>12011069-01600373-00100007</v>
          </cell>
          <cell r="G33" t="str">
            <v>CZUPRIK GERGELY</v>
          </cell>
          <cell r="H33"/>
          <cell r="I33"/>
          <cell r="J33" t="str">
            <v>Bejövő Forint Átutalás</v>
          </cell>
        </row>
        <row r="34">
          <cell r="A34" t="str">
            <v>10918001-00000114-09160004</v>
          </cell>
          <cell r="B34" t="str">
            <v>-230,00 HUF</v>
          </cell>
          <cell r="E34" t="str">
            <v>2024.05.21</v>
          </cell>
          <cell r="F34"/>
          <cell r="G34" t="str">
            <v>HUN-MARTONVASAR BARKACSBOLT</v>
          </cell>
          <cell r="H34"/>
          <cell r="I34" t="str">
            <v>Vásárlás(2024.05.18) Card:5444-0XXX-XX26-4954 MCC5251 HUN-MARTONVASAR BARKACSBOLT 230,00 HUF</v>
          </cell>
          <cell r="J34" t="str">
            <v>Kártyatranzakció</v>
          </cell>
        </row>
        <row r="35">
          <cell r="A35" t="str">
            <v>10918001-00000114-09160004</v>
          </cell>
          <cell r="B35" t="str">
            <v>-799,00 HUF</v>
          </cell>
          <cell r="E35" t="str">
            <v>2024.05.21</v>
          </cell>
          <cell r="F35"/>
          <cell r="G35" t="str">
            <v>HUN-Martonvasar SASKAEK Kft.</v>
          </cell>
          <cell r="H35"/>
          <cell r="I35" t="str">
            <v>Vásárlás(2024.05.16) Card:5444-0XXX-XX68-8737 MCC5411 HUN-Martonvasar SASKAEK Kft. 799,00 HUF</v>
          </cell>
          <cell r="J35" t="str">
            <v>Kártyatranzakció</v>
          </cell>
        </row>
        <row r="36">
          <cell r="A36" t="str">
            <v>10918001-00000114-09160004</v>
          </cell>
          <cell r="B36" t="str">
            <v>-1 329,00 HUF</v>
          </cell>
          <cell r="E36" t="str">
            <v>2024.05.21</v>
          </cell>
          <cell r="F36"/>
          <cell r="G36" t="str">
            <v>HUN-Martonvasar SASKAEK Kft.</v>
          </cell>
          <cell r="H36"/>
          <cell r="I36" t="str">
            <v>Vásárlás(2024.05.18) Card:5444-0XXX-XX26-4954 MCC5411 HUN-Martonvasar SASKAEK Kft. 1.329,00 HUF</v>
          </cell>
          <cell r="J36" t="str">
            <v>Kártyatranzakció</v>
          </cell>
        </row>
        <row r="37">
          <cell r="A37" t="str">
            <v>10918001-00000114-09160004</v>
          </cell>
          <cell r="B37" t="str">
            <v>-2 110,00 HUF</v>
          </cell>
          <cell r="E37" t="str">
            <v>2024.05.21</v>
          </cell>
          <cell r="F37"/>
          <cell r="G37" t="str">
            <v>HUN-MARTONVASAR MARTONVASAR-HUS KFT</v>
          </cell>
          <cell r="H37"/>
          <cell r="I37" t="str">
            <v>Vásárlás(2024.05.16) Card:5444-0XXX-XX68-8737 MCC5422 HUN-MARTONVASAR MARTONVASAR-HUS KFT 2.110,00 HUF</v>
          </cell>
          <cell r="J37" t="str">
            <v>Kártyatranzakció</v>
          </cell>
        </row>
        <row r="38">
          <cell r="A38" t="str">
            <v>10918001-00000114-09160004</v>
          </cell>
          <cell r="B38" t="str">
            <v>-2 484,00 HUF</v>
          </cell>
          <cell r="E38" t="str">
            <v>2024.05.21</v>
          </cell>
          <cell r="F38"/>
          <cell r="G38" t="str">
            <v>HUN-GARDONY ALDI 5.SZ.</v>
          </cell>
          <cell r="H38"/>
          <cell r="I38" t="str">
            <v>Vásárlás(2024.05.17) Card:5444-0XXX-XX26-4954 MCC5411 HUN-GARDONY ALDI 5.SZ. 2.484,00 HUF</v>
          </cell>
          <cell r="J38" t="str">
            <v>Kártyatranzakció</v>
          </cell>
        </row>
        <row r="39">
          <cell r="A39" t="str">
            <v>10918001-00000114-09160004</v>
          </cell>
          <cell r="B39" t="str">
            <v>-2 548,00 HUF</v>
          </cell>
          <cell r="E39" t="str">
            <v>2024.05.21</v>
          </cell>
          <cell r="F39"/>
          <cell r="G39" t="str">
            <v>HUN-MARTONVASAR ROSSMANN 336.</v>
          </cell>
          <cell r="H39"/>
          <cell r="I39" t="str">
            <v>Vásárlás(2024.05.18) Card:5444-0XXX-XX26-4954 MCC5977 HUN-MARTONVASAR ROSSMANN 336. 2.548,00 HUF</v>
          </cell>
          <cell r="J39" t="str">
            <v>Kártyatranzakció</v>
          </cell>
        </row>
        <row r="40">
          <cell r="A40" t="str">
            <v>10918001-00000114-09160004</v>
          </cell>
          <cell r="B40" t="str">
            <v>-3 936,00 HUF</v>
          </cell>
          <cell r="E40" t="str">
            <v>2024.05.21</v>
          </cell>
          <cell r="F40"/>
          <cell r="G40" t="str">
            <v>HUN-Martonvasar SASKAEK Kft.</v>
          </cell>
          <cell r="H40"/>
          <cell r="I40" t="str">
            <v>Vásárlás(2024.05.18) Card:5444-0XXX-XX26-4954 MCC5411 HUN-Martonvasar SASKAEK Kft. 3.936,00 HUF</v>
          </cell>
          <cell r="J40" t="str">
            <v>Kártyatranzakció</v>
          </cell>
        </row>
        <row r="41">
          <cell r="A41" t="str">
            <v>10918001-00000114-09160004</v>
          </cell>
          <cell r="B41" t="str">
            <v>-13 550,00 HUF</v>
          </cell>
          <cell r="E41" t="str">
            <v>2024.05.21</v>
          </cell>
          <cell r="F41"/>
          <cell r="G41" t="str">
            <v>HUN-GARDONY DM 316.SZ.</v>
          </cell>
          <cell r="H41"/>
          <cell r="I41" t="str">
            <v>Vásárlás(2024.05.17) Card:5444-0XXX-XX26-4954 MCC5977 HUN-GARDONY DM 316.SZ. 13.550,00 HUF</v>
          </cell>
          <cell r="J41" t="str">
            <v>Kártyatranzakció</v>
          </cell>
        </row>
        <row r="42">
          <cell r="A42" t="str">
            <v>10918001-00000114-09160004</v>
          </cell>
          <cell r="B42" t="str">
            <v>-16 657,00 HUF</v>
          </cell>
          <cell r="E42" t="str">
            <v>2024.05.21</v>
          </cell>
          <cell r="F42"/>
          <cell r="G42" t="str">
            <v>HUN-BUDAPEST OTPMOBL*dermo.hu</v>
          </cell>
          <cell r="H42"/>
          <cell r="I42" t="str">
            <v>Vásárlás(2024.05.17) Card:5444-0XXX-XX26-4954 MCC5977 HUN-BUDAPEST OTPMOBL*dermo.hu 16.657,00 HUF</v>
          </cell>
          <cell r="J42" t="str">
            <v>Kártyatranzakció</v>
          </cell>
        </row>
        <row r="43">
          <cell r="A43" t="str">
            <v>10918001-00000114-09160004</v>
          </cell>
          <cell r="B43" t="str">
            <v>-18 725,00 HUF</v>
          </cell>
          <cell r="E43" t="str">
            <v>2024.05.21</v>
          </cell>
          <cell r="F43"/>
          <cell r="G43" t="str">
            <v>HUN-Agard LIDL HU 306 Agard</v>
          </cell>
          <cell r="H43"/>
          <cell r="I43" t="str">
            <v>Vásárlás(2024.05.17) Card:5444-0XXX-XX26-4954 MCC5411 HUN-Agard LIDL HU 306 Agard 18.725,00 HUF</v>
          </cell>
          <cell r="J43" t="str">
            <v>Kártyatranzakció</v>
          </cell>
        </row>
        <row r="44">
          <cell r="A44" t="str">
            <v>10918001-00000114-09160004</v>
          </cell>
          <cell r="B44" t="str">
            <v>-37 845,00 HUF</v>
          </cell>
          <cell r="E44" t="str">
            <v>2024.05.21</v>
          </cell>
          <cell r="F44"/>
          <cell r="G44" t="str">
            <v>HUN-KAPOLNASNYEK AUTOMATA TO:LTO"A'</v>
          </cell>
          <cell r="H44"/>
          <cell r="I44" t="str">
            <v>Vásárlás(2024.05.17) Card:5444-0XXX-XX26-4954 MCC5542 HUN-KAPOLNASNYEK AUTOMATA TO:LTO"A' LLOM 37.845,00 HUF</v>
          </cell>
          <cell r="J44" t="str">
            <v>Kártyatranzakció</v>
          </cell>
        </row>
        <row r="45">
          <cell r="A45" t="str">
            <v>10918001-00000114-09160004</v>
          </cell>
          <cell r="B45" t="str">
            <v>-80 300,00 HUF</v>
          </cell>
          <cell r="E45" t="str">
            <v>2024.05.21</v>
          </cell>
          <cell r="F45"/>
          <cell r="G45" t="str">
            <v>HUN-Budapest BB105</v>
          </cell>
          <cell r="H45"/>
          <cell r="I45" t="str">
            <v>Vásárlás(2024.05.17) Card:5444-0XXX-XX26-4954 MCC8021 HUN-Budapest BB105 80.300,00 HUF</v>
          </cell>
          <cell r="J45" t="str">
            <v>Kártyatranzakció</v>
          </cell>
        </row>
        <row r="46">
          <cell r="A46" t="str">
            <v>10918001-00000114-09160004</v>
          </cell>
          <cell r="B46" t="str">
            <v>-5 970,00 HUF</v>
          </cell>
          <cell r="E46" t="str">
            <v>2024.05.18</v>
          </cell>
          <cell r="F46"/>
          <cell r="G46"/>
          <cell r="H46" t="str">
            <v>reformvirag@gmail.com</v>
          </cell>
          <cell r="I46"/>
          <cell r="J46" t="str">
            <v>Kimenő azonnali megbízás</v>
          </cell>
        </row>
        <row r="47">
          <cell r="A47" t="str">
            <v>10918001-00000114-09160004</v>
          </cell>
          <cell r="B47" t="str">
            <v>-899,00 HUF</v>
          </cell>
          <cell r="E47" t="str">
            <v>2024.05.17</v>
          </cell>
          <cell r="F47"/>
          <cell r="G47" t="str">
            <v>HUN-MARTONVASAR MARTON MARKET</v>
          </cell>
          <cell r="H47"/>
          <cell r="I47" t="str">
            <v>Vásárlás(2024.05.15) Card:5444-0XXX-XX68-8737 MCC5411 HUN-MARTONVASAR MARTON MARKET 899,00 HUF</v>
          </cell>
          <cell r="J47" t="str">
            <v>Kártyatranzakció</v>
          </cell>
        </row>
        <row r="48">
          <cell r="A48" t="str">
            <v>10918001-00000114-09160004</v>
          </cell>
          <cell r="B48" t="str">
            <v>-1 090,00 HUF</v>
          </cell>
          <cell r="E48" t="str">
            <v>2024.05.17</v>
          </cell>
          <cell r="F48"/>
          <cell r="G48" t="str">
            <v>HUN-BUDAPEST WHITE HOUSE</v>
          </cell>
          <cell r="H48"/>
          <cell r="I48" t="str">
            <v>Vásárlás(2024.05.15) Card:5444-0XXX-XX68-8737 MCC5812 HUN-BUDAPEST WHITE HOUSE 1.090,00 HUF</v>
          </cell>
          <cell r="J48" t="str">
            <v>Kártyatranzakció</v>
          </cell>
        </row>
        <row r="49">
          <cell r="A49" t="str">
            <v>10918001-00000114-09160004</v>
          </cell>
          <cell r="B49" t="str">
            <v>-1 630,00 HUF</v>
          </cell>
          <cell r="E49" t="str">
            <v>2024.05.17</v>
          </cell>
          <cell r="F49"/>
          <cell r="G49" t="str">
            <v>HUN-BUDAPEST WHITE HOUSE</v>
          </cell>
          <cell r="H49"/>
          <cell r="I49" t="str">
            <v>Vásárlás(2024.05.15) Card:5444-0XXX-XX68-8737 MCC5812 HUN-BUDAPEST WHITE HOUSE 1.630,00 HUF</v>
          </cell>
          <cell r="J49" t="str">
            <v>Kártyatranzakció</v>
          </cell>
        </row>
        <row r="50">
          <cell r="A50" t="str">
            <v>10918001-00000114-09160004</v>
          </cell>
          <cell r="B50" t="str">
            <v>-8 681,00 HUF</v>
          </cell>
          <cell r="E50" t="str">
            <v>2024.05.17</v>
          </cell>
          <cell r="F50"/>
          <cell r="G50" t="str">
            <v>HUN-BUDAORS PRAKTIKER 333.</v>
          </cell>
          <cell r="H50"/>
          <cell r="I50" t="str">
            <v>Vásárlás(2024.05.15) Card:5444-0XXX-XX68-8737 MCC5200 HUN-BUDAORS PRAKTIKER 333. 8.681,00 HUF</v>
          </cell>
          <cell r="J50" t="str">
            <v>Kártyatranzakció</v>
          </cell>
        </row>
        <row r="51">
          <cell r="A51" t="str">
            <v>10918001-00000114-09160004</v>
          </cell>
          <cell r="B51" t="str">
            <v>-26 638,00 HUF</v>
          </cell>
          <cell r="E51" t="str">
            <v>2024.05.17</v>
          </cell>
          <cell r="F51"/>
          <cell r="G51" t="str">
            <v>HUN-BUDAPEST MOL 60400</v>
          </cell>
          <cell r="H51"/>
          <cell r="I51" t="str">
            <v>Vásárlás(2024.05.15) Card:5444-0XXX-XX68-8737 MCC5541 HUN-BUDAPEST MOL 60400 26.638,00 HUF</v>
          </cell>
          <cell r="J51" t="str">
            <v>Kártyatranzakció</v>
          </cell>
        </row>
        <row r="52">
          <cell r="A52" t="str">
            <v>10918001-00000114-09160004</v>
          </cell>
          <cell r="B52" t="str">
            <v>-850,00 HUF</v>
          </cell>
          <cell r="E52" t="str">
            <v>2024.05.16</v>
          </cell>
          <cell r="F52"/>
          <cell r="G52" t="str">
            <v>HUN-BUDAPEST WHITE HOUSE</v>
          </cell>
          <cell r="H52"/>
          <cell r="I52" t="str">
            <v>Vásárlás(2024.05.14) Card:5444-0XXX-XX68-8737 MCC5812 HUN-BUDAPEST WHITE HOUSE 850,00 HUF</v>
          </cell>
          <cell r="J52" t="str">
            <v>Kártyatranzakció</v>
          </cell>
        </row>
        <row r="53">
          <cell r="A53" t="str">
            <v>10918001-00000114-09160004</v>
          </cell>
          <cell r="B53" t="str">
            <v>-1 999,00 HUF</v>
          </cell>
          <cell r="E53" t="str">
            <v>2024.05.16</v>
          </cell>
          <cell r="F53"/>
          <cell r="G53" t="str">
            <v>HUN-BUDAORS PRAKTIKER 333.</v>
          </cell>
          <cell r="H53"/>
          <cell r="I53" t="str">
            <v>Vásárlás(2024.05.14) Card:5444-0XXX-XX68-8737 MCC5200 HUN-BUDAORS PRAKTIKER 333. 1.999,00 HUF</v>
          </cell>
          <cell r="J53" t="str">
            <v>Kártyatranzakció</v>
          </cell>
        </row>
        <row r="54">
          <cell r="A54" t="str">
            <v>10918001-00000114-09160004</v>
          </cell>
          <cell r="B54" t="str">
            <v>-2 500,00 HUF</v>
          </cell>
          <cell r="E54" t="str">
            <v>2024.05.16</v>
          </cell>
          <cell r="F54"/>
          <cell r="G54" t="str">
            <v>HUN-Budapest Kemal Pasa Torok Et</v>
          </cell>
          <cell r="H54"/>
          <cell r="I54" t="str">
            <v>Vásárlás(2024.05.14) Card:5444-0XXX-XX68-8737 MCC5812 HUN-Budapest Kemal Pasa Torok Et 2.500,00 HUF</v>
          </cell>
          <cell r="J54" t="str">
            <v>Kártyatranzakció</v>
          </cell>
        </row>
        <row r="55">
          <cell r="A55" t="str">
            <v>10918001-00000114-09160004</v>
          </cell>
          <cell r="B55" t="str">
            <v>-3 850,00 HUF</v>
          </cell>
          <cell r="E55" t="str">
            <v>2024.05.16</v>
          </cell>
          <cell r="F55"/>
          <cell r="G55" t="str">
            <v>HUN-Martonvasar Medicz Gyogyszertar</v>
          </cell>
          <cell r="H55"/>
          <cell r="I55" t="str">
            <v>Vásárlás(2024.05.14) Card:5444-0XXX-XX68-8737 MCC5912 HUN-Martonvasar Medicz Gyogyszertar 3.850,00 HUF</v>
          </cell>
          <cell r="J55" t="str">
            <v>Kártyatranzakció</v>
          </cell>
        </row>
        <row r="56">
          <cell r="A56" t="str">
            <v>10918001-00000114-09160004</v>
          </cell>
          <cell r="B56" t="str">
            <v>-11 638,00 HUF</v>
          </cell>
          <cell r="E56" t="str">
            <v>2024.05.16</v>
          </cell>
          <cell r="F56"/>
          <cell r="G56" t="str">
            <v>HUN-BUDAORS PRAKTIKER 333.</v>
          </cell>
          <cell r="H56"/>
          <cell r="I56" t="str">
            <v>Vásárlás(2024.05.14) Card:5444-0XXX-XX68-8737 MCC5200 HUN-BUDAORS PRAKTIKER 333. 11.638,00 HUF</v>
          </cell>
          <cell r="J56" t="str">
            <v>Kártyatranzakció</v>
          </cell>
        </row>
        <row r="57">
          <cell r="A57" t="str">
            <v>10918001-00000114-09160004</v>
          </cell>
          <cell r="B57" t="str">
            <v>-14 346,00 HUF</v>
          </cell>
          <cell r="E57" t="str">
            <v>2024.05.16</v>
          </cell>
          <cell r="F57"/>
          <cell r="G57" t="str">
            <v>HUN-MARTONVASAR ROSSMANN 336.</v>
          </cell>
          <cell r="H57"/>
          <cell r="I57" t="str">
            <v>Vásárlás(2024.05.14) Card:5444-0XXX-XX68-8737 MCC5977 HUN-MARTONVASAR ROSSMANN 336. 14.346,00 HUF</v>
          </cell>
          <cell r="J57" t="str">
            <v>Kártyatranzakció</v>
          </cell>
        </row>
        <row r="58">
          <cell r="A58" t="str">
            <v>10918001-00000114-09160004</v>
          </cell>
          <cell r="B58" t="str">
            <v>-750,00 HUF</v>
          </cell>
          <cell r="E58" t="str">
            <v>2024.05.15</v>
          </cell>
          <cell r="F58"/>
          <cell r="G58" t="str">
            <v>HUN-MARTONVASAR VIANNI U:ZLET</v>
          </cell>
          <cell r="H58"/>
          <cell r="I58" t="str">
            <v>Vásárlás(2024.05.13) Card:5444-0XXX-XX68-8737 MCC5399 HUN-MARTONVASAR VIANNI U:ZLET 750,00 HUF</v>
          </cell>
          <cell r="J58" t="str">
            <v>Kártyatranzakció</v>
          </cell>
        </row>
        <row r="59">
          <cell r="A59" t="str">
            <v>10918001-00000114-09160004</v>
          </cell>
          <cell r="B59" t="str">
            <v>-1 200,00 HUF</v>
          </cell>
          <cell r="E59" t="str">
            <v>2024.05.15</v>
          </cell>
          <cell r="F59"/>
          <cell r="G59" t="str">
            <v>HUN-Solymr LO-RE 2005 Kft</v>
          </cell>
          <cell r="H59"/>
          <cell r="I59" t="str">
            <v>Vásárlás(2024.05.13) Card:5444-0XXX-XX68-8737 MCC7542 HUN-Solymr LO-RE 2005 Kft 1.200,00 HUF</v>
          </cell>
          <cell r="J59" t="str">
            <v>Kártyatranzakció</v>
          </cell>
        </row>
        <row r="60">
          <cell r="A60" t="str">
            <v>10918001-00000114-09160004</v>
          </cell>
          <cell r="B60" t="str">
            <v>-1 200,00 HUF</v>
          </cell>
          <cell r="E60" t="str">
            <v>2024.05.15</v>
          </cell>
          <cell r="F60"/>
          <cell r="G60" t="str">
            <v>HUN-Solymr LO-RE 2005 Kft</v>
          </cell>
          <cell r="H60"/>
          <cell r="I60" t="str">
            <v>Vásárlás(2024.05.13) Card:5444-0XXX-XX68-8737 MCC7542 HUN-Solymr LO-RE 2005 Kft 1.200,00 HUF</v>
          </cell>
          <cell r="J60" t="str">
            <v>Kártyatranzakció</v>
          </cell>
        </row>
        <row r="61">
          <cell r="A61" t="str">
            <v>10918001-00000114-09160004</v>
          </cell>
          <cell r="B61" t="str">
            <v>-1 245,00 HUF</v>
          </cell>
          <cell r="E61" t="str">
            <v>2024.05.15</v>
          </cell>
          <cell r="F61"/>
          <cell r="G61" t="str">
            <v>HUN-BUDAPEST WHITE HOUSE</v>
          </cell>
          <cell r="H61"/>
          <cell r="I61" t="str">
            <v>Vásárlás(2024.05.13) Card:5444-0XXX-XX68-8737 MCC5812 HUN-BUDAPEST WHITE HOUSE 1.245,00 HUF</v>
          </cell>
          <cell r="J61" t="str">
            <v>Kártyatranzakció</v>
          </cell>
        </row>
        <row r="62">
          <cell r="A62" t="str">
            <v>10918001-00000114-09160004</v>
          </cell>
          <cell r="B62" t="str">
            <v>-2 590,00 HUF</v>
          </cell>
          <cell r="E62" t="str">
            <v>2024.05.15</v>
          </cell>
          <cell r="F62"/>
          <cell r="G62" t="str">
            <v>HUN-Budapest Atrium Etterem</v>
          </cell>
          <cell r="H62"/>
          <cell r="I62" t="str">
            <v>Vásárlás(2024.05.13) Card:5444-0XXX-XX68-8737 MCC5812 HUN-Budapest Atrium Etterem 2.590,00 HUF</v>
          </cell>
          <cell r="J62" t="str">
            <v>Kártyatranzakció</v>
          </cell>
        </row>
        <row r="63">
          <cell r="A63" t="str">
            <v>10918001-00000114-09160004</v>
          </cell>
          <cell r="B63" t="str">
            <v>-2 910,00 HUF</v>
          </cell>
          <cell r="E63" t="str">
            <v>2024.05.15</v>
          </cell>
          <cell r="F63"/>
          <cell r="G63" t="str">
            <v>HUN-BARACSKA CSIZ SAJTMUHELY KFT</v>
          </cell>
          <cell r="H63"/>
          <cell r="I63" t="str">
            <v>Vásárlás(2024.05.14) Card:5444-0XXX-XX68-8737 MCC5499 HUN-BARACSKA CSIZ SAJTMUHELY KFT 2.910,00 HUF</v>
          </cell>
          <cell r="J63" t="str">
            <v>Kártyatranzakció</v>
          </cell>
        </row>
        <row r="64">
          <cell r="A64" t="str">
            <v>10918001-00000114-09160004</v>
          </cell>
          <cell r="B64" t="str">
            <v>-16 918,00 HUF</v>
          </cell>
          <cell r="E64" t="str">
            <v>2024.05.15</v>
          </cell>
          <cell r="F64"/>
          <cell r="G64" t="str">
            <v>HUN-Agard LIDL HU 306 Agard</v>
          </cell>
          <cell r="H64"/>
          <cell r="I64" t="str">
            <v>Vásárlás(2024.05.13) Card:5444-0XXX-XX68-8737 MCC5411 HUN-Agard LIDL HU 306 Agard 16.918,00 HUF</v>
          </cell>
          <cell r="J64" t="str">
            <v>Kártyatranzakció</v>
          </cell>
        </row>
        <row r="65">
          <cell r="A65" t="str">
            <v>10918001-00000114-09160004</v>
          </cell>
          <cell r="B65" t="str">
            <v>-1 000,00 HUF</v>
          </cell>
          <cell r="E65" t="str">
            <v>2024.05.14</v>
          </cell>
          <cell r="F65"/>
          <cell r="G65" t="str">
            <v>HUN-BUDAPEST MU'ZEUM ME'LYGARA'ZS</v>
          </cell>
          <cell r="H65"/>
          <cell r="I65" t="str">
            <v>Vásárlás(2024.05.12) Card:5444-0XXX-XX68-8737 MCC7523 HUN-BUDAPEST MU'ZEUM ME'LYGARA'ZS 1.000,00 HUF</v>
          </cell>
          <cell r="J65" t="str">
            <v>Kártyatranzakció</v>
          </cell>
        </row>
        <row r="66">
          <cell r="A66" t="str">
            <v>10918001-00000114-09160004</v>
          </cell>
          <cell r="B66" t="str">
            <v>-1 300,00 HUF</v>
          </cell>
          <cell r="E66" t="str">
            <v>2024.05.13</v>
          </cell>
          <cell r="F66"/>
          <cell r="G66" t="str">
            <v>HUN-BALATONFURED FU:REDI FAGYIZO'</v>
          </cell>
          <cell r="H66"/>
          <cell r="I66" t="str">
            <v>Vásárlás(2024.05.11) Card:5444-0XXX-XX68-8737 MCC5441 HUN-BALATONFURED FU:REDI FAGYIZO' 1.300,00 HUF</v>
          </cell>
          <cell r="J66" t="str">
            <v>Kártyatranzakció</v>
          </cell>
        </row>
        <row r="67">
          <cell r="A67" t="str">
            <v>10918001-00000114-09160004</v>
          </cell>
          <cell r="B67" t="str">
            <v>-1 547,00 HUF</v>
          </cell>
          <cell r="E67" t="str">
            <v>2024.05.13</v>
          </cell>
          <cell r="F67"/>
          <cell r="G67" t="str">
            <v>HUN-MARTONVASAR TESCO 44089 O:NKISZ</v>
          </cell>
          <cell r="H67"/>
          <cell r="I67" t="str">
            <v>Vásárlás(2024.05.09) Card:5444-0XXX-XX68-8737 MCC5311 HUN-MARTONVASAR TESCO 44089 O:NKISZ OLG 1.547,00 HUF</v>
          </cell>
          <cell r="J67" t="str">
            <v>Kártyatranzakció</v>
          </cell>
        </row>
        <row r="68">
          <cell r="A68" t="str">
            <v>10918001-00000114-09160004</v>
          </cell>
          <cell r="B68" t="str">
            <v>-2 200,00 HUF</v>
          </cell>
          <cell r="E68" t="str">
            <v>2024.05.13</v>
          </cell>
          <cell r="F68"/>
          <cell r="G68" t="str">
            <v>HUN-VELENCE DOLCE VENEZIA KFT.</v>
          </cell>
          <cell r="H68"/>
          <cell r="I68" t="str">
            <v>Vásárlás(2024.05.09) Card:5444-0XXX-XX68-8737 MCC5441 HUN-VELENCE DOLCE VENEZIA KFT. 2.200,00 HUF</v>
          </cell>
          <cell r="J68" t="str">
            <v>Kártyatranzakció</v>
          </cell>
        </row>
        <row r="69">
          <cell r="A69" t="str">
            <v>10918001-00000114-09160004</v>
          </cell>
          <cell r="B69" t="str">
            <v>-5 495,00 HUF</v>
          </cell>
          <cell r="E69" t="str">
            <v>2024.05.13</v>
          </cell>
          <cell r="F69"/>
          <cell r="G69" t="str">
            <v>HUN-BUDAORS REGIO JA'TE'K BU.</v>
          </cell>
          <cell r="H69"/>
          <cell r="I69" t="str">
            <v>Vásárlás(2024.05.10) Card:5444-0XXX-XX68-8737 MCC5945 HUN-BUDAORS REGIO JA'TE'K BU. 5.495,00 HUF</v>
          </cell>
          <cell r="J69" t="str">
            <v>Kártyatranzakció</v>
          </cell>
        </row>
        <row r="70">
          <cell r="A70" t="str">
            <v>10918001-00000114-09160004</v>
          </cell>
          <cell r="B70" t="str">
            <v>-21 253,00 HUF</v>
          </cell>
          <cell r="E70" t="str">
            <v>2024.05.13</v>
          </cell>
          <cell r="F70"/>
          <cell r="G70" t="str">
            <v>HUN-BALATONFURED KAROLINA KAVEHAZ</v>
          </cell>
          <cell r="H70"/>
          <cell r="I70" t="str">
            <v>Vásárlás(2024.05.11) Card:5444-0XXX-XX68-8737 MCC5811 HUN-BALATONFURED KAROLINA KAVEHAZ 21.253,00 HUF</v>
          </cell>
          <cell r="J70" t="str">
            <v>Kártyatranzakció</v>
          </cell>
        </row>
        <row r="71">
          <cell r="A71" t="str">
            <v>10918001-00000114-09160004</v>
          </cell>
          <cell r="B71" t="str">
            <v>-1 440,00 HUF</v>
          </cell>
          <cell r="E71" t="str">
            <v>2024.05.10</v>
          </cell>
          <cell r="F71"/>
          <cell r="G71" t="str">
            <v>HUN-BARACSKA CSIZ SAJTMUHELY KFT</v>
          </cell>
          <cell r="H71"/>
          <cell r="I71" t="str">
            <v>Vásárlás(2024.05.08) Card:5444-0XXX-XX68-8737 MCC5499 HUN-BARACSKA CSIZ SAJTMUHELY KFT 1.440,00 HUF</v>
          </cell>
          <cell r="J71" t="str">
            <v>Kártyatranzakció</v>
          </cell>
        </row>
        <row r="72">
          <cell r="A72" t="str">
            <v>10918001-00000114-09160004</v>
          </cell>
          <cell r="B72" t="str">
            <v>-1 800,00 HUF</v>
          </cell>
          <cell r="E72" t="str">
            <v>2024.05.10</v>
          </cell>
          <cell r="F72"/>
          <cell r="G72" t="str">
            <v>HUN-BUDAPEST SUPER WOK</v>
          </cell>
          <cell r="H72"/>
          <cell r="I72" t="str">
            <v>Vásárlás(2024.05.08) Card:5444-0XXX-XX68-8737 MCC5812 HUN-BUDAPEST SUPER WOK 1.800,00 HUF</v>
          </cell>
          <cell r="J72" t="str">
            <v>Kártyatranzakció</v>
          </cell>
        </row>
        <row r="73">
          <cell r="A73" t="str">
            <v>10918001-00000114-09160004</v>
          </cell>
          <cell r="B73" t="str">
            <v>-40 217,68 HUF</v>
          </cell>
          <cell r="E73" t="str">
            <v>2024.05.10</v>
          </cell>
          <cell r="F73"/>
          <cell r="G73"/>
          <cell r="H73"/>
          <cell r="I73" t="str">
            <v>PL:I/10MAY24 Kamatfizetés  Hitel /21-41194/</v>
          </cell>
          <cell r="J73"/>
        </row>
        <row r="74">
          <cell r="A74" t="str">
            <v>10918001-00000114-09160004</v>
          </cell>
          <cell r="B74" t="str">
            <v>-221 587,11 HUF</v>
          </cell>
          <cell r="E74" t="str">
            <v>2024.05.10</v>
          </cell>
          <cell r="F74"/>
          <cell r="G74"/>
          <cell r="H74"/>
          <cell r="I74" t="str">
            <v>PL:P/10MAY24 Tőkefizetés Hitel /21-41194/</v>
          </cell>
          <cell r="J74"/>
        </row>
        <row r="75">
          <cell r="A75" t="str">
            <v>10918001-00000114-09160004</v>
          </cell>
          <cell r="B75" t="str">
            <v>-4 980,00 HUF</v>
          </cell>
          <cell r="E75" t="str">
            <v>2024.05.08</v>
          </cell>
          <cell r="F75"/>
          <cell r="G75" t="str">
            <v>HUN-Martonvasar SASKAEK Kft.</v>
          </cell>
          <cell r="H75"/>
          <cell r="I75" t="str">
            <v>Vásárlás(2024.05.06) Card:5444-0XXX-XX68-8737 MCC5411 HUN-Martonvasar SASKAEK Kft. 4.980,00 HUF</v>
          </cell>
          <cell r="J75" t="str">
            <v>Kártyatranzakció</v>
          </cell>
        </row>
        <row r="76">
          <cell r="A76" t="str">
            <v>10918001-00000114-09160004</v>
          </cell>
          <cell r="B76" t="str">
            <v>-5 390,00 HUF</v>
          </cell>
          <cell r="E76" t="str">
            <v>2024.05.08</v>
          </cell>
          <cell r="F76"/>
          <cell r="G76" t="str">
            <v>HUN-BUDAPEST WWW.IMOCARWASH.COM</v>
          </cell>
          <cell r="H76"/>
          <cell r="I76" t="str">
            <v>Vásárlás(2024.05.06) Card:5444-0XXX-XX68-8737 MCC7542 HUN-BUDAPEST WWW.IMOCARWASH.COM 5.390,00 HUF</v>
          </cell>
          <cell r="J76" t="str">
            <v>Kártyatranzakció</v>
          </cell>
        </row>
        <row r="77">
          <cell r="A77" t="str">
            <v>10918001-00000114-09160004</v>
          </cell>
          <cell r="B77" t="str">
            <v>-6 340,00 HUF</v>
          </cell>
          <cell r="E77" t="str">
            <v>2024.05.08</v>
          </cell>
          <cell r="F77"/>
          <cell r="G77"/>
          <cell r="H77" t="str">
            <v>reformvirag@gmail.com</v>
          </cell>
          <cell r="I77"/>
          <cell r="J77" t="str">
            <v>Kimenő azonnali megbízás</v>
          </cell>
        </row>
        <row r="78">
          <cell r="A78" t="str">
            <v>10918001-00000114-09160004</v>
          </cell>
          <cell r="B78" t="str">
            <v>-24 847,00 HUF</v>
          </cell>
          <cell r="E78" t="str">
            <v>2024.05.08</v>
          </cell>
          <cell r="F78"/>
          <cell r="G78" t="str">
            <v>HUN-MARTONVASAR ROSSMANN 336.</v>
          </cell>
          <cell r="H78"/>
          <cell r="I78" t="str">
            <v>Vásárlás(2024.05.06) Card:5444-0XXX-XX68-8737 MCC5977 HUN-MARTONVASAR ROSSMANN 336. 24.847,00 HUF</v>
          </cell>
          <cell r="J78" t="str">
            <v>Kártyatranzakció</v>
          </cell>
        </row>
        <row r="79">
          <cell r="A79" t="str">
            <v>10918001-00000114-09160004</v>
          </cell>
          <cell r="B79" t="str">
            <v>-7 650,00 HUF</v>
          </cell>
          <cell r="E79" t="str">
            <v>2024.05.07</v>
          </cell>
          <cell r="F79"/>
          <cell r="G79" t="str">
            <v>HUN-Budapest Pan ni</v>
          </cell>
          <cell r="H79"/>
          <cell r="I79" t="str">
            <v>Vásárlás(2024.05.05) Card:5444-0XXX-XX68-8737 MCC5462 HUN-Budapest Pan ni 7.650,00 HUF</v>
          </cell>
          <cell r="J79" t="str">
            <v>Kártyatranzakció</v>
          </cell>
        </row>
        <row r="80">
          <cell r="A80" t="str">
            <v>10918001-00000114-09160004</v>
          </cell>
          <cell r="B80" t="str">
            <v>400 000,00 HUF</v>
          </cell>
          <cell r="E80" t="str">
            <v>2024.05.06</v>
          </cell>
          <cell r="F80" t="str">
            <v>12011069-01600373-00100007</v>
          </cell>
          <cell r="G80" t="str">
            <v>CZUPRIK GERGELY</v>
          </cell>
          <cell r="H80"/>
          <cell r="I80"/>
          <cell r="J80" t="str">
            <v>Bejövő Forint Átutalás</v>
          </cell>
        </row>
        <row r="81">
          <cell r="A81" t="str">
            <v>10918001-00000114-09160004</v>
          </cell>
          <cell r="B81" t="str">
            <v>-251,00 HUF</v>
          </cell>
          <cell r="E81" t="str">
            <v>2024.05.06</v>
          </cell>
          <cell r="F81"/>
          <cell r="G81" t="str">
            <v>HUN-Martonvasar SASKAEK Kft.</v>
          </cell>
          <cell r="H81"/>
          <cell r="I81" t="str">
            <v>Vásárlás(2024.05.04) Card:5444-0XXX-XX68-8737 MCC5411 HUN-Martonvasar SASKAEK Kft. 251,00 HUF</v>
          </cell>
          <cell r="J81" t="str">
            <v>Kártyatranzakció</v>
          </cell>
        </row>
        <row r="82">
          <cell r="A82" t="str">
            <v>10918001-00000114-09160004</v>
          </cell>
          <cell r="B82" t="str">
            <v>-590,00 HUF</v>
          </cell>
          <cell r="E82" t="str">
            <v>2024.05.06</v>
          </cell>
          <cell r="F82"/>
          <cell r="G82" t="str">
            <v>HUN-MARTONVASAR WIN PLUS HD MARKET</v>
          </cell>
          <cell r="H82"/>
          <cell r="I82" t="str">
            <v>Vásárlás(2024.05.04) Card:5444-0XXX-XX68-8737 MCC5499 HUN-MARTONVASAR WIN PLUS HD MARKET 590,00 HUF</v>
          </cell>
          <cell r="J82" t="str">
            <v>Kártyatranzakció</v>
          </cell>
        </row>
        <row r="83">
          <cell r="A83" t="str">
            <v>10918001-00000114-09160004</v>
          </cell>
          <cell r="B83" t="str">
            <v>-1 918,00 HUF</v>
          </cell>
          <cell r="E83" t="str">
            <v>2024.05.06</v>
          </cell>
          <cell r="F83"/>
          <cell r="G83" t="str">
            <v>HUN-MARTONVASAR VIZ-, GAZ SZERELVEN</v>
          </cell>
          <cell r="H83"/>
          <cell r="I83" t="str">
            <v>Vásárlás(2024.05.02) Card:5444-0XXX-XX68-8737 MCC5074 HUN-MARTONVASAR VIZ-, GAZ SZERELVEN YB 1.918,00 HUF</v>
          </cell>
          <cell r="J83" t="str">
            <v>Kártyatranzakció</v>
          </cell>
        </row>
        <row r="84">
          <cell r="A84" t="str">
            <v>10918001-00000114-09160004</v>
          </cell>
          <cell r="B84" t="str">
            <v>-1 948,00 HUF</v>
          </cell>
          <cell r="E84" t="str">
            <v>2024.05.06</v>
          </cell>
          <cell r="F84"/>
          <cell r="G84" t="str">
            <v>HUN-MARTONVASAR MARTON MARKET</v>
          </cell>
          <cell r="H84"/>
          <cell r="I84" t="str">
            <v>Vásárlás(2024.05.04) Card:5444-0XXX-XX68-8737 MCC5411 HUN-MARTONVASAR MARTON MARKET 1.948,00 HUF</v>
          </cell>
          <cell r="J84" t="str">
            <v>Kártyatranzakció</v>
          </cell>
        </row>
        <row r="85">
          <cell r="A85" t="str">
            <v>10918001-00000114-09160004</v>
          </cell>
          <cell r="B85" t="str">
            <v>-1 980,00 HUF</v>
          </cell>
          <cell r="E85" t="str">
            <v>2024.05.06</v>
          </cell>
          <cell r="F85"/>
          <cell r="G85" t="str">
            <v>HUN-Hernad SumUp  *Danasz Diamand</v>
          </cell>
          <cell r="H85"/>
          <cell r="I85" t="str">
            <v>Vásárlás(2024.05.04) Card:5444-0XXX-XX68-8737 MCC5411 HUN-Hernad SumUp  *Danasz Diamand 1.980,00 HUF</v>
          </cell>
          <cell r="J85" t="str">
            <v>Kártyatranzakció</v>
          </cell>
        </row>
        <row r="86">
          <cell r="A86" t="str">
            <v>10918001-00000114-09160004</v>
          </cell>
          <cell r="B86" t="str">
            <v>-1 990,00 HUF</v>
          </cell>
          <cell r="E86" t="str">
            <v>2024.05.06</v>
          </cell>
          <cell r="F86"/>
          <cell r="G86" t="str">
            <v>SWE-Stockholm Spotify</v>
          </cell>
          <cell r="H86"/>
          <cell r="I86" t="str">
            <v>Vásárlás(2024.05.02) Card:5444-0XXX-XX68-8737 MCC4899 SWE-Stockholm Spotify 1.990,00 HUF</v>
          </cell>
          <cell r="J86" t="str">
            <v>Kártyatranzakció</v>
          </cell>
        </row>
        <row r="87">
          <cell r="A87" t="str">
            <v>10918001-00000114-09160004</v>
          </cell>
          <cell r="B87" t="str">
            <v>-2 099,00 HUF</v>
          </cell>
          <cell r="E87" t="str">
            <v>2024.05.06</v>
          </cell>
          <cell r="F87"/>
          <cell r="G87" t="str">
            <v>HUN-MARTONVASAR ROSSMANN 336.</v>
          </cell>
          <cell r="H87"/>
          <cell r="I87" t="str">
            <v>Vásárlás(2024.05.02) Card:5444-0XXX-XX68-8737 MCC5977 HUN-MARTONVASAR ROSSMANN 336. 2.099,00 HUF</v>
          </cell>
          <cell r="J87" t="str">
            <v>Kártyatranzakció</v>
          </cell>
        </row>
        <row r="88">
          <cell r="A88" t="str">
            <v>10918001-00000114-09160004</v>
          </cell>
          <cell r="B88" t="str">
            <v>-2 340,00 HUF</v>
          </cell>
          <cell r="E88" t="str">
            <v>2024.05.06</v>
          </cell>
          <cell r="F88"/>
          <cell r="G88" t="str">
            <v>HUN-BARACSKA CSIZ SAJTMUHELY KFT</v>
          </cell>
          <cell r="H88"/>
          <cell r="I88" t="str">
            <v>Vásárlás(2024.05.03) Card:5444-0XXX-XX68-8737 MCC5499 HUN-BARACSKA CSIZ SAJTMUHELY KFT 2.340,00 HUF</v>
          </cell>
          <cell r="J88" t="str">
            <v>Kártyatranzakció</v>
          </cell>
        </row>
        <row r="89">
          <cell r="A89" t="str">
            <v>10918001-00000114-09160004</v>
          </cell>
          <cell r="B89" t="str">
            <v>-2 750,00 HUF</v>
          </cell>
          <cell r="E89" t="str">
            <v>2024.05.06</v>
          </cell>
          <cell r="F89"/>
          <cell r="G89" t="str">
            <v>HUN-Budapest, XXI SumUp  *Mennyei t</v>
          </cell>
          <cell r="H89"/>
          <cell r="I89" t="str">
            <v>Vásárlás(2024.05.04) Card:5444-0XXX-XX68-8737 MCC5499 HUN-Budapest, XXI SumUp  *Mennyei t ermek 2.750,00 HUF</v>
          </cell>
          <cell r="J89" t="str">
            <v>Kártyatranzakció</v>
          </cell>
        </row>
        <row r="90">
          <cell r="A90" t="str">
            <v>10918001-00000114-09160004</v>
          </cell>
          <cell r="B90" t="str">
            <v>-3 300,00 HUF</v>
          </cell>
          <cell r="E90" t="str">
            <v>2024.05.06</v>
          </cell>
          <cell r="F90"/>
          <cell r="G90" t="str">
            <v>HUN-RAD KEKSZ-KALMAN ESZTER EV</v>
          </cell>
          <cell r="H90"/>
          <cell r="I90" t="str">
            <v>Vásárlás(2024.05.04) Card:5444-0XXX-XX68-8737 MCC5399 HUN-RAD KEKSZ-KALMAN ESZTER EV 3.300,00 HUF</v>
          </cell>
          <cell r="J90" t="str">
            <v>Kártyatranzakció</v>
          </cell>
        </row>
        <row r="91">
          <cell r="A91" t="str">
            <v>10918001-00000114-09160004</v>
          </cell>
          <cell r="B91" t="str">
            <v>-3 546,00 HUF</v>
          </cell>
          <cell r="E91" t="str">
            <v>2024.05.06</v>
          </cell>
          <cell r="F91"/>
          <cell r="G91" t="str">
            <v>HUN-Martonvasar SASKAEK Kft.</v>
          </cell>
          <cell r="H91"/>
          <cell r="I91" t="str">
            <v>Vásárlás(2024.05.02) Card:5444-0XXX-XX68-8737 MCC5411 HUN-Martonvasar SASKAEK Kft. 3.546,00 HUF</v>
          </cell>
          <cell r="J91" t="str">
            <v>Kártyatranzakció</v>
          </cell>
        </row>
        <row r="92">
          <cell r="A92" t="str">
            <v>10918001-00000114-09160004</v>
          </cell>
          <cell r="B92" t="str">
            <v>-3 572,00 HUF</v>
          </cell>
          <cell r="E92" t="str">
            <v>2024.05.06</v>
          </cell>
          <cell r="F92"/>
          <cell r="G92" t="str">
            <v>HUN-BUDAORS LIBRI BUDAO:RS</v>
          </cell>
          <cell r="H92"/>
          <cell r="I92" t="str">
            <v>Vásárlás(2024.05.04) Card:5444-0XXX-XX68-8737 MCC5942 HUN-BUDAORS LIBRI BUDAO:RS 3.572,00 HUF</v>
          </cell>
          <cell r="J92" t="str">
            <v>Kártyatranzakció</v>
          </cell>
        </row>
        <row r="93">
          <cell r="A93" t="str">
            <v>10918001-00000114-09160004</v>
          </cell>
          <cell r="B93" t="str">
            <v>-8 459,00 HUF</v>
          </cell>
          <cell r="E93" t="str">
            <v>2024.05.06</v>
          </cell>
          <cell r="F93"/>
          <cell r="G93" t="str">
            <v>HUN-BUDAORS DM 449</v>
          </cell>
          <cell r="H93"/>
          <cell r="I93" t="str">
            <v>Vásárlás(2024.05.04) Card:5444-0XXX-XX68-8737 MCC5977 HUN-BUDAORS DM 449 8.459,00 HUF</v>
          </cell>
          <cell r="J93" t="str">
            <v>Kártyatranzakció</v>
          </cell>
        </row>
        <row r="94">
          <cell r="A94" t="str">
            <v>10918001-00000114-09160004</v>
          </cell>
          <cell r="B94" t="str">
            <v>-8 608,00 HUF</v>
          </cell>
          <cell r="E94" t="str">
            <v>2024.05.06</v>
          </cell>
          <cell r="F94"/>
          <cell r="G94"/>
          <cell r="H94"/>
          <cell r="I94" t="str">
            <v>Kártya Tagsági díj Card:5444-0XXX-XX68-8737</v>
          </cell>
          <cell r="J94"/>
        </row>
        <row r="95">
          <cell r="A95" t="str">
            <v>10918001-00000114-09160004</v>
          </cell>
          <cell r="B95" t="str">
            <v>-11 530,00 HUF</v>
          </cell>
          <cell r="E95" t="str">
            <v>2024.05.06</v>
          </cell>
          <cell r="F95"/>
          <cell r="G95" t="str">
            <v>HUN-Hernad SumUp  *Danasz Diamand</v>
          </cell>
          <cell r="H95"/>
          <cell r="I95" t="str">
            <v>Vásárlás(2024.05.04) Card:5444-0XXX-XX68-8737 MCC5411 HUN-Hernad SumUp  *Danasz Diamand 11.530,00 HUF</v>
          </cell>
          <cell r="J95" t="str">
            <v>Kártyatranzakció</v>
          </cell>
        </row>
        <row r="96">
          <cell r="A96" t="str">
            <v>10918001-00000114-09160004</v>
          </cell>
          <cell r="B96" t="str">
            <v>-13 648,00 HUF</v>
          </cell>
          <cell r="E96" t="str">
            <v>2024.05.06</v>
          </cell>
          <cell r="F96"/>
          <cell r="G96" t="str">
            <v>HUN-Budaors LIDL HU 349 Budaors</v>
          </cell>
          <cell r="H96"/>
          <cell r="I96" t="str">
            <v>Vásárlás(2024.05.04) Card:5444-0XXX-XX68-8737 MCC5411 HUN-Budaors LIDL HU 349 Budaors 13.648,00 HUF</v>
          </cell>
          <cell r="J96" t="str">
            <v>Kártyatranzakció</v>
          </cell>
        </row>
        <row r="97">
          <cell r="A97" t="str">
            <v>10918001-00000114-09160004</v>
          </cell>
          <cell r="B97" t="str">
            <v>2 250,00 HUF</v>
          </cell>
          <cell r="E97" t="str">
            <v>2024.05.05</v>
          </cell>
          <cell r="F97"/>
          <cell r="G97"/>
          <cell r="H97"/>
          <cell r="I97" t="str">
            <v>Cr Forgalmi kedvezmény</v>
          </cell>
          <cell r="J97"/>
        </row>
        <row r="98">
          <cell r="A98" t="str">
            <v>10918001-00000114-09160004</v>
          </cell>
          <cell r="B98" t="str">
            <v>252 090,00 HUF</v>
          </cell>
          <cell r="E98" t="str">
            <v>2024.05.03</v>
          </cell>
          <cell r="F98" t="str">
            <v>10032000-00282637-00000000</v>
          </cell>
          <cell r="G98" t="str">
            <v>OKTATÁSI HIVATAL</v>
          </cell>
          <cell r="H98"/>
          <cell r="I98" t="str">
            <v>MUNKABÉR UTALÁS</v>
          </cell>
          <cell r="J98" t="str">
            <v>Bejövő Forint Átutalás</v>
          </cell>
        </row>
        <row r="99">
          <cell r="A99" t="str">
            <v>10918001-00000114-09160004</v>
          </cell>
          <cell r="B99" t="str">
            <v>-8 389,00 HUF</v>
          </cell>
          <cell r="E99" t="str">
            <v>2024.05.03</v>
          </cell>
          <cell r="F99"/>
          <cell r="G99" t="str">
            <v>HUN-Dorog Korken Medmark Kft.</v>
          </cell>
          <cell r="H99"/>
          <cell r="I99" t="str">
            <v>Vásárlás(2024.05.01) Card:5444-0XXX-XX68-8737 MCC5977 HUN-Dorog Korken Medmark Kft. 8.389,00 HUF</v>
          </cell>
          <cell r="J99" t="str">
            <v>Kártyatranzakció</v>
          </cell>
        </row>
        <row r="100">
          <cell r="A100" t="str">
            <v>10918001-00000114-09160004</v>
          </cell>
          <cell r="B100" t="str">
            <v>31 980,00 HUF</v>
          </cell>
          <cell r="E100" t="str">
            <v>2024.05.02</v>
          </cell>
          <cell r="F100"/>
          <cell r="G100" t="str">
            <v>HUN-BUDAPEST BARIONP*TornaDora</v>
          </cell>
          <cell r="H100"/>
          <cell r="I100" t="str">
            <v>Áru vissza/befizetés(2024.04.30) Card:5444-0XXX-XX68-8737 MCC5641 HUN-BUDAPEST BARIONP*TornaDora 31.980,00 HUF</v>
          </cell>
          <cell r="J100" t="str">
            <v>Kártyatranzakció</v>
          </cell>
        </row>
        <row r="101">
          <cell r="A101" t="str">
            <v>10918001-00000114-09160004</v>
          </cell>
          <cell r="B101" t="str">
            <v>-1 357,00 HUF</v>
          </cell>
          <cell r="E101" t="str">
            <v>2024.05.02</v>
          </cell>
          <cell r="F101"/>
          <cell r="G101" t="str">
            <v>HUN-Martonvasar SASKAEK Kft.</v>
          </cell>
          <cell r="H101"/>
          <cell r="I101" t="str">
            <v>Vásárlás(2024.04.29) Card:5444-0XXX-XX68-8737 MCC5411 HUN-Martonvasar SASKAEK Kft. 1.357,00 HUF</v>
          </cell>
          <cell r="J101" t="str">
            <v>Kártyatranzakció</v>
          </cell>
        </row>
        <row r="102">
          <cell r="A102" t="str">
            <v>10918001-00000114-09160004</v>
          </cell>
          <cell r="B102" t="str">
            <v>-2 550,00 HUF</v>
          </cell>
          <cell r="E102" t="str">
            <v>2024.05.02</v>
          </cell>
          <cell r="F102"/>
          <cell r="G102" t="str">
            <v>HUN-BUDAPEST ADVANCE KANTIN</v>
          </cell>
          <cell r="H102"/>
          <cell r="I102" t="str">
            <v>Vásárlás(2024.04.30) Card:5444-0XXX-XX68-8737 MCC5812 HUN-BUDAPEST ADVANCE KANTIN 2.550,00 HUF</v>
          </cell>
          <cell r="J102" t="str">
            <v>Kártyatranzakció</v>
          </cell>
        </row>
        <row r="103">
          <cell r="A103" t="str">
            <v>10918001-00000114-09160004</v>
          </cell>
          <cell r="B103" t="str">
            <v>-7 980,00 HUF</v>
          </cell>
          <cell r="E103" t="str">
            <v>2024.05.02</v>
          </cell>
          <cell r="F103"/>
          <cell r="G103" t="str">
            <v>HUN-MARTONVASAR POSTAKOCSI E'TTEREM</v>
          </cell>
          <cell r="H103"/>
          <cell r="I103" t="str">
            <v>Vásárlás(2024.04.30) Card:5444-0XXX-XX68-8737 MCC5812 HUN-MARTONVASAR POSTAKOCSI E'TTEREM 7.980,00 HUF</v>
          </cell>
          <cell r="J103" t="str">
            <v>Kártyatranzakció</v>
          </cell>
        </row>
        <row r="104">
          <cell r="A104" t="str">
            <v>10918001-00000114-09160004</v>
          </cell>
          <cell r="B104" t="str">
            <v>-9 050,00 HUF</v>
          </cell>
          <cell r="E104" t="str">
            <v>2024.05.02</v>
          </cell>
          <cell r="F104"/>
          <cell r="G104" t="str">
            <v>HUN-Martonvasar Gazda-SAGI Bolt</v>
          </cell>
          <cell r="H104"/>
          <cell r="I104" t="str">
            <v>Vásárlás(2024.04.29) Card:5444-0XXX-XX68-8737 MCC5261 HUN-Martonvasar Gazda-SAGI Bolt 9.050,00 HUF</v>
          </cell>
          <cell r="J104" t="str">
            <v>Kártyatranzakció</v>
          </cell>
        </row>
        <row r="105">
          <cell r="A105" t="str">
            <v>10918001-00000114-09160004</v>
          </cell>
          <cell r="B105" t="str">
            <v>-21 597,00 HUF</v>
          </cell>
          <cell r="E105" t="str">
            <v>2024.05.02</v>
          </cell>
          <cell r="F105"/>
          <cell r="G105" t="str">
            <v>HUN-MARTONVASAR ROSSMANN 336.</v>
          </cell>
          <cell r="H105"/>
          <cell r="I105" t="str">
            <v>Vásárlás(2024.04.29) Card:5444-0XXX-XX68-8737 MCC5977 HUN-MARTONVASAR ROSSMANN 336. 21.597,00 HUF</v>
          </cell>
          <cell r="J105" t="str">
            <v>Kártyatranzakció</v>
          </cell>
        </row>
        <row r="106">
          <cell r="A106" t="str">
            <v>10918001-00000114-09160004</v>
          </cell>
          <cell r="B106" t="str">
            <v>-52 561,00 HUF</v>
          </cell>
          <cell r="E106" t="str">
            <v>2024.05.02</v>
          </cell>
          <cell r="F106"/>
          <cell r="G106" t="str">
            <v>HUN-BUDAPEST OTPMOBL*webkincstar</v>
          </cell>
          <cell r="H106"/>
          <cell r="I106" t="str">
            <v>Vásárlás(2024.04.30) Card:5444-0XXX-XX68-8737 MCC9399 HUN-BUDAPEST OTPMOBL*webkincstar 52.561,00 HUF</v>
          </cell>
          <cell r="J106" t="str">
            <v>Kártyatranzakció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gely" refreshedDate="45446.891271180553" createdVersion="6" refreshedVersion="6" minRefreshableVersion="3" recordCount="4956" xr:uid="{00000000-000A-0000-FFFF-FFFF0E000000}">
  <cacheSource type="worksheet">
    <worksheetSource ref="A1:F1048576" sheet="tételek"/>
  </cacheSource>
  <cacheFields count="6">
    <cacheField name="Dátum" numFmtId="0">
      <sharedItems containsNonDate="0" containsDate="1" containsString="0" containsBlank="1" minDate="2020-01-02T00:00:00" maxDate="2024-06-01T00:00:00" count="1111">
        <d v="2024-05-31T00:00:00"/>
        <d v="2024-05-30T00:00:00"/>
        <d v="2024-05-29T00:00:00"/>
        <d v="2024-05-28T00:00:00"/>
        <d v="2024-05-27T00:00:00"/>
        <d v="2024-05-24T00:00:00"/>
        <d v="2024-05-23T00:00:00"/>
        <d v="2024-05-21T00:00:00"/>
        <d v="2024-05-18T00:00:00"/>
        <d v="2024-05-17T00:00:00"/>
        <d v="2024-05-16T00:00:00"/>
        <d v="2024-05-15T00:00:00"/>
        <d v="2024-05-14T00:00:00"/>
        <d v="2024-05-13T00:00:00"/>
        <d v="2024-05-10T00:00:00"/>
        <d v="2024-05-08T00:00:00"/>
        <d v="2024-05-07T00:00:00"/>
        <d v="2024-05-06T00:00:00"/>
        <d v="2024-05-05T00:00:00"/>
        <d v="2024-05-03T00:00:00"/>
        <d v="2024-05-02T00:00:00"/>
        <d v="2024-04-30T00:00:00"/>
        <d v="2024-04-29T00:00:00"/>
        <d v="2024-04-26T00:00:00"/>
        <d v="2024-04-25T00:00:00"/>
        <d v="2024-04-24T00:00:00"/>
        <d v="2024-04-23T00:00:00"/>
        <d v="2024-04-22T00:00:00"/>
        <d v="2024-04-19T00:00:00"/>
        <d v="2024-04-18T00:00:00"/>
        <d v="2024-04-17T00:00:00"/>
        <d v="2024-04-16T00:00:00"/>
        <d v="2024-04-15T00:00:00"/>
        <d v="2024-04-13T00:00:00"/>
        <d v="2024-04-12T00:00:00"/>
        <d v="2024-04-11T00:00:00"/>
        <d v="2024-04-10T00:00:00"/>
        <d v="2024-04-09T00:00:00"/>
        <d v="2024-04-08T00:00:00"/>
        <d v="2024-04-05T00:00:00"/>
        <d v="2024-04-04T00:00:00"/>
        <d v="2024-04-03T00:00:00"/>
        <d v="2024-04-02T00:00:00"/>
        <d v="2024-03-31T00:00:00"/>
        <d v="2024-03-28T00:00:00"/>
        <d v="2024-03-27T00:00:00"/>
        <d v="2024-03-26T00:00:00"/>
        <d v="2024-03-25T00:00:00"/>
        <d v="2024-03-22T00:00:00"/>
        <d v="2024-03-21T00:00:00"/>
        <d v="2024-03-20T00:00:00"/>
        <d v="2024-03-19T00:00:00"/>
        <d v="2024-03-18T00:00:00"/>
        <d v="2024-03-14T00:00:00"/>
        <d v="2024-03-13T00:00:00"/>
        <d v="2024-03-12T00:00:00"/>
        <d v="2024-03-11T00:00:00"/>
        <d v="2024-03-10T00:00:00"/>
        <d v="2024-03-08T00:00:00"/>
        <d v="2024-03-07T00:00:00"/>
        <d v="2024-03-06T00:00:00"/>
        <d v="2024-03-05T00:00:00"/>
        <d v="2024-03-04T00:00:00"/>
        <d v="2024-02-29T00:00:00"/>
        <d v="2024-02-28T00:00:00"/>
        <d v="2024-02-27T00:00:00"/>
        <d v="2024-02-26T00:00:00"/>
        <d v="2024-02-23T00:00:00"/>
        <d v="2024-02-22T00:00:00"/>
        <d v="2024-02-21T00:00:00"/>
        <d v="2024-02-20T00:00:00"/>
        <d v="2024-02-19T00:00:00"/>
        <d v="2024-02-16T00:00:00"/>
        <d v="2024-02-15T00:00:00"/>
        <d v="2024-02-14T00:00:00"/>
        <d v="2024-02-13T00:00:00"/>
        <d v="2024-02-12T00:00:00"/>
        <d v="2024-02-10T00:00:00"/>
        <d v="2024-02-09T00:00:00"/>
        <d v="2024-02-08T00:00:00"/>
        <d v="2024-02-07T00:00:00"/>
        <d v="2024-02-06T00:00:00"/>
        <d v="2024-02-05T00:00:00"/>
        <d v="2024-02-03T00:00:00"/>
        <d v="2024-02-02T00:00:00"/>
        <d v="2024-02-01T00:00:00"/>
        <d v="2024-01-31T00:00:00"/>
        <d v="2024-01-30T00:00:00"/>
        <d v="2024-01-29T00:00:00"/>
        <d v="2024-01-26T00:00:00"/>
        <d v="2024-01-25T00:00:00"/>
        <d v="2024-01-24T00:00:00"/>
        <d v="2024-01-23T00:00:00"/>
        <d v="2024-01-22T00:00:00"/>
        <d v="2024-01-19T00:00:00"/>
        <d v="2024-01-18T00:00:00"/>
        <d v="2024-01-17T00:00:00"/>
        <d v="2024-01-16T00:00:00"/>
        <d v="2024-01-15T00:00:00"/>
        <d v="2024-01-12T00:00:00"/>
        <d v="2024-01-11T00:00:00"/>
        <d v="2024-01-10T00:00:00"/>
        <d v="2024-01-09T00:00:00"/>
        <d v="2024-01-08T00:00:00"/>
        <d v="2024-01-05T00:00:00"/>
        <d v="2024-01-04T00:00:00"/>
        <d v="2024-01-03T00:00:00"/>
        <d v="2024-01-02T00:00:00"/>
        <d v="2023-12-31T00:00:00"/>
        <d v="2023-12-29T00:00:00"/>
        <d v="2023-12-28T00:00:00"/>
        <d v="2023-12-27T00:00:00"/>
        <d v="2023-12-22T00:00:00"/>
        <d v="2023-12-21T00:00:00"/>
        <d v="2023-12-20T00:00:00"/>
        <d v="2023-12-19T00:00:00"/>
        <d v="2023-12-18T00:00:00"/>
        <d v="2023-12-15T00:00:00"/>
        <d v="2023-12-14T00:00:00"/>
        <d v="2023-12-13T00:00:00"/>
        <d v="2023-12-12T00:00:00"/>
        <d v="2023-12-11T00:00:00"/>
        <d v="2023-12-10T00:00:00"/>
        <d v="2023-12-08T00:00:00"/>
        <d v="2023-12-07T00:00:00"/>
        <d v="2023-12-06T00:00:00"/>
        <d v="2023-12-05T00:00:00"/>
        <d v="2023-12-04T00:00:00"/>
        <d v="2023-12-01T00:00:00"/>
        <d v="2023-11-30T00:00:00"/>
        <d v="2023-11-29T00:00:00"/>
        <d v="2023-11-28T00:00:00"/>
        <d v="2023-11-27T00:00:00"/>
        <d v="2023-11-26T00:00:00"/>
        <d v="2023-11-24T00:00:00"/>
        <d v="2023-11-23T00:00:00"/>
        <d v="2023-11-22T00:00:00"/>
        <d v="2023-11-21T00:00:00"/>
        <d v="2023-11-20T00:00:00"/>
        <d v="2023-11-17T00:00:00"/>
        <d v="2023-11-16T00:00:00"/>
        <d v="2023-11-15T00:00:00"/>
        <d v="2023-11-14T00:00:00"/>
        <d v="2023-11-13T00:00:00"/>
        <d v="2023-11-10T00:00:00"/>
        <d v="2023-11-09T00:00:00"/>
        <d v="2023-11-08T00:00:00"/>
        <d v="2023-11-07T00:00:00"/>
        <d v="2023-11-06T00:00:00"/>
        <d v="2023-11-04T00:00:00"/>
        <d v="2023-11-03T00:00:00"/>
        <d v="2023-11-02T00:00:00"/>
        <d v="2023-10-31T00:00:00"/>
        <d v="2023-10-30T00:00:00"/>
        <d v="2023-10-27T00:00:00"/>
        <d v="2023-10-26T00:00:00"/>
        <d v="2023-10-25T00:00:00"/>
        <d v="2023-10-24T00:00:00"/>
        <d v="2023-10-21T00:00:00"/>
        <d v="2023-10-20T00:00:00"/>
        <d v="2023-10-19T00:00:00"/>
        <d v="2023-10-18T00:00:00"/>
        <d v="2023-10-17T00:00:00"/>
        <d v="2023-10-16T00:00:00"/>
        <d v="2023-10-15T00:00:00"/>
        <d v="2023-10-14T00:00:00"/>
        <d v="2023-10-13T00:00:00"/>
        <d v="2023-10-12T00:00:00"/>
        <d v="2023-10-11T00:00:00"/>
        <d v="2023-10-10T00:00:00"/>
        <d v="2023-10-09T00:00:00"/>
        <d v="2023-10-08T00:00:00"/>
        <d v="2023-10-07T00:00:00"/>
        <d v="2023-10-06T00:00:00"/>
        <d v="2023-10-05T00:00:00"/>
        <d v="2023-10-04T00:00:00"/>
        <d v="2023-10-03T00:00:00"/>
        <d v="2023-10-02T00:00:00"/>
        <d v="2023-10-01T00:00:00"/>
        <d v="2023-09-30T00:00:00"/>
        <d v="2023-09-29T00:00:00"/>
        <d v="2023-09-28T00:00:00"/>
        <d v="2023-09-27T00:00:00"/>
        <d v="2023-09-26T00:00:00"/>
        <d v="2023-09-25T00:00:00"/>
        <d v="2023-09-22T00:00:00"/>
        <d v="2023-09-21T00:00:00"/>
        <d v="2023-09-20T00:00:00"/>
        <d v="2023-09-18T00:00:00"/>
        <d v="2023-09-16T00:00:00"/>
        <d v="2023-09-15T00:00:00"/>
        <d v="2023-09-14T00:00:00"/>
        <d v="2023-09-13T00:00:00"/>
        <d v="2023-09-12T00:00:00"/>
        <d v="2023-09-11T00:00:00"/>
        <d v="2023-09-10T00:00:00"/>
        <d v="2023-09-08T00:00:00"/>
        <d v="2023-09-07T00:00:00"/>
        <d v="2023-09-06T00:00:00"/>
        <d v="2023-09-05T00:00:00"/>
        <d v="2023-09-04T00:00:00"/>
        <d v="2023-08-31T00:00:00"/>
        <d v="2023-08-30T00:00:00"/>
        <d v="2023-08-29T00:00:00"/>
        <d v="2023-08-28T00:00:00"/>
        <d v="2023-08-25T00:00:00"/>
        <d v="2023-08-24T00:00:00"/>
        <d v="2023-08-23T00:00:00"/>
        <d v="2023-08-22T00:00:00"/>
        <d v="2023-08-21T00:00:00"/>
        <d v="2023-08-18T00:00:00"/>
        <d v="2023-08-17T00:00:00"/>
        <d v="2023-08-16T00:00:00"/>
        <d v="2023-08-15T00:00:00"/>
        <d v="2023-08-14T00:00:00"/>
        <d v="2023-08-11T00:00:00"/>
        <d v="2023-08-10T00:00:00"/>
        <d v="2023-08-09T00:00:00"/>
        <d v="2023-08-07T00:00:00"/>
        <d v="2023-08-04T00:00:00"/>
        <d v="2023-08-03T00:00:00"/>
        <d v="2023-08-02T00:00:00"/>
        <d v="2023-08-01T00:00:00"/>
        <d v="2023-07-31T00:00:00"/>
        <d v="2023-07-28T00:00:00"/>
        <d v="2023-07-27T00:00:00"/>
        <d v="2023-07-26T00:00:00"/>
        <d v="2023-07-25T00:00:00"/>
        <d v="2023-07-24T00:00:00"/>
        <d v="2023-07-21T00:00:00"/>
        <d v="2023-07-20T00:00:00"/>
        <d v="2023-07-19T00:00:00"/>
        <d v="2023-07-18T00:00:00"/>
        <d v="2023-07-17T00:00:00"/>
        <d v="2023-07-15T00:00:00"/>
        <d v="2023-07-14T00:00:00"/>
        <d v="2023-07-13T00:00:00"/>
        <d v="2023-07-12T00:00:00"/>
        <d v="2023-07-11T00:00:00"/>
        <d v="2023-07-10T00:00:00"/>
        <d v="2023-07-07T00:00:00"/>
        <d v="2023-07-06T00:00:00"/>
        <d v="2023-07-05T00:00:00"/>
        <d v="2023-07-04T00:00:00"/>
        <d v="2023-07-03T00:00:00"/>
        <d v="2023-06-30T00:00:00"/>
        <d v="2023-06-29T00:00:00"/>
        <d v="2023-06-28T00:00:00"/>
        <d v="2023-06-27T00:00:00"/>
        <d v="2023-06-26T00:00:00"/>
        <d v="2023-06-24T00:00:00"/>
        <d v="2023-06-23T00:00:00"/>
        <d v="2023-06-22T00:00:00"/>
        <d v="2023-06-21T00:00:00"/>
        <d v="2023-06-20T00:00:00"/>
        <d v="2023-06-19T00:00:00"/>
        <d v="2023-06-16T00:00:00"/>
        <d v="2023-06-15T00:00:00"/>
        <d v="2023-06-14T00:00:00"/>
        <d v="2023-06-12T00:00:00"/>
        <d v="2023-06-10T00:00:00"/>
        <d v="2023-06-09T00:00:00"/>
        <d v="2023-06-07T00:00:00"/>
        <d v="2023-06-06T00:00:00"/>
        <d v="2023-06-05T00:00:00"/>
        <d v="2023-06-03T00:00:00"/>
        <d v="2023-06-02T00:00:00"/>
        <d v="2023-06-01T00:00:00"/>
        <d v="2023-05-31T00:00:00"/>
        <d v="2023-05-30T00:00:00"/>
        <d v="2023-05-29T00:00:00"/>
        <d v="2023-05-26T00:00:00"/>
        <d v="2023-05-25T00:00:00"/>
        <d v="2023-05-24T00:00:00"/>
        <d v="2023-05-23T00:00:00"/>
        <d v="2023-05-22T00:00:00"/>
        <d v="2023-05-21T00:00:00"/>
        <d v="2023-05-19T00:00:00"/>
        <d v="2023-05-18T00:00:00"/>
        <d v="2023-05-17T00:00:00"/>
        <d v="2023-05-16T00:00:00"/>
        <d v="2023-05-15T00:00:00"/>
        <d v="2023-05-14T00:00:00"/>
        <d v="2023-05-12T00:00:00"/>
        <d v="2023-05-11T00:00:00"/>
        <d v="2023-05-10T00:00:00"/>
        <d v="2023-05-09T00:00:00"/>
        <d v="2023-05-08T00:00:00"/>
        <d v="2023-05-05T00:00:00"/>
        <d v="2023-05-04T00:00:00"/>
        <d v="2023-05-03T00:00:00"/>
        <d v="2023-05-02T00:00:00"/>
        <d v="2023-04-30T00:00:00"/>
        <d v="2023-04-29T00:00:00"/>
        <d v="2023-04-28T00:00:00"/>
        <d v="2023-04-27T00:00:00"/>
        <d v="2023-04-26T00:00:00"/>
        <d v="2023-04-25T00:00:00"/>
        <d v="2023-04-24T00:00:00"/>
        <d v="2023-04-21T00:00:00"/>
        <d v="2023-04-20T00:00:00"/>
        <d v="2023-04-19T00:00:00"/>
        <d v="2023-04-18T00:00:00"/>
        <d v="2023-04-17T00:00:00"/>
        <d v="2023-04-14T00:00:00"/>
        <d v="2023-04-13T00:00:00"/>
        <d v="2023-04-12T00:00:00"/>
        <d v="2023-04-11T00:00:00"/>
        <d v="2023-04-10T00:00:00"/>
        <d v="2023-04-06T00:00:00"/>
        <d v="2023-04-05T00:00:00"/>
        <d v="2023-04-04T00:00:00"/>
        <d v="2023-04-03T00:00:00"/>
        <d v="2023-04-02T00:00:00"/>
        <d v="2023-03-31T00:00:00"/>
        <d v="2023-03-30T00:00:00"/>
        <d v="2023-03-29T00:00:00"/>
        <d v="2023-03-27T00:00:00"/>
        <d v="2023-03-24T00:00:00"/>
        <d v="2023-03-23T00:00:00"/>
        <d v="2023-03-22T00:00:00"/>
        <d v="2023-03-21T00:00:00"/>
        <d v="2023-03-20T00:00:00"/>
        <d v="2023-03-17T00:00:00"/>
        <d v="2023-03-16T00:00:00"/>
        <d v="2023-03-15T00:00:00"/>
        <d v="2023-03-14T00:00:00"/>
        <d v="2023-03-13T00:00:00"/>
        <d v="2023-03-11T00:00:00"/>
        <d v="2023-03-10T00:00:00"/>
        <d v="2023-03-09T00:00:00"/>
        <d v="2023-03-08T00:00:00"/>
        <d v="2023-03-07T00:00:00"/>
        <d v="2023-03-06T00:00:00"/>
        <d v="2023-03-05T00:00:00"/>
        <d v="2023-03-03T00:00:00"/>
        <d v="2023-03-02T00:00:00"/>
        <d v="2023-02-28T00:00:00"/>
        <d v="2023-02-27T00:00:00"/>
        <d v="2023-02-25T00:00:00"/>
        <d v="2023-02-24T00:00:00"/>
        <d v="2023-02-23T00:00:00"/>
        <d v="2023-02-22T00:00:00"/>
        <d v="2023-02-21T00:00:00"/>
        <d v="2023-02-20T00:00:00"/>
        <d v="2023-02-17T00:00:00"/>
        <d v="2023-02-16T00:00:00"/>
        <d v="2023-02-15T00:00:00"/>
        <d v="2023-02-14T00:00:00"/>
        <d v="2023-02-13T00:00:00"/>
        <d v="2023-02-10T00:00:00"/>
        <d v="2023-02-09T00:00:00"/>
        <d v="2023-02-08T00:00:00"/>
        <d v="2023-02-07T00:00:00"/>
        <d v="2023-02-06T00:00:00"/>
        <d v="2023-02-04T00:00:00"/>
        <d v="2023-02-03T00:00:00"/>
        <d v="2023-02-02T00:00:00"/>
        <d v="2023-02-01T00:00:00"/>
        <d v="2023-01-31T00:00:00"/>
        <d v="2023-01-30T00:00:00"/>
        <d v="2023-01-27T00:00:00"/>
        <d v="2023-01-25T00:00:00"/>
        <d v="2023-01-24T00:00:00"/>
        <d v="2023-01-23T00:00:00"/>
        <d v="2023-01-20T00:00:00"/>
        <d v="2023-01-18T00:00:00"/>
        <d v="2023-01-17T00:00:00"/>
        <d v="2023-01-16T00:00:00"/>
        <d v="2023-01-13T00:00:00"/>
        <d v="2023-01-12T00:00:00"/>
        <d v="2023-01-10T00:00:00"/>
        <d v="2023-01-09T00:00:00"/>
        <d v="2023-01-06T00:00:00"/>
        <d v="2023-01-04T00:00:00"/>
        <d v="2023-01-03T00:00:00"/>
        <d v="2023-01-02T00:00:00"/>
        <d v="2022-12-31T00:00:00"/>
        <d v="2022-12-29T00:00:00"/>
        <d v="2022-12-28T00:00:00"/>
        <d v="2022-12-27T00:00:00"/>
        <d v="2022-12-23T00:00:00"/>
        <d v="2022-12-22T00:00:00"/>
        <d v="2022-12-21T00:00:00"/>
        <d v="2022-12-20T00:00:00"/>
        <d v="2022-12-19T00:00:00"/>
        <d v="2022-12-16T00:00:00"/>
        <d v="2022-12-15T00:00:00"/>
        <d v="2022-12-14T00:00:00"/>
        <d v="2022-12-12T00:00:00"/>
        <d v="2022-12-10T00:00:00"/>
        <d v="2022-12-09T00:00:00"/>
        <d v="2022-12-08T00:00:00"/>
        <d v="2022-12-07T00:00:00"/>
        <d v="2022-12-06T00:00:00"/>
        <d v="2022-12-05T00:00:00"/>
        <d v="2022-12-03T00:00:00"/>
        <d v="2022-12-02T00:00:00"/>
        <d v="2022-12-01T00:00:00"/>
        <d v="2022-11-30T00:00:00"/>
        <d v="2022-11-29T00:00:00"/>
        <d v="2022-11-28T00:00:00"/>
        <d v="2022-11-23T00:00:00"/>
        <d v="2022-11-22T00:00:00"/>
        <d v="2022-11-21T00:00:00"/>
        <d v="2022-11-18T00:00:00"/>
        <d v="2022-11-17T00:00:00"/>
        <d v="2022-11-16T00:00:00"/>
        <d v="2022-11-15T00:00:00"/>
        <d v="2022-11-14T00:00:00"/>
        <d v="2022-11-13T00:00:00"/>
        <d v="2022-11-12T00:00:00"/>
        <d v="2022-11-11T00:00:00"/>
        <d v="2022-11-10T00:00:00"/>
        <d v="2022-11-09T00:00:00"/>
        <d v="2022-11-08T00:00:00"/>
        <d v="2022-11-07T00:00:00"/>
        <d v="2022-11-06T00:00:00"/>
        <d v="2022-11-03T00:00:00"/>
        <d v="2022-11-02T00:00:00"/>
        <d v="2022-11-01T00:00:00"/>
        <d v="2022-10-31T00:00:00"/>
        <d v="2022-10-29T00:00:00"/>
        <d v="2022-10-28T00:00:00"/>
        <d v="2022-10-27T00:00:00"/>
        <d v="2022-10-26T00:00:00"/>
        <d v="2022-10-25T00:00:00"/>
        <d v="2022-10-24T00:00:00"/>
        <d v="2022-10-21T00:00:00"/>
        <d v="2022-10-20T00:00:00"/>
        <d v="2022-10-19T00:00:00"/>
        <d v="2022-10-18T00:00:00"/>
        <d v="2022-10-17T00:00:00"/>
        <d v="2022-10-15T00:00:00"/>
        <d v="2022-10-14T00:00:00"/>
        <d v="2022-10-13T00:00:00"/>
        <d v="2022-10-12T00:00:00"/>
        <d v="2022-10-11T00:00:00"/>
        <d v="2022-10-10T00:00:00"/>
        <d v="2022-10-07T00:00:00"/>
        <d v="2022-10-05T00:00:00"/>
        <d v="2022-10-04T00:00:00"/>
        <d v="2022-10-03T00:00:00"/>
        <d v="2022-10-01T00:00:00"/>
        <d v="2022-09-30T00:00:00"/>
        <d v="2022-09-29T00:00:00"/>
        <d v="2022-09-28T00:00:00"/>
        <d v="2022-09-27T00:00:00"/>
        <d v="2022-09-26T00:00:00"/>
        <d v="2022-09-23T00:00:00"/>
        <d v="2022-09-22T00:00:00"/>
        <d v="2022-09-21T00:00:00"/>
        <d v="2022-09-20T00:00:00"/>
        <d v="2022-09-19T00:00:00"/>
        <d v="2022-09-16T00:00:00"/>
        <d v="2022-09-15T00:00:00"/>
        <d v="2022-09-14T00:00:00"/>
        <d v="2022-09-13T00:00:00"/>
        <d v="2022-09-12T00:00:00"/>
        <d v="2022-09-10T00:00:00"/>
        <d v="2022-09-09T00:00:00"/>
        <d v="2022-09-08T00:00:00"/>
        <d v="2022-09-07T00:00:00"/>
        <d v="2022-09-06T00:00:00"/>
        <d v="2022-09-05T00:00:00"/>
        <d v="2022-09-02T00:00:00"/>
        <d v="2022-09-01T00:00:00"/>
        <d v="2022-08-31T00:00:00"/>
        <d v="2022-08-30T00:00:00"/>
        <d v="2022-08-29T00:00:00"/>
        <d v="2022-08-26T00:00:00"/>
        <d v="2022-08-25T00:00:00"/>
        <d v="2022-08-23T00:00:00"/>
        <d v="2022-08-22T00:00:00"/>
        <d v="2022-08-19T00:00:00"/>
        <d v="2022-08-18T00:00:00"/>
        <d v="2022-08-17T00:00:00"/>
        <d v="2022-08-16T00:00:00"/>
        <d v="2022-08-15T00:00:00"/>
        <d v="2022-08-14T00:00:00"/>
        <d v="2022-08-12T00:00:00"/>
        <d v="2022-08-11T00:00:00"/>
        <d v="2022-08-10T00:00:00"/>
        <d v="2022-08-09T00:00:00"/>
        <d v="2022-08-08T00:00:00"/>
        <d v="2022-08-05T00:00:00"/>
        <d v="2022-08-04T00:00:00"/>
        <d v="2022-08-03T00:00:00"/>
        <d v="2022-08-02T00:00:00"/>
        <d v="2022-08-01T00:00:00"/>
        <d v="2022-07-31T00:00:00"/>
        <d v="2022-07-29T00:00:00"/>
        <d v="2022-07-28T00:00:00"/>
        <d v="2022-07-27T00:00:00"/>
        <d v="2022-07-26T00:00:00"/>
        <d v="2022-07-25T00:00:00"/>
        <d v="2022-07-23T00:00:00"/>
        <d v="2022-07-22T00:00:00"/>
        <d v="2022-07-21T00:00:00"/>
        <d v="2022-07-20T00:00:00"/>
        <d v="2022-07-18T00:00:00"/>
        <d v="2022-07-15T00:00:00"/>
        <d v="2022-07-14T00:00:00"/>
        <d v="2022-07-13T00:00:00"/>
        <d v="2022-07-12T00:00:00"/>
        <d v="2022-07-11T00:00:00"/>
        <d v="2022-07-10T00:00:00"/>
        <d v="2022-07-08T00:00:00"/>
        <d v="2022-07-07T00:00:00"/>
        <d v="2022-07-06T00:00:00"/>
        <d v="2022-07-05T00:00:00"/>
        <d v="2022-07-04T00:00:00"/>
        <d v="2022-07-01T00:00:00"/>
        <d v="2022-06-30T00:00:00"/>
        <d v="2022-06-29T00:00:00"/>
        <d v="2022-06-28T00:00:00"/>
        <d v="2022-06-27T00:00:00"/>
        <d v="2022-06-26T00:00:00"/>
        <d v="2022-06-25T00:00:00"/>
        <d v="2022-06-24T00:00:00"/>
        <d v="2022-06-23T00:00:00"/>
        <d v="2022-06-22T00:00:00"/>
        <d v="2022-06-21T00:00:00"/>
        <d v="2022-06-20T00:00:00"/>
        <d v="2022-06-17T00:00:00"/>
        <d v="2022-06-16T00:00:00"/>
        <d v="2022-06-15T00:00:00"/>
        <d v="2022-06-14T00:00:00"/>
        <d v="2022-06-13T00:00:00"/>
        <d v="2022-06-10T00:00:00"/>
        <d v="2022-06-08T00:00:00"/>
        <d v="2022-06-07T00:00:00"/>
        <d v="2022-06-04T00:00:00"/>
        <d v="2022-06-03T00:00:00"/>
        <d v="2022-06-02T00:00:00"/>
        <d v="2022-06-01T00:00:00"/>
        <d v="2022-05-31T00:00:00"/>
        <d v="2022-05-30T00:00:00"/>
        <d v="2022-05-27T00:00:00"/>
        <d v="2022-05-26T00:00:00"/>
        <d v="2022-05-25T00:00:00"/>
        <d v="2022-05-24T00:00:00"/>
        <d v="2022-05-23T00:00:00"/>
        <d v="2022-05-19T00:00:00"/>
        <d v="2022-05-18T00:00:00"/>
        <d v="2022-05-17T00:00:00"/>
        <d v="2022-05-16T00:00:00"/>
        <d v="2022-05-13T00:00:00"/>
        <d v="2022-05-12T00:00:00"/>
        <d v="2022-05-11T00:00:00"/>
        <d v="2022-05-10T00:00:00"/>
        <d v="2022-05-09T00:00:00"/>
        <d v="2022-05-06T00:00:00"/>
        <d v="2022-05-05T00:00:00"/>
        <d v="2022-05-04T00:00:00"/>
        <d v="2022-05-03T00:00:00"/>
        <d v="2022-05-02T00:00:00"/>
        <d v="2022-05-01T00:00:00"/>
        <d v="2022-04-30T00:00:00"/>
        <d v="2022-04-29T00:00:00"/>
        <d v="2022-04-28T00:00:00"/>
        <d v="2022-04-27T00:00:00"/>
        <d v="2022-04-26T00:00:00"/>
        <d v="2022-04-25T00:00:00"/>
        <d v="2022-04-22T00:00:00"/>
        <d v="2022-04-21T00:00:00"/>
        <d v="2022-04-20T00:00:00"/>
        <d v="2022-04-19T00:00:00"/>
        <d v="2022-04-14T00:00:00"/>
        <d v="2022-04-13T00:00:00"/>
        <d v="2022-04-12T00:00:00"/>
        <d v="2022-04-11T00:00:00"/>
        <d v="2022-04-10T00:00:00"/>
        <d v="2022-04-08T00:00:00"/>
        <d v="2022-04-07T00:00:00"/>
        <d v="2022-04-06T00:00:00"/>
        <d v="2022-04-05T00:00:00"/>
        <d v="2022-04-04T00:00:00"/>
        <d v="2022-04-01T00:00:00"/>
        <d v="2022-03-31T00:00:00"/>
        <d v="2022-03-30T00:00:00"/>
        <d v="2022-03-29T00:00:00"/>
        <d v="2022-03-28T00:00:00"/>
        <d v="2022-03-27T00:00:00"/>
        <d v="2022-03-26T00:00:00"/>
        <d v="2022-03-25T00:00:00"/>
        <d v="2022-03-24T00:00:00"/>
        <d v="2022-03-23T00:00:00"/>
        <d v="2022-03-22T00:00:00"/>
        <d v="2022-03-21T00:00:00"/>
        <d v="2022-03-18T00:00:00"/>
        <d v="2022-03-17T00:00:00"/>
        <d v="2022-03-16T00:00:00"/>
        <d v="2022-03-15T00:00:00"/>
        <d v="2022-03-14T00:00:00"/>
        <d v="2022-03-11T00:00:00"/>
        <d v="2022-03-10T00:00:00"/>
        <d v="2022-03-09T00:00:00"/>
        <d v="2022-03-08T00:00:00"/>
        <d v="2022-03-07T00:00:00"/>
        <d v="2022-03-06T00:00:00"/>
        <d v="2022-03-05T00:00:00"/>
        <d v="2022-03-04T00:00:00"/>
        <d v="2022-03-03T00:00:00"/>
        <d v="2022-03-02T00:00:00"/>
        <d v="2022-03-01T00:00:00"/>
        <d v="2022-02-28T00:00:00"/>
        <d v="2022-02-25T00:00:00"/>
        <d v="2022-02-24T00:00:00"/>
        <d v="2022-02-23T00:00:00"/>
        <d v="2022-02-22T00:00:00"/>
        <d v="2022-02-21T00:00:00"/>
        <d v="2022-02-18T00:00:00"/>
        <d v="2022-02-17T00:00:00"/>
        <d v="2022-02-16T00:00:00"/>
        <d v="2022-02-15T00:00:00"/>
        <d v="2022-02-14T00:00:00"/>
        <d v="2022-02-11T00:00:00"/>
        <d v="2022-02-10T00:00:00"/>
        <d v="2022-02-09T00:00:00"/>
        <d v="2022-02-08T00:00:00"/>
        <d v="2022-02-07T00:00:00"/>
        <d v="2022-02-05T00:00:00"/>
        <d v="2022-02-02T00:00:00"/>
        <d v="2022-02-01T00:00:00"/>
        <d v="2022-01-31T00:00:00"/>
        <d v="2022-01-28T00:00:00"/>
        <d v="2022-01-27T00:00:00"/>
        <d v="2022-01-26T00:00:00"/>
        <d v="2022-01-24T00:00:00"/>
        <d v="2022-01-22T00:00:00"/>
        <d v="2022-01-21T00:00:00"/>
        <d v="2022-01-20T00:00:00"/>
        <d v="2022-01-19T00:00:00"/>
        <d v="2022-01-18T00:00:00"/>
        <d v="2022-01-17T00:00:00"/>
        <d v="2022-01-16T00:00:00"/>
        <d v="2022-01-15T00:00:00"/>
        <d v="2022-01-14T00:00:00"/>
        <d v="2022-01-12T00:00:00"/>
        <d v="2022-01-11T00:00:00"/>
        <d v="2022-01-10T00:00:00"/>
        <d v="2022-01-07T00:00:00"/>
        <d v="2022-01-06T00:00:00"/>
        <d v="2022-01-05T00:00:00"/>
        <d v="2022-01-04T00:00:00"/>
        <d v="2022-01-03T00:00:00"/>
        <d v="2022-01-01T00:00:00"/>
        <d v="2021-12-31T00:00:00"/>
        <d v="2021-12-30T00:00:00"/>
        <d v="2021-12-28T00:00:00"/>
        <d v="2021-12-27T00:00:00"/>
        <d v="2021-12-23T00:00:00"/>
        <d v="2021-12-22T00:00:00"/>
        <d v="2021-12-21T00:00:00"/>
        <d v="2021-12-20T00:00:00"/>
        <d v="2021-12-17T00:00:00"/>
        <d v="2021-12-15T00:00:00"/>
        <d v="2021-12-14T00:00:00"/>
        <d v="2021-12-13T00:00:00"/>
        <d v="2021-12-10T00:00:00"/>
        <d v="2021-12-09T00:00:00"/>
        <d v="2021-12-08T00:00:00"/>
        <d v="2021-12-07T00:00:00"/>
        <d v="2021-12-06T00:00:00"/>
        <d v="2021-12-05T00:00:00"/>
        <d v="2021-12-03T00:00:00"/>
        <d v="2021-12-02T00:00:00"/>
        <d v="2021-12-01T00:00:00"/>
        <d v="2021-11-30T00:00:00"/>
        <d v="2021-11-29T00:00:00"/>
        <d v="2021-11-26T00:00:00"/>
        <d v="2021-11-25T00:00:00"/>
        <d v="2021-11-23T00:00:00"/>
        <d v="2021-11-22T00:00:00"/>
        <d v="2021-11-19T00:00:00"/>
        <d v="2021-11-18T00:00:00"/>
        <d v="2021-11-17T00:00:00"/>
        <d v="2021-11-16T00:00:00"/>
        <d v="2021-11-15T00:00:00"/>
        <d v="2021-11-11T00:00:00"/>
        <d v="2021-11-10T00:00:00"/>
        <d v="2021-11-09T00:00:00"/>
        <d v="2021-11-08T00:00:00"/>
        <d v="2021-11-05T00:00:00"/>
        <d v="2021-11-04T00:00:00"/>
        <d v="2021-11-03T00:00:00"/>
        <d v="2021-11-02T00:00:00"/>
        <d v="2021-10-29T00:00:00"/>
        <d v="2021-10-28T00:00:00"/>
        <d v="2021-10-27T00:00:00"/>
        <d v="2021-10-26T00:00:00"/>
        <d v="2021-10-25T00:00:00"/>
        <d v="2021-10-22T00:00:00"/>
        <d v="2021-10-21T00:00:00"/>
        <d v="2021-10-20T00:00:00"/>
        <d v="2021-10-19T00:00:00"/>
        <d v="2021-10-18T00:00:00"/>
        <d v="2021-10-15T00:00:00"/>
        <d v="2021-10-14T00:00:00"/>
        <d v="2021-10-13T00:00:00"/>
        <d v="2021-10-12T00:00:00"/>
        <d v="2021-10-11T00:00:00"/>
        <d v="2021-10-08T00:00:00"/>
        <d v="2021-10-07T00:00:00"/>
        <d v="2021-10-05T00:00:00"/>
        <d v="2021-10-04T00:00:00"/>
        <d v="2021-10-01T00:00:00"/>
        <d v="2021-09-30T00:00:00"/>
        <d v="2021-09-29T00:00:00"/>
        <d v="2021-09-28T00:00:00"/>
        <d v="2021-09-27T00:00:00"/>
        <d v="2021-09-24T00:00:00"/>
        <d v="2021-09-23T00:00:00"/>
        <d v="2021-09-22T00:00:00"/>
        <d v="2021-09-21T00:00:00"/>
        <d v="2021-09-20T00:00:00"/>
        <d v="2021-09-17T00:00:00"/>
        <d v="2021-09-16T00:00:00"/>
        <d v="2021-09-15T00:00:00"/>
        <d v="2021-09-14T00:00:00"/>
        <d v="2021-09-13T00:00:00"/>
        <d v="2021-09-12T00:00:00"/>
        <d v="2021-09-10T00:00:00"/>
        <d v="2021-09-09T00:00:00"/>
        <d v="2021-09-08T00:00:00"/>
        <d v="2021-09-07T00:00:00"/>
        <d v="2021-09-06T00:00:00"/>
        <d v="2021-09-04T00:00:00"/>
        <d v="2021-09-03T00:00:00"/>
        <d v="2021-09-02T00:00:00"/>
        <d v="2021-09-01T00:00:00"/>
        <d v="2021-08-31T00:00:00"/>
        <d v="2021-08-30T00:00:00"/>
        <d v="2021-08-28T00:00:00"/>
        <d v="2021-08-27T00:00:00"/>
        <d v="2021-08-26T00:00:00"/>
        <d v="2021-08-25T00:00:00"/>
        <d v="2021-08-24T00:00:00"/>
        <d v="2021-08-23T00:00:00"/>
        <d v="2021-08-19T00:00:00"/>
        <d v="2021-08-18T00:00:00"/>
        <d v="2021-08-17T00:00:00"/>
        <d v="2021-08-16T00:00:00"/>
        <d v="2021-08-13T00:00:00"/>
        <d v="2021-08-12T00:00:00"/>
        <d v="2021-08-11T00:00:00"/>
        <d v="2021-08-10T00:00:00"/>
        <d v="2021-08-09T00:00:00"/>
        <d v="2021-08-06T00:00:00"/>
        <d v="2021-08-05T00:00:00"/>
        <d v="2021-08-04T00:00:00"/>
        <d v="2021-08-03T00:00:00"/>
        <d v="2021-08-02T00:00:00"/>
        <d v="2021-07-31T00:00:00"/>
        <d v="2021-07-30T00:00:00"/>
        <d v="2021-07-29T00:00:00"/>
        <d v="2021-07-28T00:00:00"/>
        <d v="2021-07-27T00:00:00"/>
        <d v="2021-07-26T00:00:00"/>
        <d v="2021-07-23T00:00:00"/>
        <d v="2021-07-22T00:00:00"/>
        <d v="2021-07-21T00:00:00"/>
        <d v="2021-07-20T00:00:00"/>
        <d v="2021-07-19T00:00:00"/>
        <d v="2021-07-16T00:00:00"/>
        <d v="2021-07-15T00:00:00"/>
        <d v="2021-07-14T00:00:00"/>
        <d v="2021-07-12T00:00:00"/>
        <d v="2021-07-10T00:00:00"/>
        <d v="2021-07-09T00:00:00"/>
        <d v="2021-07-08T00:00:00"/>
        <d v="2021-07-07T00:00:00"/>
        <d v="2021-07-06T00:00:00"/>
        <d v="2021-07-05T00:00:00"/>
        <d v="2021-07-02T00:00:00"/>
        <d v="2021-07-01T00:00:00"/>
        <d v="2021-06-30T00:00:00"/>
        <d v="2021-06-29T00:00:00"/>
        <d v="2021-06-28T00:00:00"/>
        <d v="2021-06-25T00:00:00"/>
        <d v="2021-06-24T00:00:00"/>
        <d v="2021-06-23T00:00:00"/>
        <d v="2021-06-22T00:00:00"/>
        <d v="2021-06-21T00:00:00"/>
        <d v="2021-06-18T00:00:00"/>
        <d v="2021-06-17T00:00:00"/>
        <d v="2021-06-16T00:00:00"/>
        <d v="2021-06-14T00:00:00"/>
        <d v="2021-06-11T00:00:00"/>
        <d v="2021-06-10T00:00:00"/>
        <d v="2021-06-09T00:00:00"/>
        <d v="2021-06-08T00:00:00"/>
        <d v="2021-06-07T00:00:00"/>
        <d v="2021-06-04T00:00:00"/>
        <d v="2021-06-03T00:00:00"/>
        <d v="2021-06-02T00:00:00"/>
        <d v="2021-06-01T00:00:00"/>
        <d v="2021-05-31T00:00:00"/>
        <d v="2021-05-28T00:00:00"/>
        <d v="2021-05-27T00:00:00"/>
        <d v="2021-05-26T00:00:00"/>
        <d v="2021-05-25T00:00:00"/>
        <d v="2021-05-22T00:00:00"/>
        <d v="2021-05-21T00:00:00"/>
        <d v="2021-05-20T00:00:00"/>
        <d v="2021-05-19T00:00:00"/>
        <d v="2021-05-18T00:00:00"/>
        <d v="2021-05-17T00:00:00"/>
        <d v="2021-05-14T00:00:00"/>
        <d v="2021-05-12T00:00:00"/>
        <d v="2021-05-11T00:00:00"/>
        <d v="2021-05-10T00:00:00"/>
        <d v="2021-05-07T00:00:00"/>
        <d v="2021-05-06T00:00:00"/>
        <d v="2021-05-05T00:00:00"/>
        <d v="2021-05-03T00:00:00"/>
        <d v="2021-04-30T00:00:00"/>
        <d v="2021-04-29T00:00:00"/>
        <d v="2021-04-28T00:00:00"/>
        <d v="2021-04-26T00:00:00"/>
        <d v="2021-04-23T00:00:00"/>
        <d v="2021-04-21T00:00:00"/>
        <d v="2021-04-19T00:00:00"/>
        <d v="2021-04-15T00:00:00"/>
        <d v="2021-04-13T00:00:00"/>
        <d v="2021-04-12T00:00:00"/>
        <d v="2021-04-10T00:00:00"/>
        <d v="2021-04-09T00:00:00"/>
        <d v="2021-04-07T00:00:00"/>
        <d v="2021-04-06T00:00:00"/>
        <d v="2021-03-31T00:00:00"/>
        <d v="2021-03-30T00:00:00"/>
        <d v="2021-03-29T00:00:00"/>
        <d v="2021-03-26T00:00:00"/>
        <d v="2021-03-25T00:00:00"/>
        <d v="2021-03-24T00:00:00"/>
        <d v="2021-03-23T00:00:00"/>
        <d v="2021-03-22T00:00:00"/>
        <d v="2021-03-19T00:00:00"/>
        <d v="2021-03-18T00:00:00"/>
        <d v="2021-03-16T00:00:00"/>
        <d v="2021-03-13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1T00:00:00"/>
        <d v="2021-02-28T00:00:00"/>
        <d v="2021-02-27T00:00:00"/>
        <d v="2021-02-26T00:00:00"/>
        <d v="2021-02-25T00:00:00"/>
        <d v="2021-02-24T00:00:00"/>
        <d v="2021-02-23T00:00:00"/>
        <d v="2021-02-22T00:00:00"/>
        <d v="2021-02-18T00:00:00"/>
        <d v="2021-02-17T00:00:00"/>
        <d v="2021-02-15T00:00:00"/>
        <d v="2021-02-11T00:00:00"/>
        <d v="2021-02-10T00:00:00"/>
        <d v="2021-02-09T00:00:00"/>
        <d v="2021-02-08T00:00:00"/>
        <d v="2021-02-05T00:00:00"/>
        <d v="2021-02-02T00:00:00"/>
        <d v="2021-02-01T00:00:00"/>
        <d v="2021-01-29T00:00:00"/>
        <d v="2021-01-28T00:00:00"/>
        <d v="2021-01-25T00:00:00"/>
        <d v="2021-01-22T00:00:00"/>
        <d v="2021-01-21T00:00:00"/>
        <d v="2021-01-20T00:00:00"/>
        <d v="2021-01-19T00:00:00"/>
        <d v="2021-01-18T00:00:00"/>
        <d v="2021-01-14T00:00:00"/>
        <d v="2021-01-12T00:00:00"/>
        <d v="2021-01-11T00:00:00"/>
        <d v="2021-01-10T00:00:00"/>
        <d v="2021-01-08T00:00:00"/>
        <d v="2021-01-05T00:00:00"/>
        <d v="2021-01-04T00:00:00"/>
        <d v="2020-12-31T00:00:00"/>
        <d v="2020-12-30T00:00:00"/>
        <d v="2020-12-28T00:00:00"/>
        <d v="2020-12-23T00:00:00"/>
        <d v="2020-12-22T00:00:00"/>
        <d v="2020-12-21T00:00:00"/>
        <d v="2020-12-17T00:00:00"/>
        <d v="2020-12-16T00:00:00"/>
        <d v="2020-12-15T00:00:00"/>
        <d v="2020-12-14T00:00:00"/>
        <d v="2020-12-12T00:00:00"/>
        <d v="2020-12-11T00:00:00"/>
        <d v="2020-12-10T00:00:00"/>
        <d v="2020-12-08T00:00:00"/>
        <d v="2020-12-07T00:00:00"/>
        <d v="2020-12-05T00:00:00"/>
        <d v="2020-12-04T00:00:00"/>
        <d v="2020-12-03T00:00:00"/>
        <d v="2020-12-02T00:00:00"/>
        <d v="2020-12-01T00:00:00"/>
        <d v="2020-11-30T00:00:00"/>
        <d v="2020-11-27T00:00:00"/>
        <d v="2020-11-26T00:00:00"/>
        <d v="2020-11-25T00:00:00"/>
        <d v="2020-11-24T00:00:00"/>
        <d v="2020-11-23T00:00:00"/>
        <d v="2020-11-19T00:00:00"/>
        <d v="2020-11-18T00:00:00"/>
        <d v="2020-11-17T00:00:00"/>
        <d v="2020-11-16T00:00:00"/>
        <d v="2020-11-13T00:00:00"/>
        <d v="2020-11-12T00:00:00"/>
        <d v="2020-11-11T00:00:00"/>
        <d v="2020-11-10T00:00:00"/>
        <d v="2020-11-09T00:00:00"/>
        <d v="2020-11-06T00:00:00"/>
        <d v="2020-11-05T00:00:00"/>
        <d v="2020-11-04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2T00:00:00"/>
        <d v="2020-10-09T00:00:00"/>
        <d v="2020-10-08T00:00:00"/>
        <d v="2020-10-06T00:00:00"/>
        <d v="2020-10-05T00:00:00"/>
        <d v="2020-10-02T00:00:00"/>
        <d v="2020-10-01T00:00:00"/>
        <d v="2020-09-30T00:00:00"/>
        <d v="2020-09-29T00:00:00"/>
        <d v="2020-09-28T00:00:00"/>
        <d v="2020-09-25T00:00:00"/>
        <d v="2020-09-24T00:00:00"/>
        <d v="2020-09-23T00:00:00"/>
        <d v="2020-09-21T00:00:00"/>
        <d v="2020-09-18T00:00:00"/>
        <d v="2020-09-17T00:00:00"/>
        <d v="2020-09-16T00:00:00"/>
        <d v="2020-09-15T00:00:00"/>
        <d v="2020-09-14T00:00:00"/>
        <d v="2020-09-13T00:00:00"/>
        <d v="2020-09-10T00:00:00"/>
        <d v="2020-09-09T00:00:00"/>
        <d v="2020-09-08T00:00:00"/>
        <d v="2020-09-07T00:00:00"/>
        <d v="2020-09-04T00:00:00"/>
        <d v="2020-09-03T00:00:00"/>
        <d v="2020-09-02T00:00:00"/>
        <d v="2020-09-01T00:00:00"/>
        <d v="2020-08-31T00:00:00"/>
        <d v="2020-08-29T00:00:00"/>
        <d v="2020-08-28T00:00:00"/>
        <d v="2020-08-27T00:00:00"/>
        <d v="2020-08-26T00:00:00"/>
        <d v="2020-08-25T00:00:00"/>
        <d v="2020-08-24T00:00:00"/>
        <d v="2020-08-19T00:00:00"/>
        <d v="2020-08-18T00:00:00"/>
        <d v="2020-08-17T00:00:00"/>
        <d v="2020-08-14T00:00:00"/>
        <d v="2020-08-13T00:00:00"/>
        <d v="2020-08-11T00:00:00"/>
        <d v="2020-08-10T00:00:00"/>
        <d v="2020-08-07T00:00:00"/>
        <d v="2020-08-05T00:00:00"/>
        <d v="2020-08-04T00:00:00"/>
        <d v="2020-08-03T00:00:00"/>
        <d v="2020-07-31T00:00:00"/>
        <d v="2020-07-29T00:00:00"/>
        <d v="2020-07-28T00:00:00"/>
        <d v="2020-07-27T00:00:00"/>
        <d v="2020-07-24T00:00:00"/>
        <d v="2020-07-23T00:00:00"/>
        <d v="2020-07-22T00:00:00"/>
        <d v="2020-07-21T00:00:00"/>
        <d v="2020-07-20T00:00:00"/>
        <d v="2020-07-17T00:00:00"/>
        <d v="2020-07-15T00:00:00"/>
        <d v="2020-07-14T00:00:00"/>
        <d v="2020-07-13T00:00:00"/>
        <d v="2020-07-11T00:00:00"/>
        <d v="2020-07-10T00:00:00"/>
        <d v="2020-07-09T00:00:00"/>
        <d v="2020-07-08T00:00:00"/>
        <d v="2020-07-06T00:00:00"/>
        <d v="2020-07-03T00:00:00"/>
        <d v="2020-07-02T00:00:00"/>
        <d v="2020-06-30T00:00:00"/>
        <d v="2020-06-29T00:00:00"/>
        <d v="2020-06-26T00:00:00"/>
        <d v="2020-06-25T00:00:00"/>
        <d v="2020-06-24T00:00:00"/>
        <d v="2020-06-23T00:00:00"/>
        <d v="2020-06-22T00:00:00"/>
        <d v="2020-06-19T00:00:00"/>
        <d v="2020-06-16T00:00:00"/>
        <d v="2020-06-15T00:00:00"/>
        <d v="2020-06-12T00:00:00"/>
        <d v="2020-06-11T00:00:00"/>
        <d v="2020-06-10T00:00:00"/>
        <d v="2020-06-09T00:00:00"/>
        <d v="2020-06-08T00:00:00"/>
        <d v="2020-06-05T00:00:00"/>
        <d v="2020-06-04T00:00:00"/>
        <d v="2020-06-03T00:00:00"/>
        <d v="2020-06-02T00:00:00"/>
        <d v="2020-05-30T00:00:00"/>
        <d v="2020-05-29T00:00:00"/>
        <d v="2020-05-28T00:00:00"/>
        <d v="2020-05-27T00:00:00"/>
        <d v="2020-05-26T00:00:00"/>
        <d v="2020-05-25T00:00:00"/>
        <d v="2020-05-22T00:00:00"/>
        <d v="2020-05-20T00:00:00"/>
        <d v="2020-05-18T00:00:00"/>
        <d v="2020-05-15T00:00:00"/>
        <d v="2020-05-14T00:00:00"/>
        <d v="2020-05-13T00:00:00"/>
        <d v="2020-05-12T00:00:00"/>
        <d v="2020-05-11T00:00:00"/>
        <d v="2020-05-08T00:00:00"/>
        <d v="2020-05-07T00:00:00"/>
        <d v="2020-05-05T00:00:00"/>
        <d v="2020-05-04T00:00:00"/>
        <d v="2020-04-30T00:00:00"/>
        <d v="2020-04-29T00:00:00"/>
        <d v="2020-04-28T00:00:00"/>
        <d v="2020-04-27T00:00:00"/>
        <d v="2020-04-23T00:00:00"/>
        <d v="2020-04-22T00:00:00"/>
        <d v="2020-04-21T00:00:00"/>
        <d v="2020-04-20T00:00:00"/>
        <d v="2020-04-16T00:00:00"/>
        <d v="2020-04-14T00:00:00"/>
        <d v="2020-04-09T00:00:00"/>
        <d v="2020-04-08T00:00:00"/>
        <d v="2020-04-06T00:00:00"/>
        <d v="2020-04-03T00:00:00"/>
        <d v="2020-04-02T00:00:00"/>
        <d v="2020-04-01T00:00:00"/>
        <d v="2020-03-31T00:00:00"/>
        <d v="2020-03-30T00:00:00"/>
        <d v="2020-03-26T00:00:00"/>
        <d v="2020-03-24T00:00:00"/>
        <d v="2020-03-23T00:00:00"/>
        <d v="2020-03-21T00:00:00"/>
        <d v="2020-03-19T00:00:00"/>
        <d v="2020-03-18T00:00:00"/>
        <d v="2020-03-16T00:00:00"/>
        <d v="2020-03-13T00:00:00"/>
        <d v="2020-03-11T00:00:00"/>
        <d v="2020-03-10T00:00:00"/>
        <d v="2020-03-09T00:00:00"/>
        <d v="2020-03-06T00:00:00"/>
        <d v="2020-03-05T00:00:00"/>
        <d v="2020-03-04T00:00:00"/>
        <d v="2020-03-03T00:00:00"/>
        <d v="2020-03-02T00:00:00"/>
        <d v="2020-02-28T00:00:00"/>
        <d v="2020-02-27T00:00:00"/>
        <d v="2020-02-26T00:00:00"/>
        <d v="2020-02-25T00:00:00"/>
        <d v="2020-02-24T00:00:00"/>
        <d v="2020-02-20T00:00:00"/>
        <d v="2020-02-19T00:00:00"/>
        <d v="2020-02-18T00:00:00"/>
        <d v="2020-02-17T00:00:00"/>
        <d v="2020-02-14T00:00:00"/>
        <d v="2020-02-13T00:00:00"/>
        <d v="2020-02-12T00:00:00"/>
        <d v="2020-02-10T00:00:00"/>
        <d v="2020-02-07T00:00:00"/>
        <d v="2020-02-06T00:00:00"/>
        <d v="2020-02-05T00:00:00"/>
        <d v="2020-02-04T00:00:00"/>
        <d v="2020-02-03T00:00:00"/>
        <d v="2020-01-31T00:00:00"/>
        <d v="2020-01-30T00:00:00"/>
        <d v="2020-01-29T00:00:00"/>
        <d v="2020-01-28T00:00:00"/>
        <d v="2020-01-27T00:00:00"/>
        <d v="2020-01-24T00:00:00"/>
        <d v="2020-01-23T00:00:00"/>
        <d v="2020-01-22T00:00:00"/>
        <d v="2020-01-21T00:00:00"/>
        <d v="2020-01-20T00:00:00"/>
        <d v="2020-01-17T00:00:00"/>
        <d v="2020-01-16T00:00:00"/>
        <d v="2020-01-15T00:00:00"/>
        <d v="2020-01-14T00:00:00"/>
        <d v="2020-01-13T00:00:00"/>
        <d v="2020-01-10T00:00:00"/>
        <d v="2020-01-09T00:00:00"/>
        <d v="2020-01-08T00:00:00"/>
        <d v="2020-01-07T00:00:00"/>
        <d v="2020-01-06T00:00:00"/>
        <d v="2020-01-03T00:00:00"/>
        <d v="2020-01-02T00:00:00"/>
        <m/>
      </sharedItems>
    </cacheField>
    <cacheField name="Leírás" numFmtId="0">
      <sharedItems containsBlank="1"/>
    </cacheField>
    <cacheField name="Összeg" numFmtId="0">
      <sharedItems containsString="0" containsBlank="1" containsNumber="1" minValue="-27500000" maxValue="27500000"/>
    </cacheField>
    <cacheField name="Főtípus" numFmtId="0">
      <sharedItems containsBlank="1" count="11">
        <s v="Lakhatás"/>
        <s v="Pénzügy"/>
        <s v="Étterem"/>
        <s v="Vásárlás"/>
        <s v="Fizetés"/>
        <s v="Közlekedés"/>
        <s v="Kikapcsolódás"/>
        <s v="Egészség"/>
        <s v="Egyéb"/>
        <s v="NemKategorizalt"/>
        <m/>
      </sharedItems>
    </cacheField>
    <cacheField name="Altípus" numFmtId="0">
      <sharedItems containsBlank="1" count="68">
        <s v="Lakhatás - Egyéb"/>
        <s v="Banki költség"/>
        <s v="Gyorsétterem"/>
        <s v="Gyerek"/>
        <s v="Élelmiszer, vegyszer"/>
        <s v="Gyógyszertár"/>
        <s v="Felújítás/Karbantartás"/>
        <s v="Internet"/>
        <s v="Vásárlás - Egyéb"/>
        <s v="Parkolás"/>
        <s v="Étterem"/>
        <s v="Áram"/>
        <s v="Kikapcsolódás - Egyéb"/>
        <s v="Testnevelés"/>
        <s v="Táplálék-kiegészítő"/>
        <s v="Szépségápolás"/>
        <s v="Tankolás"/>
        <s v="Orvos"/>
        <s v="Autómosás"/>
        <s v="Kávézó"/>
        <s v="Fizetés"/>
        <s v="Hitel"/>
        <s v="Gáz"/>
        <s v="Víz"/>
        <s v="Könyv"/>
        <s v="Egészség - Egyéb"/>
        <s v="Állampapír"/>
        <s v="Optika"/>
        <s v="Menetjegy"/>
        <s v="Egyéb"/>
        <s v="Ruha"/>
        <s v="Műszaki termék"/>
        <s v="Tanulás"/>
        <s v="Autó egyéb"/>
        <s v="Kamat"/>
        <s v="Bútor"/>
        <s v="Autó szerelés"/>
        <s v="Pályamatrica"/>
        <s v="Szemét"/>
        <s v="Pénzügy - Egyéb"/>
        <s v="Estibuli költség"/>
        <s v="Autó biztosítás"/>
        <s v="Autó Vásárlás"/>
        <s v="Készpénzfelvétel"/>
        <s v="Mozi"/>
        <s v="Műszaki vizsga"/>
        <s v="Telefon"/>
        <s v="Biztosítás"/>
        <s v="Nem Kategorizált"/>
        <s v="Nyugdíj"/>
        <s v="Egészségpénztár"/>
        <s v="Esküvő"/>
        <s v="Nyaralás"/>
        <s v="Értékpapír befektetés"/>
        <s v="Múzeum"/>
        <s v="Ingatlan vásárlás"/>
        <s v="Közösköltség"/>
        <s v="Albérlet"/>
        <s v="Taxi"/>
        <s v="Garázs"/>
        <s v="Lekötés"/>
        <s v="Utazás elszámolás"/>
        <s v="Hotel"/>
        <s v="Munkahelyi"/>
        <m/>
        <s v="Átvezetés" u="1"/>
        <s v="Karbantartás" u="1"/>
        <s v="Felújítás" u="1"/>
      </sharedItems>
    </cacheField>
    <cacheField name="Számla" numFmtId="0">
      <sharedItems containsBlank="1" count="10">
        <s v="Folyószámla"/>
        <s v="Hitel"/>
        <s v="Készpénz"/>
        <s v="Magyar Állampapír"/>
        <s v="OTP - Széchenyi Pihenőkártya"/>
        <s v="Egyeb"/>
        <s v="Értékpapírszámla"/>
        <s v="Uniqa - Önkéntes nyugdíjpénztár"/>
        <s v="Generali - Egészségpénztá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956">
  <r>
    <x v="0"/>
    <s v="HUN-Budaors IKEA BUDAORS BEV ECO Áru vissza/befizetés(2024.05.29) Card:5444-0XXX-XX26-4954 MCC5712 HUN-Budaors IKEA BUDAORS BEV ECO 13.980,00 HUF Kártyatranzakció"/>
    <n v="13980"/>
    <x v="0"/>
    <x v="0"/>
    <x v="0"/>
  </r>
  <r>
    <x v="0"/>
    <s v="Havi zárlati díj"/>
    <n v="-2613"/>
    <x v="1"/>
    <x v="1"/>
    <x v="0"/>
  </r>
  <r>
    <x v="0"/>
    <s v="HUN-Budapest Kemal Pasa Torok Et Vásárlás(2024.05.29) Card:5444-0XXX-XX26-4954 MCC5812 HUN-Budapest Kemal Pasa Torok Et 2.700,00 HUF Kártyatranzakció"/>
    <n v="-2700"/>
    <x v="2"/>
    <x v="2"/>
    <x v="0"/>
  </r>
  <r>
    <x v="0"/>
    <s v="HUN-BUDAORS JYSK H824 Vásárlás(2024.05.29) Card:5444-0XXX-XX26-4954 MCC5712 HUN-BUDAORS JYSK H824 20.000,00 HUF Kártyatranzakció"/>
    <n v="-20000"/>
    <x v="0"/>
    <x v="0"/>
    <x v="0"/>
  </r>
  <r>
    <x v="1"/>
    <s v="LTU-Vilnius VINTED 9596902041 Vásárlás(2024.05.28) Card:5444-0XXX-XX26-4954 MCC5931 LTU-Vilnius VINTED 9596902041 2.735,00 HUF Kártyatranzakció"/>
    <n v="-2735"/>
    <x v="3"/>
    <x v="3"/>
    <x v="0"/>
  </r>
  <r>
    <x v="2"/>
    <s v="MOL 33050 sz. toltoall Balatonlelle"/>
    <n v="-1100"/>
    <x v="2"/>
    <x v="2"/>
    <x v="0"/>
  </r>
  <r>
    <x v="2"/>
    <s v="HUN-BALATONLELLE MOL 33040 Vásárlás(2024.05.27) Card:5444-0XXX-XX26-4954 MCC5541 HUN-BALATONLELLE MOL 33040 3.755,00 HUF Kártyatranzakció"/>
    <n v="-3755"/>
    <x v="2"/>
    <x v="2"/>
    <x v="0"/>
  </r>
  <r>
    <x v="2"/>
    <s v="HUN-Agard LIDL HU 306 Agard Vásárlás(2024.05.27) Card:5444-0XXX-XX26-4954 MCC5411 HUN-Agard LIDL HU 306 Agard 22.850,00 HUF Kártyatranzakció"/>
    <n v="-22850"/>
    <x v="3"/>
    <x v="4"/>
    <x v="0"/>
  </r>
  <r>
    <x v="3"/>
    <s v="5444 XXXX XXXX 4954 / null"/>
    <n v="-555"/>
    <x v="4"/>
    <x v="5"/>
    <x v="0"/>
  </r>
  <r>
    <x v="3"/>
    <s v="HUN-BUDAORS OBI 010 BUDAORS Vásárlás(2024.05.26) Card:5444-0XXX-XX26-4954 MCC5200 HUN-BUDAORS OBI 010 BUDAORS 16.042,00 HUF Kártyatranzakció"/>
    <n v="-16042"/>
    <x v="0"/>
    <x v="6"/>
    <x v="0"/>
  </r>
  <r>
    <x v="4"/>
    <s v="TelekomSzaml 713349825 Budapest"/>
    <n v="-8521"/>
    <x v="0"/>
    <x v="7"/>
    <x v="0"/>
  </r>
  <r>
    <x v="4"/>
    <s v="SKYSHOWTIME 665C6 HU   Amsterdam"/>
    <n v="-401"/>
    <x v="0"/>
    <x v="7"/>
    <x v="0"/>
  </r>
  <r>
    <x v="4"/>
    <s v="SKYSHOWTIME 5603A Stan Amsterdam"/>
    <n v="-1000"/>
    <x v="0"/>
    <x v="7"/>
    <x v="0"/>
  </r>
  <r>
    <x v="4"/>
    <s v="KARSAINÉ GASSER MÁRIA"/>
    <n v="12199"/>
    <x v="3"/>
    <x v="8"/>
    <x v="0"/>
  </r>
  <r>
    <x v="4"/>
    <s v="HUN-BARACSKA CSIZ SAJTMUHELY KFT Vásárlás(2024.05.25) Card:5444-0XXX-XX26-4954 MCC5499 HUN-BARACSKA CSIZ SAJTMUHELY KFT 500,00 HUF Kártyatranzakció"/>
    <n v="-500"/>
    <x v="3"/>
    <x v="4"/>
    <x v="0"/>
  </r>
  <r>
    <x v="4"/>
    <s v="HUN-Martonvasar SASKAEK Kft. Vásárlás(2024.05.24) Card:5444-0XXX-XX26-4954 MCC5411 HUN-Martonvasar SASKAEK Kft. 864,00 HUF Kártyatranzakció"/>
    <n v="-864"/>
    <x v="3"/>
    <x v="4"/>
    <x v="0"/>
  </r>
  <r>
    <x v="4"/>
    <s v="HUN-Martonvasar SASKAEK Kft. Vásárlás(2024.05.25) Card:5444-0XXX-XX26-4954 MCC5411 HUN-Martonvasar SASKAEK Kft. 1.218,00 HUF Kártyatranzakció"/>
    <n v="-1218"/>
    <x v="3"/>
    <x v="4"/>
    <x v="0"/>
  </r>
  <r>
    <x v="4"/>
    <s v="HUN-BUDAPEST MAMMUT BEV.KP.PARK.AUT Vásárlás(2024.05.25) Card:5444-0XXX-XX26-4954 MCC7523 HUN-BUDAPEST MAMMUT BEV.KP.PARK.AUT 1.500,00 HUF Kártyatranzakció"/>
    <n v="-1500"/>
    <x v="5"/>
    <x v="9"/>
    <x v="0"/>
  </r>
  <r>
    <x v="4"/>
    <s v="HUN-MARTONVASAR MARTONVASAR-HUS KFT Vásárlás(2024.05.24) Card:5444-0XXX-XX26-4954 MCC5422 HUN-MARTONVASAR MARTONVASAR-HUS KFT 1.570,00 HUF Kártyatranzakció"/>
    <n v="-1570"/>
    <x v="3"/>
    <x v="4"/>
    <x v="0"/>
  </r>
  <r>
    <x v="4"/>
    <s v="HUN-MARTONVASAR MARTON FRUIT Vásárlás(2024.05.24) Card:5444-0XXX-XX26-4954 MCC5499 HUN-MARTONVASAR MARTON FRUIT 1.836,00 HUF Kártyatranzakció"/>
    <n v="-1836"/>
    <x v="3"/>
    <x v="4"/>
    <x v="0"/>
  </r>
  <r>
    <x v="4"/>
    <s v="HUN-BUDAPEST GOURMET  KER Vásárlás(2024.05.25) Card:5444-0XXX-XX26-4954 MCC7999 HUN-BUDAPEST GOURMET  KER 3.900,00 HUF Kártyatranzakció"/>
    <n v="-3900"/>
    <x v="2"/>
    <x v="10"/>
    <x v="0"/>
  </r>
  <r>
    <x v="4"/>
    <s v="HUN-BUDAPEST GOURMET  KER Vásárlás(2024.05.25) Card:5444-0XXX-XX26-4954 MCC7999 HUN-BUDAPEST GOURMET  KER 3.980,00 HUF Kártyatranzakció"/>
    <n v="-3980"/>
    <x v="2"/>
    <x v="10"/>
    <x v="0"/>
  </r>
  <r>
    <x v="4"/>
    <s v="HUN-BUDAPEST GOURMET  KER Vásárlás(2024.05.25) Card:5444-0XXX-XX26-4954 MCC7999 HUN-BUDAPEST GOURMET  KER 4.490,00 HUF Kártyatranzakció"/>
    <n v="-4490"/>
    <x v="2"/>
    <x v="10"/>
    <x v="0"/>
  </r>
  <r>
    <x v="4"/>
    <s v="HUN-BUDAPEST OTPMOBL*EON.HU Vásárlás(2024.05.25) Card:5444-0XXX-XX26-4954 MCC4900 HUN-BUDAPEST OTPMOBL*EON.HU 6.824,00 HUF Kártyatranzakció"/>
    <n v="-6824"/>
    <x v="0"/>
    <x v="11"/>
    <x v="0"/>
  </r>
  <r>
    <x v="4"/>
    <s v="HUN-MARTONVASAR ROSSMANN 336. Vásárlás(2024.05.24) Card:5444-0XXX-XX26-4954 MCC5977 HUN-MARTONVASAR ROSSMANN 336. 14.938,00 HUF Kártyatranzakció"/>
    <n v="-14938"/>
    <x v="3"/>
    <x v="4"/>
    <x v="0"/>
  </r>
  <r>
    <x v="4"/>
    <s v="HUN-BUDAPEST OTPMOBL*GOURMETFESZTIV Vásárlás(2024.05.25) Card:5444-0XXX-XX26-4954 MCC7922 HUN-BUDAPEST OTPMOBL*GOURMETFESZTIV 26.775,00 HUF Kártyatranzakció"/>
    <n v="-26775"/>
    <x v="6"/>
    <x v="12"/>
    <x v="0"/>
  </r>
  <r>
    <x v="5"/>
    <s v="HUN-Budapest New York Bagel Kft Vásárlás(2024.05.22) Card:5444-0XXX-XX26-4954 MCC5812 HUN-Budapest New York Bagel Kft 1.690,00 HUF Kártyatranzakció"/>
    <n v="-1690"/>
    <x v="2"/>
    <x v="2"/>
    <x v="0"/>
  </r>
  <r>
    <x v="5"/>
    <s v="HUN-Budapest Kemal Pasa Torok Et Vásárlás(2024.05.22) Card:5444-0XXX-XX26-4954 MCC5812 HUN-Budapest Kemal Pasa Torok Et 2.700,00 HUF Kártyatranzakció"/>
    <n v="-2700"/>
    <x v="2"/>
    <x v="2"/>
    <x v="0"/>
  </r>
  <r>
    <x v="5"/>
    <s v="HUN-BARACSKA CSIZ SAJTMUHELY KFT Vásárlás(2024.05.22) Card:5444-0XXX-XX26-4954 MCC5499 HUN-BARACSKA CSIZ SAJTMUHELY KFT 2.740,00 HUF Kártyatranzakció"/>
    <n v="-2740"/>
    <x v="3"/>
    <x v="4"/>
    <x v="0"/>
  </r>
  <r>
    <x v="6"/>
    <s v="HUN-Agard LIDL HU 306 Agard Vásárlás(2024.05.21) Card:5444-0XXX-XX26-4954 MCC5411 HUN-Agard LIDL HU 306 Agard 6.389,00 HUF Kártyatranzakció"/>
    <n v="-6389"/>
    <x v="3"/>
    <x v="4"/>
    <x v="0"/>
  </r>
  <r>
    <x v="6"/>
    <s v="11773353-59010812-00000000 Kovácsné Tonkó Csilla Mária KT-2024-161 Kimenő azonnali megbízás"/>
    <n v="-20000"/>
    <x v="7"/>
    <x v="13"/>
    <x v="0"/>
  </r>
  <r>
    <x v="6"/>
    <s v="HUN-BUDAPEST OTPMOBL*HERBAFERM.HU Vásárlás(2024.05.21) Card:5444-0XXX-XX26-4954 MCC5499 HUN-BUDAPEST OTPMOBL*HERBAFERM.HU 22.350,00 HUF Kártyatranzakció"/>
    <n v="-22350"/>
    <x v="7"/>
    <x v="14"/>
    <x v="0"/>
  </r>
  <r>
    <x v="6"/>
    <s v="HUN-AGARD LIDL ARUHAZ 0306.SZ. Vásárlás(2024.05.21) Card:5444-0XXX-XX26-4954 MCC5411 HUN-AGARD LIDL ARUHAZ 0306.SZ. 24.592,00 HUF Kártyatranzakció"/>
    <n v="-24592"/>
    <x v="3"/>
    <x v="4"/>
    <x v="0"/>
  </r>
  <r>
    <x v="7"/>
    <s v="Disney Plus            Hoofddorp"/>
    <n v="-3091"/>
    <x v="0"/>
    <x v="7"/>
    <x v="0"/>
  </r>
  <r>
    <x v="7"/>
    <s v="SIMPLE PARKOL S        BUDAPEST"/>
    <n v="-300"/>
    <x v="5"/>
    <x v="9"/>
    <x v="0"/>
  </r>
  <r>
    <x v="7"/>
    <s v="HUN-MARTONVASAR BARKACSBOLT Vásárlás(2024.05.18) Card:5444-0XXX-XX26-4954 MCC5251 HUN-MARTONVASAR BARKACSBOLT 230,00 HUF Kártyatranzakció"/>
    <n v="-230"/>
    <x v="0"/>
    <x v="6"/>
    <x v="0"/>
  </r>
  <r>
    <x v="7"/>
    <s v="HUN-Martonvasar SASKAEK Kft. Vásárlás(2024.05.16) Card:5444-0XXX-XX68-8737 MCC5411 HUN-Martonvasar SASKAEK Kft. 799,00 HUF Kártyatranzakció"/>
    <n v="-799"/>
    <x v="3"/>
    <x v="4"/>
    <x v="0"/>
  </r>
  <r>
    <x v="7"/>
    <s v="HUN-Martonvasar SASKAEK Kft. Vásárlás(2024.05.18) Card:5444-0XXX-XX26-4954 MCC5411 HUN-Martonvasar SASKAEK Kft. 1.329,00 HUF Kártyatranzakció"/>
    <n v="-1329"/>
    <x v="3"/>
    <x v="4"/>
    <x v="0"/>
  </r>
  <r>
    <x v="7"/>
    <s v="HUN-MARTONVASAR MARTONVASAR-HUS KFT Vásárlás(2024.05.16) Card:5444-0XXX-XX68-8737 MCC5422 HUN-MARTONVASAR MARTONVASAR-HUS KFT 2.110,00 HUF Kártyatranzakció"/>
    <n v="-2110"/>
    <x v="3"/>
    <x v="4"/>
    <x v="0"/>
  </r>
  <r>
    <x v="7"/>
    <s v="HUN-GARDONY ALDI 5.SZ. Vásárlás(2024.05.17) Card:5444-0XXX-XX26-4954 MCC5411 HUN-GARDONY ALDI 5.SZ. 2.484,00 HUF Kártyatranzakció"/>
    <n v="-2484"/>
    <x v="3"/>
    <x v="4"/>
    <x v="0"/>
  </r>
  <r>
    <x v="7"/>
    <s v="HUN-MARTONVASAR ROSSMANN 336. Vásárlás(2024.05.18) Card:5444-0XXX-XX26-4954 MCC5977 HUN-MARTONVASAR ROSSMANN 336. 2.548,00 HUF Kártyatranzakció"/>
    <n v="-2548"/>
    <x v="3"/>
    <x v="4"/>
    <x v="0"/>
  </r>
  <r>
    <x v="7"/>
    <s v="HUN-Martonvasar SASKAEK Kft. Vásárlás(2024.05.18) Card:5444-0XXX-XX26-4954 MCC5411 HUN-Martonvasar SASKAEK Kft. 3.936,00 HUF Kártyatranzakció"/>
    <n v="-3936"/>
    <x v="3"/>
    <x v="4"/>
    <x v="0"/>
  </r>
  <r>
    <x v="7"/>
    <s v="HUN-GARDONY DM 316.SZ. Vásárlás(2024.05.17) Card:5444-0XXX-XX26-4954 MCC5977 HUN-GARDONY DM 316.SZ. 13.550,00 HUF Kártyatranzakció"/>
    <n v="-13550"/>
    <x v="3"/>
    <x v="4"/>
    <x v="0"/>
  </r>
  <r>
    <x v="7"/>
    <s v="HUN-BUDAPEST OTPMOBL*dermo.hu Vásárlás(2024.05.17) Card:5444-0XXX-XX26-4954 MCC5977 HUN-BUDAPEST OTPMOBL*dermo.hu 16.657,00 HUF Kártyatranzakció"/>
    <n v="-16657"/>
    <x v="7"/>
    <x v="15"/>
    <x v="0"/>
  </r>
  <r>
    <x v="7"/>
    <s v="HUN-Agard LIDL HU 306 Agard Vásárlás(2024.05.17) Card:5444-0XXX-XX26-4954 MCC5411 HUN-Agard LIDL HU 306 Agard 18.725,00 HUF Kártyatranzakció"/>
    <n v="-18725"/>
    <x v="3"/>
    <x v="4"/>
    <x v="0"/>
  </r>
  <r>
    <x v="7"/>
    <s v="HUN-KAPOLNASNYEK AUTOMATA TO:LTO&quot;A' Vásárlás(2024.05.17) Card:5444-0XXX-XX26-4954 MCC5542 HUN-KAPOLNASNYEK AUTOMATA TO:LTO&quot;A' LLOM 37.845,00 HUF Kártyatranzakció"/>
    <n v="-37845"/>
    <x v="5"/>
    <x v="16"/>
    <x v="0"/>
  </r>
  <r>
    <x v="7"/>
    <s v="HUN-Budapest BB105 Vásárlás(2024.05.17) Card:5444-0XXX-XX26-4954 MCC8021 HUN-Budapest BB105 80.300,00 HUF Kártyatranzakció"/>
    <n v="-80300"/>
    <x v="7"/>
    <x v="17"/>
    <x v="0"/>
  </r>
  <r>
    <x v="8"/>
    <s v="reformvirag@gmail.com Kimenő azonnali megbízás"/>
    <n v="-5970"/>
    <x v="3"/>
    <x v="4"/>
    <x v="0"/>
  </r>
  <r>
    <x v="9"/>
    <s v="HUN-MARTONVASAR MARTON MARKET Vásárlás(2024.05.15) Card:5444-0XXX-XX68-8737 MCC5411 HUN-MARTONVASAR MARTON MARKET 899,00 HUF Kártyatranzakció"/>
    <n v="-899"/>
    <x v="3"/>
    <x v="4"/>
    <x v="0"/>
  </r>
  <r>
    <x v="9"/>
    <s v="HUN-BUDAPEST WHITE HOUSE Vásárlás(2024.05.15) Card:5444-0XXX-XX68-8737 MCC5812 HUN-BUDAPEST WHITE HOUSE 1.090,00 HUF Kártyatranzakció"/>
    <n v="-1090"/>
    <x v="2"/>
    <x v="2"/>
    <x v="0"/>
  </r>
  <r>
    <x v="9"/>
    <s v="HUN-BUDAPEST WHITE HOUSE Vásárlás(2024.05.15) Card:5444-0XXX-XX68-8737 MCC5812 HUN-BUDAPEST WHITE HOUSE 1.630,00 HUF Kártyatranzakció"/>
    <n v="-1630"/>
    <x v="2"/>
    <x v="2"/>
    <x v="0"/>
  </r>
  <r>
    <x v="9"/>
    <s v="HUN-BUDAORS PRAKTIKER 333. Vásárlás(2024.05.15) Card:5444-0XXX-XX68-8737 MCC5200 HUN-BUDAORS PRAKTIKER 333. 8.681,00 HUF Kártyatranzakció"/>
    <n v="-8681"/>
    <x v="0"/>
    <x v="6"/>
    <x v="0"/>
  </r>
  <r>
    <x v="9"/>
    <s v="HUN-BUDAPEST MOL 60400 Vásárlás(2024.05.15) Card:5444-0XXX-XX68-8737 MCC5541 HUN-BUDAPEST MOL 60400 26.638,00 HUF Kártyatranzakció"/>
    <n v="-26638"/>
    <x v="5"/>
    <x v="16"/>
    <x v="0"/>
  </r>
  <r>
    <x v="10"/>
    <s v="HUN-BUDAPEST WHITE HOUSE Vásárlás(2024.05.14) Card:5444-0XXX-XX68-8737 MCC5812 HUN-BUDAPEST WHITE HOUSE 850,00 HUF Kártyatranzakció"/>
    <n v="-850"/>
    <x v="2"/>
    <x v="2"/>
    <x v="0"/>
  </r>
  <r>
    <x v="10"/>
    <s v="HUN-BUDAORS PRAKTIKER 333. Vásárlás(2024.05.14) Card:5444-0XXX-XX68-8737 MCC5200 HUN-BUDAORS PRAKTIKER 333. 1.999,00 HUF Kártyatranzakció"/>
    <n v="-1999"/>
    <x v="0"/>
    <x v="6"/>
    <x v="0"/>
  </r>
  <r>
    <x v="10"/>
    <s v="HUN-Budapest Kemal Pasa Torok Et Vásárlás(2024.05.14) Card:5444-0XXX-XX68-8737 MCC5812 HUN-Budapest Kemal Pasa Torok Et 2.500,00 HUF Kártyatranzakció"/>
    <n v="-2500"/>
    <x v="2"/>
    <x v="2"/>
    <x v="0"/>
  </r>
  <r>
    <x v="10"/>
    <s v="HUN-Martonvasar Medicz Gyogyszertar Vásárlás(2024.05.14) Card:5444-0XXX-XX68-8737 MCC5912 HUN-Martonvasar Medicz Gyogyszertar 3.850,00 HUF Kártyatranzakció"/>
    <n v="-3850"/>
    <x v="7"/>
    <x v="5"/>
    <x v="0"/>
  </r>
  <r>
    <x v="10"/>
    <s v="HUN-BUDAORS PRAKTIKER 333. Vásárlás(2024.05.14) Card:5444-0XXX-XX68-8737 MCC5200 HUN-BUDAORS PRAKTIKER 333. 11.638,00 HUF Kártyatranzakció"/>
    <n v="-11638"/>
    <x v="0"/>
    <x v="6"/>
    <x v="0"/>
  </r>
  <r>
    <x v="10"/>
    <s v="HUN-MARTONVASAR ROSSMANN 336. Vásárlás(2024.05.14) Card:5444-0XXX-XX68-8737 MCC5977 HUN-MARTONVASAR ROSSMANN 336. 14.346,00 HUF Kártyatranzakció"/>
    <n v="-14346"/>
    <x v="3"/>
    <x v="4"/>
    <x v="0"/>
  </r>
  <r>
    <x v="11"/>
    <s v="HUN-MARTONVASAR VIANNI U:ZLET Vásárlás(2024.05.13) Card:5444-0XXX-XX68-8737 MCC5399 HUN-MARTONVASAR VIANNI U:ZLET 750,00 HUF Kártyatranzakció"/>
    <n v="-750"/>
    <x v="3"/>
    <x v="4"/>
    <x v="0"/>
  </r>
  <r>
    <x v="11"/>
    <s v="HUN-Solymr LO-RE 2005 Kft Vásárlás(2024.05.13) Card:5444-0XXX-XX68-8737 MCC7542 HUN-Solymr LO-RE 2005 Kft 1.200,00 HUF Kártyatranzakció"/>
    <n v="-1200"/>
    <x v="5"/>
    <x v="18"/>
    <x v="0"/>
  </r>
  <r>
    <x v="11"/>
    <s v="HUN-Solymr LO-RE 2005 Kft Vásárlás(2024.05.13) Card:5444-0XXX-XX68-8737 MCC7542 HUN-Solymr LO-RE 2005 Kft 1.200,00 HUF Kártyatranzakció"/>
    <n v="-1200"/>
    <x v="5"/>
    <x v="18"/>
    <x v="0"/>
  </r>
  <r>
    <x v="11"/>
    <s v="HUN-BUDAPEST WHITE HOUSE Vásárlás(2024.05.13) Card:5444-0XXX-XX68-8737 MCC5812 HUN-BUDAPEST WHITE HOUSE 1.245,00 HUF Kártyatranzakció"/>
    <n v="-1245"/>
    <x v="2"/>
    <x v="2"/>
    <x v="0"/>
  </r>
  <r>
    <x v="11"/>
    <s v="HUN-Budapest Atrium Etterem Vásárlás(2024.05.13) Card:5444-0XXX-XX68-8737 MCC5812 HUN-Budapest Atrium Etterem 2.590,00 HUF Kártyatranzakció"/>
    <n v="-2590"/>
    <x v="2"/>
    <x v="2"/>
    <x v="0"/>
  </r>
  <r>
    <x v="11"/>
    <s v="HUN-BARACSKA CSIZ SAJTMUHELY KFT Vásárlás(2024.05.14) Card:5444-0XXX-XX68-8737 MCC5499 HUN-BARACSKA CSIZ SAJTMUHELY KFT 2.910,00 HUF Kártyatranzakció"/>
    <n v="-2910"/>
    <x v="3"/>
    <x v="4"/>
    <x v="0"/>
  </r>
  <r>
    <x v="11"/>
    <s v="HUN-Agard LIDL HU 306 Agard Vásárlás(2024.05.13) Card:5444-0XXX-XX68-8737 MCC5411 HUN-Agard LIDL HU 306 Agard 16.918,00 HUF Kártyatranzakció"/>
    <n v="-16918"/>
    <x v="3"/>
    <x v="4"/>
    <x v="0"/>
  </r>
  <r>
    <x v="12"/>
    <s v="HUN-BUDAPEST MU'ZEUM ME'LYGARA'ZS Vásárlás(2024.05.12) Card:5444-0XXX-XX68-8737 MCC7523 HUN-BUDAPEST MU'ZEUM ME'LYGARA'ZS 1.000,00 HUF Kártyatranzakció"/>
    <n v="-1000"/>
    <x v="5"/>
    <x v="9"/>
    <x v="0"/>
  </r>
  <r>
    <x v="13"/>
    <s v="127.COOP SZUPER 1.     MARTONVASAR"/>
    <n v="-200"/>
    <x v="3"/>
    <x v="4"/>
    <x v="0"/>
  </r>
  <r>
    <x v="13"/>
    <s v="HUN-BALATONFURED FU:REDI FAGYIZO' Vásárlás(2024.05.11) Card:5444-0XXX-XX68-8737 MCC5441 HUN-BALATONFURED FU:REDI FAGYIZO' 1.300,00 HUF Kártyatranzakció"/>
    <n v="-1300"/>
    <x v="2"/>
    <x v="19"/>
    <x v="0"/>
  </r>
  <r>
    <x v="13"/>
    <s v="HUN-MARTONVASAR TESCO 44089 O:NKISZ Vásárlás(2024.05.09) Card:5444-0XXX-XX68-8737 MCC5311 HUN-MARTONVASAR TESCO 44089 O:NKISZ OLG 1.547,00 HUF Kártyatranzakció"/>
    <n v="-1547"/>
    <x v="3"/>
    <x v="4"/>
    <x v="0"/>
  </r>
  <r>
    <x v="13"/>
    <s v="HUN-VELENCE DOLCE VENEZIA KFT. Vásárlás(2024.05.09) Card:5444-0XXX-XX68-8737 MCC5441 HUN-VELENCE DOLCE VENEZIA KFT. 2.200,00 HUF Kártyatranzakció"/>
    <n v="-2200"/>
    <x v="2"/>
    <x v="19"/>
    <x v="0"/>
  </r>
  <r>
    <x v="13"/>
    <s v="HUN-BUDAORS REGIO JA'TE'K BU. Vásárlás(2024.05.10) Card:5444-0XXX-XX68-8737 MCC5945 HUN-BUDAORS REGIO JA'TE'K BU. 5.495,00 HUF Kártyatranzakció"/>
    <n v="-5495"/>
    <x v="3"/>
    <x v="3"/>
    <x v="0"/>
  </r>
  <r>
    <x v="13"/>
    <s v="HUN-BALATONFURED KAROLINA KAVEHAZ Vásárlás(2024.05.11) Card:5444-0XXX-XX68-8737 MCC5811 HUN-BALATONFURED KAROLINA KAVEHAZ 21.253,00 HUF Kártyatranzakció"/>
    <n v="-21253"/>
    <x v="2"/>
    <x v="10"/>
    <x v="0"/>
  </r>
  <r>
    <x v="14"/>
    <s v="JAGUAR LAND ROVER HUNGARY KFT."/>
    <n v="1065712"/>
    <x v="4"/>
    <x v="20"/>
    <x v="0"/>
  </r>
  <r>
    <x v="14"/>
    <s v="HUN-BARACSKA CSIZ SAJTMUHELY KFT Vásárlás(2024.05.08) Card:5444-0XXX-XX68-8737 MCC5499 HUN-BARACSKA CSIZ SAJTMUHELY KFT 1.440,00 HUF Kártyatranzakció"/>
    <n v="-1440"/>
    <x v="3"/>
    <x v="4"/>
    <x v="0"/>
  </r>
  <r>
    <x v="14"/>
    <s v="HUN-BUDAPEST SUPER WOK Vásárlás(2024.05.08) Card:5444-0XXX-XX68-8737 MCC5812 HUN-BUDAPEST SUPER WOK 1.800,00 HUF Kártyatranzakció"/>
    <n v="-1800"/>
    <x v="2"/>
    <x v="2"/>
    <x v="0"/>
  </r>
  <r>
    <x v="14"/>
    <s v="PL:I/10MAY24 Kamatfizetés  Hitel /21-41194/"/>
    <n v="-40217.68"/>
    <x v="0"/>
    <x v="21"/>
    <x v="0"/>
  </r>
  <r>
    <x v="14"/>
    <s v="PL:P/10MAY24 Tőkefizetés Hitel /21-41194/"/>
    <n v="221587.11"/>
    <x v="0"/>
    <x v="21"/>
    <x v="1"/>
  </r>
  <r>
    <x v="14"/>
    <s v="PL:P/10MAY24 Tőkefizetés Hitel /21-41194/"/>
    <n v="-221587.11"/>
    <x v="0"/>
    <x v="21"/>
    <x v="0"/>
  </r>
  <r>
    <x v="15"/>
    <s v="MVM NEXT ENERGIAK      BUDAPEST"/>
    <n v="-8518"/>
    <x v="0"/>
    <x v="22"/>
    <x v="0"/>
  </r>
  <r>
    <x v="15"/>
    <s v="HUN-Martonvasar SASKAEK Kft. Vásárlás(2024.05.06) Card:5444-0XXX-XX68-8737 MCC5411 HUN-Martonvasar SASKAEK Kft. 4.980,00 HUF Kártyatranzakció"/>
    <n v="-4980"/>
    <x v="3"/>
    <x v="4"/>
    <x v="0"/>
  </r>
  <r>
    <x v="15"/>
    <s v="HUN-BUDAPEST WWW.IMOCARWASH.COM Vásárlás(2024.05.06) Card:5444-0XXX-XX68-8737 MCC7542 HUN-BUDAPEST WWW.IMOCARWASH.COM 5.390,00 HUF Kártyatranzakció"/>
    <n v="-5390"/>
    <x v="5"/>
    <x v="18"/>
    <x v="0"/>
  </r>
  <r>
    <x v="15"/>
    <s v="reformvirag@gmail.com Kimenő azonnali megbízás"/>
    <n v="-6340"/>
    <x v="3"/>
    <x v="4"/>
    <x v="0"/>
  </r>
  <r>
    <x v="15"/>
    <s v="HUN-MARTONVASAR ROSSMANN 336. Vásárlás(2024.05.06) Card:5444-0XXX-XX68-8737 MCC5977 HUN-MARTONVASAR ROSSMANN 336. 24.847,00 HUF Kártyatranzakció"/>
    <n v="-24847"/>
    <x v="3"/>
    <x v="4"/>
    <x v="0"/>
  </r>
  <r>
    <x v="16"/>
    <s v="OTPMOBL DIJNET.HU      BUDAPEST"/>
    <n v="-11512"/>
    <x v="0"/>
    <x v="23"/>
    <x v="0"/>
  </r>
  <r>
    <x v="16"/>
    <s v="HUN-Budapest Pan ni Vásárlás(2024.05.05) Card:5444-0XXX-XX68-8737 MCC5462 HUN-Budapest Pan ni 7.650,00 HUF Kártyatranzakció"/>
    <n v="-7650"/>
    <x v="2"/>
    <x v="19"/>
    <x v="0"/>
  </r>
  <r>
    <x v="17"/>
    <s v="HUN-Martonvasar SASKAEK Kft. Vásárlás(2024.05.04) Card:5444-0XXX-XX68-8737 MCC5411 HUN-Martonvasar SASKAEK Kft. 251,00 HUF Kártyatranzakció"/>
    <n v="-251"/>
    <x v="3"/>
    <x v="4"/>
    <x v="0"/>
  </r>
  <r>
    <x v="17"/>
    <s v="HUN-MARTONVASAR WIN PLUS HD MARKET Vásárlás(2024.05.04) Card:5444-0XXX-XX68-8737 MCC5499 HUN-MARTONVASAR WIN PLUS HD MARKET 590,00 HUF Kártyatranzakció"/>
    <n v="-590"/>
    <x v="3"/>
    <x v="4"/>
    <x v="0"/>
  </r>
  <r>
    <x v="17"/>
    <s v="HUN-MARTONVASAR VIZ-, GAZ SZERELVEN Vásárlás(2024.05.02) Card:5444-0XXX-XX68-8737 MCC5074 HUN-MARTONVASAR VIZ-, GAZ SZERELVEN YB 1.918,00 HUF Kártyatranzakció"/>
    <n v="-1918"/>
    <x v="0"/>
    <x v="6"/>
    <x v="0"/>
  </r>
  <r>
    <x v="17"/>
    <s v="HUN-MARTONVASAR MARTON MARKET Vásárlás(2024.05.04) Card:5444-0XXX-XX68-8737 MCC5411 HUN-MARTONVASAR MARTON MARKET 1.948,00 HUF Kártyatranzakció"/>
    <n v="-1948"/>
    <x v="3"/>
    <x v="4"/>
    <x v="0"/>
  </r>
  <r>
    <x v="17"/>
    <s v="HUN-Hernad SumUp  *Danasz Diamand Vásárlás(2024.05.04) Card:5444-0XXX-XX68-8737 MCC5411 HUN-Hernad SumUp  *Danasz Diamand 1.980,00 HUF Kártyatranzakció"/>
    <n v="-1980"/>
    <x v="2"/>
    <x v="2"/>
    <x v="0"/>
  </r>
  <r>
    <x v="17"/>
    <s v="SWE-Stockholm Spotify Vásárlás(2024.05.02) Card:5444-0XXX-XX68-8737 MCC4899 SWE-Stockholm Spotify 1.990,00 HUF Kártyatranzakció"/>
    <n v="-1990"/>
    <x v="0"/>
    <x v="7"/>
    <x v="0"/>
  </r>
  <r>
    <x v="17"/>
    <s v="HUN-MARTONVASAR ROSSMANN 336. Vásárlás(2024.05.02) Card:5444-0XXX-XX68-8737 MCC5977 HUN-MARTONVASAR ROSSMANN 336. 2.099,00 HUF Kártyatranzakció"/>
    <n v="-2099"/>
    <x v="3"/>
    <x v="4"/>
    <x v="0"/>
  </r>
  <r>
    <x v="17"/>
    <s v="HUN-BARACSKA CSIZ SAJTMUHELY KFT Vásárlás(2024.05.03) Card:5444-0XXX-XX68-8737 MCC5499 HUN-BARACSKA CSIZ SAJTMUHELY KFT 2.340,00 HUF Kártyatranzakció"/>
    <n v="-2340"/>
    <x v="3"/>
    <x v="4"/>
    <x v="0"/>
  </r>
  <r>
    <x v="17"/>
    <s v="HUN-Budapest, XXI SumUp  *Mennyei t Vásárlás(2024.05.04) Card:5444-0XXX-XX68-8737 MCC5499 HUN-Budapest, XXI SumUp  *Mennyei t ermek 2.750,00 HUF Kártyatranzakció"/>
    <n v="-2750"/>
    <x v="3"/>
    <x v="4"/>
    <x v="0"/>
  </r>
  <r>
    <x v="17"/>
    <s v="HUN-RAD KEKSZ-KALMAN ESZTER EV Vásárlás(2024.05.04) Card:5444-0XXX-XX68-8737 MCC5399 HUN-RAD KEKSZ-KALMAN ESZTER EV 3.300,00 HUF Kártyatranzakció"/>
    <n v="-3300"/>
    <x v="3"/>
    <x v="4"/>
    <x v="0"/>
  </r>
  <r>
    <x v="17"/>
    <s v="HUN-Martonvasar SASKAEK Kft. Vásárlás(2024.05.02) Card:5444-0XXX-XX68-8737 MCC5411 HUN-Martonvasar SASKAEK Kft. 3.546,00 HUF Kártyatranzakció"/>
    <n v="-3546"/>
    <x v="3"/>
    <x v="4"/>
    <x v="0"/>
  </r>
  <r>
    <x v="17"/>
    <s v="HUN-BUDAORS LIBRI BUDAO:RS Vásárlás(2024.05.04) Card:5444-0XXX-XX68-8737 MCC5942 HUN-BUDAORS LIBRI BUDAO:RS 3.572,00 HUF Kártyatranzakció"/>
    <n v="-3572"/>
    <x v="3"/>
    <x v="24"/>
    <x v="0"/>
  </r>
  <r>
    <x v="17"/>
    <s v="HUN-BUDAORS DM 449 Vásárlás(2024.05.04) Card:5444-0XXX-XX68-8737 MCC5977 HUN-BUDAORS DM 449 8.459,00 HUF Kártyatranzakció"/>
    <n v="-8459"/>
    <x v="3"/>
    <x v="4"/>
    <x v="0"/>
  </r>
  <r>
    <x v="17"/>
    <s v="Kártya Tagsági díj Card:5444-0XXX-XX68-8737"/>
    <n v="-8608"/>
    <x v="1"/>
    <x v="1"/>
    <x v="0"/>
  </r>
  <r>
    <x v="17"/>
    <s v="HUN-Hernad SumUp  *Danasz Diamand Vásárlás(2024.05.04) Card:5444-0XXX-XX68-8737 MCC5411 HUN-Hernad SumUp  *Danasz Diamand 11.530,00 HUF Kártyatranzakció"/>
    <n v="-11530"/>
    <x v="2"/>
    <x v="2"/>
    <x v="0"/>
  </r>
  <r>
    <x v="17"/>
    <s v="HUN-Budaors LIDL HU 349 Budaors Vásárlás(2024.05.04) Card:5444-0XXX-XX68-8737 MCC5411 HUN-Budaors LIDL HU 349 Budaors 13.648,00 HUF Kártyatranzakció"/>
    <n v="-13648"/>
    <x v="3"/>
    <x v="4"/>
    <x v="0"/>
  </r>
  <r>
    <x v="18"/>
    <s v="Cr Forgalmi kedvezmény"/>
    <n v="2250"/>
    <x v="1"/>
    <x v="1"/>
    <x v="0"/>
  </r>
  <r>
    <x v="19"/>
    <s v="10032000-00282637-00000000 OKTATÁSI HIVATAL MUNKABÉR UTALÁS Bejövő Forint Átutalás"/>
    <n v="252090"/>
    <x v="4"/>
    <x v="20"/>
    <x v="0"/>
  </r>
  <r>
    <x v="19"/>
    <s v="HUN-Dorog Korken Medmark Kft. Vásárlás(2024.05.01) Card:5444-0XXX-XX68-8737 MCC5977 HUN-Dorog Korken Medmark Kft. 8.389,00 HUF Kártyatranzakció"/>
    <n v="-8389"/>
    <x v="7"/>
    <x v="25"/>
    <x v="0"/>
  </r>
  <r>
    <x v="20"/>
    <s v="APPLE.COM/BILL         CORK"/>
    <n v="-1291"/>
    <x v="0"/>
    <x v="7"/>
    <x v="0"/>
  </r>
  <r>
    <x v="20"/>
    <s v="HUN-BUDAPEST BARIONP*TornaDora Áru vissza/befizetés(2024.04.30) Card:5444-0XXX-XX68-8737 MCC5641 HUN-BUDAPEST BARIONP*TornaDora 31.980,00 HUF Kártyatranzakció"/>
    <n v="31980"/>
    <x v="3"/>
    <x v="3"/>
    <x v="0"/>
  </r>
  <r>
    <x v="20"/>
    <s v="HUN-Martonvasar SASKAEK Kft. Vásárlás(2024.04.29) Card:5444-0XXX-XX68-8737 MCC5411 HUN-Martonvasar SASKAEK Kft. 1.357,00 HUF Kártyatranzakció"/>
    <n v="-1357"/>
    <x v="3"/>
    <x v="4"/>
    <x v="0"/>
  </r>
  <r>
    <x v="20"/>
    <s v="HUN-BUDAPEST ADVANCE KANTIN Vásárlás(2024.04.30) Card:5444-0XXX-XX68-8737 MCC5812 HUN-BUDAPEST ADVANCE KANTIN 2.550,00 HUF Kártyatranzakció"/>
    <n v="-2550"/>
    <x v="2"/>
    <x v="2"/>
    <x v="0"/>
  </r>
  <r>
    <x v="20"/>
    <s v="HUN-MARTONVASAR POSTAKOCSI E'TTEREM Vásárlás(2024.04.30) Card:5444-0XXX-XX68-8737 MCC5812 HUN-MARTONVASAR POSTAKOCSI E'TTEREM 7.980,00 HUF Kártyatranzakció"/>
    <n v="-7980"/>
    <x v="2"/>
    <x v="2"/>
    <x v="0"/>
  </r>
  <r>
    <x v="20"/>
    <s v="HUN-Martonvasar Gazda-SAGI Bolt Vásárlás(2024.04.29) Card:5444-0XXX-XX68-8737 MCC5261 HUN-Martonvasar Gazda-SAGI Bolt 9.050,00 HUF Kártyatranzakció"/>
    <n v="-9050"/>
    <x v="0"/>
    <x v="6"/>
    <x v="0"/>
  </r>
  <r>
    <x v="20"/>
    <s v="HUN-MARTONVASAR ROSSMANN 336. Vásárlás(2024.04.29) Card:5444-0XXX-XX68-8737 MCC5977 HUN-MARTONVASAR ROSSMANN 336. 21.597,00 HUF Kártyatranzakció"/>
    <n v="-21597"/>
    <x v="3"/>
    <x v="4"/>
    <x v="0"/>
  </r>
  <r>
    <x v="20"/>
    <s v="HUN-BUDAPEST OTPMOBL*webkincstar Vásárlás(2024.04.30) Card:5444-0XXX-XX68-8737 MCC9399 HUN-BUDAPEST OTPMOBL*webkincstar 52.561,00 HUF Kártyatranzakció"/>
    <n v="-52561"/>
    <x v="1"/>
    <x v="26"/>
    <x v="0"/>
  </r>
  <r>
    <x v="21"/>
    <s v="Havi zárlati díj"/>
    <n v="-2613"/>
    <x v="1"/>
    <x v="1"/>
    <x v="0"/>
  </r>
  <r>
    <x v="21"/>
    <s v="HUN-BUDAORS VISION EXPRESS 514.SZ. Vásárlás(2024.04.28) Card:5444-0XXX-XX68-8737 MCC8043 HUN-BUDAORS VISION EXPRESS 514.SZ. 3.731,00 HUF Kártyatranzakció"/>
    <n v="-3731"/>
    <x v="7"/>
    <x v="27"/>
    <x v="0"/>
  </r>
  <r>
    <x v="21"/>
    <s v="HUN-BUDAORS TESCO 41520 Vásárlás(2024.04.28) Card:5444-0XXX-XX68-8737 MCC5311 HUN-BUDAORS TESCO 41520 9.766,00 HUF Kártyatranzakció"/>
    <n v="-9766"/>
    <x v="3"/>
    <x v="4"/>
    <x v="0"/>
  </r>
  <r>
    <x v="21"/>
    <s v="HUN-BUDAORS VISION EXPRESS 514.SZ. Vásárlás(2024.04.28) Card:5444-0XXX-XX68-8737 MCC8043 HUN-BUDAORS VISION EXPRESS 514.SZ. 11.832,00 HUF Kártyatranzakció"/>
    <n v="-11832"/>
    <x v="7"/>
    <x v="27"/>
    <x v="0"/>
  </r>
  <r>
    <x v="22"/>
    <s v="HUN-BUDAPEST LIPO'TI PE'KSE'G Vásárlás(2024.04.25) Card:5444-0XXX-XX68-8737 MCC5462 HUN-BUDAPEST LIPO'TI PE'KSE'G 700,00 HUF Kártyatranzakció"/>
    <n v="-700"/>
    <x v="2"/>
    <x v="19"/>
    <x v="0"/>
  </r>
  <r>
    <x v="22"/>
    <s v="HUN-Budapest Kemal Pasa Torok Et Vásárlás(2024.04.25) Card:5444-0XXX-XX68-8737 MCC5812 HUN-Budapest Kemal Pasa Torok Et 2.500,00 HUF Kártyatranzakció"/>
    <n v="-2500"/>
    <x v="2"/>
    <x v="2"/>
    <x v="0"/>
  </r>
  <r>
    <x v="22"/>
    <s v="HUN-Martonvasar SASKAEK Kft. Vásárlás(2024.04.26) Card:5444-0XXX-XX68-8737 MCC5411 HUN-Martonvasar SASKAEK Kft. 4.287,00 HUF Kártyatranzakció"/>
    <n v="-4287"/>
    <x v="3"/>
    <x v="4"/>
    <x v="0"/>
  </r>
  <r>
    <x v="22"/>
    <s v="HUN-AGARD LIDL ARUHAZ 0306.SZ. Vásárlás(2024.04.26) Card:5444-0XXX-XX68-8737 MCC5411 HUN-AGARD LIDL ARUHAZ 0306.SZ. 5.395,00 HUF Kártyatranzakció"/>
    <n v="-5395"/>
    <x v="3"/>
    <x v="4"/>
    <x v="0"/>
  </r>
  <r>
    <x v="22"/>
    <s v="HUN-MARTONVASAR ROSSMANN 336. Vásárlás(2024.04.26) Card:5444-0XXX-XX68-8737 MCC5977 HUN-MARTONVASAR ROSSMANN 336. 7.469,00 HUF Kártyatranzakció"/>
    <n v="-7469"/>
    <x v="3"/>
    <x v="4"/>
    <x v="0"/>
  </r>
  <r>
    <x v="22"/>
    <s v="HUN-GARDONY ALDI 5.SZ. Vásárlás(2024.04.26) Card:5444-0XXX-XX68-8737 MCC5411 HUN-GARDONY ALDI 5.SZ. 11.437,00 HUF Kártyatranzakció"/>
    <n v="-11437"/>
    <x v="3"/>
    <x v="4"/>
    <x v="0"/>
  </r>
  <r>
    <x v="22"/>
    <s v="HUN-TARNOK MAG-MAXX KFT. Vásárlás(2024.04.26) Card:5444-0XXX-XX68-8737 MCC5499 HUN-TARNOK MAG-MAXX KFT. 15.114,00 HUF Kártyatranzakció"/>
    <n v="-15114"/>
    <x v="7"/>
    <x v="14"/>
    <x v="0"/>
  </r>
  <r>
    <x v="22"/>
    <s v="HUN-AGARD LIDL ARUHAZ 0306.SZ. Vásárlás(2024.04.26) Card:5444-0XXX-XX68-8737 MCC5411 HUN-AGARD LIDL ARUHAZ 0306.SZ. 27.994,00 HUF Kártyatranzakció"/>
    <n v="-27994"/>
    <x v="3"/>
    <x v="4"/>
    <x v="0"/>
  </r>
  <r>
    <x v="22"/>
    <s v="Kártyatranzakció OTPMOBL VIMPAY.MAV-STA BUDAPEST 570,00 HUF Vásárlás"/>
    <n v="-570"/>
    <x v="5"/>
    <x v="28"/>
    <x v="0"/>
  </r>
  <r>
    <x v="23"/>
    <s v="HUN-Budapest XIV Fornetti Sugár Vásárlás(2024.04.24) Card:5444-0XXX-XX68-8737 MCC5462 HUN-Budapest XIV Fornetti Sugár 1.880,00 HUF Kártyatranzakció"/>
    <n v="-1880"/>
    <x v="2"/>
    <x v="2"/>
    <x v="0"/>
  </r>
  <r>
    <x v="23"/>
    <s v="HUN-BUDAPEST BIOHAIR SZALON SUGA'R Vásárlás(2024.04.24) Card:5444-0XXX-XX68-8737 MCC7230 HUN-BUDAPEST BIOHAIR SZALON SUGA'R 4.980,00 HUF Kártyatranzakció"/>
    <n v="-4980"/>
    <x v="7"/>
    <x v="15"/>
    <x v="0"/>
  </r>
  <r>
    <x v="23"/>
    <s v="11773353-59010812-00000000 Kovácsné Tonkó Csilla Mária KT-2024-145 Kimenő azonnali megbízás"/>
    <n v="-10000"/>
    <x v="7"/>
    <x v="13"/>
    <x v="0"/>
  </r>
  <r>
    <x v="23"/>
    <s v="Kártyatranzakció SKYSHOWTIME 650F0 Stan Amsterdam 999,50 HUF Vásárlás 2,54 EUR"/>
    <n v="-999.5"/>
    <x v="0"/>
    <x v="7"/>
    <x v="0"/>
  </r>
  <r>
    <x v="24"/>
    <s v="HUN-BUDAPEST BARIONP*UjKonyvek Vásárlás(2024.04.23) Card:5444-0XXX-XX68-8737 MCC5942 HUN-BUDAPEST BARIONP*UjKonyvek 7.389,00 HUF Kártyatranzakció"/>
    <n v="-7389"/>
    <x v="3"/>
    <x v="24"/>
    <x v="0"/>
  </r>
  <r>
    <x v="24"/>
    <s v="HUN-GARDONY DM 316.SZ. Vásárlás(2024.04.23) Card:5444-0XXX-XX68-8737 MCC5977 HUN-GARDONY DM 316.SZ. 15.299,00 HUF Kártyatranzakció"/>
    <n v="-15299"/>
    <x v="3"/>
    <x v="4"/>
    <x v="0"/>
  </r>
  <r>
    <x v="24"/>
    <s v="Kártyatranzakció OTPMOBL VIMPAY.MAV-STA BUDAPEST 617,00 HUF Vásárlás"/>
    <n v="-617"/>
    <x v="5"/>
    <x v="28"/>
    <x v="0"/>
  </r>
  <r>
    <x v="24"/>
    <s v="Feked"/>
    <n v="-600000"/>
    <x v="8"/>
    <x v="29"/>
    <x v="2"/>
  </r>
  <r>
    <x v="25"/>
    <s v="11600006-00000000-99702980 Sandor Soma Kimenő azonnali megbízás"/>
    <n v="-2871"/>
    <x v="2"/>
    <x v="2"/>
    <x v="0"/>
  </r>
  <r>
    <x v="26"/>
    <s v="HUN-Budapest Szamos Vásárlás(2024.04.21) Card:5444-0XXX-XX68-8737 MCC5462 HUN-Budapest Szamos 500,00 HUF Kártyatranzakció"/>
    <n v="-500"/>
    <x v="2"/>
    <x v="19"/>
    <x v="0"/>
  </r>
  <r>
    <x v="26"/>
    <s v="HUN-BUDAPEST PM-ABACUS FIZETO&quot;AUT 5 Vásárlás(2024.04.21) Card:5444-0XXX-XX68-8737 MCC7523 HUN-BUDAPEST PM-ABACUS FIZETO&quot;AUT 5 900,00 HUF Kártyatranzakció"/>
    <n v="-900"/>
    <x v="5"/>
    <x v="9"/>
    <x v="0"/>
  </r>
  <r>
    <x v="26"/>
    <s v="HUN-Budapest Szamos Vásárlás(2024.04.21) Card:5444-0XXX-XX68-8737 MCC5462 HUN-Budapest Szamos 1.300,00 HUF Kártyatranzakció"/>
    <n v="-1300"/>
    <x v="2"/>
    <x v="19"/>
    <x v="0"/>
  </r>
  <r>
    <x v="26"/>
    <s v="HUN-BUDAORS MEDICINA PATIKA Vásárlás(2024.04.21) Card:5444-0XXX-XX68-8737 MCC5912 HUN-BUDAORS MEDICINA PATIKA 2.715,00 HUF Kártyatranzakció"/>
    <n v="-2715"/>
    <x v="7"/>
    <x v="5"/>
    <x v="0"/>
  </r>
  <r>
    <x v="26"/>
    <s v="HUN-BUDAPEST H&amp;M HU0309 Vásárlás(2024.04.21) Card:5444-0XXX-XX68-8737 MCC5691 HUN-BUDAPEST H&amp;M HU0309 6.590,00 HUF Kártyatranzakció"/>
    <n v="-6590"/>
    <x v="3"/>
    <x v="30"/>
    <x v="0"/>
  </r>
  <r>
    <x v="26"/>
    <s v="HUN-Budapest LINDT MASTER CHOCOLATI Vásárlás(2024.04.21) Card:5444-0XXX-XX68-8737 MCC5462 HUN-Budapest LINDT MASTER CHOCOLATI 12.186,00 HUF Kártyatranzakció"/>
    <n v="-12186"/>
    <x v="3"/>
    <x v="4"/>
    <x v="0"/>
  </r>
  <r>
    <x v="26"/>
    <s v="HUN-BUDAORS TESCO 41520 O:NKISZOLG Vásárlás(2024.04.21) Card:5444-0XXX-XX68-8737 MCC5311 HUN-BUDAORS TESCO 41520 O:NKISZOLG 20.657,00 HUF Kártyatranzakció"/>
    <n v="-20657"/>
    <x v="3"/>
    <x v="4"/>
    <x v="0"/>
  </r>
  <r>
    <x v="26"/>
    <s v="HUN-TOROKBALINT ALDI 33.SZ. Vásárlás(2024.04.21) Card:5444-0XXX-XX68-8737 MCC5411 HUN-TOROKBALINT ALDI 33.SZ. 29.064,00 HUF Kártyatranzakció"/>
    <n v="-29064"/>
    <x v="3"/>
    <x v="4"/>
    <x v="0"/>
  </r>
  <r>
    <x v="27"/>
    <s v="HUN-Kecskemét GOKART HOTEL Vásárlás(2024.04.20) Card:5444-0XXX-XX68-8737 MCC7011 HUN-Kecskemét GOKART HOTEL 650,00 HUF Kártyatranzakció"/>
    <n v="-650"/>
    <x v="2"/>
    <x v="19"/>
    <x v="0"/>
  </r>
  <r>
    <x v="27"/>
    <s v="HUN-BARACSKA CSIZ SAJTMUHELY KFT Vásárlás(2024.04.20) Card:5444-0XXX-XX68-8737 MCC5499 HUN-BARACSKA CSIZ SAJTMUHELY KFT 1.490,00 HUF Kártyatranzakció"/>
    <n v="-1490"/>
    <x v="3"/>
    <x v="4"/>
    <x v="0"/>
  </r>
  <r>
    <x v="27"/>
    <s v="HUN-Kecskemét GOKART HOTEL Vásárlás(2024.04.20) Card:5444-0XXX-XX68-8737 MCC7011 HUN-Kecskemét GOKART HOTEL 2.000,00 HUF Kártyatranzakció"/>
    <n v="-2000"/>
    <x v="6"/>
    <x v="12"/>
    <x v="0"/>
  </r>
  <r>
    <x v="27"/>
    <s v="HUN-MARTONVASAR TESCO 44089 O:NKISZ Vásárlás(2024.04.18) Card:5444-0XXX-XX68-8737 MCC5311 HUN-MARTONVASAR TESCO 44089 O:NKISZ OLG 2.090,00 HUF Kártyatranzakció"/>
    <n v="-2090"/>
    <x v="3"/>
    <x v="4"/>
    <x v="0"/>
  </r>
  <r>
    <x v="27"/>
    <s v="HUN-MARTONVASAR KOMA UZLETHAZ Vásárlás(2024.04.19) Card:5444-0XXX-XX68-8737 MCC5331 HUN-MARTONVASAR KOMA UZLETHAZ 2.180,00 HUF Kártyatranzakció"/>
    <n v="-2180"/>
    <x v="0"/>
    <x v="6"/>
    <x v="0"/>
  </r>
  <r>
    <x v="27"/>
    <s v="HUN-MARTONVASAR WIN PLUS HD MARKET Vásárlás(2024.04.20) Card:5444-0XXX-XX68-8737 MCC5499 HUN-MARTONVASAR WIN PLUS HD MARKET 7.710,00 HUF Kártyatranzakció"/>
    <n v="-7710"/>
    <x v="3"/>
    <x v="4"/>
    <x v="0"/>
  </r>
  <r>
    <x v="27"/>
    <s v="HUN-TOROKBALINT AUCHAN TO:RO:KBA'LI Vásárlás(2024.04.19) Card:5444-0XXX-XX68-8737 MCC5311 HUN-TOROKBALINT AUCHAN TO:RO:KBA'LI NT 17.986,00 HUF Kártyatranzakció"/>
    <n v="-17986"/>
    <x v="3"/>
    <x v="4"/>
    <x v="0"/>
  </r>
  <r>
    <x v="27"/>
    <s v="Kártyatranzakció OTPMOBL FALATOZZ.HU BUDAPEST 2.833,00 HUF Vásárlás"/>
    <n v="-2833"/>
    <x v="2"/>
    <x v="2"/>
    <x v="0"/>
  </r>
  <r>
    <x v="28"/>
    <s v="HUN-Martonvasar Medicz Gyogyszertar Vásárlás(2024.04.17) Card:5444-0XXX-XX68-8737 MCC5912 HUN-Martonvasar Medicz Gyogyszertar 138,00 HUF Kártyatranzakció"/>
    <n v="-138"/>
    <x v="7"/>
    <x v="5"/>
    <x v="0"/>
  </r>
  <r>
    <x v="28"/>
    <s v="HUN-BUDAPEST BADASS COFFEE Vásárlás(2024.04.17) Card:5444-0XXX-XX68-8737 MCC5812 HUN-BUDAPEST BADASS COFFEE 1.090,00 HUF Kártyatranzakció"/>
    <n v="-1090"/>
    <x v="2"/>
    <x v="19"/>
    <x v="0"/>
  </r>
  <r>
    <x v="28"/>
    <s v="HUN-Solymr LO-RE 2005 Kft Vásárlás(2024.04.17) Card:5444-0XXX-XX68-8737 MCC7542 HUN-Solymr LO-RE 2005 Kft 1.200,00 HUF Kártyatranzakció"/>
    <n v="-1200"/>
    <x v="5"/>
    <x v="18"/>
    <x v="0"/>
  </r>
  <r>
    <x v="28"/>
    <s v="HUN-Solymr LO-RE 2005 Kft Vásárlás(2024.04.17) Card:5444-0XXX-XX68-8737 MCC7542 HUN-Solymr LO-RE 2005 Kft 1.200,00 HUF Kártyatranzakció"/>
    <n v="-1200"/>
    <x v="5"/>
    <x v="18"/>
    <x v="0"/>
  </r>
  <r>
    <x v="28"/>
    <s v="HUN-BUDAPEST KISKIFLI KAVEZO Vásárlás(2024.04.17) Card:5444-0XXX-XX68-8737 MCC5812 HUN-BUDAPEST KISKIFLI KAVEZO 1.580,00 HUF Kártyatranzakció"/>
    <n v="-1580"/>
    <x v="2"/>
    <x v="19"/>
    <x v="0"/>
  </r>
  <r>
    <x v="28"/>
    <s v="HUN-BARACSKA CSIZ SAJTMUHELY KFT Vásárlás(2024.04.17) Card:5444-0XXX-XX68-8737 MCC5499 HUN-BARACSKA CSIZ SAJTMUHELY KFT 2.200,00 HUF Kártyatranzakció"/>
    <n v="-2200"/>
    <x v="3"/>
    <x v="4"/>
    <x v="0"/>
  </r>
  <r>
    <x v="28"/>
    <s v="HUN-BUDAPEST BADASS COFFEE Vásárlás(2024.04.17) Card:5444-0XXX-XX68-8737 MCC5812 HUN-BUDAPEST BADASS COFFEE 3.030,00 HUF Kártyatranzakció"/>
    <n v="-3030"/>
    <x v="2"/>
    <x v="19"/>
    <x v="0"/>
  </r>
  <r>
    <x v="28"/>
    <s v="HUN-BUDAPEST DHL Express Mo. Kft. Vásárlás(2024.04.17) Card:5444-0XXX-XX68-8737 MCC4215 HUN-BUDAPEST DHL Express Mo. Kft. 25.490,00 HUF Kártyatranzakció"/>
    <n v="-25490"/>
    <x v="3"/>
    <x v="31"/>
    <x v="0"/>
  </r>
  <r>
    <x v="28"/>
    <s v="Forint átutalás JAGUAR LAND ROVER HUNGARY KFT. Munkab.r utal.sMunkabér"/>
    <n v="115552"/>
    <x v="8"/>
    <x v="32"/>
    <x v="0"/>
  </r>
  <r>
    <x v="29"/>
    <s v="HUN-Budapest New York Bagel Kft Vásárlás(2024.04.16) Card:5444-0XXX-XX68-8737 MCC5812 HUN-Budapest New York Bagel Kft 1.690,00 HUF Kártyatranzakció"/>
    <n v="-1690"/>
    <x v="2"/>
    <x v="2"/>
    <x v="0"/>
  </r>
  <r>
    <x v="29"/>
    <s v="HUN-Budapest Kemal Pasa Torok Et Vásárlás(2024.04.16) Card:5444-0XXX-XX68-8737 MCC5812 HUN-Budapest Kemal Pasa Torok Et 3.000,00 HUF Kártyatranzakció"/>
    <n v="-3000"/>
    <x v="2"/>
    <x v="2"/>
    <x v="0"/>
  </r>
  <r>
    <x v="29"/>
    <s v="HUN-MARTONVASAR ROSSMANN 336. Vásárlás(2024.04.16) Card:5444-0XXX-XX68-8737 MCC5977 HUN-MARTONVASAR ROSSMANN 336. 11.564,00 HUF Kártyatranzakció"/>
    <n v="-11564"/>
    <x v="3"/>
    <x v="4"/>
    <x v="0"/>
  </r>
  <r>
    <x v="29"/>
    <s v="HUN-TOROKBALINT ROSSMANN 264. Vásárlás(2024.04.16) Card:5444-0XXX-XX68-8737 MCC5977 HUN-TOROKBALINT ROSSMANN 264. 17.072,00 HUF Kártyatranzakció"/>
    <n v="-17072"/>
    <x v="3"/>
    <x v="4"/>
    <x v="0"/>
  </r>
  <r>
    <x v="29"/>
    <s v="HUN-Törökbálint Kangaboo Kft. Vásárlás(2024.04.16) Card:5444-0XXX-XX68-8737 MCC5651 HUN-Törökbálint Kangaboo Kft. 24.390,00 HUF Kártyatranzakció"/>
    <n v="-24390"/>
    <x v="3"/>
    <x v="3"/>
    <x v="0"/>
  </r>
  <r>
    <x v="29"/>
    <s v="Kártyatranzakció MVM NEXT ENERGIAK BUDAPEST 8.517,00 HUF Vásárlás"/>
    <n v="-8517"/>
    <x v="0"/>
    <x v="22"/>
    <x v="0"/>
  </r>
  <r>
    <x v="29"/>
    <s v="Kártyatranzakció Disney Plus Hoofddorp 3.090,00 HUF Vásárlás 7,83 EUR"/>
    <n v="-3090"/>
    <x v="0"/>
    <x v="7"/>
    <x v="0"/>
  </r>
  <r>
    <x v="30"/>
    <s v="HUN-GARDONY CSASZI2020 KFT. Vásárlás(2024.04.15) Card:5444-0XXX-XX68-8737 MCC5411 HUN-GARDONY CSASZI2020 KFT. 4.198,00 HUF Kártyatranzakció"/>
    <n v="-4198"/>
    <x v="3"/>
    <x v="4"/>
    <x v="0"/>
  </r>
  <r>
    <x v="30"/>
    <s v="HUN-GARDONY ORIGO GE'PKO:LCSO:NZO&quot; Vásárlás(2024.04.15) Card:5444-0XXX-XX68-8737 MCC5261 HUN-GARDONY ORIGO GE'PKO:LCSO:NZO&quot; 7.000,00 HUF Kártyatranzakció"/>
    <n v="-7000"/>
    <x v="0"/>
    <x v="6"/>
    <x v="0"/>
  </r>
  <r>
    <x v="30"/>
    <s v="Kártyatranzakció OTPMOBL EON.HU BUDAPEST 6.824,00 HUF Vásárlás"/>
    <n v="-6824"/>
    <x v="0"/>
    <x v="11"/>
    <x v="0"/>
  </r>
  <r>
    <x v="30"/>
    <s v="Kártyatranzakció TELEKOMSZAML 700934044 BUDAPEST 8.520,00 HUF Vásárlás 21,67 EUR"/>
    <n v="-8520"/>
    <x v="0"/>
    <x v="7"/>
    <x v="0"/>
  </r>
  <r>
    <x v="31"/>
    <s v="HUN-GARDONY CSASZI2020 KFT. Vásárlás(2024.04.14) Card:5444-0XXX-XX68-8737 MCC5411 HUN-GARDONY CSASZI2020 KFT. 1.448,00 HUF Kártyatranzakció"/>
    <n v="-1448"/>
    <x v="3"/>
    <x v="4"/>
    <x v="0"/>
  </r>
  <r>
    <x v="31"/>
    <s v="HUN-Martonvasar SASKAEK Kft. Vásárlás(2024.04.14) Card:5444-0XXX-XX68-8737 MCC5411 HUN-Martonvasar SASKAEK Kft. 2.468,00 HUF Kártyatranzakció"/>
    <n v="-2468"/>
    <x v="3"/>
    <x v="4"/>
    <x v="0"/>
  </r>
  <r>
    <x v="31"/>
    <s v="HUN-KAPOLNASNYEK AUTOMATA TO:LTO&quot;A' Vásárlás(2024.04.14) Card:5444-0XXX-XX68-8737 MCC5542 HUN-KAPOLNASNYEK AUTOMATA TO:LTO&quot;A' LLOM 28.161,00 HUF Kártyatranzakció"/>
    <n v="-28161"/>
    <x v="5"/>
    <x v="16"/>
    <x v="0"/>
  </r>
  <r>
    <x v="31"/>
    <s v="Kártyatranzakció SASKAEK Kft. Martonvasar 999,00 HUF Vásárlás"/>
    <n v="-999"/>
    <x v="3"/>
    <x v="4"/>
    <x v="0"/>
  </r>
  <r>
    <x v="32"/>
    <s v="HUN-Martonvasar SASKAEK Kft. Vásárlás(2024.04.12) Card:5444-0XXX-XX68-8737 MCC5411 HUN-Martonvasar SASKAEK Kft. 565,00 HUF Kártyatranzakció"/>
    <n v="-565"/>
    <x v="3"/>
    <x v="4"/>
    <x v="0"/>
  </r>
  <r>
    <x v="32"/>
    <s v="HUN-Budapest Manna ABC - Mazsa Nord Vásárlás(2024.04.11) Card:5444-0XXX-XX68-8737 MCC5411 HUN-Budapest Manna ABC - Mazsa Nord 798,00 HUF Kártyatranzakció"/>
    <n v="-798"/>
    <x v="3"/>
    <x v="4"/>
    <x v="0"/>
  </r>
  <r>
    <x v="32"/>
    <s v="HUN-BUDAPEST SPAR 0167 Vásárlás(2024.04.11) Card:5444-0XXX-XX68-8737 MCC5411 HUN-BUDAPEST SPAR 0167 899,00 HUF Kártyatranzakció"/>
    <n v="-899"/>
    <x v="3"/>
    <x v="4"/>
    <x v="0"/>
  </r>
  <r>
    <x v="32"/>
    <s v="HUN-BARACSKA CSIZ SAJTMUHELY KFT Vásárlás(2024.04.13) Card:5444-0XXX-XX68-8737 MCC5499 HUN-BARACSKA CSIZ SAJTMUHELY KFT 920,00 HUF Kártyatranzakció"/>
    <n v="-920"/>
    <x v="3"/>
    <x v="4"/>
    <x v="0"/>
  </r>
  <r>
    <x v="32"/>
    <s v="HUN-MARTONVASAR ROSSMANN 336. Vásárlás(2024.04.12) Card:5444-0XXX-XX68-8737 MCC5977 HUN-MARTONVASAR ROSSMANN 336. 1.628,00 HUF Kártyatranzakció"/>
    <n v="-1628"/>
    <x v="3"/>
    <x v="4"/>
    <x v="0"/>
  </r>
  <r>
    <x v="32"/>
    <s v="HUN-MARTONVASAR MARTON FRUIT Vásárlás(2024.04.11) Card:5444-0XXX-XX68-8737 MCC5499 HUN-MARTONVASAR MARTON FRUIT 1.723,00 HUF Kártyatranzakció"/>
    <n v="-1723"/>
    <x v="3"/>
    <x v="4"/>
    <x v="0"/>
  </r>
  <r>
    <x v="32"/>
    <s v="HUN-RACKERESZTUR SZENT KERESZT GYO' Vásárlás(2024.04.12) Card:5444-0XXX-XX68-8737 MCC5912 HUN-RACKERESZTUR SZENT KERESZT GYO' GYSZ 1.783,00 HUF Kártyatranzakció"/>
    <n v="-1783"/>
    <x v="7"/>
    <x v="5"/>
    <x v="0"/>
  </r>
  <r>
    <x v="32"/>
    <s v="HUN-MARTONVASAR TESCO 44089 O:NKISZ Vásárlás(2024.04.11) Card:5444-0XXX-XX68-8737 MCC5311 HUN-MARTONVASAR TESCO 44089 O:NKISZ OLG 2.059,00 HUF Kártyatranzakció"/>
    <n v="-2059"/>
    <x v="3"/>
    <x v="4"/>
    <x v="0"/>
  </r>
  <r>
    <x v="32"/>
    <s v="HUN-Budapest Levespont Kft Vásárlás(2024.04.11) Card:5444-0XXX-XX68-8737 MCC5812 HUN-Budapest Levespont Kft 2.200,00 HUF Kártyatranzakció"/>
    <n v="-2200"/>
    <x v="2"/>
    <x v="2"/>
    <x v="0"/>
  </r>
  <r>
    <x v="32"/>
    <s v="HUN-BUDAORS PRAKTIKER 333. Vásárlás(2024.04.13) Card:5444-0XXX-XX68-8737 MCC5200 HUN-BUDAORS PRAKTIKER 333. 5.996,00 HUF Kártyatranzakció"/>
    <n v="-5996"/>
    <x v="0"/>
    <x v="6"/>
    <x v="0"/>
  </r>
  <r>
    <x v="32"/>
    <s v="HUN-MARTONVASAR TESCO 44089 Vásárlás(2024.04.11) Card:5444-0XXX-XX68-8737 MCC5311 HUN-MARTONVASAR TESCO 44089 7.117,00 HUF Kártyatranzakció"/>
    <n v="-7117"/>
    <x v="3"/>
    <x v="4"/>
    <x v="0"/>
  </r>
  <r>
    <x v="32"/>
    <s v="HUN-RACKERESZTUR SZENT KERESZT GYO' Vásárlás(2024.04.12) Card:5444-0XXX-XX68-8737 MCC5912 HUN-RACKERESZTUR SZENT KERESZT GYO' GYSZ 8.108,00 HUF Kártyatranzakció"/>
    <n v="-8108"/>
    <x v="7"/>
    <x v="5"/>
    <x v="0"/>
  </r>
  <r>
    <x v="32"/>
    <s v="HUN-BUDAORS DM 449 Vásárlás(2024.04.13) Card:5444-0XXX-XX68-8737 MCC5977 HUN-BUDAORS DM 449 15.525,00 HUF Kártyatranzakció"/>
    <n v="-15525"/>
    <x v="3"/>
    <x v="4"/>
    <x v="0"/>
  </r>
  <r>
    <x v="32"/>
    <s v="HUN-Budaors LIDL HU 349 Budaors Vásárlás(2024.04.13) Card:5444-0XXX-XX68-8737 MCC5411 HUN-Budaors LIDL HU 349 Budaors 18.097,00 HUF Kártyatranzakció"/>
    <n v="-18097"/>
    <x v="3"/>
    <x v="4"/>
    <x v="0"/>
  </r>
  <r>
    <x v="32"/>
    <s v="HUN-BUDAORS BUDAO:RS BENZINKU'T AU Vásárlás(2024.04.13) Card:5444-0XXX-XX68-8737 MCC5542 HUN-BUDAORS BUDAO:RS BENZINKU'T AU 40.845,00 HUF Kártyatranzakció"/>
    <n v="-40845"/>
    <x v="5"/>
    <x v="16"/>
    <x v="0"/>
  </r>
  <r>
    <x v="32"/>
    <s v="Kártyatranzakció OTPMOBL NAV Mobil app. BUDAPEST 30.360,00 HUF Vásárlás"/>
    <n v="-30360"/>
    <x v="5"/>
    <x v="33"/>
    <x v="0"/>
  </r>
  <r>
    <x v="33"/>
    <s v="reformvirag@gmail.com Kimenő azonnali megbízás"/>
    <n v="-3090"/>
    <x v="3"/>
    <x v="4"/>
    <x v="0"/>
  </r>
  <r>
    <x v="34"/>
    <s v="HUN-BUDAPEST KISKIFLI KAVEZO Vásárlás(2024.04.10) Card:5444-0XXX-XX68-8737 MCC5812 HUN-BUDAPEST KISKIFLI KAVEZO 1.980,00 HUF Kártyatranzakció"/>
    <n v="-1980"/>
    <x v="2"/>
    <x v="19"/>
    <x v="0"/>
  </r>
  <r>
    <x v="34"/>
    <s v="HUN-Budapest Kemal Pasa Torok Et Vásárlás(2024.04.10) Card:5444-0XXX-XX68-8737 MCC5812 HUN-Budapest Kemal Pasa Torok Et 2.700,00 HUF Kártyatranzakció"/>
    <n v="-2700"/>
    <x v="2"/>
    <x v="2"/>
    <x v="0"/>
  </r>
  <r>
    <x v="35"/>
    <s v="HUN-SALGOTARJAN LIPO'TI PE'KSE'G E' Vásárlás(2024.04.09) Card:5444-0XXX-XX68-8737 MCC5462 HUN-SALGOTARJAN LIPO'TI PE'KSE'G E' S K 1.710,00 HUF Kártyatranzakció"/>
    <n v="-1710"/>
    <x v="2"/>
    <x v="19"/>
    <x v="0"/>
  </r>
  <r>
    <x v="35"/>
    <s v="HUN-BARACSKA CSIZ SAJTMUHELY KFT Vásárlás(2024.04.09) Card:5444-0XXX-XX68-8737 MCC5499 HUN-BARACSKA CSIZ SAJTMUHELY KFT 2.310,00 HUF Kártyatranzakció"/>
    <n v="-2310"/>
    <x v="3"/>
    <x v="4"/>
    <x v="0"/>
  </r>
  <r>
    <x v="35"/>
    <s v="11773353-59010812-00000000 Kovácsné Tonkó Csilla Mária KT-2024-125 Kimenő azonnali megbízás"/>
    <n v="-10000"/>
    <x v="7"/>
    <x v="13"/>
    <x v="0"/>
  </r>
  <r>
    <x v="36"/>
    <s v="HUN-MARTONVASAR TESCO 44089 Vásárlás(2024.04.08) Card:5444-0XXX-XX68-8737 MCC5311 HUN-MARTONVASAR TESCO 44089 2.555,00 HUF Kártyatranzakció"/>
    <n v="-2555"/>
    <x v="3"/>
    <x v="4"/>
    <x v="0"/>
  </r>
  <r>
    <x v="36"/>
    <s v="HUN-Martonvasar Gazda-SAGI Bolt Vásárlás(2024.04.08) Card:5444-0XXX-XX68-8737 MCC5261 HUN-Martonvasar Gazda-SAGI Bolt 18.580,00 HUF Kártyatranzakció"/>
    <n v="-18580"/>
    <x v="0"/>
    <x v="6"/>
    <x v="0"/>
  </r>
  <r>
    <x v="36"/>
    <s v="PL:I/10APR24 Kamatfizetés  Hitel /21-41194/"/>
    <n v="-42004.96"/>
    <x v="0"/>
    <x v="21"/>
    <x v="0"/>
  </r>
  <r>
    <x v="36"/>
    <s v="PL:P/10APR24 Tőkefizetés Hitel /21-41194/"/>
    <n v="219799.83"/>
    <x v="0"/>
    <x v="21"/>
    <x v="1"/>
  </r>
  <r>
    <x v="36"/>
    <s v="PL:P/10APR24 Tőkefizetés Hitel /21-41194/"/>
    <n v="-219799.83"/>
    <x v="0"/>
    <x v="21"/>
    <x v="0"/>
  </r>
  <r>
    <x v="36"/>
    <s v="Kártyatranzakció SIMPLE PARKOL S BUDAPEST 792,00 HUF Vásárlás"/>
    <n v="-792"/>
    <x v="5"/>
    <x v="9"/>
    <x v="0"/>
  </r>
  <r>
    <x v="36"/>
    <s v="Forint átutalás JAGUAR LAND ROVER HUNGARY KFT. Munkab.r utal.sMunkabér"/>
    <n v="1081812"/>
    <x v="4"/>
    <x v="20"/>
    <x v="0"/>
  </r>
  <r>
    <x v="37"/>
    <s v="HUN-Martonvasar SASKAEK Kft. Vásárlás(2024.04.07) Card:5444-0XXX-XX68-8737 MCC5411 HUN-Martonvasar SASKAEK Kft. 1.810,00 HUF Kártyatranzakció"/>
    <n v="-1810"/>
    <x v="3"/>
    <x v="4"/>
    <x v="0"/>
  </r>
  <r>
    <x v="37"/>
    <s v="HUN-BUDAORS OBI 010 BUDAORS Vásárlás(2024.04.07) Card:5444-0XXX-XX68-8737 MCC5200 HUN-BUDAORS OBI 010 BUDAORS 27.182,00 HUF Kártyatranzakció"/>
    <n v="-27182"/>
    <x v="0"/>
    <x v="6"/>
    <x v="0"/>
  </r>
  <r>
    <x v="38"/>
    <s v="HUN-Martonvasar SASKAEK Kft. Vásárlás(2024.04.06) Card:5444-0XXX-XX68-8737 MCC5411 HUN-Martonvasar SASKAEK Kft. 798,00 HUF Kártyatranzakció"/>
    <n v="-798"/>
    <x v="3"/>
    <x v="4"/>
    <x v="0"/>
  </r>
  <r>
    <x v="38"/>
    <s v="HUN-Martonvasar SASKAEK Kft. Vásárlás(2024.04.04) Card:5444-0XXX-XX68-8737 MCC5411 HUN-Martonvasar SASKAEK Kft. 999,00 HUF Kártyatranzakció"/>
    <n v="-999"/>
    <x v="3"/>
    <x v="4"/>
    <x v="0"/>
  </r>
  <r>
    <x v="38"/>
    <s v="HUN-MARTONVASAR MARTON FRUIT Vásárlás(2024.04.04) Card:5444-0XXX-XX68-8737 MCC5499 HUN-MARTONVASAR MARTON FRUIT 1.095,00 HUF Kártyatranzakció"/>
    <n v="-1095"/>
    <x v="3"/>
    <x v="4"/>
    <x v="0"/>
  </r>
  <r>
    <x v="38"/>
    <s v="HUN-BUDAORS REGIO JA'TE'K BU. Vásárlás(2024.04.06) Card:5444-0XXX-XX68-8737 MCC5945 HUN-BUDAORS REGIO JA'TE'K BU. 1.695,00 HUF Kártyatranzakció"/>
    <n v="-1695"/>
    <x v="3"/>
    <x v="3"/>
    <x v="0"/>
  </r>
  <r>
    <x v="38"/>
    <s v="HUN-BARACSKA CSIZ SAJTMUHELY KFT Vásárlás(2024.04.06) Card:5444-0XXX-XX68-8737 MCC5499 HUN-BARACSKA CSIZ SAJTMUHELY KFT 2.530,00 HUF Kártyatranzakció"/>
    <n v="-2530"/>
    <x v="3"/>
    <x v="4"/>
    <x v="0"/>
  </r>
  <r>
    <x v="38"/>
    <s v="HUN-MARTONVASAR TESCO 44089 Vásárlás(2024.04.04) Card:5444-0XXX-XX68-8737 MCC5311 HUN-MARTONVASAR TESCO 44089 3.937,00 HUF Kártyatranzakció"/>
    <n v="-3937"/>
    <x v="3"/>
    <x v="4"/>
    <x v="0"/>
  </r>
  <r>
    <x v="38"/>
    <s v="HUN-MARTONVASAR ROSSMANN 336. Vásárlás(2024.04.06) Card:5444-0XXX-XX68-8737 MCC5977 HUN-MARTONVASAR ROSSMANN 336. 14.577,00 HUF Kártyatranzakció"/>
    <n v="-14577"/>
    <x v="3"/>
    <x v="4"/>
    <x v="0"/>
  </r>
  <r>
    <x v="38"/>
    <s v="HUN-ERD BOHACS BARKACS Vásárlás(2024.04.06) Card:5444-0XXX-XX68-8737 MCC5200 HUN-ERD BOHACS BARKACS 22.498,00 HUF Kártyatranzakció"/>
    <n v="-22498"/>
    <x v="0"/>
    <x v="6"/>
    <x v="0"/>
  </r>
  <r>
    <x v="38"/>
    <s v="HUN-BUDAORS BRENDON BABAARUHAZ Vásárlás(2024.04.06) Card:5444-0XXX-XX68-8737 MCC5331 HUN-BUDAORS BRENDON BABAARUHAZ 24.099,00 HUF Kártyatranzakció"/>
    <n v="-24099"/>
    <x v="3"/>
    <x v="3"/>
    <x v="0"/>
  </r>
  <r>
    <x v="38"/>
    <s v="HUN-BUDAPEST BARIONP*TornaDora Vásárlás(2024.04.06) Card:5444-0XXX-XX68-8737 MCC5641 HUN-BUDAPEST BARIONP*TornaDora 31.980,00 HUF Kártyatranzakció"/>
    <n v="-31980"/>
    <x v="3"/>
    <x v="3"/>
    <x v="0"/>
  </r>
  <r>
    <x v="39"/>
    <s v="Cr Forgalmi kedvezmény"/>
    <n v="1914"/>
    <x v="1"/>
    <x v="1"/>
    <x v="0"/>
  </r>
  <r>
    <x v="39"/>
    <s v="HUN-Martonvasar SASKAEK Kft. Vásárlás(2024.04.03) Card:5444-0XXX-XX68-8737 MCC5411 HUN-Martonvasar SASKAEK Kft. 565,00 HUF Kártyatranzakció"/>
    <n v="-565"/>
    <x v="3"/>
    <x v="4"/>
    <x v="0"/>
  </r>
  <r>
    <x v="39"/>
    <s v="HUN-MARTONVASAR ROSSMANN 336. Vásárlás(2024.04.03) Card:5444-0XXX-XX68-8737 MCC5977 HUN-MARTONVASAR ROSSMANN 336. 1.498,00 HUF Kártyatranzakció"/>
    <n v="-1498"/>
    <x v="3"/>
    <x v="4"/>
    <x v="0"/>
  </r>
  <r>
    <x v="39"/>
    <s v="HUN-BARACSKA CSIZ SAJTMUHELY KFT Vásárlás(2024.04.03) Card:5444-0XXX-XX68-8737 MCC5499 HUN-BARACSKA CSIZ SAJTMUHELY KFT 1.920,00 HUF Kártyatranzakció"/>
    <n v="-1920"/>
    <x v="3"/>
    <x v="4"/>
    <x v="0"/>
  </r>
  <r>
    <x v="40"/>
    <s v="HUN-Budapest Manna ABC - Mazsa Nord Vásárlás(2024.04.02) Card:5444-0XXX-XX68-8737 MCC5411 HUN-Budapest Manna ABC - Mazsa Nord 1.399,00 HUF Kártyatranzakció"/>
    <n v="-1399"/>
    <x v="3"/>
    <x v="4"/>
    <x v="0"/>
  </r>
  <r>
    <x v="40"/>
    <s v="SWE-Stockholm Spotify Vásárlás(2024.04.02) Card:5444-0XXX-XX68-8737 MCC4899 SWE-Stockholm Spotify 1.990,00 HUF Kártyatranzakció"/>
    <n v="-1990"/>
    <x v="0"/>
    <x v="7"/>
    <x v="0"/>
  </r>
  <r>
    <x v="40"/>
    <s v="HUN-Budapest Kemal Pasa Torok Et Vásárlás(2024.04.02) Card:5444-0XXX-XX68-8737 MCC5812 HUN-Budapest Kemal Pasa Torok Et 2.700,00 HUF Kártyatranzakció"/>
    <n v="-2700"/>
    <x v="2"/>
    <x v="2"/>
    <x v="0"/>
  </r>
  <r>
    <x v="40"/>
    <s v="HUN-Martonvasar SASKAEK Kft. Vásárlás(2024.04.02) Card:5444-0XXX-XX68-8737 MCC5411 HUN-Martonvasar SASKAEK Kft. 3.707,00 HUF Kártyatranzakció"/>
    <n v="-3707"/>
    <x v="3"/>
    <x v="4"/>
    <x v="0"/>
  </r>
  <r>
    <x v="40"/>
    <s v="HUN-MARTONVASAR ROSSMANN 336. Vásárlás(2024.04.02) Card:5444-0XXX-XX68-8737 MCC5977 HUN-MARTONVASAR ROSSMANN 336. 9.841,00 HUF Kártyatranzakció"/>
    <n v="-9841"/>
    <x v="3"/>
    <x v="4"/>
    <x v="0"/>
  </r>
  <r>
    <x v="40"/>
    <s v="HUN-BUDAORS OBI 010 BUDAORS Vásárlás(2024.04.02) Card:5444-0XXX-XX68-8737 MCC5200 HUN-BUDAORS OBI 010 BUDAORS 16.140,00 HUF Kártyatranzakció"/>
    <n v="-16140"/>
    <x v="0"/>
    <x v="6"/>
    <x v="0"/>
  </r>
  <r>
    <x v="40"/>
    <s v="HUN-BUDAPEST OTPMOBL*CSEPPKE.HU Vásárlás(2024.04.02) Card:5444-0XXX-XX68-8737 MCC5641 HUN-BUDAPEST OTPMOBL*CSEPPKE.HU 20.380,00 HUF Kártyatranzakció"/>
    <n v="-20380"/>
    <x v="3"/>
    <x v="3"/>
    <x v="0"/>
  </r>
  <r>
    <x v="40"/>
    <s v="HUN-Budapest BAH OMV 1709 Vásárlás(2024.04.02) Card:5444-0XXX-XX68-8737 MCC5541 HUN-Budapest BAH OMV 1709 28.354,00 HUF Kártyatranzakció"/>
    <n v="-28354"/>
    <x v="5"/>
    <x v="16"/>
    <x v="0"/>
  </r>
  <r>
    <x v="41"/>
    <s v="10032000-00282637-00000000 OKTATÁSI HIVATAL MUNKABÉR UTALÁS Bejövő Forint Átutalás"/>
    <n v="260490"/>
    <x v="4"/>
    <x v="20"/>
    <x v="0"/>
  </r>
  <r>
    <x v="41"/>
    <s v="reformvirag@gmail.com Kimenő azonnali megbízás"/>
    <n v="-15990"/>
    <x v="3"/>
    <x v="4"/>
    <x v="0"/>
  </r>
  <r>
    <x v="41"/>
    <s v="Kártyatranzakció OTPMOBL VIMPAY.MAV-STA BUDAPEST 570,00 HUF Vásárlás"/>
    <n v="-570"/>
    <x v="5"/>
    <x v="28"/>
    <x v="0"/>
  </r>
  <r>
    <x v="42"/>
    <s v="HUN-MARTONVASAR TESCO 44089 O:NKISZ Vásárlás(2024.03.27) Card:5444-0XXX-XX68-8737 MCC5311 HUN-MARTONVASAR TESCO 44089 O:NKISZ OLG 1.277,00 HUF Kártyatranzakció"/>
    <n v="-1277"/>
    <x v="3"/>
    <x v="4"/>
    <x v="0"/>
  </r>
  <r>
    <x v="42"/>
    <s v="HUN-Budapest Manna ABC - Mazsa Nord Vásárlás(2024.03.27) Card:5444-0XXX-XX68-8737 MCC5411 HUN-Budapest Manna ABC - Mazsa Nord 1.399,00 HUF Kártyatranzakció"/>
    <n v="-1399"/>
    <x v="3"/>
    <x v="4"/>
    <x v="0"/>
  </r>
  <r>
    <x v="42"/>
    <s v="HUN-Martonvasar SASKAEK Kft. Vásárlás(2024.03.27) Card:5444-0XXX-XX68-8737 MCC5411 HUN-Martonvasar SASKAEK Kft. 1.934,00 HUF Kártyatranzakció"/>
    <n v="-1934"/>
    <x v="3"/>
    <x v="4"/>
    <x v="0"/>
  </r>
  <r>
    <x v="42"/>
    <s v="HUN-BUDAPEST ENGEL ETTEREM Vásárlás(2024.03.27) Card:5444-0XXX-XX68-8737 MCC5812 HUN-BUDAPEST ENGEL ETTEREM 2.490,00 HUF Kártyatranzakció"/>
    <n v="-2490"/>
    <x v="2"/>
    <x v="2"/>
    <x v="0"/>
  </r>
  <r>
    <x v="42"/>
    <s v="HUN-BARACSKA CSIZ SAJTMUHELY KFT Vásárlás(2024.03.27) Card:5444-0XXX-XX68-8737 MCC5499 HUN-BARACSKA CSIZ SAJTMUHELY KFT 3.130,00 HUF Kártyatranzakció"/>
    <n v="-3130"/>
    <x v="3"/>
    <x v="4"/>
    <x v="0"/>
  </r>
  <r>
    <x v="42"/>
    <s v="HUN-BUDAPEST OTPMOBL*perfektnatura. Vásárlás(2024.03.27) Card:5444-0XXX-XX68-8737 MCC5499 HUN-BUDAPEST OTPMOBL*perfektnatura. 3.490,00 HUF Kártyatranzakció"/>
    <n v="-3490"/>
    <x v="7"/>
    <x v="14"/>
    <x v="0"/>
  </r>
  <r>
    <x v="42"/>
    <s v="HUN-MARTONVASAR ROSSMANN 336. Vásárlás(2024.03.28) Card:5444-0XXX-XX68-8737 MCC5977 HUN-MARTONVASAR ROSSMANN 336. 8.628,00 HUF Kártyatranzakció"/>
    <n v="-8628"/>
    <x v="3"/>
    <x v="4"/>
    <x v="0"/>
  </r>
  <r>
    <x v="42"/>
    <s v="HUN-SALGOTARJAN SPAR MAGYARORSZAG K Vásárlás(2024.03.30) Card:5444-0XXX-XX68-8737 MCC5411 HUN-SALGOTARJAN SPAR MAGYARORSZAG K FT 11.935,00 HUF Kártyatranzakció"/>
    <n v="-11935"/>
    <x v="3"/>
    <x v="4"/>
    <x v="0"/>
  </r>
  <r>
    <x v="42"/>
    <s v="HUN-MARTONVASAR ROSSMANN 336. Vásárlás(2024.03.27) Card:5444-0XXX-XX68-8737 MCC5977 HUN-MARTONVASAR ROSSMANN 336. 13.035,00 HUF Kártyatranzakció"/>
    <n v="-13035"/>
    <x v="3"/>
    <x v="4"/>
    <x v="0"/>
  </r>
  <r>
    <x v="42"/>
    <s v="Kamatadó"/>
    <n v="-2.76"/>
    <x v="1"/>
    <x v="34"/>
    <x v="0"/>
  </r>
  <r>
    <x v="42"/>
    <s v="Szociális hozzájárulási adó"/>
    <n v="-2.39"/>
    <x v="1"/>
    <x v="34"/>
    <x v="0"/>
  </r>
  <r>
    <x v="42"/>
    <s v="Kártyatranzakció OTPMOBL VIMPAY.MAV-STA BUDAPEST 570,00 HUF Vásárlás"/>
    <n v="-570"/>
    <x v="5"/>
    <x v="28"/>
    <x v="0"/>
  </r>
  <r>
    <x v="42"/>
    <s v="Kártyatranzakció SIMPLE MOBILJEGY BUDAPEST 1.800,00 HUF Vásárlás"/>
    <n v="-1800"/>
    <x v="5"/>
    <x v="28"/>
    <x v="0"/>
  </r>
  <r>
    <x v="42"/>
    <s v="Kártyatranzakció APPLE.COM/BILL CORK 1.290,00 HUF Vásárlás 3,28 EUR"/>
    <n v="-1290"/>
    <x v="0"/>
    <x v="7"/>
    <x v="0"/>
  </r>
  <r>
    <x v="42"/>
    <s v="Kamat"/>
    <n v="18.42"/>
    <x v="1"/>
    <x v="34"/>
    <x v="0"/>
  </r>
  <r>
    <x v="43"/>
    <s v="Int.Appl. to   31/03/24"/>
    <n v="19.46"/>
    <x v="1"/>
    <x v="1"/>
    <x v="0"/>
  </r>
  <r>
    <x v="43"/>
    <s v="SZOCHO to      31/03/24"/>
    <n v="-2.52"/>
    <x v="1"/>
    <x v="34"/>
    <x v="0"/>
  </r>
  <r>
    <x v="43"/>
    <s v="CRT to         31/03/24"/>
    <n v="-2.92"/>
    <x v="1"/>
    <x v="1"/>
    <x v="0"/>
  </r>
  <r>
    <x v="43"/>
    <s v="Havi zárlati díj"/>
    <n v="-2222"/>
    <x v="1"/>
    <x v="1"/>
    <x v="0"/>
  </r>
  <r>
    <x v="44"/>
    <s v="HUN-BUDAPEST KISKIFLI KAVEZO Vásárlás(2024.03.26) Card:5444-0XXX-XX68-8737 MCC5812 HUN-BUDAPEST KISKIFLI KAVEZO 1.580,00 HUF Kártyatranzakció"/>
    <n v="-1580"/>
    <x v="2"/>
    <x v="19"/>
    <x v="0"/>
  </r>
  <r>
    <x v="44"/>
    <s v="HUN-Budapest Zsu-Ann Kft. Vásárlás(2024.03.26) Card:5444-0XXX-XX68-8737 MCC5812 HUN-Budapest Zsu-Ann Kft. 3.000,00 HUF Kártyatranzakció"/>
    <n v="-3000"/>
    <x v="2"/>
    <x v="2"/>
    <x v="0"/>
  </r>
  <r>
    <x v="44"/>
    <s v="HUN-BUDAORS ROSSMANN 311. Vásárlás(2024.03.26) Card:5444-0XXX-XX68-8737 MCC5977 HUN-BUDAORS ROSSMANN 311. 5.799,00 HUF Kártyatranzakció"/>
    <n v="-5799"/>
    <x v="3"/>
    <x v="4"/>
    <x v="0"/>
  </r>
  <r>
    <x v="44"/>
    <s v="HUN-BUDAPEST BARIONP*BARION.COM/GUE Vásárlás(2024.03.26) Card:5444-0XXX-XX68-8737 MCC7299 HUN-BUDAPEST BARIONP*BARION.COM/GUE 7.288,00 HUF Kártyatranzakció"/>
    <n v="-7288"/>
    <x v="7"/>
    <x v="15"/>
    <x v="0"/>
  </r>
  <r>
    <x v="44"/>
    <s v="LTU-Vilnius VINTED 8935205826 Vásárlás(2024.03.26) Card:5444-0XXX-XX68-8737 MCC5931 LTU-Vilnius VINTED 8935205826 7.479,00 HUF Kártyatranzakció"/>
    <n v="-7479"/>
    <x v="3"/>
    <x v="3"/>
    <x v="0"/>
  </r>
  <r>
    <x v="44"/>
    <s v="HUN-BUDAORS DECATHLON BUDAO:RS Vásárlás(2024.03.26) Card:5444-0XXX-XX68-8737 MCC5941 HUN-BUDAORS DECATHLON BUDAO:RS 9.480,00 HUF Kártyatranzakció"/>
    <n v="-9480"/>
    <x v="3"/>
    <x v="30"/>
    <x v="0"/>
  </r>
  <r>
    <x v="44"/>
    <s v="HUN-BUDAORS DM 449 Vásárlás(2024.03.26) Card:5444-0XXX-XX68-8737 MCC5977 HUN-BUDAORS DM 449 16.962,00 HUF Kártyatranzakció"/>
    <n v="-16962"/>
    <x v="3"/>
    <x v="4"/>
    <x v="0"/>
  </r>
  <r>
    <x v="44"/>
    <s v="HUN-BUDAORS LIDL ARUHAZ 0349.SZ. Vásárlás(2024.03.26) Card:5444-0XXX-XX68-8737 MCC5411 HUN-BUDAORS LIDL ARUHAZ 0349.SZ. 20.725,00 HUF Kártyatranzakció"/>
    <n v="-20725"/>
    <x v="3"/>
    <x v="4"/>
    <x v="0"/>
  </r>
  <r>
    <x v="45"/>
    <s v="HUN-MARTONVASAR VIANNI U:ZLET Vásárlás(2024.03.25) Card:5444-0XXX-XX68-8737 MCC5399 HUN-MARTONVASAR VIANNI U:ZLET 625,00 HUF Kártyatranzakció"/>
    <n v="-625"/>
    <x v="3"/>
    <x v="4"/>
    <x v="0"/>
  </r>
  <r>
    <x v="45"/>
    <s v="reformvirag@gmail.com Kimenő azonnali megbízás"/>
    <n v="-2270"/>
    <x v="3"/>
    <x v="4"/>
    <x v="0"/>
  </r>
  <r>
    <x v="45"/>
    <s v="Szabadfi Szabolcs"/>
    <n v="-144000"/>
    <x v="8"/>
    <x v="32"/>
    <x v="0"/>
  </r>
  <r>
    <x v="46"/>
    <s v="11773353-59010812-00000000 Kovácsné Tonkó Csilla Mária KT-2024-108 Kimenő azonnali megbízás"/>
    <n v="-10000"/>
    <x v="7"/>
    <x v="13"/>
    <x v="0"/>
  </r>
  <r>
    <x v="46"/>
    <s v="OTPMOBL DIJNET.HU      BUDAPEST BUDAPEST        13.888,00 HUF Vásárlás"/>
    <n v="-13888"/>
    <x v="0"/>
    <x v="23"/>
    <x v="0"/>
  </r>
  <r>
    <x v="46"/>
    <s v="OTPMOBL TELEKOM2597    BUDAPEST BUDAPEST 7.416,00 HUF Vásárlás"/>
    <n v="-7416"/>
    <x v="0"/>
    <x v="7"/>
    <x v="0"/>
  </r>
  <r>
    <x v="46"/>
    <s v="OTPMOBL EON.HU         BUDAPEST BUDAPEST        6.824,00 HUF Vásárlás"/>
    <n v="-6824"/>
    <x v="0"/>
    <x v="11"/>
    <x v="0"/>
  </r>
  <r>
    <x v="47"/>
    <s v="HUN-Martonvasar SASKAEK Kft. Vásárlás(2024.03.23) Card:5444-0XXX-XX68-8737 MCC5411 HUN-Martonvasar SASKAEK Kft. 778,00 HUF Kártyatranzakció"/>
    <n v="-778"/>
    <x v="3"/>
    <x v="4"/>
    <x v="0"/>
  </r>
  <r>
    <x v="47"/>
    <s v="HUN-MARTONVASAR MARTONVASAR-HUS KFT Vásárlás(2024.03.23) Card:5444-0XXX-XX68-8737 MCC5422 HUN-MARTONVASAR MARTONVASAR-HUS KFT 790,00 HUF Kártyatranzakció"/>
    <n v="-790"/>
    <x v="3"/>
    <x v="4"/>
    <x v="0"/>
  </r>
  <r>
    <x v="47"/>
    <s v="HUN-BARACSKA CSIZ SAJTMUHELY KFT Vásárlás(2024.03.21) Card:5444-0XXX-XX68-8737 MCC5499 HUN-BARACSKA CSIZ SAJTMUHELY KFT 920,00 HUF Kártyatranzakció"/>
    <n v="-920"/>
    <x v="3"/>
    <x v="4"/>
    <x v="0"/>
  </r>
  <r>
    <x v="47"/>
    <s v="HUN-BARACSKA CSIZ SAJTMUHELY KFT Vásárlás(2024.03.23) Card:5444-0XXX-XX68-8737 MCC5499 HUN-BARACSKA CSIZ SAJTMUHELY KFT 940,00 HUF Kártyatranzakció"/>
    <n v="-940"/>
    <x v="3"/>
    <x v="4"/>
    <x v="0"/>
  </r>
  <r>
    <x v="47"/>
    <s v="HUN-MARTONVASAR TESCO 44089 O:NKISZ Vásárlás(2024.03.22) Card:5444-0XXX-XX68-8737 MCC5311 HUN-MARTONVASAR TESCO 44089 O:NKISZ OLG 1.223,00 HUF Kártyatranzakció"/>
    <n v="-1223"/>
    <x v="3"/>
    <x v="4"/>
    <x v="0"/>
  </r>
  <r>
    <x v="47"/>
    <s v="HUN-Martonvasar SASKAEK Kft. Vásárlás(2024.03.22) Card:5444-0XXX-XX68-8737 MCC5411 HUN-Martonvasar SASKAEK Kft. 1.567,00 HUF Kártyatranzakció"/>
    <n v="-1567"/>
    <x v="3"/>
    <x v="4"/>
    <x v="0"/>
  </r>
  <r>
    <x v="47"/>
    <s v="HUN-MARTONVASAR MARTON FRUIT Vásárlás(2024.03.22) Card:5444-0XXX-XX68-8737 MCC5499 HUN-MARTONVASAR MARTON FRUIT 1.729,00 HUF Kártyatranzakció"/>
    <n v="-1729"/>
    <x v="3"/>
    <x v="4"/>
    <x v="0"/>
  </r>
  <r>
    <x v="47"/>
    <s v="HUN-BUDAPEST MOMSPORT Vásárlás(2024.03.21) Card:5444-0XXX-XX68-8737 MCC7523 HUN-BUDAPEST MOMSPORT 1.800,00 HUF Kártyatranzakció"/>
    <n v="-1800"/>
    <x v="5"/>
    <x v="9"/>
    <x v="0"/>
  </r>
  <r>
    <x v="47"/>
    <s v="HUN-BUDAPEST SPAR 0170 Vásárlás(2024.03.21) Card:5444-0XXX-XX68-8737 MCC5411 HUN-BUDAPEST SPAR 0170 1.993,00 HUF Kártyatranzakció"/>
    <n v="-1993"/>
    <x v="3"/>
    <x v="4"/>
    <x v="0"/>
  </r>
  <r>
    <x v="47"/>
    <s v="HUN-Martonvasar PEPCO 150062 MARTON Vásárlás(2024.03.22) Card:5444-0XXX-XX68-8737 MCC5331 HUN-Martonvasar PEPCO 150062 MARTON VA 2.100,00 HUF Kártyatranzakció"/>
    <n v="-2100"/>
    <x v="3"/>
    <x v="3"/>
    <x v="0"/>
  </r>
  <r>
    <x v="47"/>
    <s v="LTU-Vilnius VINTED 8909599637 Vásárlás(2024.03.24) Card:5444-0XXX-XX68-8737 MCC5931 LTU-Vilnius VINTED 8909599637 2.229,00 HUF Kártyatranzakció"/>
    <n v="-2229"/>
    <x v="3"/>
    <x v="3"/>
    <x v="0"/>
  </r>
  <r>
    <x v="47"/>
    <s v="HUN-Budapest Pan ni Vásárlás(2024.03.21) Card:5444-0XXX-XX68-8737 MCC5462 HUN-Budapest Pan ni 8.426,00 HUF Kártyatranzakció"/>
    <n v="-8426"/>
    <x v="2"/>
    <x v="19"/>
    <x v="0"/>
  </r>
  <r>
    <x v="47"/>
    <s v="HUN-TOROKBALINT VNV E'PI'TO&quot;ANYAG Vásárlás(2024.03.21) Card:5444-0XXX-XX68-8737 MCC5211 HUN-TOROKBALINT VNV E'PI'TO&quot;ANYAG 8.888,00 HUF Kártyatranzakció"/>
    <n v="-8888"/>
    <x v="0"/>
    <x v="6"/>
    <x v="0"/>
  </r>
  <r>
    <x v="47"/>
    <s v="HUN-ERD TUDAS KONYVKUCKO Vásárlás(2024.03.23) Card:5444-0XXX-XX68-8737 MCC5942 HUN-ERD TUDAS KONYVKUCKO 10.911,00 HUF Kártyatranzakció"/>
    <n v="-10911"/>
    <x v="3"/>
    <x v="24"/>
    <x v="0"/>
  </r>
  <r>
    <x v="47"/>
    <s v="HUN-MARTONVASAR ROSSMANN 336. Vásárlás(2024.03.22) Card:5444-0XXX-XX68-8737 MCC5977 HUN-MARTONVASAR ROSSMANN 336. 16.348,00 HUF Kártyatranzakció"/>
    <n v="-16348"/>
    <x v="3"/>
    <x v="4"/>
    <x v="0"/>
  </r>
  <r>
    <x v="47"/>
    <s v="HUN-BUDAPEST EVITAL-MOM GYOGYSZERT Vásárlás(2024.03.21) Card:5444-0XXX-XX68-8737 MCC5912 HUN-BUDAPEST EVITAL-MOM GYOGYSZERT 24.692,00 HUF Kártyatranzakció"/>
    <n v="-24692"/>
    <x v="7"/>
    <x v="5"/>
    <x v="0"/>
  </r>
  <r>
    <x v="47"/>
    <s v="HUN-TOROKBALINT VNV E'PI'TO&quot;ANYAG Vásárlás(2024.03.21) Card:5444-0XXX-XX68-8737 MCC5211 HUN-TOROKBALINT VNV E'PI'TO&quot;ANYAG 56.928,00 HUF Kártyatranzakció"/>
    <n v="-56928"/>
    <x v="0"/>
    <x v="6"/>
    <x v="0"/>
  </r>
  <r>
    <x v="47"/>
    <s v="SKYSHOWTIME 81B10 HU   Amsterdam SKYSHOWTIME 81B10 HU Amsterdam        999,00 HUF Vásárlás        2,52 EUR"/>
    <n v="-999"/>
    <x v="0"/>
    <x v="7"/>
    <x v="0"/>
  </r>
  <r>
    <x v="47"/>
    <s v="SASKAEK Kft.           Martonvasar Martonvasar       5.848,00 HUF Vásárlás"/>
    <n v="-5848"/>
    <x v="3"/>
    <x v="4"/>
    <x v="0"/>
  </r>
  <r>
    <x v="48"/>
    <s v="HUN-MARTONVASAR HU'SBOLT Vásárlás(2024.03.20) Card:5444-0XXX-XX68-8737 MCC5499 HUN-MARTONVASAR HU'SBOLT 1.280,00 HUF Kártyatranzakció"/>
    <n v="-1280"/>
    <x v="3"/>
    <x v="4"/>
    <x v="0"/>
  </r>
  <r>
    <x v="48"/>
    <s v="HUN-MARTONVASAR TESCO 44089 O:NKISZ Vásárlás(2024.03.20) Card:5444-0XXX-XX68-8737 MCC5311 HUN-MARTONVASAR TESCO 44089 O:NKISZ OLG 3.896,00 HUF Kártyatranzakció"/>
    <n v="-3896"/>
    <x v="3"/>
    <x v="4"/>
    <x v="0"/>
  </r>
  <r>
    <x v="49"/>
    <s v="HUN-Martonvasar SASKAEK Kft. Vásárlás(2024.03.19) Card:5444-0XXX-XX68-8737 MCC5411 HUN-Martonvasar SASKAEK Kft. 177,00 HUF Kártyatranzakció"/>
    <n v="-177"/>
    <x v="3"/>
    <x v="4"/>
    <x v="0"/>
  </r>
  <r>
    <x v="49"/>
    <s v="HUN-MARTONVASAR BARKACSBOLT Vásárlás(2024.03.19) Card:5444-0XXX-XX68-8737 MCC5251 HUN-MARTONVASAR BARKACSBOLT 1.400,00 HUF Kártyatranzakció"/>
    <n v="-1400"/>
    <x v="0"/>
    <x v="6"/>
    <x v="0"/>
  </r>
  <r>
    <x v="49"/>
    <s v="HUN-MARTONVASAR BARKACSBOLT Vásárlás(2024.03.19) Card:5444-0XXX-XX68-8737 MCC5251 HUN-MARTONVASAR BARKACSBOLT 2.100,00 HUF Kártyatranzakció"/>
    <n v="-2100"/>
    <x v="0"/>
    <x v="6"/>
    <x v="0"/>
  </r>
  <r>
    <x v="49"/>
    <s v="HUN-MARTONVASAR TESCO 44089 Vásárlás(2024.03.19) Card:5444-0XXX-XX68-8737 MCC5311 HUN-MARTONVASAR TESCO 44089 6.753,00 HUF Kártyatranzakció"/>
    <n v="-6753"/>
    <x v="3"/>
    <x v="4"/>
    <x v="0"/>
  </r>
  <r>
    <x v="50"/>
    <s v="HUN-MARTONVASAR TESCO 44089 Vásárlás(2024.03.18) Card:5444-0XXX-XX68-8737 MCC5311 HUN-MARTONVASAR TESCO 44089 618,00 HUF Kártyatranzakció"/>
    <n v="-618"/>
    <x v="3"/>
    <x v="4"/>
    <x v="0"/>
  </r>
  <r>
    <x v="50"/>
    <s v="HUN-MARTONVASAR ROSSMANN 336. Vásárlás(2024.03.18) Card:5444-0XXX-XX68-8737 MCC5977 HUN-MARTONVASAR ROSSMANN 336. 2.798,00 HUF Kártyatranzakció"/>
    <n v="-2798"/>
    <x v="3"/>
    <x v="4"/>
    <x v="0"/>
  </r>
  <r>
    <x v="50"/>
    <s v="HUN-BUDAORS PRAKTIKER 333. Vásárlás(2024.03.18) Card:5444-0XXX-XX68-8737 MCC5200 HUN-BUDAORS PRAKTIKER 333. 5.994,00 HUF Kártyatranzakció"/>
    <n v="-5994"/>
    <x v="0"/>
    <x v="6"/>
    <x v="0"/>
  </r>
  <r>
    <x v="50"/>
    <s v="HUN-BUDAORS DM 449 Vásárlás(2024.03.18) Card:5444-0XXX-XX68-8737 MCC5977 HUN-BUDAORS DM 449 12.266,00 HUF Kártyatranzakció"/>
    <n v="-12266"/>
    <x v="3"/>
    <x v="4"/>
    <x v="0"/>
  </r>
  <r>
    <x v="50"/>
    <s v="HUN-BUDAORS LIDL ARUHAZ 0349.SZ. Vásárlás(2024.03.18) Card:5444-0XXX-XX68-8737 MCC5411 HUN-BUDAORS LIDL ARUHAZ 0349.SZ. 20.128,00 HUF Kártyatranzakció"/>
    <n v="-20128"/>
    <x v="3"/>
    <x v="4"/>
    <x v="0"/>
  </r>
  <r>
    <x v="50"/>
    <s v="HUN-KAPOLNASNYEK AUTOMATA TO:LTO&quot;A' Vásárlás(2024.03.18) Card:5444-0XXX-XX68-8737 MCC5542 HUN-KAPOLNASNYEK AUTOMATA TO:LTO&quot;A' LLOM 39.600,00 HUF Kártyatranzakció"/>
    <n v="-39600"/>
    <x v="5"/>
    <x v="16"/>
    <x v="0"/>
  </r>
  <r>
    <x v="51"/>
    <s v="HUN-SZENTENDRE PANIFICIO ILBASILICO Vásárlás(2024.03.17) Card:5444-0XXX-XX68-8737 MCC5812 HUN-SZENTENDRE PANIFICIO ILBASILICO 2.140,00 HUF Kártyatranzakció"/>
    <n v="-2140"/>
    <x v="2"/>
    <x v="10"/>
    <x v="0"/>
  </r>
  <r>
    <x v="51"/>
    <s v="HUN-SZENTENDRE PANIFICIO ILBASILICO Vásárlás(2024.03.17) Card:5444-0XXX-XX68-8737 MCC5812 HUN-SZENTENDRE PANIFICIO ILBASILICO 2.750,00 HUF Kártyatranzakció"/>
    <n v="-2750"/>
    <x v="2"/>
    <x v="10"/>
    <x v="0"/>
  </r>
  <r>
    <x v="51"/>
    <s v="HUN-SZENTENDRE PANIFICIO ILBASILICO Vásárlás(2024.03.17) Card:5444-0XXX-XX68-8737 MCC5812 HUN-SZENTENDRE PANIFICIO ILBASILICO 6.500,00 HUF Kártyatranzakció"/>
    <n v="-6500"/>
    <x v="2"/>
    <x v="10"/>
    <x v="0"/>
  </r>
  <r>
    <x v="51"/>
    <s v="MVM NEXT ENERGIAK      BUDAPEST BUDAPEST        8.517,00 HUF Vásárlás"/>
    <n v="-8517"/>
    <x v="0"/>
    <x v="22"/>
    <x v="0"/>
  </r>
  <r>
    <x v="52"/>
    <s v="HUN-BUDAPEST SPAR 0167 Vásárlás(2024.03.14) Card:5444-0XXX-XX68-8737 MCC5411 HUN-BUDAPEST SPAR 0167 608,00 HUF Kártyatranzakció"/>
    <n v="-608"/>
    <x v="3"/>
    <x v="4"/>
    <x v="0"/>
  </r>
  <r>
    <x v="52"/>
    <s v="HUN-BUDAPEST WHITE HOUSE Vásárlás(2024.03.13) Card:5444-0XXX-XX68-8737 MCC5812 HUN-BUDAPEST WHITE HOUSE 850,00 HUF Kártyatranzakció"/>
    <n v="-850"/>
    <x v="2"/>
    <x v="2"/>
    <x v="0"/>
  </r>
  <r>
    <x v="52"/>
    <s v="reformvirag@gmail.com Kimenő azonnali megbízás"/>
    <n v="-1110"/>
    <x v="3"/>
    <x v="4"/>
    <x v="0"/>
  </r>
  <r>
    <x v="52"/>
    <s v="HUN-BARACSKA CSIZ SAJTMUHELY KFT Vásárlás(2024.03.13) Card:5444-0XXX-XX68-8737 MCC5499 HUN-BARACSKA CSIZ SAJTMUHELY KFT 1.420,00 HUF Kártyatranzakció"/>
    <n v="-1420"/>
    <x v="3"/>
    <x v="4"/>
    <x v="0"/>
  </r>
  <r>
    <x v="52"/>
    <s v="HUN-MARTONVASAR MARTONVASAR-HUS KFT Vásárlás(2024.03.14) Card:5444-0XXX-XX68-8737 MCC5422 HUN-MARTONVASAR MARTONVASAR-HUS KFT 1.575,00 HUF Kártyatranzakció"/>
    <n v="-1575"/>
    <x v="3"/>
    <x v="4"/>
    <x v="0"/>
  </r>
  <r>
    <x v="52"/>
    <s v="HUN-MARTONVASAR TESCO 44089 O:NKISZ Vásárlás(2024.03.14) Card:5444-0XXX-XX68-8737 MCC5311 HUN-MARTONVASAR TESCO 44089 O:NKISZ OLG 2.195,00 HUF Kártyatranzakció"/>
    <n v="-2195"/>
    <x v="3"/>
    <x v="4"/>
    <x v="0"/>
  </r>
  <r>
    <x v="52"/>
    <s v="HUN-Martonvasar Gazda-SAGI Bolt Vásárlás(2024.03.16) Card:5444-0XXX-XX68-8737 MCC5261 HUN-Martonvasar Gazda-SAGI Bolt 2.280,00 HUF Kártyatranzakció"/>
    <n v="-2280"/>
    <x v="0"/>
    <x v="6"/>
    <x v="0"/>
  </r>
  <r>
    <x v="52"/>
    <s v="HUN-Budapest Kemal Pasa Torok Et Vásárlás(2024.03.14) Card:5444-0XXX-XX68-8737 MCC5812 HUN-Budapest Kemal Pasa Torok Et 2.700,00 HUF Kártyatranzakció"/>
    <n v="-2700"/>
    <x v="2"/>
    <x v="2"/>
    <x v="0"/>
  </r>
  <r>
    <x v="52"/>
    <s v="HUN-BUDAORS PRAKTIKER 333. Vásárlás(2024.03.16) Card:5444-0XXX-XX68-8737 MCC5200 HUN-BUDAORS PRAKTIKER 333. 4.073,00 HUF Kártyatranzakció"/>
    <n v="-4073"/>
    <x v="0"/>
    <x v="6"/>
    <x v="0"/>
  </r>
  <r>
    <x v="52"/>
    <s v="HUN-MARTONVASAR ROSSMANN 336. Vásárlás(2024.03.14) Card:5444-0XXX-XX68-8737 MCC5977 HUN-MARTONVASAR ROSSMANN 336. 5.999,00 HUF Kártyatranzakció"/>
    <n v="-5999"/>
    <x v="3"/>
    <x v="4"/>
    <x v="0"/>
  </r>
  <r>
    <x v="52"/>
    <s v="HUN-GARDONY DM 316.SZ. Vásárlás(2024.03.13) Card:5444-0XXX-XX68-8737 MCC5977 HUN-GARDONY DM 316.SZ. 11.428,00 HUF Kártyatranzakció"/>
    <n v="-11428"/>
    <x v="3"/>
    <x v="4"/>
    <x v="0"/>
  </r>
  <r>
    <x v="52"/>
    <s v="HUN-AGARD LIDL ARUHAZ 0306.SZ. Vásárlás(2024.03.13) Card:5444-0XXX-XX68-8737 MCC5411 HUN-AGARD LIDL ARUHAZ 0306.SZ. 15.271,00 HUF Kártyatranzakció"/>
    <n v="-15271"/>
    <x v="3"/>
    <x v="4"/>
    <x v="0"/>
  </r>
  <r>
    <x v="52"/>
    <s v="HUN-BUDAPEST MOL 60400 Vásárlás(2024.03.13) Card:5444-0XXX-XX68-8737 MCC5541 HUN-BUDAPEST MOL 60400 15.986,00 HUF Kártyatranzakció"/>
    <n v="-15986"/>
    <x v="5"/>
    <x v="16"/>
    <x v="0"/>
  </r>
  <r>
    <x v="52"/>
    <s v="HUN-MARTONVASAR ROSSMANN 336. Vásárlás(2024.03.14) Card:5444-0XXX-XX68-8737 MCC5977 HUN-MARTONVASAR ROSSMANN 336. 26.381,00 HUF Kártyatranzakció"/>
    <n v="-26381"/>
    <x v="3"/>
    <x v="4"/>
    <x v="0"/>
  </r>
  <r>
    <x v="52"/>
    <s v="HUN-BUDAORS PRAKTIKER 333. Vásárlás(2024.03.16) Card:5444-0XXX-XX68-8737 MCC5200 HUN-BUDAORS PRAKTIKER 333. 29.970,00 HUF Kártyatranzakció"/>
    <n v="-29970"/>
    <x v="0"/>
    <x v="6"/>
    <x v="0"/>
  </r>
  <r>
    <x v="52"/>
    <s v="Disney Plus            Hoofddorp Disney Plus      Hoofddorp       3.090,00 HUF Vásárlás        7,83 EUR"/>
    <n v="-3090"/>
    <x v="0"/>
    <x v="7"/>
    <x v="0"/>
  </r>
  <r>
    <x v="52"/>
    <s v="NAPSUGAR CUKRASZDA     ERCSI ERCSI 550,00 HUF Vásárlás"/>
    <n v="-550"/>
    <x v="2"/>
    <x v="19"/>
    <x v="0"/>
  </r>
  <r>
    <x v="53"/>
    <s v="HUN-MARTONVASAR TESCO 44089 O:NKISZ Vásárlás(2024.03.12) Card:5444-0XXX-XX68-8737 MCC5311 HUN-MARTONVASAR TESCO 44089 O:NKISZ OLG 1.259,00 HUF Kártyatranzakció"/>
    <n v="-1259"/>
    <x v="3"/>
    <x v="4"/>
    <x v="0"/>
  </r>
  <r>
    <x v="53"/>
    <s v="HUN-BUDAPEST KISKIFLI KAVEZO Vásárlás(2024.03.12) Card:5444-0XXX-XX68-8737 MCC5812 HUN-BUDAPEST KISKIFLI KAVEZO 1.640,00 HUF Kártyatranzakció"/>
    <n v="-1640"/>
    <x v="2"/>
    <x v="19"/>
    <x v="0"/>
  </r>
  <r>
    <x v="53"/>
    <s v="reformvirag@gmail.com Kimenő azonnali megbízás"/>
    <n v="-6570"/>
    <x v="3"/>
    <x v="4"/>
    <x v="0"/>
  </r>
  <r>
    <x v="53"/>
    <s v="11773353-59010812-00000000 Kovácsné Tonkó Csilla Mária KT-2024-98 Kimenő azonnali megbízás"/>
    <n v="-10000"/>
    <x v="7"/>
    <x v="13"/>
    <x v="0"/>
  </r>
  <r>
    <x v="53"/>
    <s v="HUN-SZIGETSZENTMI BAUHAUS SZIGETSZE Vásárlás(2024.03.12) Card:5444-0XXX-XX68-8737 MCC5200 HUN-SZIGETSZENTMI BAUHAUS SZIGETSZE NTMIK 249.900,00 HUF Kártyatranzakció"/>
    <n v="-249900"/>
    <x v="0"/>
    <x v="6"/>
    <x v="0"/>
  </r>
  <r>
    <x v="54"/>
    <s v="11736082-15727433-02440000 Martonvásár Város Önkormányzata Épi 500000008325016 Kimenő azonnali megbízás"/>
    <n v="-22500"/>
    <x v="0"/>
    <x v="0"/>
    <x v="0"/>
  </r>
  <r>
    <x v="55"/>
    <s v="HUN-Martonvasar SASKAEK Kft. Vásárlás(2024.03.10) Card:5444-0XXX-XX68-8737 MCC5411 HUN-Martonvasar SASKAEK Kft. 6.323,00 HUF Kártyatranzakció"/>
    <n v="-6323"/>
    <x v="3"/>
    <x v="4"/>
    <x v="0"/>
  </r>
  <r>
    <x v="56"/>
    <s v="reformvirag@gmail.com Kimenő azonnali megbízás"/>
    <n v="-1160"/>
    <x v="3"/>
    <x v="4"/>
    <x v="0"/>
  </r>
  <r>
    <x v="56"/>
    <s v="HUN-BARACSKA CSIZ SAJTMUHELY KFT Vásárlás(2024.03.09) Card:5444-0XXX-XX68-8737 MCC5499 HUN-BARACSKA CSIZ SAJTMUHELY KFT 1.930,00 HUF Kártyatranzakció"/>
    <n v="-1930"/>
    <x v="3"/>
    <x v="4"/>
    <x v="0"/>
  </r>
  <r>
    <x v="56"/>
    <s v="HUN-MARTONVASAR MARTON FRUIT Vásárlás(2024.03.07) Card:5444-0XXX-XX68-8737 MCC5499 HUN-MARTONVASAR MARTON FRUIT 2.299,00 HUF Kártyatranzakció"/>
    <n v="-2299"/>
    <x v="3"/>
    <x v="4"/>
    <x v="0"/>
  </r>
  <r>
    <x v="56"/>
    <s v="HUN-Martonvasar PEPCO 150062 MARTON Vásárlás(2024.03.07) Card:5444-0XXX-XX68-8737 MCC5331 HUN-Martonvasar PEPCO 150062 MARTON VA 5.500,00 HUF Kártyatranzakció"/>
    <n v="-5500"/>
    <x v="3"/>
    <x v="8"/>
    <x v="0"/>
  </r>
  <r>
    <x v="56"/>
    <s v="HUN-MARTONVASAR ROSSMANN 336. Vásárlás(2024.03.07) Card:5444-0XXX-XX68-8737 MCC5977 HUN-MARTONVASAR ROSSMANN 336. 6.185,00 HUF Kártyatranzakció"/>
    <n v="-6185"/>
    <x v="3"/>
    <x v="4"/>
    <x v="0"/>
  </r>
  <r>
    <x v="56"/>
    <s v="HUN-AGARD LIDL ARUHAZ 0306.SZ. Vásárlás(2024.03.07) Card:5444-0XXX-XX68-8737 MCC5411 HUN-AGARD LIDL ARUHAZ 0306.SZ. 27.214,00 HUF Kártyatranzakció"/>
    <n v="-27214"/>
    <x v="3"/>
    <x v="4"/>
    <x v="0"/>
  </r>
  <r>
    <x v="56"/>
    <s v="LO-RE 2005 Kft         Solymr Solymr         1.200,00 HUF Vásárlás        3,04 EUR"/>
    <n v="-1200"/>
    <x v="5"/>
    <x v="18"/>
    <x v="0"/>
  </r>
  <r>
    <x v="56"/>
    <s v="LO-RE 2005 Kft         Solymr Solymr         1.200,00 HUF Vásárlás        3,04 EUR"/>
    <n v="-1200"/>
    <x v="5"/>
    <x v="18"/>
    <x v="0"/>
  </r>
  <r>
    <x v="56"/>
    <s v="WWW.MYPROTEIN.COM      MAGNICE MAGNICE        20.330,00 HUF Vásárlás        51,48 EUR"/>
    <n v="-20330"/>
    <x v="7"/>
    <x v="14"/>
    <x v="0"/>
  </r>
  <r>
    <x v="56"/>
    <s v="SASKAEK Kft.           Martonvasar Martonvasar        828,00 HUF Vásárlás"/>
    <n v="-828"/>
    <x v="3"/>
    <x v="4"/>
    <x v="0"/>
  </r>
  <r>
    <x v="56"/>
    <s v="SASKAEK Kft.           Martonvasar Martonvasar       3.347,00 HUF Vásárlás"/>
    <n v="-3347"/>
    <x v="3"/>
    <x v="4"/>
    <x v="0"/>
  </r>
  <r>
    <x v="56"/>
    <s v="BRENDON BABAARUHAZ     BUDAORS BUDAORS 116.439,00 HUF Vásárlás"/>
    <n v="-116439"/>
    <x v="3"/>
    <x v="3"/>
    <x v="0"/>
  </r>
  <r>
    <x v="56"/>
    <s v="ADVANCE KANTIN         BUDAPEST BUDAPEST        3.100,00 HUF Vásárlás"/>
    <n v="-3100"/>
    <x v="2"/>
    <x v="2"/>
    <x v="0"/>
  </r>
  <r>
    <x v="57"/>
    <s v="PL:I/10MAR24 Kamatfizetés  Hitel /21-41194/"/>
    <n v="-39717.18"/>
    <x v="0"/>
    <x v="21"/>
    <x v="0"/>
  </r>
  <r>
    <x v="57"/>
    <s v="PL:P/10MAR24 Tőkefizetés Hitel /21-41194/"/>
    <n v="222087.61"/>
    <x v="0"/>
    <x v="21"/>
    <x v="1"/>
  </r>
  <r>
    <x v="57"/>
    <s v="PL:P/10MAR24 Tőkefizetés Hitel /21-41194/"/>
    <n v="-222087.61"/>
    <x v="0"/>
    <x v="21"/>
    <x v="0"/>
  </r>
  <r>
    <x v="58"/>
    <s v="HUN-BARACSKA CSIZ SAJTMUHELY KFT Vásárlás(2024.03.07) Card:5444-0XXX-XX68-8737 MCC5499 HUN-BARACSKA CSIZ SAJTMUHELY KFT 3.100,00 HUF Kártyatranzakció"/>
    <n v="-3100"/>
    <x v="3"/>
    <x v="4"/>
    <x v="0"/>
  </r>
  <r>
    <x v="58"/>
    <s v="KISKIFLI KAVEZO        BUDAPEST BUDAPEST        1.340,00 HUF Vásárlás"/>
    <n v="-1340"/>
    <x v="2"/>
    <x v="19"/>
    <x v="0"/>
  </r>
  <r>
    <x v="58"/>
    <s v="Tamp and Pull Espresso Budapest 1.900,00 HUF Vásárlás"/>
    <n v="-1900"/>
    <x v="2"/>
    <x v="19"/>
    <x v="0"/>
  </r>
  <r>
    <x v="58"/>
    <s v="JAGUAR LAND ROVER HUNGARY KFT."/>
    <n v="1103735"/>
    <x v="4"/>
    <x v="20"/>
    <x v="0"/>
  </r>
  <r>
    <x v="59"/>
    <s v="LTU-Vilnius VINTED 8722238723 Vásárlás(2024.03.05) Card:5444-0XXX-XX68-8737 MCC5931 LTU-Vilnius VINTED 8722238723 2.439,00 HUF Kártyatranzakció"/>
    <n v="-2439"/>
    <x v="3"/>
    <x v="3"/>
    <x v="0"/>
  </r>
  <r>
    <x v="59"/>
    <s v="LTU-Vilnius VINTED 8723220355 Vásárlás(2024.03.05) Card:5444-0XXX-XX68-8737 MCC5931 LTU-Vilnius VINTED 8723220355 2.439,00 HUF Kártyatranzakció"/>
    <n v="-2439"/>
    <x v="3"/>
    <x v="3"/>
    <x v="0"/>
  </r>
  <r>
    <x v="59"/>
    <s v="LTU-Vilnius VINTED 8720048465 Vásárlás(2024.03.05) Card:5444-0XXX-XX68-8737 MCC5931 LTU-Vilnius VINTED 8720048465 2.754,00 HUF Kártyatranzakció"/>
    <n v="-2754"/>
    <x v="3"/>
    <x v="3"/>
    <x v="0"/>
  </r>
  <r>
    <x v="59"/>
    <s v="LTU-Vilnius VINTED 8723064618 Vásárlás(2024.03.05) Card:5444-0XXX-XX68-8737 MCC5931 LTU-Vilnius VINTED 8723064618 3.174,00 HUF Kártyatranzakció"/>
    <n v="-3174"/>
    <x v="3"/>
    <x v="3"/>
    <x v="0"/>
  </r>
  <r>
    <x v="59"/>
    <s v="LTU-Vilnius VINTED 8722255109 Vásárlás(2024.03.06) Card:5444-0XXX-XX68-8737 MCC5931 LTU-Vilnius VINTED 8722255109 3.804,00 HUF Kártyatranzakció"/>
    <n v="-3804"/>
    <x v="3"/>
    <x v="3"/>
    <x v="0"/>
  </r>
  <r>
    <x v="59"/>
    <s v="HUN-MARTONVASAR ROSSMANN 336. Vásárlás(2024.03.05) Card:5444-0XXX-XX68-8737 MCC5977 HUN-MARTONVASAR ROSSMANN 336. 16.886,00 HUF Kártyatranzakció"/>
    <n v="-16886"/>
    <x v="3"/>
    <x v="4"/>
    <x v="0"/>
  </r>
  <r>
    <x v="59"/>
    <s v="TESCO 44089 O NKISZOLG MARTONVASAR 2.937,00 HUF Vásárlás"/>
    <n v="-2937"/>
    <x v="3"/>
    <x v="4"/>
    <x v="0"/>
  </r>
  <r>
    <x v="60"/>
    <s v="HUN-MARTONVASAR MARTON FRUIT Vásárlás(2024.03.04) Card:5444-0XXX-XX68-8737 MCC5499 HUN-MARTONVASAR MARTON FRUIT 1.912,00 HUF Kártyatranzakció"/>
    <n v="-1912"/>
    <x v="3"/>
    <x v="4"/>
    <x v="0"/>
  </r>
  <r>
    <x v="60"/>
    <s v="HUN-MARTONVASAR TESCO 44089 O:NKISZ Vásárlás(2024.03.04) Card:5444-0XXX-XX68-8737 MCC5311 HUN-MARTONVASAR TESCO 44089 O:NKISZ OLG 3.414,00 HUF Kártyatranzakció"/>
    <n v="-3414"/>
    <x v="3"/>
    <x v="4"/>
    <x v="0"/>
  </r>
  <r>
    <x v="60"/>
    <s v="KISKIFLI KAVEZO        BUDAPEST BUDAPEST        1.580,00 HUF Vásárlás"/>
    <n v="-1580"/>
    <x v="2"/>
    <x v="19"/>
    <x v="0"/>
  </r>
  <r>
    <x v="60"/>
    <s v="Kemal Pasa Torok Etelb Budapest Budapest 2.700,00 HUF Vásárlás"/>
    <n v="-2700"/>
    <x v="2"/>
    <x v="2"/>
    <x v="0"/>
  </r>
  <r>
    <x v="61"/>
    <s v="Cr Forgalmi kedvezmény"/>
    <n v="1914"/>
    <x v="1"/>
    <x v="1"/>
    <x v="0"/>
  </r>
  <r>
    <x v="61"/>
    <s v="TelekomSzaml 684214559 Budapest 7.416,00 HUF Vásárlás        18,85 EUR"/>
    <n v="-7416"/>
    <x v="0"/>
    <x v="7"/>
    <x v="0"/>
  </r>
  <r>
    <x v="62"/>
    <s v="10032000-00282637-00000000 OKTATÁSI HIVATAL MUNKABÉR UTALÁS Bejövő Forint Átutalás"/>
    <n v="243685"/>
    <x v="4"/>
    <x v="20"/>
    <x v="0"/>
  </r>
  <r>
    <x v="62"/>
    <s v="HUN-MARTONVASAR MARTON MARKET Vásárlás(2024.02.29) Card:5444-0XXX-XX68-8737 MCC5411 HUN-MARTONVASAR MARTON MARKET 269,00 HUF Kártyatranzakció"/>
    <n v="-269"/>
    <x v="3"/>
    <x v="4"/>
    <x v="0"/>
  </r>
  <r>
    <x v="62"/>
    <s v="SWE-Stockholm Spotify P2A47F1C28 Vásárlás(2024.03.02) Card:5444-0XXX-XX68-8737 MCC5815 SWE-Stockholm Spotify P2A47F1C28 1.990,00 HUF Kártyatranzakció"/>
    <n v="-1990"/>
    <x v="0"/>
    <x v="7"/>
    <x v="0"/>
  </r>
  <r>
    <x v="62"/>
    <s v="HUN-BARACSKA CSIZ SAJTMUHELY KFT Vásárlás(2024.02.29) Card:5444-0XXX-XX68-8737 MCC5499 HUN-BARACSKA CSIZ SAJTMUHELY KFT 2.140,00 HUF Kártyatranzakció"/>
    <n v="-2140"/>
    <x v="3"/>
    <x v="4"/>
    <x v="0"/>
  </r>
  <r>
    <x v="62"/>
    <s v="POL-35314369001 PAYPAL *MAMABRUM ON Vásárlás(2024.02.29) Card:5444-0XXX-XX68-8737 MCC5641 POL-35314369001 PAYPAL *MAMABRUM ON LIN 8.728,00 HUF Kártyatranzakció"/>
    <n v="-8728"/>
    <x v="3"/>
    <x v="3"/>
    <x v="0"/>
  </r>
  <r>
    <x v="62"/>
    <s v="HUN-MARTONVASAR ROSSMANN 336. Vásárlás(2024.02.29) Card:5444-0XXX-XX68-8737 MCC5977 HUN-MARTONVASAR ROSSMANN 336. 13.606,00 HUF Kártyatranzakció"/>
    <n v="-13606"/>
    <x v="3"/>
    <x v="4"/>
    <x v="0"/>
  </r>
  <r>
    <x v="62"/>
    <s v="APPLE.COM/BILL         CORK APPLE.COM/BILL    CORK          1.290,00 HUF Vásárlás        3,28 EUR"/>
    <n v="-1290"/>
    <x v="0"/>
    <x v="7"/>
    <x v="0"/>
  </r>
  <r>
    <x v="62"/>
    <s v="OBI010BUDAORS          Budaors BUDAORS         2.996,00 HUF Vásárlás"/>
    <n v="-2996"/>
    <x v="0"/>
    <x v="6"/>
    <x v="0"/>
  </r>
  <r>
    <x v="62"/>
    <s v="BARKACSBOLT            MARTONVASAR MARTONVASAR        550,00 HUF Vásárlás"/>
    <n v="-550"/>
    <x v="0"/>
    <x v="6"/>
    <x v="0"/>
  </r>
  <r>
    <x v="62"/>
    <s v="PANIFICIO ILBASILICO   SZENTENDRE SZENTENDRE 2.390,00 HUF Vásárlás"/>
    <n v="-2390"/>
    <x v="2"/>
    <x v="10"/>
    <x v="0"/>
  </r>
  <r>
    <x v="62"/>
    <s v="PANIFICIO ILBASILICO   SZENTENDRE SZENTENDRE 9.600,00 HUF Vásárlás"/>
    <n v="-9600"/>
    <x v="2"/>
    <x v="10"/>
    <x v="0"/>
  </r>
  <r>
    <x v="62"/>
    <s v="OTPMOBL webkincstar    BUDAPEST BUDAPEST 101.801,00 HUF Vásárlás"/>
    <n v="-101801"/>
    <x v="1"/>
    <x v="26"/>
    <x v="0"/>
  </r>
  <r>
    <x v="62"/>
    <s v="DM 449                 BUDAORS BUDAORS        15.791,00 HUF Vásárlás"/>
    <n v="-15791"/>
    <x v="3"/>
    <x v="4"/>
    <x v="0"/>
  </r>
  <r>
    <x v="62"/>
    <s v="JYSK H824              BUDAORS BUDAORS         7.820,00 HUF Vásárlás"/>
    <n v="-7820"/>
    <x v="0"/>
    <x v="35"/>
    <x v="0"/>
  </r>
  <r>
    <x v="62"/>
    <s v="LIDL ARUHAZ 0349.SZ.   BUDAORS BUDAORS 11.625,00 HUF Vásárlás"/>
    <n v="-11625"/>
    <x v="3"/>
    <x v="4"/>
    <x v="0"/>
  </r>
  <r>
    <x v="62"/>
    <s v="ALDI 156.SZ.           BUDAORS BUDAORS        27.392,00 HUF Vásárlás"/>
    <n v="-27392"/>
    <x v="3"/>
    <x v="4"/>
    <x v="0"/>
  </r>
  <r>
    <x v="62"/>
    <s v="TESCO 44089 O NKISZOLG MARTONVASAR 4.690,00 HUF Vásárlás"/>
    <n v="-4690"/>
    <x v="3"/>
    <x v="4"/>
    <x v="0"/>
  </r>
  <r>
    <x v="63"/>
    <s v="New York Bagel Kft     Budapest Budapest 1.690,00 HUF Vásárlás        4,33 EUR"/>
    <n v="-1690"/>
    <x v="2"/>
    <x v="2"/>
    <x v="0"/>
  </r>
  <r>
    <x v="63"/>
    <s v="ISTANBUL E'TTEREM      BUDAPEST BUDAPEST        2.850,00 HUF Vásárlás"/>
    <n v="-2850"/>
    <x v="2"/>
    <x v="2"/>
    <x v="0"/>
  </r>
  <r>
    <x v="63"/>
    <s v="HUN-BARACSKA CSIZ SAJTMUHELY KFT Vásárlás(2024.02.27) Card:5444-0XXX-XX68-8737 MCC5499 HUN-BARACSKA CSIZ SAJTMUHELY KFT 1.760,00 HUF Kártyatranzakció"/>
    <n v="-1760"/>
    <x v="3"/>
    <x v="4"/>
    <x v="0"/>
  </r>
  <r>
    <x v="63"/>
    <s v="Havi zárlati díj"/>
    <n v="-2222"/>
    <x v="1"/>
    <x v="1"/>
    <x v="0"/>
  </r>
  <r>
    <x v="64"/>
    <s v="KISKIFLI KAVEZO        BUDAPEST BUDAPEST         990,00 HUF Vásárlás"/>
    <n v="-990"/>
    <x v="2"/>
    <x v="19"/>
    <x v="0"/>
  </r>
  <r>
    <x v="64"/>
    <s v="Kemal Pasa Torok Etelb Budapest Budapest 3.000,00 HUF Vásárlás"/>
    <n v="-3000"/>
    <x v="2"/>
    <x v="2"/>
    <x v="0"/>
  </r>
  <r>
    <x v="64"/>
    <s v="HUN-MARTONVASAR ROSSMANN 336. Vásárlás(2024.02.26) Card:5444-0XXX-XX68-8737 MCC5977 HUN-MARTONVASAR ROSSMANN 336. 10.105,00 HUF Kártyatranzakció"/>
    <n v="-10105"/>
    <x v="3"/>
    <x v="4"/>
    <x v="0"/>
  </r>
  <r>
    <x v="64"/>
    <s v="HUN-ERCSI SPAR PARTNER 6920220 Vásárlás(2024.02.26) Card:5444-0XXX-XX68-8737 MCC5411 HUN-ERCSI SPAR PARTNER 6920220 10.510,00 HUF Kártyatranzakció"/>
    <n v="-10510"/>
    <x v="3"/>
    <x v="4"/>
    <x v="0"/>
  </r>
  <r>
    <x v="65"/>
    <s v="AUTOMATA TO LTO&quot;A'LLOM KAPOLNASNYEK 41.596,00 HUF Vásárlás"/>
    <n v="-41596"/>
    <x v="5"/>
    <x v="16"/>
    <x v="0"/>
  </r>
  <r>
    <x v="65"/>
    <s v="AVIA BENZINKU'T        MARTONVASAR MARTONVASAR       3.994,00 HUF Vásárlás"/>
    <n v="-3994"/>
    <x v="5"/>
    <x v="16"/>
    <x v="0"/>
  </r>
  <r>
    <x v="66"/>
    <s v="SKYSHOWTIME 15E81 HU   Amsterdam SKYSHOWTIME 15E81 HU Amsterdam        999,00 HUF Vásárlás        2,57 EUR"/>
    <n v="-999"/>
    <x v="0"/>
    <x v="7"/>
    <x v="0"/>
  </r>
  <r>
    <x v="66"/>
    <s v="Artizan Budapest       Budapest Budapest        5.030,00 HUF Vásárlás        12,95 EUR"/>
    <n v="-5030"/>
    <x v="2"/>
    <x v="19"/>
    <x v="0"/>
  </r>
  <r>
    <x v="66"/>
    <s v="WIN PLUS HD MARKET     MARTONVASAR MARTONVASAR 1.830,00 HUF Vásárlás"/>
    <n v="-1830"/>
    <x v="3"/>
    <x v="4"/>
    <x v="0"/>
  </r>
  <r>
    <x v="66"/>
    <s v="ALFA-RADIA'L           MARTONVASAR MARTONVASAR      439.615,00 HUF Vásárlás"/>
    <n v="-439615"/>
    <x v="5"/>
    <x v="36"/>
    <x v="0"/>
  </r>
  <r>
    <x v="66"/>
    <s v="OTPMOBL EON.HU         BUDAPEST BUDAPEST        6.824,00 HUF Vásárlás"/>
    <n v="-6824"/>
    <x v="0"/>
    <x v="11"/>
    <x v="0"/>
  </r>
  <r>
    <x v="66"/>
    <s v="OMV 2026               Erd jobb Erd jobb        26.736,00 HUF Vásárlás"/>
    <n v="-26736"/>
    <x v="5"/>
    <x v="16"/>
    <x v="0"/>
  </r>
  <r>
    <x v="66"/>
    <s v="MARTON FRUIT           MARTONVASAR MARTONVASAR        799,00 HUF Vásárlás"/>
    <n v="-799"/>
    <x v="3"/>
    <x v="4"/>
    <x v="0"/>
  </r>
  <r>
    <x v="66"/>
    <s v="11773353-59010812-00000000 Kovácsné Tonkó Csilla Mária KT-2024-67 Kimenő azonnali megbízás"/>
    <n v="-12000"/>
    <x v="7"/>
    <x v="13"/>
    <x v="0"/>
  </r>
  <r>
    <x v="66"/>
    <s v="HUN-AGARD LIDL ARUHAZ 0306.SZ. Vásárlás(2024.02.24) Card:5444-0XXX-XX68-8737 MCC5411 HUN-AGARD LIDL ARUHAZ 0306.SZ. 17.158,00 HUF Kártyatranzakció"/>
    <n v="-17158"/>
    <x v="3"/>
    <x v="4"/>
    <x v="0"/>
  </r>
  <r>
    <x v="67"/>
    <s v="IKEA                   Budaors Budaors 8.270,00 HUF Vásárlás"/>
    <n v="-8270"/>
    <x v="0"/>
    <x v="35"/>
    <x v="0"/>
  </r>
  <r>
    <x v="67"/>
    <s v="IKEA                   Budaors Budaors 3.560,00 HUF Vásárlás"/>
    <n v="-3560"/>
    <x v="0"/>
    <x v="35"/>
    <x v="0"/>
  </r>
  <r>
    <x v="68"/>
    <s v="CINEMA MOM             BUDAPEST BUDAPEST        1.090,00 HUF Vásárlás"/>
    <n v="-1090"/>
    <x v="6"/>
    <x v="12"/>
    <x v="0"/>
  </r>
  <r>
    <x v="68"/>
    <s v="MOM PARKOLO'AUTOMATA   BUDAPEST BUDAPEST 1.400,00 HUF Vásárlás"/>
    <n v="-1400"/>
    <x v="5"/>
    <x v="9"/>
    <x v="0"/>
  </r>
  <r>
    <x v="68"/>
    <s v="KISKIFLI KAVEZO        BUDAPEST BUDAPEST        1.580,00 HUF Vásárlás"/>
    <n v="-1580"/>
    <x v="2"/>
    <x v="19"/>
    <x v="0"/>
  </r>
  <r>
    <x v="68"/>
    <s v="Kemal Pasa Torok Etelb Budapest Budapest 2.700,00 HUF Vásárlás"/>
    <n v="-2700"/>
    <x v="2"/>
    <x v="2"/>
    <x v="0"/>
  </r>
  <r>
    <x v="69"/>
    <s v="OTPMOBL DIJNET.HU      BUDAPEST BUDAPEST        6.944,00 HUF Vásárlás"/>
    <n v="-6944"/>
    <x v="0"/>
    <x v="23"/>
    <x v="0"/>
  </r>
  <r>
    <x v="69"/>
    <s v="KISKIFLI KAVEZO        BUDAPEST BUDAPEST         990,00 HUF Vásárlás"/>
    <n v="-990"/>
    <x v="2"/>
    <x v="19"/>
    <x v="0"/>
  </r>
  <r>
    <x v="69"/>
    <s v="HUN-MARTONVASAR MARTON MARKET Vásárlás(2024.02.19) Card:5444-0XXX-XX68-8737 MCC5411 HUN-MARTONVASAR MARTON MARKET 873,00 HUF Kártyatranzakció"/>
    <n v="-873"/>
    <x v="3"/>
    <x v="4"/>
    <x v="0"/>
  </r>
  <r>
    <x v="69"/>
    <s v="HUN-MARTONVASAR MARTON MARKET Vásárlás(2024.02.19) Card:5444-0XXX-XX68-8737 MCC5411 HUN-MARTONVASAR MARTON MARKET 2.355,00 HUF Kártyatranzakció"/>
    <n v="-2355"/>
    <x v="3"/>
    <x v="4"/>
    <x v="0"/>
  </r>
  <r>
    <x v="69"/>
    <s v="HUN-BUDAPEST HM Hennes  Mauritz K Vásárlás(2024.02.20) Card:5444-0XXX-XX68-8737 MCC5651 HUN-BUDAPEST HM Hennes  Mauritz K 15.835,00 HUF Kártyatranzakció"/>
    <n v="-15835"/>
    <x v="3"/>
    <x v="30"/>
    <x v="0"/>
  </r>
  <r>
    <x v="70"/>
    <s v="10800007-50000000-15311002 ASTRATEX a.s. 2467002666 Bejövő Forint Átutalás"/>
    <n v="46500"/>
    <x v="3"/>
    <x v="30"/>
    <x v="0"/>
  </r>
  <r>
    <x v="71"/>
    <s v="SumUp   Elelmiszerbolt Budapest Elelmiszerbolt Budapest 9.500,00 HUF Vásárlás        24,40 EUR"/>
    <n v="-9500"/>
    <x v="3"/>
    <x v="4"/>
    <x v="0"/>
  </r>
  <r>
    <x v="71"/>
    <s v="SumUp   Danasz Diamand Hernad Danasz Diamand Hernad 6.630,00 HUF Vásárlás        17,03 EUR"/>
    <n v="-6630"/>
    <x v="2"/>
    <x v="19"/>
    <x v="0"/>
  </r>
  <r>
    <x v="71"/>
    <s v="Disney Plus            Hoofddorp Disney Plus      Hoofddorp       3.090,00 HUF Vásárlás        7,94 EUR"/>
    <n v="-3090"/>
    <x v="0"/>
    <x v="7"/>
    <x v="0"/>
  </r>
  <r>
    <x v="71"/>
    <s v="Pancsa Laszlo Attila   Veszprem Veszprem 6.800,00 HUF Vásárlás        17,47 EUR"/>
    <n v="-6800"/>
    <x v="3"/>
    <x v="8"/>
    <x v="0"/>
  </r>
  <r>
    <x v="71"/>
    <s v="DM 311.SZ.             BUDAORS BUDAORS         7.250,00 HUF Vásárlás"/>
    <n v="-7250"/>
    <x v="3"/>
    <x v="4"/>
    <x v="0"/>
  </r>
  <r>
    <x v="71"/>
    <s v="LIDL ARUHAZ 0349.SZ.   BUDAORS BUDAORS 4.656,00 HUF Vásárlás"/>
    <n v="-4656"/>
    <x v="3"/>
    <x v="4"/>
    <x v="0"/>
  </r>
  <r>
    <x v="71"/>
    <s v="ALDI 156.SZ.           BUDAORS BUDAORS         2.797,00 HUF Vásárlás"/>
    <n v="-2797"/>
    <x v="3"/>
    <x v="4"/>
    <x v="0"/>
  </r>
  <r>
    <x v="71"/>
    <s v="BOHACS BARKACS         ERD ERD          38.397,00 HUF Vásárlás"/>
    <n v="-38397"/>
    <x v="0"/>
    <x v="35"/>
    <x v="0"/>
  </r>
  <r>
    <x v="71"/>
    <s v="FOXPOST A'LLATELEDELBO MARTONVASAR 13.070,00 HUF Vásárlás"/>
    <n v="-13070"/>
    <x v="3"/>
    <x v="31"/>
    <x v="0"/>
  </r>
  <r>
    <x v="71"/>
    <s v="Zs+U Kft"/>
    <n v="-25042"/>
    <x v="5"/>
    <x v="36"/>
    <x v="0"/>
  </r>
  <r>
    <x v="71"/>
    <s v="HUN-MARTONVASAR TESCO 44089 Vásárlás(2024.02.15) Card:5444-0XXX-XX68-8737 MCC5311 HUN-MARTONVASAR TESCO 44089 1.886,00 HUF Kártyatranzakció"/>
    <n v="-1886"/>
    <x v="3"/>
    <x v="4"/>
    <x v="0"/>
  </r>
  <r>
    <x v="71"/>
    <s v="HUN-BARACSKA CSIZ SAJTMUHELY KFT Vásárlás(2024.02.15) Card:5444-0XXX-XX68-8737 MCC5499 HUN-BARACSKA CSIZ SAJTMUHELY KFT 2.940,00 HUF Kártyatranzakció"/>
    <n v="-2940"/>
    <x v="3"/>
    <x v="4"/>
    <x v="0"/>
  </r>
  <r>
    <x v="71"/>
    <s v="HUN-AGARD LIDL ARUHAZ 0306.SZ. Vásárlás(2024.02.17) Card:5444-0XXX-XX68-8737 MCC5411 HUN-AGARD LIDL ARUHAZ 0306.SZ. 10.515,00 HUF Kártyatranzakció"/>
    <n v="-10515"/>
    <x v="3"/>
    <x v="4"/>
    <x v="0"/>
  </r>
  <r>
    <x v="72"/>
    <s v="KISKIFLI KAVEZO        BUDAPEST BUDAPEST         990,00 HUF Vásárlás"/>
    <n v="-990"/>
    <x v="2"/>
    <x v="19"/>
    <x v="0"/>
  </r>
  <r>
    <x v="72"/>
    <s v="Kemal Pasa Torok Et    Budapest Budapest 2.700,00 HUF Vásárlás"/>
    <n v="-2700"/>
    <x v="2"/>
    <x v="2"/>
    <x v="0"/>
  </r>
  <r>
    <x v="72"/>
    <s v="HUN-RACKERESZTUR SZENT KERESZT GYO' Vásárlás(2024.02.14) Card:5444-0XXX-XX68-8737 MCC5912 HUN-RACKERESZTUR SZENT KERESZT GYO' GYSZ 3.629,00 HUF Kártyatranzakció"/>
    <n v="-3629"/>
    <x v="7"/>
    <x v="5"/>
    <x v="0"/>
  </r>
  <r>
    <x v="72"/>
    <s v="HUN-MARTONVASAR ROSSMANN 336. Vásárlás(2024.02.14) Card:5444-0XXX-XX68-8737 MCC5977 HUN-MARTONVASAR ROSSMANN 336. 15.342,00 HUF Kártyatranzakció"/>
    <n v="-15342"/>
    <x v="3"/>
    <x v="4"/>
    <x v="0"/>
  </r>
  <r>
    <x v="72"/>
    <s v="HUN-TARNOK MAG-MAXX KFT. Vásárlás(2024.02.14) Card:5444-0XXX-XX68-8737 MCC5499 HUN-TARNOK MAG-MAXX KFT. 20.941,00 HUF Kártyatranzakció"/>
    <n v="-20941"/>
    <x v="3"/>
    <x v="4"/>
    <x v="0"/>
  </r>
  <r>
    <x v="73"/>
    <s v="New York Bagel Kft     Budapest Budapest 1.690,00 HUF Vásárlás        4,36 EUR"/>
    <n v="-1690"/>
    <x v="2"/>
    <x v="2"/>
    <x v="0"/>
  </r>
  <r>
    <x v="73"/>
    <s v="DRAGO ROSSO PIZZERIA   MARTONVASAR MARTONVASAR 4.350,00 HUF Vásárlás"/>
    <n v="-4350"/>
    <x v="2"/>
    <x v="2"/>
    <x v="0"/>
  </r>
  <r>
    <x v="73"/>
    <s v="BRENDON BABAARUHAZ     BUDAORS BUDAORS 4.690,00 HUF Vásárlás"/>
    <n v="-4690"/>
    <x v="3"/>
    <x v="3"/>
    <x v="0"/>
  </r>
  <r>
    <x v="73"/>
    <s v="CAFE FREI NORDIC LIGHT BUDAPEST 790,00 HUF Vásárlás"/>
    <n v="-790"/>
    <x v="2"/>
    <x v="19"/>
    <x v="0"/>
  </r>
  <r>
    <x v="73"/>
    <s v="ADVANCE KANTIN         BUDAPEST BUDAPEST        3.100,00 HUF Vásárlás"/>
    <n v="-3100"/>
    <x v="2"/>
    <x v="2"/>
    <x v="0"/>
  </r>
  <r>
    <x v="73"/>
    <s v="HUN-ERCSI SPAR PARTNER 6920220 Vásárlás(2024.02.13) Card:5444-0XXX-XX68-8737 MCC5411 HUN-ERCSI SPAR PARTNER 6920220 7.747,00 HUF Kártyatranzakció"/>
    <n v="-7747"/>
    <x v="3"/>
    <x v="4"/>
    <x v="0"/>
  </r>
  <r>
    <x v="74"/>
    <s v="CSIZ SAJTMUHELY KFT    BARACSKA BARACSKA 3.170,00 HUF Vásárlás"/>
    <n v="-3170"/>
    <x v="3"/>
    <x v="4"/>
    <x v="0"/>
  </r>
  <r>
    <x v="75"/>
    <s v="11773353-59010812-00000000 Kovácsné Tonkó Csilla Mária KT-2024-63 Kimenő azonnali megbízás"/>
    <n v="-10000"/>
    <x v="7"/>
    <x v="13"/>
    <x v="0"/>
  </r>
  <r>
    <x v="76"/>
    <s v="MARTONVASAR-HUS KFT    MARTONVASAR MARTONVASAR 2.040,00 HUF Vásárlás"/>
    <n v="-2040"/>
    <x v="3"/>
    <x v="4"/>
    <x v="0"/>
  </r>
  <r>
    <x v="76"/>
    <s v="LIPO'TI PE'KSE'G E'S K SALGOTARJAN 390,00 HUF Vásárlás"/>
    <n v="-390"/>
    <x v="2"/>
    <x v="19"/>
    <x v="0"/>
  </r>
  <r>
    <x v="76"/>
    <s v="OMV 2026               Erd jobb Erd jobb         638,00 HUF Vásárlás"/>
    <n v="-638"/>
    <x v="5"/>
    <x v="16"/>
    <x v="0"/>
  </r>
  <r>
    <x v="76"/>
    <s v="OMV 2026               Erd jobb Erd jobb        26.042,00 HUF Vásárlás"/>
    <n v="-26042"/>
    <x v="5"/>
    <x v="16"/>
    <x v="0"/>
  </r>
  <r>
    <x v="76"/>
    <s v="DM 311.SZ.             BUDAORS BUDAORS        22.668,00 HUF Vásárlás"/>
    <n v="-22668"/>
    <x v="3"/>
    <x v="4"/>
    <x v="0"/>
  </r>
  <r>
    <x v="76"/>
    <s v="eMAG.hu/marketplace/ne Budapest eMAG.hu/marketplace/ne Budapest 3.998,00 HUF Vásárlás"/>
    <n v="-3998"/>
    <x v="3"/>
    <x v="31"/>
    <x v="0"/>
  </r>
  <r>
    <x v="76"/>
    <s v="MARTON FRUIT           MARTONVASAR MARTONVASAR       2.197,00 HUF Vásárlás"/>
    <n v="-2197"/>
    <x v="3"/>
    <x v="4"/>
    <x v="0"/>
  </r>
  <r>
    <x v="76"/>
    <s v="LIDL ARUHAZ 0349.SZ.   BUDAORS BUDAORS 19.438,00 HUF Vásárlás"/>
    <n v="-19438"/>
    <x v="3"/>
    <x v="4"/>
    <x v="0"/>
  </r>
  <r>
    <x v="76"/>
    <s v="TESCO 44089 O NKISZOLG MARTONVASAR 401,00 HUF Vásárlás"/>
    <n v="-401"/>
    <x v="3"/>
    <x v="4"/>
    <x v="0"/>
  </r>
  <r>
    <x v="76"/>
    <s v="BUDAKESZI VADASPARK    BUDAKESZI BUDAKESZI 7.300,00 HUF Vásárlás"/>
    <n v="-7300"/>
    <x v="6"/>
    <x v="12"/>
    <x v="0"/>
  </r>
  <r>
    <x v="76"/>
    <s v="SALAD BOX              BUDAORS BUDAORS         6.580,00 HUF Vásárlás"/>
    <n v="-6580"/>
    <x v="2"/>
    <x v="2"/>
    <x v="0"/>
  </r>
  <r>
    <x v="76"/>
    <s v="CSIZ SAJTMUHELY KFT    BARACSKA BARACSKA 2.945,00 HUF Vásárlás"/>
    <n v="-2945"/>
    <x v="3"/>
    <x v="4"/>
    <x v="0"/>
  </r>
  <r>
    <x v="76"/>
    <s v="SIMPLE PARKOL S        BUDAPEST BUDAPEST        1.899,00 HUF Vásárlás"/>
    <n v="1899"/>
    <x v="5"/>
    <x v="9"/>
    <x v="0"/>
  </r>
  <r>
    <x v="76"/>
    <s v="LTU-Vilnius VINTED 8474110676 Vásárlás(2024.02.10) Card:5444-0XXX-XX68-8737 MCC5931 LTU-Vilnius VINTED 8474110676 5.064,00 HUF Kártyatranzakció"/>
    <n v="-5064"/>
    <x v="3"/>
    <x v="3"/>
    <x v="0"/>
  </r>
  <r>
    <x v="76"/>
    <s v="HUN-AGARD LIDL ARUHAZ 0306.SZ. Vásárlás(2024.02.09) Card:5444-0XXX-XX68-8737 MCC5411 HUN-AGARD LIDL ARUHAZ 0306.SZ. 13.043,00 HUF Kártyatranzakció"/>
    <n v="-13043"/>
    <x v="3"/>
    <x v="4"/>
    <x v="0"/>
  </r>
  <r>
    <x v="77"/>
    <s v="reformvirag@gmail.com Kimenő azonnali megbízás"/>
    <n v="-410"/>
    <x v="3"/>
    <x v="4"/>
    <x v="0"/>
  </r>
  <r>
    <x v="77"/>
    <s v="PL:P/10FEB24 Tőkefizetés Hitel /21-41194/"/>
    <n v="-218903.64"/>
    <x v="0"/>
    <x v="21"/>
    <x v="0"/>
  </r>
  <r>
    <x v="77"/>
    <s v="PL:I/10FEB24 Kamatfizetés  Hitel /21-41194/"/>
    <n v="-42901.15"/>
    <x v="0"/>
    <x v="21"/>
    <x v="0"/>
  </r>
  <r>
    <x v="77"/>
    <s v="PL:P/10FEB24 Tőkefizetés Hitel /21-41194/"/>
    <n v="218903.64"/>
    <x v="0"/>
    <x v="21"/>
    <x v="1"/>
  </r>
  <r>
    <x v="78"/>
    <s v="JAGUAR LAND ROVER HUNGARY KFT."/>
    <n v="1071473"/>
    <x v="4"/>
    <x v="20"/>
    <x v="0"/>
  </r>
  <r>
    <x v="79"/>
    <s v="OBI010BUDAORS          Budaors BUDAORS        32.489,00 HUF Vásárlás"/>
    <n v="-32489"/>
    <x v="3"/>
    <x v="31"/>
    <x v="0"/>
  </r>
  <r>
    <x v="79"/>
    <s v="KISKIFLI KAVEZO        BUDAPEST BUDAPEST         990,00 HUF Vásárlás"/>
    <n v="-990"/>
    <x v="2"/>
    <x v="19"/>
    <x v="0"/>
  </r>
  <r>
    <x v="79"/>
    <s v="reformvirag@gmail.com Kimenő azonnali megbízás"/>
    <n v="-1650"/>
    <x v="3"/>
    <x v="4"/>
    <x v="0"/>
  </r>
  <r>
    <x v="80"/>
    <s v="ENGEL ETTEREM          BUDAPEST BUDAPEST        2.990,00 HUF Vásárlás"/>
    <n v="-2990"/>
    <x v="2"/>
    <x v="2"/>
    <x v="0"/>
  </r>
  <r>
    <x v="80"/>
    <s v="CAFE FREI NORDIC LIGHT BUDAPEST 3.030,00 HUF Vásárlás"/>
    <n v="-3030"/>
    <x v="2"/>
    <x v="19"/>
    <x v="0"/>
  </r>
  <r>
    <x v="80"/>
    <s v="HUN-MARTONVASAR 127.COOP SZUPER 1. Vásárlás(2024.02.05) Card:5444-0XXX-XX68-8737 MCC5411 HUN-MARTONVASAR 127.COOP SZUPER 1. 749,00 HUF Kártyatranzakció"/>
    <n v="-749"/>
    <x v="3"/>
    <x v="4"/>
    <x v="0"/>
  </r>
  <r>
    <x v="80"/>
    <s v="HUN-ERCSI SPAR PARTNER 6920220 Vásárlás(2024.02.05) Card:5444-0XXX-XX68-8737 MCC5411 HUN-ERCSI SPAR PARTNER 6920220 6.832,00 HUF Kártyatranzakció"/>
    <n v="-6832"/>
    <x v="3"/>
    <x v="4"/>
    <x v="0"/>
  </r>
  <r>
    <x v="81"/>
    <s v="OTPMOBL HU-GO.HU       BUDAPEST BUDAPEST        13.320,00 HUF Vásárlás"/>
    <n v="-13320"/>
    <x v="5"/>
    <x v="37"/>
    <x v="0"/>
  </r>
  <r>
    <x v="81"/>
    <s v="MVM NEXT ENERGIAK      BUDAPEST BUDAPEST        8.518,00 HUF Vásárlás"/>
    <n v="-8518"/>
    <x v="0"/>
    <x v="22"/>
    <x v="0"/>
  </r>
  <r>
    <x v="81"/>
    <s v="LTU-Vilnius VINTED 8420768593 Vásárlás(2024.02.04) Card:5444-0XXX-XX68-8737 MCC5931 LTU-Vilnius VINTED 8420768593 3.279,00 HUF Kártyatranzakció"/>
    <n v="-3279"/>
    <x v="3"/>
    <x v="3"/>
    <x v="0"/>
  </r>
  <r>
    <x v="82"/>
    <s v="VINTED 8403444983      Vilnius VINTED 8403444983   Vilnius        6.954,00 HUF Vásárlás        18,12 EUR"/>
    <n v="-6954"/>
    <x v="3"/>
    <x v="3"/>
    <x v="0"/>
  </r>
  <r>
    <x v="82"/>
    <s v="TESCO 44089 O NKISZOLG MARTONVASAR 5.167,00 HUF Vásárlás"/>
    <n v="-5167"/>
    <x v="3"/>
    <x v="4"/>
    <x v="0"/>
  </r>
  <r>
    <x v="82"/>
    <s v="OTPMOBL DIJNET.HU      BUDAPEST BUDAPEST        4.567,00 HUF Vásárlás"/>
    <n v="-4567"/>
    <x v="0"/>
    <x v="38"/>
    <x v="0"/>
  </r>
  <r>
    <x v="82"/>
    <s v="IKEA                   Budaors Budaors 8.460,00 HUF Vásárlás"/>
    <n v="-8460"/>
    <x v="0"/>
    <x v="35"/>
    <x v="0"/>
  </r>
  <r>
    <x v="82"/>
    <s v="TESCO 44089            MARTONVASAR MARTONVASAR        618,00 HUF Vásárlás"/>
    <n v="-618"/>
    <x v="3"/>
    <x v="4"/>
    <x v="0"/>
  </r>
  <r>
    <x v="82"/>
    <s v="SZERSZAMKELL BARKA'CS  ERD ERD 5.970,00 HUF Vásárlás"/>
    <n v="-5970"/>
    <x v="3"/>
    <x v="31"/>
    <x v="0"/>
  </r>
  <r>
    <x v="82"/>
    <s v="DM 311.SZ.             BUDAORS BUDAORS        27.078,00 HUF Vásárlás"/>
    <n v="-27078"/>
    <x v="3"/>
    <x v="4"/>
    <x v="0"/>
  </r>
  <r>
    <x v="82"/>
    <s v="MEDICINA PATIKA        BUDAORS BUDAORS        20.561,00 HUF Vásárlás"/>
    <n v="-20561"/>
    <x v="7"/>
    <x v="5"/>
    <x v="0"/>
  </r>
  <r>
    <x v="82"/>
    <s v="LIDL ARUHAZ 0349.SZ.   BUDAORS BUDAORS 37.297,00 HUF Vásárlás"/>
    <n v="-37297"/>
    <x v="3"/>
    <x v="4"/>
    <x v="0"/>
  </r>
  <r>
    <x v="82"/>
    <s v="TESCO 41520 O NKISZOLG BUDAORS 1.724,00 HUF Vásárlás"/>
    <n v="-1724"/>
    <x v="3"/>
    <x v="4"/>
    <x v="0"/>
  </r>
  <r>
    <x v="82"/>
    <s v="LTU-Vilnius VINTED 8396530614 Vásárlás(2024.02.01) Card:5444-0XXX-XX68-8737 MCC5931 LTU-Vilnius VINTED 8396530614 2.859,00 HUF Kártyatranzakció"/>
    <n v="-2859"/>
    <x v="3"/>
    <x v="3"/>
    <x v="0"/>
  </r>
  <r>
    <x v="82"/>
    <s v="reformvirag@gmail.com Kimenő azonnali megbízás"/>
    <n v="-7450"/>
    <x v="3"/>
    <x v="4"/>
    <x v="0"/>
  </r>
  <r>
    <x v="82"/>
    <s v="11773353-59010812-00000000 Kovácsné Tonkó Csilla Mária KT-2024-48 Kimenő azonnali megbízás"/>
    <n v="-10000"/>
    <x v="7"/>
    <x v="13"/>
    <x v="0"/>
  </r>
  <r>
    <x v="83"/>
    <s v="Cr Forgalmi kedvezmény"/>
    <n v="1914"/>
    <x v="1"/>
    <x v="1"/>
    <x v="0"/>
  </r>
  <r>
    <x v="84"/>
    <s v="Wok 'n Go étterem      Budaörs Budaörs         4.960,00 HUF Vásárlás"/>
    <n v="-4960"/>
    <x v="2"/>
    <x v="2"/>
    <x v="0"/>
  </r>
  <r>
    <x v="84"/>
    <s v="BARBER SHOP            BUDAPEST BUDAPEST        14.000,00 HUF Vásárlás"/>
    <n v="-14000"/>
    <x v="7"/>
    <x v="15"/>
    <x v="0"/>
  </r>
  <r>
    <x v="84"/>
    <s v="10032000-00282637-00000000 OKTATÁSI HIVATAL MUNKABÉR UTALÁS Bejövő Forint Átutalás"/>
    <n v="260490"/>
    <x v="4"/>
    <x v="20"/>
    <x v="0"/>
  </r>
  <r>
    <x v="85"/>
    <s v="New York Bagel Kft     Budapest Budapest 1.850,00 HUF Vásárlás        4,76 EUR"/>
    <n v="-1850"/>
    <x v="2"/>
    <x v="2"/>
    <x v="0"/>
  </r>
  <r>
    <x v="85"/>
    <s v="BAKANCSLISTA           BUDAPEST BUDAPEST         950,00 HUF Vásárlás"/>
    <n v="-950"/>
    <x v="2"/>
    <x v="2"/>
    <x v="0"/>
  </r>
  <r>
    <x v="85"/>
    <s v="Kemal Pasa Torok Etelb Budapest Budapest 2.500,00 HUF Vásárlás"/>
    <n v="-2500"/>
    <x v="2"/>
    <x v="2"/>
    <x v="0"/>
  </r>
  <r>
    <x v="85"/>
    <s v="HUN-BARACSKA CSIZ SAJTMUHELY KFT Vásárlás(2024.01.30) Card:5444-0XXX-XX68-8737 MCC5499 HUN-BARACSKA CSIZ SAJTMUHELY KFT 3.740,00 HUF Kártyatranzakció"/>
    <n v="-3740"/>
    <x v="3"/>
    <x v="4"/>
    <x v="0"/>
  </r>
  <r>
    <x v="85"/>
    <s v="HUN-MARTONVASAR TESCO 44089 O:NKISZ Vásárlás(2024.01.30) Card:5444-0XXX-XX68-8737 MCC5311 HUN-MARTONVASAR TESCO 44089 O:NKISZ OLG 9.074,00 HUF Kártyatranzakció"/>
    <n v="-9074"/>
    <x v="3"/>
    <x v="4"/>
    <x v="0"/>
  </r>
  <r>
    <x v="86"/>
    <s v="KISKIFLI KAVEZO        BUDAPEST BUDAPEST        1.640,00 HUF Vásárlás"/>
    <n v="-1640"/>
    <x v="2"/>
    <x v="19"/>
    <x v="0"/>
  </r>
  <r>
    <x v="86"/>
    <s v="Kemal Pasa Torok Etelb Budapest Budapest 2.700,00 HUF Vásárlás"/>
    <n v="-2700"/>
    <x v="2"/>
    <x v="2"/>
    <x v="0"/>
  </r>
  <r>
    <x v="86"/>
    <s v="Havi zárlati díj"/>
    <n v="-2222"/>
    <x v="1"/>
    <x v="1"/>
    <x v="0"/>
  </r>
  <r>
    <x v="86"/>
    <s v="HUN-RACKERESZTUR SZENT KERESZT GYO' Vásárlás(2024.01.29) Card:5444-0XXX-XX68-8737 MCC5912 HUN-RACKERESZTUR SZENT KERESZT GYO' GYSZ 5.454,00 HUF Kártyatranzakció"/>
    <n v="-5454"/>
    <x v="7"/>
    <x v="5"/>
    <x v="0"/>
  </r>
  <r>
    <x v="87"/>
    <s v="SIMPLE PARKOL S        BUDAPEST BUDAPEST        1.899,00 HUF Vásárlás"/>
    <n v="-1899"/>
    <x v="5"/>
    <x v="9"/>
    <x v="0"/>
  </r>
  <r>
    <x v="88"/>
    <s v="MARTON FRUIT           MARTONVASAR MARTONVASAR       5.230,00 HUF Vásárlás"/>
    <n v="-5230"/>
    <x v="3"/>
    <x v="4"/>
    <x v="0"/>
  </r>
  <r>
    <x v="88"/>
    <s v="LIDL ARUHAZ 0349.SZ.   BUDAORS BUDAORS 10.967,00 HUF Vásárlás"/>
    <n v="-10967"/>
    <x v="3"/>
    <x v="4"/>
    <x v="0"/>
  </r>
  <r>
    <x v="88"/>
    <s v="CSIZ SAJTMUHELY KFT    BARACSKA BARACSKA 1.782,00 HUF Vásárlás"/>
    <n v="-1782"/>
    <x v="3"/>
    <x v="4"/>
    <x v="0"/>
  </r>
  <r>
    <x v="88"/>
    <s v="DM 311.SZ.             BUDAORS BUDAORS        13.915,00 HUF Vásárlás"/>
    <n v="-13915"/>
    <x v="3"/>
    <x v="4"/>
    <x v="0"/>
  </r>
  <r>
    <x v="88"/>
    <s v="DECATHLON BUDAORS      BUDAORS BUDAORS        21.980,00 HUF Vásárlás"/>
    <n v="-21980"/>
    <x v="3"/>
    <x v="30"/>
    <x v="0"/>
  </r>
  <r>
    <x v="88"/>
    <s v="Aelia                  Luton Luton           22,94 GBP Vásárlás        27,08 EUR 400.5800"/>
    <n v="-10847.71"/>
    <x v="3"/>
    <x v="8"/>
    <x v="0"/>
  </r>
  <r>
    <x v="88"/>
    <s v="HUN-ERD SALON PARTNERS KFT Vásárlás(2024.01.27) Card:5444-0XXX-XX68-8737 MCC5977 HUN-ERD SALON PARTNERS KFT 27.160,00 HUF Kártyatranzakció"/>
    <n v="-27160"/>
    <x v="3"/>
    <x v="4"/>
    <x v="0"/>
  </r>
  <r>
    <x v="89"/>
    <s v="SAINSBURYS SUPERMARKET WARWICK SAINSBURYS S/MKTS   LEAMINGTON         7,60 GBP Vásárlás        8,97 EUR 397.2700"/>
    <n v="-3563.51"/>
    <x v="3"/>
    <x v="8"/>
    <x v="0"/>
  </r>
  <r>
    <x v="90"/>
    <s v="SKYSHOWTIME 2A674 HU   Amsterdam SKYSHOWTIME 2A674 HU Amsterdam        999,00 HUF Vásárlás        2,60 EUR"/>
    <n v="-999"/>
    <x v="0"/>
    <x v="7"/>
    <x v="0"/>
  </r>
  <r>
    <x v="90"/>
    <s v="12010453-01162337-00100006 MONOBRAND KERESKEDELMI KFT. 2024-2453 Bejövő Forint Átutalás"/>
    <n v="35293"/>
    <x v="3"/>
    <x v="30"/>
    <x v="0"/>
  </r>
  <r>
    <x v="91"/>
    <s v="OTPMOBL webkincstar    BUDAPEST BUDAPEST 117.069,00 HUF Vásárlás"/>
    <n v="117069"/>
    <x v="1"/>
    <x v="26"/>
    <x v="3"/>
  </r>
  <r>
    <x v="91"/>
    <s v="OTPMOBL webkincstar    BUDAPEST BUDAPEST 117.069,00 HUF Vásárlás"/>
    <n v="-117069"/>
    <x v="1"/>
    <x v="26"/>
    <x v="0"/>
  </r>
  <r>
    <x v="91"/>
    <s v="HUN-MARTONVASAR TESCO 44089 Vásárlás(2024.01.22) Card:5444-0XXX-XX68-8737 MCC5311 HUN-MARTONVASAR TESCO 44089 720,00 HUF Kártyatranzakció"/>
    <n v="-720"/>
    <x v="3"/>
    <x v="4"/>
    <x v="0"/>
  </r>
  <r>
    <x v="91"/>
    <s v="HUN-MARTONVASAR MARTON FRUIT Vásárlás(2024.01.22) Card:5444-0XXX-XX68-8737 MCC5499 HUN-MARTONVASAR MARTON FRUIT 1.542,00 HUF Kártyatranzakció"/>
    <n v="-1542"/>
    <x v="3"/>
    <x v="4"/>
    <x v="0"/>
  </r>
  <r>
    <x v="92"/>
    <s v="HUN-BUDAPEST HABOS GOFRI Vásárlás(2024.01.21) Card:5444-0XXX-XX68-8737 MCC5812 HUN-BUDAPEST HABOS GOFRI 1.200,00 HUF Kártyatranzakció"/>
    <n v="-1200"/>
    <x v="2"/>
    <x v="19"/>
    <x v="0"/>
  </r>
  <r>
    <x v="92"/>
    <s v="HUN-BUDAORS FULL GSM Vásárlás(2024.01.21) Card:5444-0XXX-XX68-8737 MCC5045 HUN-BUDAORS FULL GSM 5.000,00 HUF Kártyatranzakció"/>
    <n v="-5000"/>
    <x v="3"/>
    <x v="31"/>
    <x v="0"/>
  </r>
  <r>
    <x v="93"/>
    <s v="VINTED 8260530394      Vilnius VINTED 8260530394   Vilnius        13.405,00 HUF Vásárlás        35,17 EUR"/>
    <n v="-13405"/>
    <x v="3"/>
    <x v="3"/>
    <x v="0"/>
  </r>
  <r>
    <x v="93"/>
    <s v="TESCO 44089 O NKISZOLG MARTONVASAR 1.898,00 HUF Vásárlás"/>
    <n v="-1898"/>
    <x v="3"/>
    <x v="4"/>
    <x v="0"/>
  </r>
  <r>
    <x v="93"/>
    <s v="OTPMOBL EON.HU         BUDAPEST BUDAPEST        6.824,00 HUF Vásárlás"/>
    <n v="-6824"/>
    <x v="0"/>
    <x v="11"/>
    <x v="0"/>
  </r>
  <r>
    <x v="93"/>
    <s v="OTPMOBL DIJNET.HU      BUDAPEST BUDAPEST        6.944,00 HUF Vásárlás"/>
    <n v="-6944"/>
    <x v="0"/>
    <x v="23"/>
    <x v="0"/>
  </r>
  <r>
    <x v="93"/>
    <s v="BUDAO RS BENZINKU'T AU BUDAORS 39.360,00 HUF Vásárlás"/>
    <n v="-39360"/>
    <x v="5"/>
    <x v="16"/>
    <x v="0"/>
  </r>
  <r>
    <x v="93"/>
    <s v="AUCHAN BUDAORS         BUDAORS BUDAORS         1.490,00 HUF Vásárlás"/>
    <n v="-1490"/>
    <x v="3"/>
    <x v="4"/>
    <x v="0"/>
  </r>
  <r>
    <x v="93"/>
    <s v="OBI010BUDAORS          Budaors BUDAORS         2.676,00 HUF Vásárlás"/>
    <n v="-2676"/>
    <x v="0"/>
    <x v="6"/>
    <x v="0"/>
  </r>
  <r>
    <x v="93"/>
    <s v="BRENDON BABAARUHAZ     BUDAORS BUDAORS 14.268,00 HUF Vásárlás"/>
    <n v="-14268"/>
    <x v="3"/>
    <x v="3"/>
    <x v="0"/>
  </r>
  <r>
    <x v="93"/>
    <s v="DM 311.SZ.             BUDAORS BUDAORS        18.140,00 HUF Vásárlás"/>
    <n v="-18140"/>
    <x v="3"/>
    <x v="4"/>
    <x v="0"/>
  </r>
  <r>
    <x v="93"/>
    <s v="LIDL ARUHAZ 0349.SZ.   BUDAORS BUDAORS 11.567,00 HUF Vásárlás"/>
    <n v="-11567"/>
    <x v="3"/>
    <x v="4"/>
    <x v="0"/>
  </r>
  <r>
    <x v="93"/>
    <s v="10918001-00000072-63280008 MÁRTON MIKLÓS utalás Bejövő azonnali megbízás"/>
    <n v="67220"/>
    <x v="1"/>
    <x v="39"/>
    <x v="0"/>
  </r>
  <r>
    <x v="93"/>
    <s v="reformvirag@gmail.com Kimenő azonnali megbízás"/>
    <n v="-5550"/>
    <x v="3"/>
    <x v="4"/>
    <x v="0"/>
  </r>
  <r>
    <x v="93"/>
    <s v="LTU-Vilnius VINTED 8252209099 Vásárlás(2024.01.18) Card:5444-0XXX-XX68-8737 MCC5931 LTU-Vilnius VINTED 8252209099 7.863,00 HUF Kártyatranzakció"/>
    <n v="-7863"/>
    <x v="3"/>
    <x v="3"/>
    <x v="0"/>
  </r>
  <r>
    <x v="93"/>
    <s v="LTU-Vilnius VINTED 8263808846 Vásárlás(2024.01.18) Card:5444-0XXX-XX68-8737 MCC5931 LTU-Vilnius VINTED 8263808846 10.488,00 HUF Kártyatranzakció"/>
    <n v="-10488"/>
    <x v="3"/>
    <x v="3"/>
    <x v="0"/>
  </r>
  <r>
    <x v="93"/>
    <s v="LTU-Vilnius VINTED 8263818318 Vásárlás(2024.01.18) Card:5444-0XXX-XX68-8737 MCC5931 LTU-Vilnius VINTED 8263818318 10.488,00 HUF Kártyatranzakció"/>
    <n v="-10488"/>
    <x v="3"/>
    <x v="3"/>
    <x v="0"/>
  </r>
  <r>
    <x v="94"/>
    <s v="TelekomSzaml 669245485 Budapest 7.419,00 HUF Vásárlás        19,50 EUR"/>
    <n v="-7419"/>
    <x v="0"/>
    <x v="7"/>
    <x v="0"/>
  </r>
  <r>
    <x v="94"/>
    <s v="CZE-Praha ASTRATEX Vásárlás(2024.01.17) Card:5444-0XXX-XX68-8737 MCC5699 CZE-Praha ASTRATEX 54.230,00 HUF Kártyatranzakció"/>
    <n v="-54230"/>
    <x v="3"/>
    <x v="30"/>
    <x v="0"/>
  </r>
  <r>
    <x v="95"/>
    <s v="DISNEY PLUS            AMSTERDAM AMSTERDAM       3.090,00 HUF Vásárlás        8,15 EUR"/>
    <n v="-3090"/>
    <x v="0"/>
    <x v="7"/>
    <x v="0"/>
  </r>
  <r>
    <x v="95"/>
    <s v="New York Bagel Kft     Budapest Budapest 1.690,00 HUF Vásárlás        4,46 EUR"/>
    <n v="-1690"/>
    <x v="2"/>
    <x v="2"/>
    <x v="0"/>
  </r>
  <r>
    <x v="95"/>
    <s v="MM BUDAO RS            BUDAORS BUDAORS        27.393,00 HUF Vásárlás"/>
    <n v="-27393"/>
    <x v="3"/>
    <x v="31"/>
    <x v="0"/>
  </r>
  <r>
    <x v="95"/>
    <s v="LIDL ARUHAZ 0349.SZ.   BUDAORS BUDAORS 8.497,00 HUF Vásárlás"/>
    <n v="-8497"/>
    <x v="3"/>
    <x v="4"/>
    <x v="0"/>
  </r>
  <r>
    <x v="95"/>
    <s v="ALDI 156. SZ.          Budaors Budaors         1.498,00 HUF Vásárlás"/>
    <n v="-1498"/>
    <x v="3"/>
    <x v="4"/>
    <x v="0"/>
  </r>
  <r>
    <x v="95"/>
    <s v="Kemal Pasa Torok Et    Budapest Budapest 2.700,00 HUF Vásárlás"/>
    <n v="-2700"/>
    <x v="2"/>
    <x v="2"/>
    <x v="0"/>
  </r>
  <r>
    <x v="96"/>
    <s v="HUN-BUDAPEST OTPMOBL*perfektnatura. Vásárlás(2024.01.15) Card:5444-0XXX-XX68-8737 MCC5499 HUN-BUDAPEST OTPMOBL*perfektnatura. 3.490,00 HUF Kártyatranzakció"/>
    <n v="-3490"/>
    <x v="7"/>
    <x v="14"/>
    <x v="0"/>
  </r>
  <r>
    <x v="96"/>
    <s v="KISKIFLI KAVEZO        BUDAPEST BUDAPEST        1.580,00 HUF Vásárlás"/>
    <n v="-1580"/>
    <x v="2"/>
    <x v="19"/>
    <x v="0"/>
  </r>
  <r>
    <x v="96"/>
    <s v="11773353-59010812-00000000 Kovácsné Tonkó Csilla Mária KT-2024-20 Kimenő azonnali megbízás"/>
    <n v="-10000"/>
    <x v="7"/>
    <x v="13"/>
    <x v="0"/>
  </r>
  <r>
    <x v="97"/>
    <s v="VIANNI U ZLET          MARTONVASAR MARTONVASAR        500,00 HUF Vásárlás"/>
    <n v="-500"/>
    <x v="3"/>
    <x v="4"/>
    <x v="0"/>
  </r>
  <r>
    <x v="97"/>
    <s v="LTU-Vilnius VINTED 8227171519 Vásárlás(2024.01.14) Card:5444-0XXX-XX68-8737 MCC5931 LTU-Vilnius VINTED 8227171519 3.354,00 HUF Kártyatranzakció"/>
    <n v="-3354"/>
    <x v="3"/>
    <x v="3"/>
    <x v="0"/>
  </r>
  <r>
    <x v="98"/>
    <s v="LIDL ARUHAZ 0306.SZ.   AGARD AGARD 979,00 HUF Vásárlás"/>
    <n v="-979"/>
    <x v="3"/>
    <x v="4"/>
    <x v="0"/>
  </r>
  <r>
    <x v="98"/>
    <s v="CSIZ SAJTMUHELY KFT    BARACSKA BARACSKA 730,00 HUF Vásárlás"/>
    <n v="-730"/>
    <x v="3"/>
    <x v="4"/>
    <x v="0"/>
  </r>
  <r>
    <x v="98"/>
    <s v="MVM NEXT ENERGIAK      BUDAPEST BUDAPEST        8.473,00 HUF Vásárlás"/>
    <n v="-8473"/>
    <x v="0"/>
    <x v="22"/>
    <x v="0"/>
  </r>
  <r>
    <x v="98"/>
    <s v="SZERSZAMKELL BARKA'CS  ERD ERD 8.390,00 HUF Vásárlás"/>
    <n v="-8390"/>
    <x v="3"/>
    <x v="4"/>
    <x v="0"/>
  </r>
  <r>
    <x v="98"/>
    <s v="TESCO 44089 O NKISZOLG MARTONVASAR 4.519,00 HUF Vásárlás"/>
    <n v="-4519"/>
    <x v="3"/>
    <x v="4"/>
    <x v="0"/>
  </r>
  <r>
    <x v="98"/>
    <s v="LIDL ARUHAZ 0306.SZ.   AGARD AGARD 10.834,00 HUF Vásárlás"/>
    <n v="-10834"/>
    <x v="3"/>
    <x v="4"/>
    <x v="0"/>
  </r>
  <r>
    <x v="98"/>
    <s v="Meszaros Mate"/>
    <n v="-20000"/>
    <x v="0"/>
    <x v="6"/>
    <x v="0"/>
  </r>
  <r>
    <x v="98"/>
    <s v="Almassy Fodor Dorottya"/>
    <n v="-33919"/>
    <x v="7"/>
    <x v="15"/>
    <x v="0"/>
  </r>
  <r>
    <x v="98"/>
    <s v="11741000-20182979-00000000 Medicata Bona Kft 123757 Karsai Adrienn Kimenő azonnali megbízás"/>
    <n v="-9414"/>
    <x v="3"/>
    <x v="14"/>
    <x v="0"/>
  </r>
  <r>
    <x v="99"/>
    <s v="BARKACSBOLT            MARTONVASAR MARTONVASAR       1.535,00 HUF Vásárlás"/>
    <n v="-1535"/>
    <x v="0"/>
    <x v="6"/>
    <x v="0"/>
  </r>
  <r>
    <x v="99"/>
    <s v="MARTONVASAR-HUS KFT    MARTONVASAR MARTONVASAR 2.130,00 HUF Vásárlás"/>
    <n v="-2130"/>
    <x v="3"/>
    <x v="4"/>
    <x v="0"/>
  </r>
  <r>
    <x v="99"/>
    <s v="ENGEL ETTEREM          BUDAPEST BUDAPEST        3.190,00 HUF Vásárlás"/>
    <n v="-3190"/>
    <x v="2"/>
    <x v="2"/>
    <x v="0"/>
  </r>
  <r>
    <x v="99"/>
    <s v="Daniel Vass - -"/>
    <n v="-10000"/>
    <x v="3"/>
    <x v="8"/>
    <x v="0"/>
  </r>
  <r>
    <x v="99"/>
    <s v="HUN-BARACSKA CSIZ SAJTMUHELY KFT Vásárlás(2024.01.10) Card:5444-0XXX-XX68-8737 MCC5499 HUN-BARACSKA CSIZ SAJTMUHELY KFT 840,00 HUF Kártyatranzakció"/>
    <n v="-840"/>
    <x v="3"/>
    <x v="4"/>
    <x v="0"/>
  </r>
  <r>
    <x v="99"/>
    <s v="HUN-MARTONVASAR MARTONVASAR-HUS KFT Vásárlás(2024.01.10) Card:5444-0XXX-XX68-8737 MCC5422 HUN-MARTONVASAR MARTONVASAR-HUS KFT 1.535,00 HUF Kártyatranzakció"/>
    <n v="-1535"/>
    <x v="3"/>
    <x v="4"/>
    <x v="0"/>
  </r>
  <r>
    <x v="100"/>
    <s v="New York Bagel Kft     Budapest Budapest 1.690,00 HUF Vásárlás        4,47 EUR"/>
    <n v="-1690"/>
    <x v="2"/>
    <x v="2"/>
    <x v="0"/>
  </r>
  <r>
    <x v="101"/>
    <s v="SIMPLE PARKOL S        BUDAPEST BUDAPEST         309,00 HUF Vásárlás"/>
    <n v="-309"/>
    <x v="5"/>
    <x v="9"/>
    <x v="0"/>
  </r>
  <r>
    <x v="101"/>
    <s v="DM 311.SZ.             BUDAORS BUDAORS        12.525,00 HUF Vásárlás"/>
    <n v="-12525"/>
    <x v="3"/>
    <x v="4"/>
    <x v="0"/>
  </r>
  <r>
    <x v="101"/>
    <s v="SUPER WOK              BUDAPEST BUDAPEST        1.800,00 HUF Vásárlás"/>
    <n v="-1800"/>
    <x v="2"/>
    <x v="2"/>
    <x v="0"/>
  </r>
  <r>
    <x v="101"/>
    <s v="SPAR 0167              BUDAPEST BUDAPEST         999,00 HUF Vásárlás"/>
    <n v="-999"/>
    <x v="3"/>
    <x v="4"/>
    <x v="0"/>
  </r>
  <r>
    <x v="101"/>
    <s v="COPYGURU KFT.          BUDAPEST BUDAPEST        3.090,00 HUF Vásárlás"/>
    <n v="-3090"/>
    <x v="0"/>
    <x v="35"/>
    <x v="0"/>
  </r>
  <r>
    <x v="101"/>
    <s v="JAGUAR LAND ROVER HUNGARY KFT."/>
    <n v="1077971"/>
    <x v="4"/>
    <x v="20"/>
    <x v="0"/>
  </r>
  <r>
    <x v="101"/>
    <s v="Cr Forgalmi kedvezmény"/>
    <n v="1914"/>
    <x v="1"/>
    <x v="1"/>
    <x v="0"/>
  </r>
  <r>
    <x v="101"/>
    <s v="HUN-GARDONY DM 316.SZ. Vásárlás(2024.01.08) Card:5444-0XXX-XX68-8737 MCC5977 HUN-GARDONY DM 316.SZ. 4.265,00 HUF Kártyatranzakció"/>
    <n v="-4265"/>
    <x v="3"/>
    <x v="4"/>
    <x v="0"/>
  </r>
  <r>
    <x v="101"/>
    <s v="HUN-AGARD LIDL ARUHAZ 0306.SZ. Vásárlás(2024.01.08) Card:5444-0XXX-XX68-8737 MCC5411 HUN-AGARD LIDL ARUHAZ 0306.SZ. 13.602,00 HUF Kártyatranzakció"/>
    <n v="-13602"/>
    <x v="3"/>
    <x v="4"/>
    <x v="0"/>
  </r>
  <r>
    <x v="101"/>
    <s v="PL:P/10JAN24 Tőkefizetés Hitel /21-41194/"/>
    <n v="-218459.69"/>
    <x v="0"/>
    <x v="21"/>
    <x v="0"/>
  </r>
  <r>
    <x v="101"/>
    <s v="PL:I/10JAN24 Kamatfizetés  Hitel /21-41194/"/>
    <n v="-43345.1"/>
    <x v="0"/>
    <x v="21"/>
    <x v="0"/>
  </r>
  <r>
    <x v="101"/>
    <s v="PL:P/10JAN24 Tőkefizetés Hitel /21-41194/"/>
    <n v="218459.69"/>
    <x v="0"/>
    <x v="21"/>
    <x v="1"/>
  </r>
  <r>
    <x v="102"/>
    <s v="HUN-BUDAORS VISION EXPRESS Vásárlás(2024.01.07) Card:5444-0XXX-XX68-8737 MCC8043 HUN-BUDAORS VISION EXPRESS 14.899,00 HUF Kártyatranzakció"/>
    <n v="-14899"/>
    <x v="7"/>
    <x v="27"/>
    <x v="0"/>
  </r>
  <r>
    <x v="103"/>
    <s v="Medicz Gyogyszertar    Martonvasar Martonvasar 138,00 HUF Vásárlás        0,36 EUR"/>
    <n v="-138"/>
    <x v="7"/>
    <x v="5"/>
    <x v="0"/>
  </r>
  <r>
    <x v="103"/>
    <s v="GOPAY   PIPPER.HU      MALACKY PIPPER.HU pipper.hu       7.800,00 HUF Vásárlás        20,63 EUR"/>
    <n v="-7800"/>
    <x v="3"/>
    <x v="37"/>
    <x v="0"/>
  </r>
  <r>
    <x v="103"/>
    <s v="MEDICINA PATIKA        BUDAORS BUDAORS         9.408,00 HUF Vásárlás"/>
    <n v="-9408"/>
    <x v="7"/>
    <x v="5"/>
    <x v="0"/>
  </r>
  <r>
    <x v="103"/>
    <s v="DM 359.                TOROKBALINT TOROKBALINT       4.534,00 HUF Vásárlás"/>
    <n v="-4534"/>
    <x v="3"/>
    <x v="4"/>
    <x v="0"/>
  </r>
  <r>
    <x v="103"/>
    <s v="SPAR MAGYARORSZA'G KFT TOROKBALINT 5.897,00 HUF Vásárlás"/>
    <n v="-5897"/>
    <x v="3"/>
    <x v="4"/>
    <x v="0"/>
  </r>
  <r>
    <x v="103"/>
    <s v="IKEA                   Budaors Budaors 5.366,00 HUF Vásárlás"/>
    <n v="-5366"/>
    <x v="0"/>
    <x v="35"/>
    <x v="0"/>
  </r>
  <r>
    <x v="103"/>
    <s v="IKEA                   Budaors Budaors 15.730,00 HUF Vásárlás"/>
    <n v="-15730"/>
    <x v="0"/>
    <x v="35"/>
    <x v="0"/>
  </r>
  <r>
    <x v="103"/>
    <s v="HUN-ERCSI SPAR PARTNER 6920220 Vásárlás(2024.01.04) Card:5444-0XXX-XX68-8737 MCC5411 HUN-ERCSI SPAR PARTNER 6920220 8.697,00 HUF Kártyatranzakció"/>
    <n v="-8697"/>
    <x v="3"/>
    <x v="4"/>
    <x v="0"/>
  </r>
  <r>
    <x v="104"/>
    <s v="HUN-BARACSKA CSIZ SAJTMUHELY KFT Vásárlás(2024.01.03) Card:5444-0XXX-XX68-8737 MCC5499 HUN-BARACSKA CSIZ SAJTMUHELY KFT 2.870,00 HUF Kártyatranzakció"/>
    <n v="-2870"/>
    <x v="3"/>
    <x v="4"/>
    <x v="0"/>
  </r>
  <r>
    <x v="105"/>
    <s v="11773353-59010812-00000000 Kovácsné Tonkó Csilla Mária KT-2024-4 Kimenő azonnali megbízás"/>
    <n v="-10000"/>
    <x v="7"/>
    <x v="13"/>
    <x v="0"/>
  </r>
  <r>
    <x v="105"/>
    <s v="BRENDON BABAARUHAZ     BUDAORS BUDAORS 13.089,00 HUF Vásárlás"/>
    <n v="-13089"/>
    <x v="3"/>
    <x v="3"/>
    <x v="0"/>
  </r>
  <r>
    <x v="105"/>
    <s v="DM 311.SZ.             BUDAORS BUDAORS         6.647,00 HUF Vásárlás"/>
    <n v="-6647"/>
    <x v="3"/>
    <x v="4"/>
    <x v="0"/>
  </r>
  <r>
    <x v="105"/>
    <s v="REGIO JA'TE'K BU.      BUDAORS BUDAORS          295,00 HUF Vásárlás"/>
    <n v="-295"/>
    <x v="3"/>
    <x v="3"/>
    <x v="0"/>
  </r>
  <r>
    <x v="106"/>
    <s v="SZENT KERESZT GYO'GYSZ RACKERESZTUR 7.372,00 HUF Vásárlás"/>
    <n v="-7372"/>
    <x v="7"/>
    <x v="5"/>
    <x v="0"/>
  </r>
  <r>
    <x v="106"/>
    <s v="DM 311.SZ.             BUDAORS BUDAORS         7.765,00 HUF Vásárlás"/>
    <n v="-7765"/>
    <x v="3"/>
    <x v="4"/>
    <x v="0"/>
  </r>
  <r>
    <x v="106"/>
    <s v="ALDI 156.SZ.           BUDAORS BUDAORS          236,00 HUF Vásárlás"/>
    <n v="-236"/>
    <x v="3"/>
    <x v="4"/>
    <x v="0"/>
  </r>
  <r>
    <x v="106"/>
    <s v="VIANNI U ZLET          MARTONVASAR MARTONVASAR        448,00 HUF Vásárlás"/>
    <n v="-448"/>
    <x v="3"/>
    <x v="4"/>
    <x v="0"/>
  </r>
  <r>
    <x v="106"/>
    <s v="PRAKTIKER 333.         BUDAORS BUDAORS        18.989,00 HUF Vásárlás"/>
    <n v="-18989"/>
    <x v="0"/>
    <x v="6"/>
    <x v="0"/>
  </r>
  <r>
    <x v="106"/>
    <s v="IKEA BUDAORS BEV ECO   Budaors Budaors 14.980,00 HUF Vásárlás"/>
    <n v="14980"/>
    <x v="0"/>
    <x v="35"/>
    <x v="0"/>
  </r>
  <r>
    <x v="106"/>
    <s v="10032000-00282637-00000000 OKTATÁSI HIVATAL MUNKABÉR UTALÁS Bejövő Forint Átutalás"/>
    <n v="243600"/>
    <x v="4"/>
    <x v="20"/>
    <x v="0"/>
  </r>
  <r>
    <x v="107"/>
    <s v="Raiffeisen Bank"/>
    <n v="-3.27"/>
    <x v="1"/>
    <x v="1"/>
    <x v="0"/>
  </r>
  <r>
    <x v="107"/>
    <s v="Raiffeisen Bank"/>
    <n v="-3.78"/>
    <x v="1"/>
    <x v="1"/>
    <x v="0"/>
  </r>
  <r>
    <x v="107"/>
    <s v="Raiffeisen Bank"/>
    <n v="25.19"/>
    <x v="1"/>
    <x v="1"/>
    <x v="0"/>
  </r>
  <r>
    <x v="107"/>
    <s v="TelekomSzaml 660195285 Budapest 8.106,00 HUF Vásárlás        21,19 EUR"/>
    <n v="-8106"/>
    <x v="0"/>
    <x v="7"/>
    <x v="0"/>
  </r>
  <r>
    <x v="107"/>
    <s v="Czuprik Gábor - -"/>
    <n v="-1500"/>
    <x v="8"/>
    <x v="29"/>
    <x v="0"/>
  </r>
  <r>
    <x v="107"/>
    <s v="DM 289.SZ.             ERD ERD           6.495,00 HUF Vásárlás"/>
    <n v="-6495"/>
    <x v="3"/>
    <x v="4"/>
    <x v="0"/>
  </r>
  <r>
    <x v="107"/>
    <s v="ALDI 22.SZ.            ERD ERD           6.777,00 HUF Vásárlás"/>
    <n v="-6777"/>
    <x v="3"/>
    <x v="4"/>
    <x v="0"/>
  </r>
  <r>
    <x v="107"/>
    <s v="AUTOMATA TO LTO&quot;A'LLOM KAPOLNASNYEK 25.010,00 HUF Vásárlás"/>
    <n v="-25010"/>
    <x v="5"/>
    <x v="16"/>
    <x v="0"/>
  </r>
  <r>
    <x v="107"/>
    <s v="TESCO 44089            MARTONVASAR MARTONVASAR       2.380,00 HUF Vásárlás"/>
    <n v="-2380"/>
    <x v="3"/>
    <x v="4"/>
    <x v="0"/>
  </r>
  <r>
    <x v="107"/>
    <s v="LIDL ARUHAZ 0349.SZ.   BUDAORS BUDAORS 5.747,00 HUF Vásárlás"/>
    <n v="-5747"/>
    <x v="3"/>
    <x v="4"/>
    <x v="0"/>
  </r>
  <r>
    <x v="107"/>
    <s v="IKEA                   Budaors Budaors 27.160,00 HUF Vásárlás"/>
    <n v="-27160"/>
    <x v="3"/>
    <x v="35"/>
    <x v="0"/>
  </r>
  <r>
    <x v="107"/>
    <s v="HUN-Budaors IKEA BUDAORS UGYFE Vásárlás(2023.12.29) Card:5444-0XXX-XX68-8737 MCC5712 HUN-Budaors IKEA BUDAORS UGYFE 8.270,00 HUF Kártyatranzakció"/>
    <n v="-8270"/>
    <x v="0"/>
    <x v="35"/>
    <x v="0"/>
  </r>
  <r>
    <x v="108"/>
    <s v="Int.Appl. to   31/12/23"/>
    <n v="18.26"/>
    <x v="1"/>
    <x v="1"/>
    <x v="0"/>
  </r>
  <r>
    <x v="108"/>
    <s v="SZOCHO to      31/12/23"/>
    <n v="-2.37"/>
    <x v="1"/>
    <x v="1"/>
    <x v="0"/>
  </r>
  <r>
    <x v="108"/>
    <s v="CRT to         31/12/23"/>
    <n v="-2.74"/>
    <x v="1"/>
    <x v="1"/>
    <x v="0"/>
  </r>
  <r>
    <x v="108"/>
    <s v="Havi zárlati díj"/>
    <n v="-2222"/>
    <x v="1"/>
    <x v="1"/>
    <x v="0"/>
  </r>
  <r>
    <x v="109"/>
    <s v="Ikea"/>
    <n v="-8270"/>
    <x v="0"/>
    <x v="35"/>
    <x v="0"/>
  </r>
  <r>
    <x v="109"/>
    <s v="HUN-SALGOTARJAN DM 149 SALGO'TARJA' Vásárlás(2023.12.27) Card:5444-0XXX-XX68-8737 MCC5977 HUN-SALGOTARJAN DM 149 SALGO'TARJA' N 2 12.280,00 HUF Kártyatranzakció"/>
    <n v="-12280"/>
    <x v="3"/>
    <x v="4"/>
    <x v="0"/>
  </r>
  <r>
    <x v="109"/>
    <s v="LIDL ARUHAZ 0349.SZ. BUDAORS TRAN IDEJE 20231229 154957 TRAN ÖSSZEG 5,747.00 HUF"/>
    <n v="-5747"/>
    <x v="3"/>
    <x v="4"/>
    <x v="0"/>
  </r>
  <r>
    <x v="109"/>
    <s v="IKEA Budaors TRAN IDEJE 20231229 162538 TRAN ÖSSZEG 27,160.00 HUF"/>
    <n v="-27160"/>
    <x v="3"/>
    <x v="35"/>
    <x v="0"/>
  </r>
  <r>
    <x v="109"/>
    <s v="TelekomSzaml 660195285 Budapest TRAN IDEJE 20231230 92830 TRAN ÖSSZEG 8,106.00 HUF"/>
    <n v="-8106"/>
    <x v="0"/>
    <x v="7"/>
    <x v="0"/>
  </r>
  <r>
    <x v="109"/>
    <s v="TESCO 44089 MARTONVASAR TRAN IDEJE 20231230 115535 TRAN ÖSSZEG 2,380.00 HUF"/>
    <n v="-2380"/>
    <x v="3"/>
    <x v="4"/>
    <x v="0"/>
  </r>
  <r>
    <x v="109"/>
    <s v="AUTOMATA TO LTO'A'LLOM KAPOLNASNYEK TRAN IDEJE 20231230 162330 TRAN ÖSSZEG 25,010.00 HUF"/>
    <n v="-25010"/>
    <x v="5"/>
    <x v="16"/>
    <x v="0"/>
  </r>
  <r>
    <x v="109"/>
    <s v="ALDI 22.SZ. ERD TRAN IDEJE 20231231 105945 TRAN ÖSSZEG 6,777.00 HUF"/>
    <n v="-6777"/>
    <x v="3"/>
    <x v="4"/>
    <x v="0"/>
  </r>
  <r>
    <x v="109"/>
    <s v="DM 289.SZ. ERD TRAN IDEJE 20231231 112301 TRAN ÖSSZEG 6,495.00 HUF"/>
    <n v="-6495"/>
    <x v="3"/>
    <x v="4"/>
    <x v="0"/>
  </r>
  <r>
    <x v="109"/>
    <s v="KOMA UZLETHAZ MARTONVASAR 1.870,00 HUF Vásárlás"/>
    <n v="-1870"/>
    <x v="3"/>
    <x v="8"/>
    <x v="0"/>
  </r>
  <r>
    <x v="109"/>
    <s v="IKEA BUDAORS UGYFE Budaors 7.955,00 HUF Vásárlás"/>
    <n v="-7955"/>
    <x v="0"/>
    <x v="35"/>
    <x v="0"/>
  </r>
  <r>
    <x v="109"/>
    <s v="MARTONVASAR-HUS KFT MARTONVASAR 2.390,00 HUF Vásárlás"/>
    <n v="-2390"/>
    <x v="3"/>
    <x v="4"/>
    <x v="0"/>
  </r>
  <r>
    <x v="110"/>
    <s v="Normbenz HU Salgotarjan 35.994,00 HUF Vásárlás"/>
    <n v="-35994"/>
    <x v="5"/>
    <x v="16"/>
    <x v="0"/>
  </r>
  <r>
    <x v="111"/>
    <s v="HUN-Budaors IKEA BUDAORS UGYFE Vásárlás(2023.12.21) Card:5444-0XXX-XX68-8737 MCC5712 HUN-Budaors IKEA BUDAORS UGYFE 1.690,00 HUF Kártyatranzakció"/>
    <n v="-1690"/>
    <x v="0"/>
    <x v="35"/>
    <x v="0"/>
  </r>
  <r>
    <x v="111"/>
    <s v="HUN-Martonvasar POSTA5324 Vásárlás(2023.12.22) Card:5444-0XXX-XX68-8737 MCC4900 HUN-Martonvasar POSTA5324 2.370,00 HUF Kártyatranzakció"/>
    <n v="-2370"/>
    <x v="3"/>
    <x v="30"/>
    <x v="0"/>
  </r>
  <r>
    <x v="111"/>
    <s v="HUN-BUDAORS SBX BUDAO:RS AUCHAN Vásárlás(2023.12.21) Card:5444-0XXX-XX68-8737 MCC5812 HUN-BUDAORS SBX BUDAO:RS AUCHAN 2.480,00 HUF Kártyatranzakció"/>
    <n v="-2480"/>
    <x v="3"/>
    <x v="4"/>
    <x v="0"/>
  </r>
  <r>
    <x v="111"/>
    <s v="HUN-BARACSKA CSIZ SAJTMUHELY KFT Vásárlás(2023.12.22) Card:5444-0XXX-XX68-8737 MCC5499 HUN-BARACSKA CSIZ SAJTMUHELY KFT 10.220,00 HUF Kártyatranzakció"/>
    <n v="-10220"/>
    <x v="3"/>
    <x v="4"/>
    <x v="0"/>
  </r>
  <r>
    <x v="111"/>
    <s v="HUN-Budaors IKEA BUDAORS UGYFE Vásárlás(2023.12.21) Card:5444-0XXX-XX68-8737 MCC5712 HUN-Budaors IKEA BUDAORS UGYFE 11.310,00 HUF Kártyatranzakció"/>
    <n v="-11310"/>
    <x v="0"/>
    <x v="35"/>
    <x v="0"/>
  </r>
  <r>
    <x v="111"/>
    <s v="HUN-MARTONVASAR MARTONVASAR-HUS KFT Vásárlás(2023.12.22) Card:5444-0XXX-XX68-8737 MCC5422 HUN-MARTONVASAR MARTONVASAR-HUS KFT 15.840,00 HUF Kártyatranzakció"/>
    <n v="-15840"/>
    <x v="3"/>
    <x v="4"/>
    <x v="0"/>
  </r>
  <r>
    <x v="111"/>
    <s v="HUN-BUDAORS AUCHAN BUDAORS Vásárlás(2023.12.21) Card:5444-0XXX-XX68-8737 MCC5311 HUN-BUDAORS AUCHAN BUDAORS 17.788,00 HUF Kártyatranzakció"/>
    <n v="-17788"/>
    <x v="3"/>
    <x v="4"/>
    <x v="0"/>
  </r>
  <r>
    <x v="111"/>
    <s v="HUN-BUDAORS DM 311.SZ. Vásárlás(2023.12.21) Card:5444-0XXX-XX68-8737 MCC5977 HUN-BUDAORS DM 311.SZ. 18.550,00 HUF Kártyatranzakció"/>
    <n v="-18550"/>
    <x v="3"/>
    <x v="4"/>
    <x v="0"/>
  </r>
  <r>
    <x v="111"/>
    <s v="HUN-BUDAPEST OTPMOBL*ONLINE.JEGY Vásárlás(2023.12.24) Card:5444-0XXX-XX68-8737 MCC7922 HUN-BUDAPEST OTPMOBL*ONLINE.JEGY 20.000,00 HUF Kártyatranzakció"/>
    <n v="-20000"/>
    <x v="3"/>
    <x v="8"/>
    <x v="0"/>
  </r>
  <r>
    <x v="111"/>
    <s v="HUN-BUDAORS MEDICINA PATIKA Vásárlás(2023.12.21) Card:5444-0XXX-XX68-8737 MCC5912 HUN-BUDAORS MEDICINA PATIKA 21.959,00 HUF Kártyatranzakció"/>
    <n v="-21959"/>
    <x v="7"/>
    <x v="5"/>
    <x v="0"/>
  </r>
  <r>
    <x v="111"/>
    <s v="COUNTRYSIDE CORVINUSZ BUDAPEST 5.400,00 HUF Vásárlás"/>
    <n v="-5400"/>
    <x v="2"/>
    <x v="19"/>
    <x v="0"/>
  </r>
  <r>
    <x v="111"/>
    <s v="LIDL ARUHAZ 0306.SZ. AGARD 12.680,00 HUF Vásárlás"/>
    <n v="-12680"/>
    <x v="3"/>
    <x v="4"/>
    <x v="0"/>
  </r>
  <r>
    <x v="111"/>
    <s v="CSASZI2020 KFT. GARDONY 568,00 HUF Vásárlás"/>
    <n v="-568"/>
    <x v="3"/>
    <x v="4"/>
    <x v="0"/>
  </r>
  <r>
    <x v="111"/>
    <s v="SKYSHOWTIME 7FF4D HU Amsterdam 999,00 HUF Vásárlás 2,62 EUR"/>
    <n v="-999"/>
    <x v="0"/>
    <x v="7"/>
    <x v="0"/>
  </r>
  <r>
    <x v="112"/>
    <s v="HUN-MARTONVASAR MARTONVASAR-HUS KFT Vásárlás(2023.12.20) Card:5444-0XXX-XX68-8737 MCC5422 HUN-MARTONVASAR MARTONVASAR-HUS KFT 1.965,00 HUF Kártyatranzakció"/>
    <n v="-1965"/>
    <x v="3"/>
    <x v="4"/>
    <x v="0"/>
  </r>
  <r>
    <x v="112"/>
    <s v="reformvirag@gmail.com Kimenő azonnali megbízás"/>
    <n v="-8840"/>
    <x v="3"/>
    <x v="4"/>
    <x v="0"/>
  </r>
  <r>
    <x v="113"/>
    <s v="OTPMOBL VIMPAY.MAV-STA BUDAPEST 570,00 HUF Vásárlás"/>
    <n v="-570"/>
    <x v="5"/>
    <x v="28"/>
    <x v="0"/>
  </r>
  <r>
    <x v="113"/>
    <s v="CSIZ SAJTMUHELY KFT BARACSKA 990,00 HUF Vásárlás"/>
    <n v="-990"/>
    <x v="3"/>
    <x v="4"/>
    <x v="0"/>
  </r>
  <r>
    <x v="113"/>
    <s v="CSIZ SAJTMUHELY KFT BARACSKA 580,00 HUF Vásárlás"/>
    <n v="-580"/>
    <x v="3"/>
    <x v="4"/>
    <x v="0"/>
  </r>
  <r>
    <x v="113"/>
    <s v="Patai Gabor - - -"/>
    <n v="-22000"/>
    <x v="6"/>
    <x v="40"/>
    <x v="0"/>
  </r>
  <r>
    <x v="114"/>
    <s v="JAGUAR LAND ROVER HUNGARY KFT."/>
    <n v="31960"/>
    <x v="4"/>
    <x v="20"/>
    <x v="4"/>
  </r>
  <r>
    <x v="114"/>
    <s v="HUN-RACKERESZTUR SZENT KERESZT GYO' Vásárlás(2023.12.18) Card:5444-0XXX-XX68-8737 MCC5912 HUN-RACKERESZTUR SZENT KERESZT GYO' GYSZ 5.230,00 HUF Kártyatranzakció"/>
    <n v="-5230"/>
    <x v="7"/>
    <x v="5"/>
    <x v="0"/>
  </r>
  <r>
    <x v="114"/>
    <s v="HUN-BUDAORS REGIO JA'TE'K BU. Vásárlás(2023.12.18) Card:5444-0XXX-XX68-8737 MCC5945 HUN-BUDAORS REGIO JA'TE'K BU. 5.990,00 HUF Kártyatranzakció"/>
    <n v="-5990"/>
    <x v="3"/>
    <x v="3"/>
    <x v="0"/>
  </r>
  <r>
    <x v="114"/>
    <s v="HUN-BUDAPEST OTPMOBL*HERBAFERM.HU Vásárlás(2023.12.18) Card:5444-0XXX-XX68-8737 MCC5499 HUN-BUDAPEST OTPMOBL*HERBAFERM.HU 8.740,00 HUF Kártyatranzakció"/>
    <n v="-8740"/>
    <x v="7"/>
    <x v="14"/>
    <x v="0"/>
  </r>
  <r>
    <x v="114"/>
    <s v="11773353-59010812-00000000 Kovácsné Tonkó Csilla Mária KT-2023-271 Kimenő azonnali megbízás"/>
    <n v="-10000"/>
    <x v="7"/>
    <x v="13"/>
    <x v="0"/>
  </r>
  <r>
    <x v="114"/>
    <s v="HUN-BUDAPEST OTPMOBL*HERBAFERM.HU Vásárlás(2023.12.18) Card:5444-0XXX-XX68-8737 MCC5499 HUN-BUDAPEST OTPMOBL*HERBAFERM.HU 22.350,00 HUF Kártyatranzakció"/>
    <n v="-22350"/>
    <x v="7"/>
    <x v="14"/>
    <x v="0"/>
  </r>
  <r>
    <x v="114"/>
    <s v="HUN-BUDAORS LIDL ARUHAZ 0349.SZ. Vásárlás(2023.12.18) Card:5444-0XXX-XX68-8737 MCC5411 HUN-BUDAORS LIDL ARUHAZ 0349.SZ. 23.581,00 HUF Kártyatranzakció"/>
    <n v="-23581"/>
    <x v="3"/>
    <x v="4"/>
    <x v="0"/>
  </r>
  <r>
    <x v="114"/>
    <s v="HUN-BUDAORS DM 311.SZ. Vásárlás(2023.12.18) Card:5444-0XXX-XX68-8737 MCC5977 HUN-BUDAORS DM 311.SZ. 27.802,00 HUF Kártyatranzakció"/>
    <n v="-27802"/>
    <x v="3"/>
    <x v="4"/>
    <x v="0"/>
  </r>
  <r>
    <x v="114"/>
    <s v="VIZ-, GAZ SZERELVENYB MARTONVASAR 1.918,00 HUF Vásárlás"/>
    <n v="-1918"/>
    <x v="0"/>
    <x v="6"/>
    <x v="0"/>
  </r>
  <r>
    <x v="115"/>
    <s v="HUN-BUDAPEST WWW.CEWE.HU Vásárlás(2023.12.16) Card:5444-0XXX-XX68-8737 MCC2791 HUN-BUDAPEST WWW.CEWE.HU 2.537,00 HUF Kártyatranzakció"/>
    <n v="-2537"/>
    <x v="3"/>
    <x v="8"/>
    <x v="0"/>
  </r>
  <r>
    <x v="116"/>
    <s v="HUN-MARTONVASAR KEPESVARAZS KFT. Vásárlás(2023.12.15) Card:5444-0XXX-XX68-8737 MCC5111 HUN-MARTONVASAR KEPESVARAZS KFT. 260,00 HUF Kártyatranzakció"/>
    <n v="-260"/>
    <x v="3"/>
    <x v="8"/>
    <x v="0"/>
  </r>
  <r>
    <x v="116"/>
    <s v="HUN-Budapest Három Tarka Macska -Ma Vásárlás(2023.12.14) Card:5444-0XXX-XX68-8737 MCC5462 HUN-Budapest Három Tarka Macska -Ma 4.770,00 HUF Kártyatranzakció"/>
    <n v="-4770"/>
    <x v="3"/>
    <x v="4"/>
    <x v="0"/>
  </r>
  <r>
    <x v="116"/>
    <s v="HUN-BUDAPEST BARIONP*BARION.COM/GUE Vásárlás(2023.12.16) Card:5444-0XXX-XX68-8737 MCC7299 HUN-BUDAPEST BARIONP*BARION.COM/GUE 6.880,00 HUF Kártyatranzakció"/>
    <n v="-6880"/>
    <x v="7"/>
    <x v="15"/>
    <x v="0"/>
  </r>
  <r>
    <x v="116"/>
    <s v="HUN-BUDAPEST OTPMOBL*128 Vásárlás(2023.12.16) Card:5444-0XXX-XX68-8737 MCC7299 HUN-BUDAPEST OTPMOBL*128 24.098,00 HUF Kártyatranzakció"/>
    <n v="-24098"/>
    <x v="3"/>
    <x v="4"/>
    <x v="0"/>
  </r>
  <r>
    <x v="116"/>
    <s v="PLATA'N VA'RA'ROK VEND TATA 39.890,00 HUF Vásárlás"/>
    <n v="-39890"/>
    <x v="2"/>
    <x v="10"/>
    <x v="0"/>
  </r>
  <r>
    <x v="116"/>
    <s v="PANIFICIO ILBASILICO SZENTENDRE 17.180,00 HUF Vásárlás"/>
    <n v="-17180"/>
    <x v="2"/>
    <x v="10"/>
    <x v="0"/>
  </r>
  <r>
    <x v="116"/>
    <s v="FOXPOST ALLATELEDELBOL MARTONVASAR 1.499,00 HUF Vásárlás"/>
    <n v="-1499"/>
    <x v="3"/>
    <x v="3"/>
    <x v="0"/>
  </r>
  <r>
    <x v="116"/>
    <s v="FOXPOST ALLATELEDELBOL MARTONVASAR 1.599,00 HUF Vásárlás"/>
    <n v="-1599"/>
    <x v="3"/>
    <x v="3"/>
    <x v="0"/>
  </r>
  <r>
    <x v="116"/>
    <s v="TESCO 44089 MARTONVASAR 439,00 HUF Vásárlás"/>
    <n v="-439"/>
    <x v="3"/>
    <x v="4"/>
    <x v="0"/>
  </r>
  <r>
    <x v="116"/>
    <s v="PANIFICIO ILBASILICO SZENTENDRE 1.950,00 HUF Vásárlás"/>
    <n v="-1950"/>
    <x v="2"/>
    <x v="10"/>
    <x v="0"/>
  </r>
  <r>
    <x v="116"/>
    <s v="PANIFICIO ILBASILICO SZENTENDRE 5.910,00 HUF Vásárlás"/>
    <n v="-5910"/>
    <x v="2"/>
    <x v="10"/>
    <x v="0"/>
  </r>
  <r>
    <x v="116"/>
    <s v="Disney Plus Hoofddorp 3.090,00 HUF Vásárlás 8,10 EUR"/>
    <n v="-3090"/>
    <x v="0"/>
    <x v="7"/>
    <x v="0"/>
  </r>
  <r>
    <x v="117"/>
    <s v="CSIZ SAJTMUHELY KFT BARACSKA 920,00 HUF Vásárlás"/>
    <n v="-920"/>
    <x v="3"/>
    <x v="4"/>
    <x v="0"/>
  </r>
  <r>
    <x v="118"/>
    <s v="HUN-MARTONVASAR MARTON MARKET Vásárlás(2023.12.12) Card:5444-0XXX-XX68-8737 MCC5411 HUN-MARTONVASAR MARTON MARKET 1.996,00 HUF Kártyatranzakció"/>
    <n v="-1996"/>
    <x v="3"/>
    <x v="4"/>
    <x v="0"/>
  </r>
  <r>
    <x v="118"/>
    <s v="HUN-MARTONVASAR TESCO 44089 Vásárlás(2023.12.12) Card:5444-0XXX-XX68-8737 MCC5311 HUN-MARTONVASAR TESCO 44089 5.420,00 HUF Kártyatranzakció"/>
    <n v="-5420"/>
    <x v="3"/>
    <x v="4"/>
    <x v="0"/>
  </r>
  <r>
    <x v="118"/>
    <s v="HUN-BUDAPEST SAAVUTUS Vásárlás(2023.12.12) Card:5444-0XXX-XX68-8737 MCC5691 HUN-BUDAPEST SAAVUTUS 35.273,00 HUF Kártyatranzakció"/>
    <n v="-35273"/>
    <x v="3"/>
    <x v="30"/>
    <x v="0"/>
  </r>
  <r>
    <x v="118"/>
    <s v="KISKIFLI KAVEZO BUDAPEST 1.580,00 HUF Vásárlás"/>
    <n v="-1580"/>
    <x v="2"/>
    <x v="19"/>
    <x v="0"/>
  </r>
  <r>
    <x v="119"/>
    <s v="11600006-00000000-48392181 Virág Kitty Adri bögre Kimenő azonnali megbízás"/>
    <n v="-7000"/>
    <x v="3"/>
    <x v="8"/>
    <x v="0"/>
  </r>
  <r>
    <x v="119"/>
    <s v="HUN-GARDONY DM 316.SZ. Vásárlás(2023.12.11) Card:5444-0XXX-XX68-8737 MCC5977 HUN-GARDONY DM 316.SZ. 9.946,00 HUF Kártyatranzakció"/>
    <n v="-9946"/>
    <x v="3"/>
    <x v="4"/>
    <x v="0"/>
  </r>
  <r>
    <x v="119"/>
    <s v="HUN-AGARD LIDL ARUHAZ 0306.SZ. Vásárlás(2023.12.11) Card:5444-0XXX-XX68-8737 MCC5411 HUN-AGARD LIDL ARUHAZ 0306.SZ. 19.548,00 HUF Kártyatranzakció"/>
    <n v="-19548"/>
    <x v="3"/>
    <x v="4"/>
    <x v="0"/>
  </r>
  <r>
    <x v="119"/>
    <s v="Kemal Pasa Torok Et Budapest 2.500,00 HUF Vásárlás"/>
    <n v="-2500"/>
    <x v="2"/>
    <x v="2"/>
    <x v="0"/>
  </r>
  <r>
    <x v="119"/>
    <s v="Manna ABC - Mazsa Nord Budapest 999,00 HUF Vásárlás 2,62 EUR"/>
    <n v="-999"/>
    <x v="3"/>
    <x v="4"/>
    <x v="0"/>
  </r>
  <r>
    <x v="120"/>
    <s v="HUN-Budapest reserved.com/hu Vásárlás(2023.12.06) Card:5444-0XXX-XX68-8737 MCC5691 HUN-Budapest reserved.com/hu 14.995,00 HUF Kártyatranzakció"/>
    <n v="-14995"/>
    <x v="3"/>
    <x v="30"/>
    <x v="0"/>
  </r>
  <r>
    <x v="121"/>
    <s v="HUN-BUDAPEST PM-ABACUS FIZETO&quot;AUT 6 Vásárlás(2023.12.09) Card:5444-0XXX-XX68-8737 MCC7523 HUN-BUDAPEST PM-ABACUS FIZETO&quot;AUT 6 1.200,00 HUF Kártyatranzakció"/>
    <n v="-1200"/>
    <x v="5"/>
    <x v="9"/>
    <x v="0"/>
  </r>
  <r>
    <x v="121"/>
    <s v="HUN-BARACSKA CSIZ SAJTMUHELY KFT Vásárlás(2023.12.07) Card:5444-0XXX-XX68-8737 MCC5499 HUN-BARACSKA CSIZ SAJTMUHELY KFT 1.840,00 HUF Kártyatranzakció"/>
    <n v="-1840"/>
    <x v="3"/>
    <x v="4"/>
    <x v="0"/>
  </r>
  <r>
    <x v="121"/>
    <s v="HUN-BUDAPEST SPAR 5440 Vásárlás(2023.12.09) Card:5444-0XXX-XX68-8737 MCC5411 HUN-BUDAPEST SPAR 5440 2.967,00 HUF Kártyatranzakció"/>
    <n v="-2967"/>
    <x v="3"/>
    <x v="4"/>
    <x v="0"/>
  </r>
  <r>
    <x v="121"/>
    <s v="HUN-BUDAPEST STUHMER EDESSEGBOLT Vásárlás(2023.12.09) Card:5444-0XXX-XX68-8737 MCC5441 HUN-BUDAPEST STUHMER EDESSEGBOLT 3.470,00 HUF Kártyatranzakció"/>
    <n v="-3470"/>
    <x v="2"/>
    <x v="19"/>
    <x v="0"/>
  </r>
  <r>
    <x v="121"/>
    <s v="HUN-BUDAORS H&amp;M HU0341 Vásárlás(2023.12.08) Card:5444-0XXX-XX68-8737 MCC5691 HUN-BUDAORS H&amp;M HU0341 6.530,00 HUF Kártyatranzakció"/>
    <n v="-6530"/>
    <x v="3"/>
    <x v="30"/>
    <x v="0"/>
  </r>
  <r>
    <x v="121"/>
    <s v="HUN-BUDAPEST BESTBYTE Vásárlás(2023.12.09) Card:5444-0XXX-XX68-8737 MCC5411 HUN-BUDAPEST BESTBYTE 10.189,00 HUF Kártyatranzakció"/>
    <n v="-10189"/>
    <x v="3"/>
    <x v="31"/>
    <x v="0"/>
  </r>
  <r>
    <x v="121"/>
    <s v="HUN-BUDAORS RESERVED TESCO Vásárlás(2023.12.08) Card:5444-0XXX-XX68-8737 MCC5651 HUN-BUDAORS RESERVED TESCO 10.590,00 HUF Kártyatranzakció"/>
    <n v="-10590"/>
    <x v="3"/>
    <x v="30"/>
    <x v="0"/>
  </r>
  <r>
    <x v="121"/>
    <s v="HUN-BUDAORS TESCO 41520 O:NKISZOLG Vásárlás(2023.12.08) Card:5444-0XXX-XX68-8737 MCC5311 HUN-BUDAORS TESCO 41520 O:NKISZOLG 11.880,00 HUF Kártyatranzakció"/>
    <n v="-11880"/>
    <x v="3"/>
    <x v="4"/>
    <x v="0"/>
  </r>
  <r>
    <x v="121"/>
    <s v="HUN-Budapest reserved.com/hu Vásárlás(2023.12.06) Card:5444-0XXX-XX68-8737 MCC5691 HUN-Budapest reserved.com/hu 23.990,00 HUF Kártyatranzakció"/>
    <n v="-23990"/>
    <x v="3"/>
    <x v="30"/>
    <x v="0"/>
  </r>
  <r>
    <x v="121"/>
    <s v="HUN-BUDAPEST BARIONP*monobrand Vásárlás(2023.12.07) Card:5444-0XXX-XX68-8737 MCC5661 HUN-BUDAPEST BARIONP*monobrand 35.293,00 HUF Kártyatranzakció"/>
    <n v="-35293"/>
    <x v="3"/>
    <x v="30"/>
    <x v="0"/>
  </r>
  <r>
    <x v="121"/>
    <s v="OTPMOBL TELEKOM2597 BUDAPEST 7.416,00 HUF Vásárlás"/>
    <n v="-7416"/>
    <x v="0"/>
    <x v="7"/>
    <x v="0"/>
  </r>
  <r>
    <x v="121"/>
    <s v="OTPMOBL DIJNET.HU BUDAPEST 6.944,00 HUF Vásárlás"/>
    <n v="-6944"/>
    <x v="0"/>
    <x v="23"/>
    <x v="0"/>
  </r>
  <r>
    <x v="121"/>
    <s v="OBI 010 BUDAORS BUDAORS 11.497,00 HUF Vásárlás"/>
    <n v="-11497"/>
    <x v="0"/>
    <x v="6"/>
    <x v="0"/>
  </r>
  <r>
    <x v="121"/>
    <s v="MVM NEXT ENERGIAK BUDAPEST 8.473,00 HUF Vásárlás"/>
    <n v="-8473"/>
    <x v="0"/>
    <x v="22"/>
    <x v="0"/>
  </r>
  <r>
    <x v="121"/>
    <s v="AUTOMATA TO LTO'A'LLOM KAPOLNASNYEK 32.295,00 HUF Vásárlás"/>
    <n v="-32295"/>
    <x v="5"/>
    <x v="16"/>
    <x v="0"/>
  </r>
  <r>
    <x v="121"/>
    <s v="OTPMOBL EON.HU BUDAPEST 6.824,00 HUF Vásárlás"/>
    <n v="-6824"/>
    <x v="0"/>
    <x v="11"/>
    <x v="0"/>
  </r>
  <r>
    <x v="121"/>
    <s v="KARSAINÉ GASSER MÁRIA kisruha és koszorú alap"/>
    <n v="12000"/>
    <x v="3"/>
    <x v="8"/>
    <x v="0"/>
  </r>
  <r>
    <x v="122"/>
    <s v="PL:P/10DEC23 Tőkefizetés Hitel /21-41194/"/>
    <n v="-219426.37"/>
    <x v="0"/>
    <x v="21"/>
    <x v="0"/>
  </r>
  <r>
    <x v="122"/>
    <s v="Chimichanga"/>
    <n v="-13750"/>
    <x v="2"/>
    <x v="2"/>
    <x v="4"/>
  </r>
  <r>
    <x v="122"/>
    <s v="PL:I/10DEC23 Kamatfizetés  Hitel /21-41194/"/>
    <n v="-42378.42"/>
    <x v="0"/>
    <x v="21"/>
    <x v="0"/>
  </r>
  <r>
    <x v="122"/>
    <s v="PL:P/10DEC23 Tőkefizetés Hitel /21-41194/"/>
    <n v="219426.37"/>
    <x v="0"/>
    <x v="21"/>
    <x v="1"/>
  </r>
  <r>
    <x v="123"/>
    <s v="JAGUAR LAND ROVER HUNGARY KFT. Munkab.r utal.sMunkabér"/>
    <n v="1097975"/>
    <x v="4"/>
    <x v="20"/>
    <x v="0"/>
  </r>
  <r>
    <x v="124"/>
    <s v="Drago Rosso Pizzéria, Étterem"/>
    <n v="-4350"/>
    <x v="2"/>
    <x v="2"/>
    <x v="4"/>
  </r>
  <r>
    <x v="124"/>
    <s v="HUN-BARACSKA CSIZ SAJTMUHELY KFT Vásárlás(2023.12.05) Card:5444-0XXX-XX68-8737 MCC5499 HUN-BARACSKA CSIZ SAJTMUHELY KFT 940,00 HUF Kártyatranzakció"/>
    <n v="-940"/>
    <x v="3"/>
    <x v="4"/>
    <x v="0"/>
  </r>
  <r>
    <x v="124"/>
    <s v="HUN-RACKERESZTUR SZENT KERESZT GYO' Vásárlás(2023.12.05) Card:5444-0XXX-XX68-8737 MCC5912 HUN-RACKERESZTUR SZENT KERESZT GYO' GYSZ 2.796,00 HUF Kártyatranzakció"/>
    <n v="-2796"/>
    <x v="7"/>
    <x v="5"/>
    <x v="0"/>
  </r>
  <r>
    <x v="124"/>
    <s v="KI'NAI BU FE' BUDAPEST 3.800,00 HUF Vásárlás"/>
    <n v="-3800"/>
    <x v="2"/>
    <x v="2"/>
    <x v="0"/>
  </r>
  <r>
    <x v="124"/>
    <s v="Manna ABC - Mazsa Nord Budapest 1.299,00 HUF Vásárlás 3,42 EUR"/>
    <n v="-1299"/>
    <x v="3"/>
    <x v="4"/>
    <x v="0"/>
  </r>
  <r>
    <x v="125"/>
    <s v="HUN-GARDONY DM 316.SZ. Vásárlás(2023.12.04) Card:5444-0XXX-XX68-8737 MCC5977 HUN-GARDONY DM 316.SZ. 9.302,00 HUF Kártyatranzakció"/>
    <n v="-9302"/>
    <x v="3"/>
    <x v="4"/>
    <x v="0"/>
  </r>
  <r>
    <x v="125"/>
    <s v="11773353-59010812-00000000 Kovácsné Tonkó Csilla Mária KT-2023-260 Kimenő azonnali megbízás"/>
    <n v="-10000"/>
    <x v="7"/>
    <x v="13"/>
    <x v="0"/>
  </r>
  <r>
    <x v="125"/>
    <s v="HUN-AGARD LIDL ARUHAZ 0306.SZ. Vásárlás(2023.12.04) Card:5444-0XXX-XX68-8737 MCC5411 HUN-AGARD LIDL ARUHAZ 0306.SZ. 32.263,00 HUF Kártyatranzakció"/>
    <n v="-32263"/>
    <x v="3"/>
    <x v="4"/>
    <x v="0"/>
  </r>
  <r>
    <x v="125"/>
    <s v="LIDL ARUHAZ 0349.SZ. BUDAORS 9.591,00 HUF Vásárlás"/>
    <n v="-9591"/>
    <x v="3"/>
    <x v="4"/>
    <x v="0"/>
  </r>
  <r>
    <x v="125"/>
    <s v="TESCO 44089 MARTONVASAR 5.438,00 HUF Vásárlás"/>
    <n v="-5438"/>
    <x v="3"/>
    <x v="4"/>
    <x v="0"/>
  </r>
  <r>
    <x v="125"/>
    <s v="Nestle Hungaria, Kft Budapest 13.200,00 HUF Vásárlás"/>
    <n v="-13200"/>
    <x v="3"/>
    <x v="4"/>
    <x v="0"/>
  </r>
  <r>
    <x v="126"/>
    <s v="NEW YORK BAGEL KFT."/>
    <n v="-1690"/>
    <x v="2"/>
    <x v="2"/>
    <x v="4"/>
  </r>
  <r>
    <x v="126"/>
    <s v="Dönerland"/>
    <n v="-6350"/>
    <x v="2"/>
    <x v="2"/>
    <x v="4"/>
  </r>
  <r>
    <x v="126"/>
    <s v="Cr Forgalmi kedvezmény"/>
    <n v="1914"/>
    <x v="1"/>
    <x v="1"/>
    <x v="0"/>
  </r>
  <r>
    <x v="126"/>
    <s v="GENERALI BIZTOSÍTÓ ZRT. DA07V9EH94005004927434400 DÍJVISSZA MMJ427 94005004927434400"/>
    <n v="20570"/>
    <x v="5"/>
    <x v="41"/>
    <x v="0"/>
  </r>
  <r>
    <x v="127"/>
    <s v="10032000-00282637-00000000 OKTATÁSI HIVATAL MUNKABÉR UTALÁS Bejövő Forint Átutalás"/>
    <n v="243600"/>
    <x v="4"/>
    <x v="20"/>
    <x v="0"/>
  </r>
  <r>
    <x v="127"/>
    <s v="HUN-MARTONVASAR KEPESVARAZS KFT. Vásárlás(2023.11.30) Card:5444-0XXX-XX68-8737 MCC5111 HUN-MARTONVASAR KEPESVARAZS KFT. 2.180,00 HUF Kártyatranzakció"/>
    <n v="-2180"/>
    <x v="3"/>
    <x v="8"/>
    <x v="0"/>
  </r>
  <r>
    <x v="127"/>
    <s v="HUN-BARACSKA CSIZ SAJTMUHELY KFT Vásárlás(2023.11.30) Card:5444-0XXX-XX68-8737 MCC5499 HUN-BARACSKA CSIZ SAJTMUHELY KFT 3.591,00 HUF Kártyatranzakció"/>
    <n v="-3591"/>
    <x v="3"/>
    <x v="4"/>
    <x v="0"/>
  </r>
  <r>
    <x v="127"/>
    <s v="BRENDON BABAARUHAZ BUDAORS 154.043,00 HUF Vásárlás"/>
    <n v="-154043"/>
    <x v="3"/>
    <x v="3"/>
    <x v="0"/>
  </r>
  <r>
    <x v="127"/>
    <s v="MARTON FRUIT MARTONVASAR 1.951,00 HUF Vásárlás"/>
    <n v="-1951"/>
    <x v="3"/>
    <x v="4"/>
    <x v="0"/>
  </r>
  <r>
    <x v="127"/>
    <s v="HELOPAY HELLOPAY KER. BUDAPEST 2.690,00 HUF Vásárlás"/>
    <n v="-2690"/>
    <x v="2"/>
    <x v="19"/>
    <x v="0"/>
  </r>
  <r>
    <x v="127"/>
    <s v="SIMPLE PARKOL S BUDAPEST 1.889,00 HUF Vásárlás"/>
    <n v="-1889"/>
    <x v="5"/>
    <x v="9"/>
    <x v="0"/>
  </r>
  <r>
    <x v="127"/>
    <s v="SIMPLE PARKOL S BUDAPEST 239,00 HUF Vásárlás"/>
    <n v="-239"/>
    <x v="5"/>
    <x v="9"/>
    <x v="0"/>
  </r>
  <r>
    <x v="127"/>
    <s v="CAFE FREI NORDIC LIGHT BUDAPEST 790,00 HUF Vásárlás"/>
    <n v="-790"/>
    <x v="2"/>
    <x v="19"/>
    <x v="0"/>
  </r>
  <r>
    <x v="128"/>
    <s v="BMW eladás"/>
    <n v="1300000"/>
    <x v="5"/>
    <x v="42"/>
    <x v="2"/>
  </r>
  <r>
    <x v="129"/>
    <s v="NEW YORK BAGEL KFT."/>
    <n v="-1690"/>
    <x v="2"/>
    <x v="2"/>
    <x v="4"/>
  </r>
  <r>
    <x v="129"/>
    <s v="HELOPAY HELLOPAY KER. BUDAPEST TRAN IDEJE 20231130 113614 TRAN ÖSSZEG 2,690.00 HUF"/>
    <n v="-2690"/>
    <x v="2"/>
    <x v="19"/>
    <x v="0"/>
  </r>
  <r>
    <x v="129"/>
    <s v="CAFE FREI NORDIC LIGHT BUDAPEST TRAN IDEJE 20231130 120836 TRAN ÖSSZEG 790.00 HUF"/>
    <n v="-790"/>
    <x v="2"/>
    <x v="19"/>
    <x v="0"/>
  </r>
  <r>
    <x v="129"/>
    <s v="SIMPLE PARKOL S BUDAPEST TRAN IDEJE 20231130 162220 TRAN ÖSSZEG 1,889.00 HUF"/>
    <n v="-1889"/>
    <x v="5"/>
    <x v="9"/>
    <x v="0"/>
  </r>
  <r>
    <x v="129"/>
    <s v="SIMPLE PARKOL S BUDAPEST TRAN IDEJE 20231130 213545 TRAN ÖSSZEG 239.00 HUF"/>
    <n v="-239"/>
    <x v="5"/>
    <x v="9"/>
    <x v="0"/>
  </r>
  <r>
    <x v="129"/>
    <s v="Képvarázs  Kft"/>
    <n v="-2180"/>
    <x v="3"/>
    <x v="8"/>
    <x v="0"/>
  </r>
  <r>
    <x v="129"/>
    <s v="Havi zárlati díj"/>
    <n v="-2222"/>
    <x v="1"/>
    <x v="1"/>
    <x v="0"/>
  </r>
  <r>
    <x v="129"/>
    <s v="HUN-BARACSKA CSIZ SAJTMUHELY "/>
    <n v="-3591"/>
    <x v="3"/>
    <x v="4"/>
    <x v="0"/>
  </r>
  <r>
    <x v="129"/>
    <s v="HUN-MARTONVASAR MARTONVASAR-HUS KFT Vásárlás(2023.11.28) Card:5444-0XXX-XX68-8737 MCC5422 HUN-MARTONVASAR MARTONVASAR-HUS KFT 3.980,00 HUF Kártyatranzakció"/>
    <n v="-3980"/>
    <x v="3"/>
    <x v="4"/>
    <x v="0"/>
  </r>
  <r>
    <x v="130"/>
    <s v="WHITE HOUSE BUDAPEST 1.120,00 HUF Vásárlás"/>
    <n v="-1120"/>
    <x v="2"/>
    <x v="2"/>
    <x v="0"/>
  </r>
  <r>
    <x v="131"/>
    <s v="Kemal Pasa"/>
    <n v="-2800"/>
    <x v="2"/>
    <x v="2"/>
    <x v="4"/>
  </r>
  <r>
    <x v="131"/>
    <s v="HUN-BUDAPEST OTPMOBL*WEBSHOP.OAZIS. Vásárlás(2023.11.26) Card:5444-0XXX-XX68-8737 MCC5261 HUN-BUDAPEST OTPMOBL*WEBSHOP.OAZIS. 10.594,00 HUF Kártyatranzakció"/>
    <n v="-10594"/>
    <x v="3"/>
    <x v="8"/>
    <x v="0"/>
  </r>
  <r>
    <x v="132"/>
    <s v="MAGYAR ALLAMKINCSTAR BUDAPEST 419.074,00 HUF Vásárlás"/>
    <n v="419074"/>
    <x v="1"/>
    <x v="26"/>
    <x v="3"/>
  </r>
  <r>
    <x v="132"/>
    <s v="MAGYAR ALLAMKINCSTAR BUDAPEST 419.074,00 HUF Vásárlás"/>
    <n v="-419074"/>
    <x v="1"/>
    <x v="26"/>
    <x v="0"/>
  </r>
  <r>
    <x v="132"/>
    <s v="MAGYAR ALLAMKINCSTAR BUDAPEST 57.168,00 HUF Vásárlás Hanni"/>
    <n v="-57168"/>
    <x v="1"/>
    <x v="26"/>
    <x v="0"/>
  </r>
  <r>
    <x v="132"/>
    <s v="REGIO JA'TE'K BU. BUDAORS 5.495,00 HUF Vásárlás"/>
    <n v="-5495"/>
    <x v="3"/>
    <x v="3"/>
    <x v="0"/>
  </r>
  <r>
    <x v="132"/>
    <s v="LIDL ARUHAZ 0349.SZ. BUDAORS 18.805,00 HUF Vásárlás"/>
    <n v="-18805"/>
    <x v="3"/>
    <x v="4"/>
    <x v="0"/>
  </r>
  <r>
    <x v="132"/>
    <s v="ALDI 156. SZ. Budaors 7.253,00 HUF Vásárlás"/>
    <n v="-7253"/>
    <x v="3"/>
    <x v="4"/>
    <x v="0"/>
  </r>
  <r>
    <x v="132"/>
    <s v="IKEA BUDAORS UGYFE Budaors 37.640,00 HUF Vásárlás"/>
    <n v="-37640"/>
    <x v="0"/>
    <x v="35"/>
    <x v="0"/>
  </r>
  <r>
    <x v="132"/>
    <s v="SZENT KERESZT GYO'GYSZ RACKERESZTUR 6.831,00 HUF Vásárlás"/>
    <n v="-6831"/>
    <x v="7"/>
    <x v="5"/>
    <x v="0"/>
  </r>
  <r>
    <x v="132"/>
    <s v="TESCO 44089 MARTONVASAR 1.189,00 HUF Vásárlás"/>
    <n v="-1189"/>
    <x v="3"/>
    <x v="4"/>
    <x v="0"/>
  </r>
  <r>
    <x v="132"/>
    <s v="MARTON MARKET MARTONVASAR 1.374,00 HUF Vásárlás"/>
    <n v="-1374"/>
    <x v="3"/>
    <x v="4"/>
    <x v="0"/>
  </r>
  <r>
    <x v="132"/>
    <s v="KEPESVARAZS KFT. MARTONVASAR 1.000,00 HUF Vásárlás"/>
    <n v="-1000"/>
    <x v="3"/>
    <x v="8"/>
    <x v="0"/>
  </r>
  <r>
    <x v="132"/>
    <s v="MMXH Lakberendezesi Ko Budapest 29.441,00 HUF Vásárlás"/>
    <n v="-29441"/>
    <x v="0"/>
    <x v="35"/>
    <x v="0"/>
  </r>
  <r>
    <x v="132"/>
    <s v="AUTOMATA TO LTO'A'LLOM KAPOLNASNYEK 39.139,00 HUF Vásárlás"/>
    <n v="-39139"/>
    <x v="5"/>
    <x v="16"/>
    <x v="0"/>
  </r>
  <r>
    <x v="132"/>
    <s v="SKYSHOWTIME X0794 HU Amsterdam 999,00 HUF Vásárlás 2,63 EUR"/>
    <n v="-999"/>
    <x v="0"/>
    <x v="7"/>
    <x v="0"/>
  </r>
  <r>
    <x v="132"/>
    <s v="HUN-ERCSI SPAR PARTNER 6920220 Vásárlás(2023.11.24) Card:5444-0XXX-XX68-8737 MCC5411 HUN-ERCSI SPAR PARTNER 6920220 2.564,00 HUF Kártyatranzakció"/>
    <n v="-2564"/>
    <x v="3"/>
    <x v="4"/>
    <x v="0"/>
  </r>
  <r>
    <x v="132"/>
    <s v="HUN-BARACSKA CSIZ SAJTMUHELY KFT Vásárlás(2023.11.23) Card:5444-0XXX-XX68-8737 MCC5499 HUN-BARACSKA CSIZ SAJTMUHELY KFT 4.427,00 HUF Kártyatranzakció"/>
    <n v="-4427"/>
    <x v="3"/>
    <x v="4"/>
    <x v="0"/>
  </r>
  <r>
    <x v="132"/>
    <s v="HUN-BUDAPEST HM Hennes  Mauritz K Vásárlás(2023.11.25) Card:5444-0XXX-XX68-8737 MCC5651 HUN-BUDAPEST HM Hennes  Mauritz K 8.742,00 HUF Kártyatranzakció"/>
    <n v="-8742"/>
    <x v="3"/>
    <x v="30"/>
    <x v="0"/>
  </r>
  <r>
    <x v="132"/>
    <s v="HUN-Budapest EVENTIM.HU Vásárlás(2023.11.23) Card:5444-0XXX-XX68-8737 MCC7922 HUN-Budapest EVENTIM.HU 40.190,00 HUF Kártyatranzakció"/>
    <n v="-40190"/>
    <x v="3"/>
    <x v="8"/>
    <x v="0"/>
  </r>
  <r>
    <x v="133"/>
    <s v="Burger King Budaörs"/>
    <n v="-7620"/>
    <x v="2"/>
    <x v="2"/>
    <x v="4"/>
  </r>
  <r>
    <x v="134"/>
    <s v="Falatozz.hu"/>
    <n v="-4935"/>
    <x v="2"/>
    <x v="2"/>
    <x v="4"/>
  </r>
  <r>
    <x v="134"/>
    <s v="SumUp Kiskifli Kavez Budapest 990,00 HUF Vásárlás 2,60 EUR"/>
    <n v="-990"/>
    <x v="2"/>
    <x v="19"/>
    <x v="0"/>
  </r>
  <r>
    <x v="134"/>
    <s v="HUN-BARACSKA CSIZ SAJTMUHELY KFT Vásárlás(2023.11.22) Card:5444-0XXX-XX68-8737 MCC5499 HUN-BARACSKA CSIZ SAJTMUHELY KFT 730,00 HUF Kártyatranzakció"/>
    <n v="-730"/>
    <x v="3"/>
    <x v="4"/>
    <x v="0"/>
  </r>
  <r>
    <x v="135"/>
    <s v="Kemal Pasa"/>
    <n v="-2500"/>
    <x v="2"/>
    <x v="2"/>
    <x v="4"/>
  </r>
  <r>
    <x v="135"/>
    <s v="KARSAINÉ GASSER MÁRIA Lorena jegy"/>
    <n v="30000"/>
    <x v="3"/>
    <x v="8"/>
    <x v="0"/>
  </r>
  <r>
    <x v="135"/>
    <s v="MARTON FRUIT MARTONVASAR 534,00 HUF Vásárlás"/>
    <n v="-534"/>
    <x v="3"/>
    <x v="4"/>
    <x v="0"/>
  </r>
  <r>
    <x v="135"/>
    <s v="54000148-15006507-00000000 Forrás Győri Zsuzsanna Könyvek Kimenő azonnali megbízás"/>
    <n v="-21300"/>
    <x v="3"/>
    <x v="8"/>
    <x v="0"/>
  </r>
  <r>
    <x v="136"/>
    <s v="SIMPLE MOBILJEGY BUDAPEST 1.800,00 HUF Vásárlás"/>
    <n v="-1800"/>
    <x v="5"/>
    <x v="28"/>
    <x v="0"/>
  </r>
  <r>
    <x v="136"/>
    <s v="HUN-BUDAPEST BARIONP*BARION.COM/GUE Vásárlás(2023.11.20) Card:5444-0XXX-XX68-8737 MCC7299 HUN-BUDAPEST BARIONP*BARION.COM/GUE 18.190,00 HUF Kártyatranzakció"/>
    <n v="-18190"/>
    <x v="8"/>
    <x v="29"/>
    <x v="0"/>
  </r>
  <r>
    <x v="137"/>
    <s v="VIANNI U ZLET MARTONVASAR 1.820,00 HUF Vásárlás"/>
    <n v="-1820"/>
    <x v="3"/>
    <x v="4"/>
    <x v="0"/>
  </r>
  <r>
    <x v="137"/>
    <s v="HUN-MARTONVASAR TESCO 44089 O:NKISZ Vásárlás(2023.11.19) Card:5444-0XXX-XX68-8737 MCC5311 HUN-MARTONVASAR TESCO 44089 O:NKISZ OLG 739,00 HUF Kártyatranzakció"/>
    <n v="-739"/>
    <x v="3"/>
    <x v="4"/>
    <x v="0"/>
  </r>
  <r>
    <x v="138"/>
    <s v="JAGUAR LAND ROVER HUNGARY KFT."/>
    <n v="31960"/>
    <x v="4"/>
    <x v="20"/>
    <x v="4"/>
  </r>
  <r>
    <x v="138"/>
    <s v="IKEA BUDAORS ETTEREM Budaors 6.115,00 HUF Vásárlás"/>
    <n v="-6115"/>
    <x v="2"/>
    <x v="2"/>
    <x v="0"/>
  </r>
  <r>
    <x v="138"/>
    <s v="IKEA BUDAORS BEVASAR Budaors 3.510,00 HUF Vásárlás"/>
    <n v="-3510"/>
    <x v="0"/>
    <x v="35"/>
    <x v="0"/>
  </r>
  <r>
    <x v="138"/>
    <s v="Disney Plus Hoofddorp 599,00 HUF Vásárlás 1,59 EUR"/>
    <n v="-599"/>
    <x v="0"/>
    <x v="7"/>
    <x v="0"/>
  </r>
  <r>
    <x v="138"/>
    <s v="Naturillo Kft nat6755"/>
    <n v="-11993"/>
    <x v="7"/>
    <x v="14"/>
    <x v="0"/>
  </r>
  <r>
    <x v="138"/>
    <s v="HUN-BARACSKA CSIZ SAJTMUHELY KFT Vásárlás(2023.11.17) Card:5444-0XXX-XX68-8737 MCC5499 HUN-BARACSKA CSIZ SAJTMUHELY KFT 2.710,00 HUF Kártyatranzakció"/>
    <n v="-2710"/>
    <x v="3"/>
    <x v="4"/>
    <x v="0"/>
  </r>
  <r>
    <x v="138"/>
    <s v="HUN-BUDAORS REGIO JA'TE'K BU. Vásárlás(2023.11.18) Card:5444-0XXX-XX68-8737 MCC5945 HUN-BUDAORS REGIO JA'TE'K BU. 4.495,00 HUF Kártyatranzakció"/>
    <n v="-4495"/>
    <x v="3"/>
    <x v="3"/>
    <x v="0"/>
  </r>
  <r>
    <x v="138"/>
    <s v="HUN-BUDAORS LIDL ARUHAZ 0349.SZ. Vásárlás(2023.11.18) Card:5444-0XXX-XX68-8737 MCC5411 HUN-BUDAORS LIDL ARUHAZ 0349.SZ. 9.904,00 HUF Kártyatranzakció"/>
    <n v="-9904"/>
    <x v="3"/>
    <x v="4"/>
    <x v="0"/>
  </r>
  <r>
    <x v="138"/>
    <s v="HUN-BUDAORS DM 311.SZ. Vásárlás(2023.11.18) Card:5444-0XXX-XX68-8737 MCC5977 HUN-BUDAORS DM 311.SZ. 14.092,00 HUF Kártyatranzakció"/>
    <n v="-14092"/>
    <x v="3"/>
    <x v="4"/>
    <x v="0"/>
  </r>
  <r>
    <x v="139"/>
    <s v="Manna ABC - Mazsa Nord Budapest 1.299,00 HUF Vásárlás 3,45 EUR"/>
    <n v="-1299"/>
    <x v="3"/>
    <x v="4"/>
    <x v="0"/>
  </r>
  <r>
    <x v="140"/>
    <s v="Kemal Pasa"/>
    <n v="-2500"/>
    <x v="2"/>
    <x v="2"/>
    <x v="4"/>
  </r>
  <r>
    <x v="140"/>
    <s v="Kemal Pasa Torok Et Budapest 2.500,00 HUF Vásárlás"/>
    <n v="-2500"/>
    <x v="2"/>
    <x v="2"/>
    <x v="0"/>
  </r>
  <r>
    <x v="140"/>
    <s v="DM 311.SZ. BUDAORS 4.895,00 HUF Vásárlás"/>
    <n v="-4895"/>
    <x v="3"/>
    <x v="4"/>
    <x v="0"/>
  </r>
  <r>
    <x v="140"/>
    <s v="EGLO BEMUTATO'TEREM BUDAORS 3.790,00 HUF Vásárlás"/>
    <n v="-3790"/>
    <x v="3"/>
    <x v="31"/>
    <x v="0"/>
  </r>
  <r>
    <x v="140"/>
    <s v="LIDL ARUHAZ 0349.SZ. BUDAORS 11.441,00 HUF Vásárlás"/>
    <n v="-11441"/>
    <x v="3"/>
    <x v="4"/>
    <x v="0"/>
  </r>
  <r>
    <x v="140"/>
    <s v="OMV 2072 Budapest M1_ 26.650,00 HUF Vásárlás"/>
    <n v="-26650"/>
    <x v="5"/>
    <x v="16"/>
    <x v="0"/>
  </r>
  <r>
    <x v="141"/>
    <s v="NEW YORK BAGEL KFT."/>
    <n v="-1690"/>
    <x v="2"/>
    <x v="2"/>
    <x v="4"/>
  </r>
  <r>
    <x v="141"/>
    <s v="Harsanyi jozsef Maró"/>
    <n v="-34999"/>
    <x v="3"/>
    <x v="31"/>
    <x v="0"/>
  </r>
  <r>
    <x v="141"/>
    <s v="HUN-BUDAPEST BARIONP*BARION.COM/GUE Vásárlás(2023.11.13) Card:5444-0XXX-XX68-8737 MCC7299 HUN-BUDAPEST BARIONP*BARION.COM/GUE 7.288,00 HUF Kártyatranzakció"/>
    <n v="-7288"/>
    <x v="8"/>
    <x v="29"/>
    <x v="0"/>
  </r>
  <r>
    <x v="141"/>
    <s v="HUN-BUDAPEST BARIONP*BARION.COM/GUE Vásárlás(2023.11.13) Card:5444-0XXX-XX68-8737 MCC7299 HUN-BUDAPEST BARIONP*BARION.COM/GUE 44.500,00 HUF Kártyatranzakció"/>
    <n v="-44500"/>
    <x v="3"/>
    <x v="3"/>
    <x v="0"/>
  </r>
  <r>
    <x v="142"/>
    <s v="MAGYAR ALLAMKINCSTAR BUDAPEST 521.014,00 HUF Vásárlás"/>
    <n v="521014"/>
    <x v="1"/>
    <x v="26"/>
    <x v="3"/>
  </r>
  <r>
    <x v="142"/>
    <s v="MAGYAR ALLAMKINCSTAR BUDAPEST 521.014,00 HUF Vásárlás"/>
    <n v="-521014"/>
    <x v="1"/>
    <x v="26"/>
    <x v="0"/>
  </r>
  <r>
    <x v="142"/>
    <s v="HUN-BUDAPEST OTPMOBL*SIPO.HU Vásárlás(2023.11.12) Card:5444-0XXX-XX68-8737 MCC5912 HUN-BUDAPEST OTPMOBL*SIPO.HU 7.897,00 HUF Kártyatranzakció"/>
    <n v="-7897"/>
    <x v="7"/>
    <x v="5"/>
    <x v="0"/>
  </r>
  <r>
    <x v="143"/>
    <s v="SZENT KERESZT GYO'GYSZ RACKERESZTUR 9.660,00 HUF Vásárlás"/>
    <n v="-9660"/>
    <x v="7"/>
    <x v="5"/>
    <x v="0"/>
  </r>
  <r>
    <x v="143"/>
    <s v="FOXPOST ALLATELEDELBOL MARTONVASAR 1.499,00 HUF Vásárlás"/>
    <n v="-1499"/>
    <x v="3"/>
    <x v="8"/>
    <x v="0"/>
  </r>
  <r>
    <x v="143"/>
    <s v="BARKACSBOLT MARTONVASAR 270,00 HUF Vásárlás"/>
    <n v="-270"/>
    <x v="0"/>
    <x v="6"/>
    <x v="0"/>
  </r>
  <r>
    <x v="143"/>
    <s v="CSIZ SAJTMUHELY KFT BARACSKA 4.550,00 HUF Vásárlás"/>
    <n v="-4550"/>
    <x v="3"/>
    <x v="4"/>
    <x v="0"/>
  </r>
  <r>
    <x v="143"/>
    <s v="MARTONVASAR-HUS KFT MARTONVASAR 3.620,00 HUF Vásárlás"/>
    <n v="-3620"/>
    <x v="3"/>
    <x v="4"/>
    <x v="0"/>
  </r>
  <r>
    <x v="143"/>
    <s v="Balassagyarmati Törvényszék Salgótarjáni JB P.20.761/2023."/>
    <n v="-15200"/>
    <x v="0"/>
    <x v="0"/>
    <x v="0"/>
  </r>
  <r>
    <x v="143"/>
    <s v="HUN-MARTONVASAR TESCO 44089 O:NKISZ Vásárlás(2023.11.10) Card:5444-0XXX-XX68-8737 MCC5311 HUN-MARTONVASAR TESCO 44089 O:NKISZ OLG 499,00 HUF Kártyatranzakció"/>
    <n v="-499"/>
    <x v="3"/>
    <x v="4"/>
    <x v="0"/>
  </r>
  <r>
    <x v="143"/>
    <s v="HUN-MARTONVASAR KEPESVARAZS KFT. Vásárlás(2023.11.10) Card:5444-0XXX-XX68-8737 MCC5111 HUN-MARTONVASAR KEPESVARAZS KFT. 1.215,00 HUF Kártyatranzakció"/>
    <n v="-1215"/>
    <x v="3"/>
    <x v="8"/>
    <x v="0"/>
  </r>
  <r>
    <x v="143"/>
    <s v="HUN-MARTONVASAR MARTON MARKET Vásárlás(2023.11.10) Card:5444-0XXX-XX68-8737 MCC5411 HUN-MARTONVASAR MARTON MARKET 1.536,00 HUF Kártyatranzakció"/>
    <n v="-1536"/>
    <x v="3"/>
    <x v="4"/>
    <x v="0"/>
  </r>
  <r>
    <x v="143"/>
    <s v="HUN-GARDONY ALDI 5.SZ. Vásárlás(2023.11.09) Card:5444-0XXX-XX68-8737 MCC5411 HUN-GARDONY ALDI 5.SZ. 2.237,00 HUF Kártyatranzakció"/>
    <n v="-2237"/>
    <x v="3"/>
    <x v="4"/>
    <x v="0"/>
  </r>
  <r>
    <x v="143"/>
    <s v="HUN-GARDONY DM 316.SZ. Vásárlás(2023.11.09) Card:5444-0XXX-XX68-8737 MCC5977 HUN-GARDONY DM 316.SZ. 5.553,00 HUF Kártyatranzakció"/>
    <n v="-5553"/>
    <x v="3"/>
    <x v="4"/>
    <x v="0"/>
  </r>
  <r>
    <x v="143"/>
    <s v="11773353-59010812-00000000 Kovácsné Tonkó Csilla Mária KT-2023-242 Kimenő azonnali megbízás"/>
    <n v="-10000"/>
    <x v="7"/>
    <x v="13"/>
    <x v="0"/>
  </r>
  <r>
    <x v="143"/>
    <s v="HUN-AGARD LIDL ARUHAZ 0306.SZ. Vásárlás(2023.11.09) Card:5444-0XXX-XX68-8737 MCC5411 HUN-AGARD LIDL ARUHAZ 0306.SZ. 22.977,00 HUF Kártyatranzakció"/>
    <n v="-22977"/>
    <x v="3"/>
    <x v="4"/>
    <x v="0"/>
  </r>
  <r>
    <x v="144"/>
    <s v="PL:P/10NOV23 Tőkefizetés Hitel /21-41194/"/>
    <n v="-217571.6"/>
    <x v="0"/>
    <x v="21"/>
    <x v="0"/>
  </r>
  <r>
    <x v="144"/>
    <s v="JAGUAR LAND ROVER HUNGARY KFT. Munkab.r utal.sMunkabér"/>
    <n v="1063793"/>
    <x v="4"/>
    <x v="20"/>
    <x v="0"/>
  </r>
  <r>
    <x v="144"/>
    <s v="HUN-BARACSKA CSIZ SAJTMUHELY KFT Vásárlás(2023.11.08) Card:5444-0XXX-XX68-8737 MCC5499 HUN-BARACSKA CSIZ SAJTMUHELY KFT 2.570,00 HUF Kártyatranzakció"/>
    <n v="-2570"/>
    <x v="3"/>
    <x v="4"/>
    <x v="0"/>
  </r>
  <r>
    <x v="144"/>
    <s v="PL:I/10NOV23 Kamatfizetés  Hitel /21-41194/"/>
    <n v="-44233.19"/>
    <x v="0"/>
    <x v="21"/>
    <x v="0"/>
  </r>
  <r>
    <x v="144"/>
    <s v="PL:P/10NOV23 Tőkefizetés Hitel /21-41194/"/>
    <n v="217571.6"/>
    <x v="0"/>
    <x v="21"/>
    <x v="1"/>
  </r>
  <r>
    <x v="145"/>
    <s v="TEPSI"/>
    <n v="-8250"/>
    <x v="2"/>
    <x v="2"/>
    <x v="4"/>
  </r>
  <r>
    <x v="145"/>
    <s v="LIPO'TI PE'KSE'G E'S K SALGOTARJAN 1.160,00 HUF Vásárlás"/>
    <n v="-1160"/>
    <x v="2"/>
    <x v="19"/>
    <x v="0"/>
  </r>
  <r>
    <x v="145"/>
    <s v="ATM készpénzfelvétel díja(2023.11.0 Card:5444-0XXX-XX68-8737 MCC6011 HUN-MARTONVASAR OTP 100.000,00 HUF"/>
    <n v="-2209"/>
    <x v="1"/>
    <x v="1"/>
    <x v="0"/>
  </r>
  <r>
    <x v="145"/>
    <s v="LTU-Vilnius VINTED 7579255841 Vásárlás(2023.11.08) Card:5444-0XXX-XX68-8737 MCC5931 LTU-Vilnius VINTED 7579255841 3.179,00 HUF Kártyatranzakció"/>
    <n v="-3179"/>
    <x v="3"/>
    <x v="8"/>
    <x v="0"/>
  </r>
  <r>
    <x v="145"/>
    <s v="Redőny"/>
    <n v="-100000"/>
    <x v="0"/>
    <x v="6"/>
    <x v="0"/>
  </r>
  <r>
    <x v="146"/>
    <s v="Drago Rosso Pizzéria, Étterem"/>
    <n v="-3990"/>
    <x v="2"/>
    <x v="2"/>
    <x v="4"/>
  </r>
  <r>
    <x v="146"/>
    <s v="Kemal Pasa"/>
    <n v="-2300"/>
    <x v="2"/>
    <x v="2"/>
    <x v="4"/>
  </r>
  <r>
    <x v="146"/>
    <s v="Dr Harmos Viktora Czuprik Gergely - kereset"/>
    <n v="-115000"/>
    <x v="0"/>
    <x v="0"/>
    <x v="0"/>
  </r>
  <r>
    <x v="146"/>
    <s v="HUN-RACKERESZTUR SZENT KERESZT GYO' Vásárlás(2023.11.06) Card:5444-0XXX-XX68-8737 MCC5912 HUN-RACKERESZTUR SZENT KERESZT GYO' GYSZ 14.334,00 HUF Kártyatranzakció"/>
    <n v="-14334"/>
    <x v="7"/>
    <x v="5"/>
    <x v="0"/>
  </r>
  <r>
    <x v="146"/>
    <s v="11773353-59010812-00000000 Kovácsné Tonkó Csilla Mária KT-2023-236 Kimenő azonnali megbízás"/>
    <n v="-16000"/>
    <x v="7"/>
    <x v="13"/>
    <x v="0"/>
  </r>
  <r>
    <x v="146"/>
    <s v="Autószerelés"/>
    <n v="-150000"/>
    <x v="5"/>
    <x v="36"/>
    <x v="0"/>
  </r>
  <r>
    <x v="147"/>
    <s v="reformvirag@gmail.com Kimenő azonnali megbízás"/>
    <n v="-4660"/>
    <x v="3"/>
    <x v="4"/>
    <x v="0"/>
  </r>
  <r>
    <x v="148"/>
    <s v="BUDAO RS BENZINKU'T AU BUDAORS 41.622,00 HUF Vásárlás"/>
    <n v="-41622"/>
    <x v="5"/>
    <x v="16"/>
    <x v="0"/>
  </r>
  <r>
    <x v="148"/>
    <s v="LIDL ARUHAZ 0349.SZ. BUDAORS 12.952,00 HUF Vásárlás"/>
    <n v="-12952"/>
    <x v="3"/>
    <x v="4"/>
    <x v="0"/>
  </r>
  <r>
    <x v="148"/>
    <s v="BOHACS BARKACS ERD 22.214,00 HUF Vásárlás"/>
    <n v="-22214"/>
    <x v="0"/>
    <x v="6"/>
    <x v="0"/>
  </r>
  <r>
    <x v="148"/>
    <s v="CSIZ SAJTMUHELY KFT BARACSKA 5.810,00 HUF Vásárlás"/>
    <n v="-5810"/>
    <x v="3"/>
    <x v="4"/>
    <x v="0"/>
  </r>
  <r>
    <x v="148"/>
    <s v="IKEA BUDAORS UGYFE Budaors 16.350,00 HUF Vásárlás"/>
    <n v="-16350"/>
    <x v="0"/>
    <x v="35"/>
    <x v="0"/>
  </r>
  <r>
    <x v="148"/>
    <s v="DM 311.SZ. BUDAORS 16.211,00 HUF Vásárlás"/>
    <n v="-16211"/>
    <x v="3"/>
    <x v="4"/>
    <x v="0"/>
  </r>
  <r>
    <x v="148"/>
    <s v="POSTAKOCSI E'TTEREM MARTONVASAR 350,00 HUF Vásárlás"/>
    <n v="-350"/>
    <x v="2"/>
    <x v="2"/>
    <x v="0"/>
  </r>
  <r>
    <x v="148"/>
    <s v="LTU-Vilnius VINTED 7498691973 Vásárlás(2023.11.03) Card:5444-0XXX-XX68-8737 MCC5931 LTU-Vilnius VINTED 7498691973 3.179,00 HUF Kártyatranzakció"/>
    <n v="-3179"/>
    <x v="3"/>
    <x v="8"/>
    <x v="0"/>
  </r>
  <r>
    <x v="148"/>
    <s v="HUN-BARACSKA CSIZ SAJTMUHELY KFT Vásárlás(2023.11.02) Card:5444-0XXX-XX68-8737 MCC5499 HUN-BARACSKA CSIZ SAJTMUHELY KFT 3.290,00 HUF Kártyatranzakció"/>
    <n v="-3290"/>
    <x v="3"/>
    <x v="4"/>
    <x v="0"/>
  </r>
  <r>
    <x v="148"/>
    <s v="HUN-MARTONVASAR MARTONVASAR-HUS KFT Vásárlás(2023.11.04) Card:5444-0XXX-XX68-8737 MCC5422 HUN-MARTONVASAR MARTONVASAR-HUS KFT 5.850,00 HUF Kártyatranzakció"/>
    <n v="-5850"/>
    <x v="3"/>
    <x v="4"/>
    <x v="0"/>
  </r>
  <r>
    <x v="148"/>
    <s v="HUN-Fehervar Womens Vásárlás(2023.11.03) Card:5444-0XXX-XX68-8737 MCC5691 HUN-Fehervar Womens 11.784,00 HUF Kártyatranzakció"/>
    <n v="-11784"/>
    <x v="3"/>
    <x v="30"/>
    <x v="0"/>
  </r>
  <r>
    <x v="149"/>
    <s v="Cr Forgalmi kedvezmény"/>
    <n v="1914"/>
    <x v="1"/>
    <x v="1"/>
    <x v="0"/>
  </r>
  <r>
    <x v="150"/>
    <s v="Burger King Budaörs"/>
    <n v="-7080"/>
    <x v="2"/>
    <x v="2"/>
    <x v="4"/>
  </r>
  <r>
    <x v="150"/>
    <s v="OTP MARTONVASAR 19.000,00 HUF Kp felvét"/>
    <n v="-1012"/>
    <x v="1"/>
    <x v="1"/>
    <x v="0"/>
  </r>
  <r>
    <x v="150"/>
    <s v="OTP MARTONVASAR 19.000,00 HUF Kp felvét"/>
    <n v="-19000"/>
    <x v="8"/>
    <x v="43"/>
    <x v="0"/>
  </r>
  <r>
    <x v="150"/>
    <s v="10032000-00282637-00000000 OKTATÁSI HIVATAL MUNKABÉR UTALÁS Bejövő Forint Átutalás"/>
    <n v="243600"/>
    <x v="4"/>
    <x v="20"/>
    <x v="0"/>
  </r>
  <r>
    <x v="151"/>
    <s v="OTPMOBL Online Szolg. BUDAPEST 750,00 HUF Vásárlás"/>
    <n v="-750"/>
    <x v="3"/>
    <x v="8"/>
    <x v="0"/>
  </r>
  <r>
    <x v="151"/>
    <s v="KORMA'NYABLAK MARTONVA MARTONVASAR 1.550,00 HUF Vásárlás"/>
    <n v="-1550"/>
    <x v="5"/>
    <x v="33"/>
    <x v="0"/>
  </r>
  <r>
    <x v="151"/>
    <s v="OTPMOBL EON.HU BUDAPEST 6.824,00 HUF Vásárlás"/>
    <n v="-6824"/>
    <x v="0"/>
    <x v="11"/>
    <x v="0"/>
  </r>
  <r>
    <x v="151"/>
    <s v="OTPMOBL DIJNET.HU BUDAPEST 4.567,00 HUF Vásárlás"/>
    <n v="-4567"/>
    <x v="0"/>
    <x v="38"/>
    <x v="0"/>
  </r>
  <r>
    <x v="151"/>
    <s v="OTPMOBL DIJNET.HU BUDAPEST 6.944,00 HUF Vásárlás"/>
    <n v="-6944"/>
    <x v="0"/>
    <x v="23"/>
    <x v="0"/>
  </r>
  <r>
    <x v="151"/>
    <s v="MVM NEXT ENERGIAK BUDAPEST 8.484,00 HUF Vásárlás"/>
    <n v="-8484"/>
    <x v="0"/>
    <x v="22"/>
    <x v="0"/>
  </r>
  <r>
    <x v="151"/>
    <s v="TELEKOMSZAML 638654586 BUDAPEST 7.056,00 HUF Vásárlás 18,43 EUR"/>
    <n v="-7056"/>
    <x v="0"/>
    <x v="7"/>
    <x v="0"/>
  </r>
  <r>
    <x v="151"/>
    <s v="HUN-MARTONVASAR MARTON FRUIT Vásárlás(2023.10.31) Card:5444-0XXX-XX68-8737 MCC5499 HUN-MARTONVASAR MARTON FRUIT 483,00 HUF Kártyatranzakció"/>
    <n v="-483"/>
    <x v="3"/>
    <x v="4"/>
    <x v="0"/>
  </r>
  <r>
    <x v="151"/>
    <s v="HUN-BARACSKA CSIZ SAJTMUHELY KFT Vásárlás(2023.10.31) Card:5444-0XXX-XX68-8737 MCC5499 HUN-BARACSKA CSIZ SAJTMUHELY KFT 1.250,00 HUF Kártyatranzakció"/>
    <n v="-1250"/>
    <x v="3"/>
    <x v="4"/>
    <x v="0"/>
  </r>
  <r>
    <x v="151"/>
    <s v="HUN-MARTONVASAR MARTONCOLOR FESTE'K Vásárlás(2023.10.31) Card:5444-0XXX-XX68-8737 MCC5198 HUN-MARTONVASAR MARTONCOLOR FESTE'K 1.790,00 HUF Kártyatranzakció"/>
    <n v="-1790"/>
    <x v="0"/>
    <x v="6"/>
    <x v="0"/>
  </r>
  <r>
    <x v="152"/>
    <s v="Havi zárlati díj"/>
    <n v="-2222"/>
    <x v="1"/>
    <x v="1"/>
    <x v="0"/>
  </r>
  <r>
    <x v="152"/>
    <s v="reformvirag@gmail.com Kimenő azonnali megbízás"/>
    <n v="-2750"/>
    <x v="3"/>
    <x v="4"/>
    <x v="0"/>
  </r>
  <r>
    <x v="152"/>
    <s v="LTU-Vilnius VINTED 7463254702 Vásárlás(2023.10.29) Card:5444-0XXX-XX68-8737 MCC5931 LTU-Vilnius VINTED 7463254702 6.929,00 HUF Kártyatranzakció"/>
    <n v="-6929"/>
    <x v="3"/>
    <x v="3"/>
    <x v="0"/>
  </r>
  <r>
    <x v="152"/>
    <s v="TESCO 41970 O NKISZOLG ERD 799,00 HUF Vásárlás"/>
    <n v="-799"/>
    <x v="3"/>
    <x v="4"/>
    <x v="0"/>
  </r>
  <r>
    <x v="152"/>
    <s v="Zagyva a - - -"/>
    <n v="-22500"/>
    <x v="6"/>
    <x v="12"/>
    <x v="0"/>
  </r>
  <r>
    <x v="153"/>
    <s v="HUN-BUDAPEST OTPMOBL*JEGY.LIGETBUDA Áru vissza/befizetés(2023.10.26) Card:5444-0XXX-XX68-8737 MCC7922 HUN-BUDAPEST OTPMOBL*JEGY.LIGETBUDA 6.600,00 HUF Kártyatranzakció"/>
    <n v="6600"/>
    <x v="6"/>
    <x v="12"/>
    <x v="0"/>
  </r>
  <r>
    <x v="153"/>
    <s v="HUN-MARTONVASAR VIANNI U:ZLET Vásárlás(2023.10.28) Card:5444-0XXX-XX68-8737 MCC5399 HUN-MARTONVASAR VIANNI U:ZLET 750,00 HUF Kártyatranzakció"/>
    <n v="-750"/>
    <x v="3"/>
    <x v="4"/>
    <x v="0"/>
  </r>
  <r>
    <x v="153"/>
    <s v="HUN-BARACSKA CSIZ SAJTMUHELY KFT Vásárlás(2023.10.28) Card:5444-0XXX-XX68-8737 MCC5499 HUN-BARACSKA CSIZ SAJTMUHELY KFT 2.140,00 HUF Kártyatranzakció"/>
    <n v="-2140"/>
    <x v="3"/>
    <x v="4"/>
    <x v="0"/>
  </r>
  <r>
    <x v="153"/>
    <s v="HUN-AGARD LIDL ARUHAZ 0306.SZ. Vásárlás(2023.10.26) Card:5444-0XXX-XX68-8737 MCC5411 HUN-AGARD LIDL ARUHAZ 0306.SZ. 15.498,00 HUF Kártyatranzakció"/>
    <n v="-15498"/>
    <x v="3"/>
    <x v="4"/>
    <x v="0"/>
  </r>
  <r>
    <x v="153"/>
    <s v="HUN-GARDONY DM 316.SZ. Vásárlás(2023.10.26) Card:5444-0XXX-XX68-8737 MCC5977 HUN-GARDONY DM 316.SZ. 23.168,00 HUF Kártyatranzakció"/>
    <n v="-23168"/>
    <x v="3"/>
    <x v="4"/>
    <x v="0"/>
  </r>
  <r>
    <x v="153"/>
    <s v="FOXPOST ALLATELEDELBOL MARTONVASAR 1.499,00 HUF Vásárlás"/>
    <n v="-1499"/>
    <x v="3"/>
    <x v="3"/>
    <x v="0"/>
  </r>
  <r>
    <x v="153"/>
    <s v="IKEA BUDAORS UGYFE Budaors 5.065,00 HUF Vásárlás"/>
    <n v="-5065"/>
    <x v="0"/>
    <x v="35"/>
    <x v="0"/>
  </r>
  <r>
    <x v="153"/>
    <s v="TESCO 41520 O NKISZOLG BUDAORS 4.023,00 HUF Vásárlás"/>
    <n v="-4023"/>
    <x v="3"/>
    <x v="4"/>
    <x v="0"/>
  </r>
  <r>
    <x v="153"/>
    <s v="MARTONVASAR-HUS KFT MARTONVASAR 2.340,00 HUF Vásárlás"/>
    <n v="-2340"/>
    <x v="3"/>
    <x v="4"/>
    <x v="0"/>
  </r>
  <r>
    <x v="154"/>
    <s v="HUN-MARTONVASAR TESCO 44089 O:NKISZ Vásárlás(2023.10.25) Card:5444-0XXX-XX68-8737 MCC5311 HUN-MARTONVASAR TESCO 44089 O:NKISZ OLG 5.363,00 HUF Kártyatranzakció"/>
    <n v="-5363"/>
    <x v="3"/>
    <x v="4"/>
    <x v="0"/>
  </r>
  <r>
    <x v="154"/>
    <s v="KISKIFLI KAVEZO BUDAPEST 1.580,00 HUF Vásárlás"/>
    <n v="-1580"/>
    <x v="2"/>
    <x v="19"/>
    <x v="0"/>
  </r>
  <r>
    <x v="155"/>
    <s v="Engel Budapest Étterem"/>
    <n v="-2490"/>
    <x v="2"/>
    <x v="2"/>
    <x v="4"/>
  </r>
  <r>
    <x v="156"/>
    <s v="reformvirag@gmail.com Kimenő azonnali megbízás"/>
    <n v="-2000"/>
    <x v="3"/>
    <x v="4"/>
    <x v="0"/>
  </r>
  <r>
    <x v="156"/>
    <s v="TESCO 44089 O NKISZOLG MARTONVASAR 559,00 HUF Vásárlás"/>
    <n v="-559"/>
    <x v="3"/>
    <x v="4"/>
    <x v="0"/>
  </r>
  <r>
    <x v="156"/>
    <s v="ENGEL ETTEREM BUDAPEST 2.490,00 HUF Vásárlás"/>
    <n v="-2490"/>
    <x v="2"/>
    <x v="2"/>
    <x v="0"/>
  </r>
  <r>
    <x v="156"/>
    <s v="TESCO 44089 O NKISZOLG MARTONVASAR 409,00 HUF Vásárlás"/>
    <n v="-409"/>
    <x v="3"/>
    <x v="4"/>
    <x v="0"/>
  </r>
  <r>
    <x v="156"/>
    <s v="New York Bagel Kft Budapest 1.690,00 HUF Vásárlás 4,42 EUR"/>
    <n v="-1690"/>
    <x v="2"/>
    <x v="19"/>
    <x v="0"/>
  </r>
  <r>
    <x v="156"/>
    <s v="SKYSHOWTIME 08AC6 HU Amsterdam 999,00 HUF Vásárlás 2,62 EUR"/>
    <n v="-999"/>
    <x v="0"/>
    <x v="7"/>
    <x v="0"/>
  </r>
  <r>
    <x v="157"/>
    <s v="HUN-MARTONVASAR MARTONVASAR-HUS KFT Vásárlás(2023.10.21) Card:5444-0XXX-XX68-8737 MCC5422 HUN-MARTONVASAR MARTONVASAR-HUS KFT 1.320,00 HUF Kártyatranzakció"/>
    <n v="-1320"/>
    <x v="3"/>
    <x v="4"/>
    <x v="0"/>
  </r>
  <r>
    <x v="157"/>
    <s v="HUN-BARACSKA CSIZ SAJTMUHELY KFT Vásárlás(2023.10.19) Card:5444-0XXX-XX68-8737 MCC5499 HUN-BARACSKA CSIZ SAJTMUHELY KFT 1.500,00 HUF Kártyatranzakció"/>
    <n v="-1500"/>
    <x v="3"/>
    <x v="4"/>
    <x v="0"/>
  </r>
  <r>
    <x v="157"/>
    <s v="HUN-MARTONVASAR MARTONVASAR-HUS KFT Vásárlás(2023.10.21) Card:5444-0XXX-XX68-8737 MCC5422 HUN-MARTONVASAR MARTONVASAR-HUS KFT 1.610,00 HUF Kártyatranzakció"/>
    <n v="-1610"/>
    <x v="3"/>
    <x v="4"/>
    <x v="0"/>
  </r>
  <r>
    <x v="157"/>
    <s v="HUN-BARACSKA CSIZ SAJTMUHELY KFT Vásárlás(2023.10.21) Card:5444-0XXX-XX68-8737 MCC5499 HUN-BARACSKA CSIZ SAJTMUHELY KFT 1.660,00 HUF Kártyatranzakció"/>
    <n v="-1660"/>
    <x v="3"/>
    <x v="4"/>
    <x v="0"/>
  </r>
  <r>
    <x v="157"/>
    <s v="HUN-BUDAORS DM 311.SZ. Vásárlás(2023.10.20) Card:5444-0XXX-XX68-8737 MCC5977 HUN-BUDAORS DM 311.SZ. 3.306,00 HUF Kártyatranzakció"/>
    <n v="-3306"/>
    <x v="3"/>
    <x v="4"/>
    <x v="0"/>
  </r>
  <r>
    <x v="157"/>
    <s v="11773353-59010812-00000000 Kovácsné Tonkó Csilla Mária KT-2023-214 Kimenő azonnali megbízás"/>
    <n v="-10000"/>
    <x v="7"/>
    <x v="13"/>
    <x v="0"/>
  </r>
  <r>
    <x v="157"/>
    <s v="MARTON FRUIT MARTONVASAR 2.385,00 HUF Vásárlás"/>
    <n v="-2385"/>
    <x v="3"/>
    <x v="4"/>
    <x v="0"/>
  </r>
  <r>
    <x v="157"/>
    <s v="DM 311.SZ. BUDAORS 1.899,00 HUF Vásárlás"/>
    <n v="-1899"/>
    <x v="3"/>
    <x v="4"/>
    <x v="0"/>
  </r>
  <r>
    <x v="157"/>
    <s v="LIBRI BUDAO RS BUDAORS 14.250,00 HUF Vásárlás"/>
    <n v="-14250"/>
    <x v="3"/>
    <x v="24"/>
    <x v="0"/>
  </r>
  <r>
    <x v="157"/>
    <s v="BRENDON BABAARUHAZ BUDAORS 9.380,00 HUF Vásárlás"/>
    <n v="-9380"/>
    <x v="3"/>
    <x v="3"/>
    <x v="0"/>
  </r>
  <r>
    <x v="158"/>
    <s v="Pv Rfk 2613100040432 Czuprik Gergely TGG64 1"/>
    <n v="-13000"/>
    <x v="5"/>
    <x v="33"/>
    <x v="0"/>
  </r>
  <r>
    <x v="159"/>
    <s v="JAGUAR LAND ROVER HUNGARY KFT."/>
    <n v="31960"/>
    <x v="4"/>
    <x v="20"/>
    <x v="4"/>
  </r>
  <r>
    <x v="159"/>
    <s v="LTU-Vilnius VINTED 7335731085 Vásárlás(2023.10.18) Card:5444-0XXX-XX68-8737 MCC5931 LTU-Vilnius VINTED 7335731085 1.689,00 HUF Kártyatranzakció"/>
    <n v="-1689"/>
    <x v="3"/>
    <x v="3"/>
    <x v="0"/>
  </r>
  <r>
    <x v="160"/>
    <s v="Drago Rosso Pizzéria, Étterem"/>
    <n v="-3990"/>
    <x v="2"/>
    <x v="2"/>
    <x v="4"/>
  </r>
  <r>
    <x v="160"/>
    <s v="LTU-Vilnius VINTED 7335653103 Vásárlás(2023.10.17) Card:5444-0XXX-XX68-8737 MCC5931 LTU-Vilnius VINTED 7335653103 3.389,00 HUF Kártyatranzakció"/>
    <n v="-3389"/>
    <x v="3"/>
    <x v="3"/>
    <x v="0"/>
  </r>
  <r>
    <x v="160"/>
    <s v="ROSSMANN 260 BUDAORS 2.178,00 HUF Vásárlás"/>
    <n v="-2178"/>
    <x v="3"/>
    <x v="4"/>
    <x v="0"/>
  </r>
  <r>
    <x v="160"/>
    <s v="MEDICINA PATIKA BUDAORS 20.346,00 HUF Vásárlás"/>
    <n v="-20346"/>
    <x v="7"/>
    <x v="5"/>
    <x v="0"/>
  </r>
  <r>
    <x v="160"/>
    <s v="CATCHBURGER-SEWOBS BUDAPEST 3.240,00 HUF Vásárlás"/>
    <n v="-3240"/>
    <x v="2"/>
    <x v="2"/>
    <x v="0"/>
  </r>
  <r>
    <x v="160"/>
    <s v="eMAG.hu/marketplace/ne Budapest 28.002,00 HUF Vásárlás"/>
    <n v="-28002"/>
    <x v="3"/>
    <x v="31"/>
    <x v="0"/>
  </r>
  <r>
    <x v="160"/>
    <s v="New York Bagel Kft Budapest 1.690,00 HUF Vásárlás 4,39 EUR"/>
    <n v="-1690"/>
    <x v="2"/>
    <x v="2"/>
    <x v="0"/>
  </r>
  <r>
    <x v="161"/>
    <s v="HUN-BUDAPEST OTPMOBL*perfektnatura. Vásárlás(2023.10.16) Card:5444-0XXX-XX68-8737 MCC5499 HUN-BUDAPEST OTPMOBL*perfektnatura. 3.490,00 HUF Kártyatranzakció"/>
    <n v="-3490"/>
    <x v="7"/>
    <x v="14"/>
    <x v="0"/>
  </r>
  <r>
    <x v="161"/>
    <s v="10404089-77505256-56561006 Váradiné Szabó Mariann Rács Kimenő azonnali megbízás"/>
    <n v="-7000"/>
    <x v="3"/>
    <x v="3"/>
    <x v="0"/>
  </r>
  <r>
    <x v="161"/>
    <s v="LIDL ARUHAZ 0349.SZ. BUDAORS 16.776,00 HUF Vásárlás"/>
    <n v="-16776"/>
    <x v="3"/>
    <x v="4"/>
    <x v="0"/>
  </r>
  <r>
    <x v="161"/>
    <s v="TESCO 41520 O NKISZOLG BUDAORS 37.717,00 HUF Vásárlás"/>
    <n v="-37717"/>
    <x v="3"/>
    <x v="4"/>
    <x v="0"/>
  </r>
  <r>
    <x v="161"/>
    <s v="Disney Plus Hoofddorp 599,00 HUF Vásárlás 1,55 EUR"/>
    <n v="-599"/>
    <x v="0"/>
    <x v="7"/>
    <x v="0"/>
  </r>
  <r>
    <x v="162"/>
    <s v="HUN-MARTONVASAR 127.COOP SZUPER 1. Vásárlás(2023.10.14) Card:5444-0XXX-XX68-8737 MCC5411 HUN-MARTONVASAR 127.COOP SZUPER 1. 899,00 HUF Kártyatranzakció"/>
    <n v="-899"/>
    <x v="3"/>
    <x v="4"/>
    <x v="0"/>
  </r>
  <r>
    <x v="162"/>
    <s v="LTU-Vilnius VINTED 7300580581 Vásárlás(2023.10.14) Card:5444-0XXX-XX68-8737 MCC5931 LTU-Vilnius VINTED 7300580581 929,00 HUF Kártyatranzakció"/>
    <n v="-929"/>
    <x v="3"/>
    <x v="3"/>
    <x v="0"/>
  </r>
  <r>
    <x v="162"/>
    <s v="LTU-Vilnius VINTED 7301069094 Vásárlás(2023.10.14) Card:5444-0XXX-XX68-8737 MCC5931 LTU-Vilnius VINTED 7301069094 9.945,00 HUF Kártyatranzakció"/>
    <n v="-9945"/>
    <x v="3"/>
    <x v="3"/>
    <x v="0"/>
  </r>
  <r>
    <x v="162"/>
    <s v="TESCO 44089 O NKISZOLG MARTONVASAR 3.405,00 HUF Vásárlás"/>
    <n v="-3405"/>
    <x v="3"/>
    <x v="4"/>
    <x v="0"/>
  </r>
  <r>
    <x v="162"/>
    <s v="MEDICZ PATIKA Martonvasar 4.830,00 HUF Vásárlás 12,46 EUR"/>
    <n v="-4830"/>
    <x v="7"/>
    <x v="5"/>
    <x v="0"/>
  </r>
  <r>
    <x v="163"/>
    <s v="LTU-Vilnius VINTED 7277807287 Vásárlás(2023.10.12) Card:5444-0XXX-XX68-8737 MCC5931 LTU-Vilnius VINTED 7277807287 3.179,00 HUF Kártyatranzakció"/>
    <n v="-3179"/>
    <x v="3"/>
    <x v="3"/>
    <x v="0"/>
  </r>
  <r>
    <x v="163"/>
    <s v="LTU-Vilnius VINTED 7278321484 Vásárlás(2023.10.12) Card:5444-0XXX-XX68-8737 MCC5931 LTU-Vilnius VINTED 7278321484 20.222,00 HUF Kártyatranzakció"/>
    <n v="-20222"/>
    <x v="3"/>
    <x v="3"/>
    <x v="0"/>
  </r>
  <r>
    <x v="163"/>
    <s v="HUN-BUDAPEST OTPMOBL*CSEPPKE.HU Vásárlás(2023.10.13) Card:5444-0XXX-XX68-8737 MCC5641 HUN-BUDAPEST OTPMOBL*CSEPPKE.HU 22.180,00 HUF Kártyatranzakció"/>
    <n v="-22180"/>
    <x v="3"/>
    <x v="3"/>
    <x v="0"/>
  </r>
  <r>
    <x v="163"/>
    <s v="LIDL ARUHAZ 0349.SZ. BUDAORS 12.734,00 HUF Vásárlás"/>
    <n v="-12734"/>
    <x v="3"/>
    <x v="4"/>
    <x v="0"/>
  </r>
  <r>
    <x v="163"/>
    <s v="127.COOP SZUPER 1. MARTONVASAR 588,00 HUF Vásárlás"/>
    <n v="-588"/>
    <x v="3"/>
    <x v="4"/>
    <x v="0"/>
  </r>
  <r>
    <x v="163"/>
    <s v="DM 311.SZ. BUDAORS 11.535,00 HUF Vásárlás"/>
    <n v="-11535"/>
    <x v="3"/>
    <x v="4"/>
    <x v="0"/>
  </r>
  <r>
    <x v="163"/>
    <s v="IKEA BUDAORS BEVASAR Budaors 14.265,00 HUF Vásárlás"/>
    <n v="-14265"/>
    <x v="0"/>
    <x v="35"/>
    <x v="0"/>
  </r>
  <r>
    <x v="164"/>
    <s v="Burger King Budaörs"/>
    <n v="-8090"/>
    <x v="2"/>
    <x v="2"/>
    <x v="4"/>
  </r>
  <r>
    <x v="165"/>
    <s v="reformvirag@gmail.com Kimenő azonnali megbízás"/>
    <n v="-2170"/>
    <x v="3"/>
    <x v="4"/>
    <x v="0"/>
  </r>
  <r>
    <x v="166"/>
    <s v="HUN-MARTONVASAR KEPESVARAZS KFT. Vásárlás(2023.10.11) Card:5444-0XXX-XX68-8737 MCC5111 HUN-MARTONVASAR KEPESVARAZS KFT. 630,00 HUF Kártyatranzakció"/>
    <n v="-630"/>
    <x v="3"/>
    <x v="8"/>
    <x v="0"/>
  </r>
  <r>
    <x v="166"/>
    <s v="HUN-MARTONVASAR TESCO 44089 O:NKISZ Vásárlás(2023.10.11) Card:5444-0XXX-XX68-8737 MCC5311 HUN-MARTONVASAR TESCO 44089 O:NKISZ OLG 1.122,00 HUF Kártyatranzakció"/>
    <n v="-1122"/>
    <x v="3"/>
    <x v="4"/>
    <x v="0"/>
  </r>
  <r>
    <x v="166"/>
    <s v="HUN-BARACSKA CSIZ SAJTMUHELY KFT Vásárlás(2023.10.11) Card:5444-0XXX-XX68-8737 MCC5499 HUN-BARACSKA CSIZ SAJTMUHELY KFT 1.420,00 HUF Kártyatranzakció"/>
    <n v="-1420"/>
    <x v="3"/>
    <x v="4"/>
    <x v="0"/>
  </r>
  <r>
    <x v="167"/>
    <s v="HUN-MARTONVASAR MARTON MARKET Vásárlás(2023.10.10) Card:5444-0XXX-XX68-8737 MCC5411 HUN-MARTONVASAR MARTON MARKET 899,00 HUF Kártyatranzakció"/>
    <n v="-899"/>
    <x v="3"/>
    <x v="4"/>
    <x v="0"/>
  </r>
  <r>
    <x v="168"/>
    <s v="HUN-MARTONVASAR TESCO 44089 Vásárlás(2023.10.09) Card:5444-0XXX-XX68-8737 MCC5311 HUN-MARTONVASAR TESCO 44089 838,00 HUF Kártyatranzakció"/>
    <n v="-838"/>
    <x v="3"/>
    <x v="4"/>
    <x v="0"/>
  </r>
  <r>
    <x v="168"/>
    <s v="HUN-MARTONVASAR KEPESVARAZS KFT. Vásárlás(2023.10.09) Card:5444-0XXX-XX68-8737 MCC5111 HUN-MARTONVASAR KEPESVARAZS KFT. 989,00 HUF Kártyatranzakció"/>
    <n v="-989"/>
    <x v="3"/>
    <x v="8"/>
    <x v="0"/>
  </r>
  <r>
    <x v="168"/>
    <s v="MAGYAR ALLAMKINCSTAR BUDAPEST 56.041,00 HUF Vásárlás"/>
    <n v="-56041"/>
    <x v="1"/>
    <x v="26"/>
    <x v="0"/>
  </r>
  <r>
    <x v="168"/>
    <s v="SIMPLE PARKOL S BUDAPEST 232,00 HUF Vásárlás"/>
    <n v="-232"/>
    <x v="5"/>
    <x v="9"/>
    <x v="0"/>
  </r>
  <r>
    <x v="168"/>
    <s v="WHITE HOUSE BUDAPEST 850,00 HUF Vásárlás"/>
    <n v="-850"/>
    <x v="2"/>
    <x v="2"/>
    <x v="0"/>
  </r>
  <r>
    <x v="169"/>
    <s v="PL:P/10OCT23 Tőkefizetés Hitel /21-41194/"/>
    <n v="-218568.63"/>
    <x v="0"/>
    <x v="21"/>
    <x v="0"/>
  </r>
  <r>
    <x v="169"/>
    <s v="Kemal Pasa"/>
    <n v="-2800"/>
    <x v="2"/>
    <x v="2"/>
    <x v="4"/>
  </r>
  <r>
    <x v="169"/>
    <s v="HUN-Budapest cinemacity.hu Vásárlás(2023.10.08) Card:5444-0XXX-XX68-8737 MCC7832 HUN-Budapest cinemacity.hu 5.240,00 HUF Kártyatranzakció"/>
    <n v="-5240"/>
    <x v="6"/>
    <x v="44"/>
    <x v="0"/>
  </r>
  <r>
    <x v="169"/>
    <s v="MAMMUT BEV.KP.PARK.AUT BUDAPEST 2.000,00 HUF Vásárlás"/>
    <n v="-2000"/>
    <x v="5"/>
    <x v="9"/>
    <x v="0"/>
  </r>
  <r>
    <x v="169"/>
    <s v="DECATHLON BUDAORS BUDAORS 29.550,00 HUF Vásárlás"/>
    <n v="-29550"/>
    <x v="3"/>
    <x v="30"/>
    <x v="0"/>
  </r>
  <r>
    <x v="169"/>
    <s v="CINEMA CITY MAMMUT BUDAPEST 2.350,00 HUF Vásárlás"/>
    <n v="-2350"/>
    <x v="6"/>
    <x v="44"/>
    <x v="0"/>
  </r>
  <r>
    <x v="169"/>
    <s v="AUTOMATA TO LTO'A'LLOM KAPOLNASNYEK 44.800,00 HUF Vásárlás"/>
    <n v="-44800"/>
    <x v="5"/>
    <x v="16"/>
    <x v="0"/>
  </r>
  <r>
    <x v="169"/>
    <s v="JAGUAR LAND ROVER HUNGARY KFT. Munkab.r utal.sMunkabér"/>
    <n v="938985"/>
    <x v="4"/>
    <x v="20"/>
    <x v="0"/>
  </r>
  <r>
    <x v="169"/>
    <s v="PL:I/10OCT23 Kamatfizetés  Hitel /21-41194/"/>
    <n v="-43236.16"/>
    <x v="0"/>
    <x v="21"/>
    <x v="0"/>
  </r>
  <r>
    <x v="169"/>
    <s v="PL:P/10OCT23 Tőkefizetés Hitel /21-41194/"/>
    <n v="218568.63"/>
    <x v="0"/>
    <x v="21"/>
    <x v="1"/>
  </r>
  <r>
    <x v="170"/>
    <s v="HUN-BARACSKA CSIZ SAJTMUHELY KFT Vásárlás(2023.10.06) Card:5444-0XXX-XX68-8737 MCC5499 HUN-BARACSKA CSIZ SAJTMUHELY KFT 1.080,00 HUF Kártyatranzakció"/>
    <n v="-1080"/>
    <x v="3"/>
    <x v="4"/>
    <x v="0"/>
  </r>
  <r>
    <x v="170"/>
    <s v="HUN-GARDONY ALDI 5.SZ. Vásárlás(2023.10.05) Card:5444-0XXX-XX68-8737 MCC5411 HUN-GARDONY ALDI 5.SZ. 2.584,00 HUF Kártyatranzakció"/>
    <n v="-2584"/>
    <x v="3"/>
    <x v="4"/>
    <x v="0"/>
  </r>
  <r>
    <x v="170"/>
    <s v="11773353-59010812-00000000 Kovácsné Tonkó Csilla Mária KT-2023-208 Kimenő azonnali megbízás"/>
    <n v="-10000"/>
    <x v="7"/>
    <x v="13"/>
    <x v="0"/>
  </r>
  <r>
    <x v="170"/>
    <s v="HUN-BUDAPEST BARIONP*BARION.COM/GUE Vásárlás(2023.10.06) Card:5444-0XXX-XX68-8737 MCC7299 HUN-BUDAPEST BARIONP*BARION.COM/GUE 10.389,00 HUF Kártyatranzakció"/>
    <n v="-10389"/>
    <x v="7"/>
    <x v="8"/>
    <x v="0"/>
  </r>
  <r>
    <x v="170"/>
    <s v="HUN-BUDAPEST OTPMOBL*SKINSMART.HU Vásárlás(2023.10.06) Card:5444-0XXX-XX68-8737 MCC5977 HUN-BUDAPEST OTPMOBL*SKINSMART.HU 16.990,00 HUF Kártyatranzakció"/>
    <n v="-16990"/>
    <x v="7"/>
    <x v="15"/>
    <x v="0"/>
  </r>
  <r>
    <x v="170"/>
    <s v="HUN-AGARD LIDL ARUHAZ 0306.SZ. Vásárlás(2023.10.05) Card:5444-0XXX-XX68-8737 MCC5411 HUN-AGARD LIDL ARUHAZ 0306.SZ. 22.138,00 HUF Kártyatranzakció"/>
    <n v="-22138"/>
    <x v="3"/>
    <x v="4"/>
    <x v="0"/>
  </r>
  <r>
    <x v="170"/>
    <s v="BRENDON BABAARUHAZ BUDAORS 1.990,00 HUF Vásárlás"/>
    <n v="-1990"/>
    <x v="3"/>
    <x v="3"/>
    <x v="0"/>
  </r>
  <r>
    <x v="170"/>
    <s v="LIDL ARUHAZ 0349.SZ. BUDAORS 9.781,00 HUF Vásárlás"/>
    <n v="-9781"/>
    <x v="3"/>
    <x v="4"/>
    <x v="0"/>
  </r>
  <r>
    <x v="170"/>
    <s v="LIBRI BUDAO RS BUDAORS 2.190,00 HUF Vásárlás"/>
    <n v="-2190"/>
    <x v="3"/>
    <x v="24"/>
    <x v="0"/>
  </r>
  <r>
    <x v="170"/>
    <s v="Cafe Frei ~ Mammut Budapest 240,00 HUF Vásárlás 0,62 EUR"/>
    <n v="-240"/>
    <x v="2"/>
    <x v="19"/>
    <x v="0"/>
  </r>
  <r>
    <x v="170"/>
    <s v="Cafe Frei ~ Mammut Budapest 2.490,00 HUF Vásárlás 6,43 EUR"/>
    <n v="-2490"/>
    <x v="2"/>
    <x v="19"/>
    <x v="0"/>
  </r>
  <r>
    <x v="171"/>
    <s v="Padthai Wokbar"/>
    <n v="-8810"/>
    <x v="2"/>
    <x v="2"/>
    <x v="4"/>
  </r>
  <r>
    <x v="172"/>
    <s v="Burger King Budaörs"/>
    <n v="-5230"/>
    <x v="2"/>
    <x v="2"/>
    <x v="4"/>
  </r>
  <r>
    <x v="173"/>
    <s v="Cr Forgalmi kedvezmény"/>
    <n v="1914"/>
    <x v="1"/>
    <x v="1"/>
    <x v="0"/>
  </r>
  <r>
    <x v="173"/>
    <s v="CCC Tesco Budaörs Budaörs 1.695,00 HUF Vásárlás"/>
    <n v="-1695"/>
    <x v="3"/>
    <x v="4"/>
    <x v="0"/>
  </r>
  <r>
    <x v="173"/>
    <s v="GENERTEL ZRT. A14011838 202309290557019016 10016736752"/>
    <n v="-2418"/>
    <x v="5"/>
    <x v="41"/>
    <x v="0"/>
  </r>
  <r>
    <x v="174"/>
    <s v="Kemal Pasa"/>
    <n v="-5000"/>
    <x v="2"/>
    <x v="2"/>
    <x v="4"/>
  </r>
  <r>
    <x v="174"/>
    <s v="NEW YORK BAGEL KFT."/>
    <n v="-1690"/>
    <x v="2"/>
    <x v="2"/>
    <x v="4"/>
  </r>
  <r>
    <x v="174"/>
    <s v="HUN-MARTONVASAR TESCO 44089 O:NKISZ Vásárlás(2023.10.03) Card:5444-0XXX-XX68-8737 MCC5311 HUN-MARTONVASAR TESCO 44089 O:NKISZ OLG 2.442,00 HUF Kártyatranzakció"/>
    <n v="-2442"/>
    <x v="3"/>
    <x v="4"/>
    <x v="0"/>
  </r>
  <r>
    <x v="174"/>
    <s v="LTU-Vilnius VINTED 7179380234 Vásárlás(2023.10.03) Card:5444-0XXX-XX68-8737 MCC5931 LTU-Vilnius VINTED 7179380234 11.569,00 HUF Kártyatranzakció"/>
    <n v="-11569"/>
    <x v="3"/>
    <x v="3"/>
    <x v="0"/>
  </r>
  <r>
    <x v="175"/>
    <s v="LTU-Vilnius VINTED 7176981479 Vásárlás(2023.10.03) Card:5444-0XXX-XX68-8737 MCC5931 LTU-Vilnius VINTED 7176981479 6.329,00 HUF Kártyatranzakció"/>
    <n v="-6329"/>
    <x v="3"/>
    <x v="3"/>
    <x v="0"/>
  </r>
  <r>
    <x v="175"/>
    <s v="MVM NEXT ENERGIAK BUDAPEST 8.500,00 HUF Vásárlás"/>
    <n v="-8500"/>
    <x v="0"/>
    <x v="22"/>
    <x v="0"/>
  </r>
  <r>
    <x v="175"/>
    <s v="OTPMOBL DIJNET.HU BUDAPEST 43.720,00 HUF Vásárlás"/>
    <n v="-43720"/>
    <x v="0"/>
    <x v="23"/>
    <x v="0"/>
  </r>
  <r>
    <x v="175"/>
    <s v="OTPMOBL TELEKOM2597 BUDAPEST 7.416,00 HUF Vásárlás"/>
    <n v="-7416"/>
    <x v="0"/>
    <x v="7"/>
    <x v="0"/>
  </r>
  <r>
    <x v="175"/>
    <s v="KATIMAMI PE'KSE'G 1 ERD 900,00 HUF Vásárlás"/>
    <n v="-900"/>
    <x v="2"/>
    <x v="19"/>
    <x v="0"/>
  </r>
  <r>
    <x v="175"/>
    <s v="OTPMOBL EON.HU BUDAPEST 26.213,00 HUF Vásárlás"/>
    <n v="-26213"/>
    <x v="0"/>
    <x v="11"/>
    <x v="0"/>
  </r>
  <r>
    <x v="176"/>
    <s v="Catch Burger"/>
    <n v="-3940"/>
    <x v="2"/>
    <x v="2"/>
    <x v="4"/>
  </r>
  <r>
    <x v="176"/>
    <s v="10032000-00282637-00000000 OKTATÁSI HIVATAL MUNKABÉR UTALÁS Bejövő Forint Átutalás"/>
    <n v="243600"/>
    <x v="4"/>
    <x v="20"/>
    <x v="0"/>
  </r>
  <r>
    <x v="176"/>
    <s v="LIDL ARUHAZ 0306.SZ. AGARD 10.595,00 HUF Vásárlás"/>
    <n v="-10595"/>
    <x v="3"/>
    <x v="4"/>
    <x v="0"/>
  </r>
  <r>
    <x v="176"/>
    <s v="OMV 2087 M7 Kajaszo b 2.298,00 HUF Vásárlás"/>
    <n v="-2298"/>
    <x v="2"/>
    <x v="2"/>
    <x v="0"/>
  </r>
  <r>
    <x v="177"/>
    <s v="HUN-BARACSKA CSIZ SAJTMUHELY KFT Vásárlás(2023.09.30) Card:5444-0XXX-XX68-8737 MCC5499 HUN-BARACSKA CSIZ SAJTMUHELY KFT 2.410,00 HUF Kártyatranzakció"/>
    <n v="-2410"/>
    <x v="3"/>
    <x v="4"/>
    <x v="0"/>
  </r>
  <r>
    <x v="177"/>
    <s v="HUN-GARDONY ALDI 5.SZ. Vásárlás(2023.09.30) Card:5444-0XXX-XX68-8737 MCC5411 HUN-GARDONY ALDI 5.SZ. 9.894,00 HUF Kártyatranzakció"/>
    <n v="-9894"/>
    <x v="3"/>
    <x v="4"/>
    <x v="0"/>
  </r>
  <r>
    <x v="177"/>
    <s v="HUN-GARDONY DM 316.SZ. Vásárlás(2023.09.30) Card:5444-0XXX-XX68-8737 MCC5977 HUN-GARDONY DM 316.SZ. 11.613,00 HUF Kártyatranzakció"/>
    <n v="-11613"/>
    <x v="3"/>
    <x v="4"/>
    <x v="0"/>
  </r>
  <r>
    <x v="177"/>
    <s v="HUN-AGARD LIDL ARUHAZ 0306.SZ. Vásárlás(2023.09.30) Card:5444-0XXX-XX68-8737 MCC5411 HUN-AGARD LIDL ARUHAZ 0306.SZ. 13.771,00 HUF Kártyatranzakció"/>
    <n v="-13771"/>
    <x v="3"/>
    <x v="4"/>
    <x v="0"/>
  </r>
  <r>
    <x v="177"/>
    <s v="Kamatado"/>
    <n v="-6.04"/>
    <x v="1"/>
    <x v="1"/>
    <x v="0"/>
  </r>
  <r>
    <x v="177"/>
    <s v="Kamatado"/>
    <n v="-5.23"/>
    <x v="1"/>
    <x v="1"/>
    <x v="0"/>
  </r>
  <r>
    <x v="177"/>
    <s v="LIDL ARUHAZ 0167.SZ. BUDAPEST 11.558,00 HUF Vásárlás"/>
    <n v="-11558"/>
    <x v="3"/>
    <x v="4"/>
    <x v="0"/>
  </r>
  <r>
    <x v="177"/>
    <s v="VIANNI U ZLET MARTONVASAR 2.268,00 HUF Vásárlás"/>
    <n v="-2268"/>
    <x v="3"/>
    <x v="4"/>
    <x v="0"/>
  </r>
  <r>
    <x v="177"/>
    <s v="OMV 2081 Budapest Kac 10.014,00 HUF Vásárlás"/>
    <n v="-10014"/>
    <x v="5"/>
    <x v="16"/>
    <x v="0"/>
  </r>
  <r>
    <x v="177"/>
    <s v="ALDI 35.SZ. DUNAHARASZTI 1.759,00 HUF Vásárlás"/>
    <n v="-1759"/>
    <x v="3"/>
    <x v="4"/>
    <x v="0"/>
  </r>
  <r>
    <x v="177"/>
    <s v="SIMPLE PARKOL S BUDAPEST 184,00 HUF Vásárlás"/>
    <n v="-184"/>
    <x v="5"/>
    <x v="9"/>
    <x v="0"/>
  </r>
  <r>
    <x v="177"/>
    <s v="SZE'KESFEH. MVVH SZEKESFEHERV 30.035,00 HUF Vásárlás"/>
    <n v="-30035"/>
    <x v="7"/>
    <x v="17"/>
    <x v="0"/>
  </r>
  <r>
    <x v="177"/>
    <s v="Kamat"/>
    <n v="40.24"/>
    <x v="1"/>
    <x v="1"/>
    <x v="0"/>
  </r>
  <r>
    <x v="178"/>
    <s v="Postakocsi Italiano Kft."/>
    <n v="-4335"/>
    <x v="2"/>
    <x v="2"/>
    <x v="4"/>
  </r>
  <r>
    <x v="179"/>
    <s v="Int.Appl. to   30/09/23"/>
    <n v="15.2"/>
    <x v="1"/>
    <x v="1"/>
    <x v="0"/>
  </r>
  <r>
    <x v="179"/>
    <s v="SZOCHO to      30/09/23"/>
    <n v="-1.97"/>
    <x v="1"/>
    <x v="1"/>
    <x v="0"/>
  </r>
  <r>
    <x v="179"/>
    <s v="CRT to         30/09/23"/>
    <n v="-2.28"/>
    <x v="1"/>
    <x v="1"/>
    <x v="0"/>
  </r>
  <r>
    <x v="179"/>
    <s v="Havi zárlati díj"/>
    <n v="-2222"/>
    <x v="1"/>
    <x v="1"/>
    <x v="0"/>
  </r>
  <r>
    <x v="180"/>
    <s v="LO-RE 2005 Kft Solymr 1.200,00 HUF Vásárlás 3,07 EUR"/>
    <n v="-1200"/>
    <x v="5"/>
    <x v="18"/>
    <x v="0"/>
  </r>
  <r>
    <x v="181"/>
    <s v="Engel Budapest Étterem"/>
    <n v="-2490"/>
    <x v="2"/>
    <x v="2"/>
    <x v="4"/>
  </r>
  <r>
    <x v="181"/>
    <s v="Café Frei Budapest - Nordic Light"/>
    <n v="-3180"/>
    <x v="2"/>
    <x v="2"/>
    <x v="4"/>
  </r>
  <r>
    <x v="181"/>
    <s v="NEW YORK BAGEL KFT."/>
    <n v="-1690"/>
    <x v="2"/>
    <x v="2"/>
    <x v="4"/>
  </r>
  <r>
    <x v="181"/>
    <s v="HUN-MARTONVASAR MARTON MARKET Vásárlás(2023.09.26) Card:5444-0XXX-XX68-8737 MCC5411 HUN-MARTONVASAR MARTON MARKET 899,00 HUF Kártyatranzakció"/>
    <n v="-899"/>
    <x v="3"/>
    <x v="4"/>
    <x v="0"/>
  </r>
  <r>
    <x v="181"/>
    <s v="LTU-Vilnius VINTED 7114814778 Vásárlás(2023.09.26) Card:5444-0XXX-XX68-8737 MCC5931 LTU-Vilnius VINTED 7114814778 7.630,00 HUF Kártyatranzakció"/>
    <n v="-7630"/>
    <x v="3"/>
    <x v="3"/>
    <x v="0"/>
  </r>
  <r>
    <x v="181"/>
    <s v="HUN-MARTONVASAR MARTON KLINIK Vásárlás(2023.09.26) Card:5444-0XXX-XX68-8737 MCC8099 HUN-MARTONVASAR MARTON KLINIK 20.000,00 HUF Kártyatranzakció"/>
    <n v="-20000"/>
    <x v="7"/>
    <x v="17"/>
    <x v="0"/>
  </r>
  <r>
    <x v="181"/>
    <s v="Netflix.com Los Gatos 3.490,00 HUF Vásárlás 8,94 EUR"/>
    <n v="-3490"/>
    <x v="0"/>
    <x v="7"/>
    <x v="0"/>
  </r>
  <r>
    <x v="182"/>
    <s v="TEPSI"/>
    <n v="-6940"/>
    <x v="2"/>
    <x v="2"/>
    <x v="4"/>
  </r>
  <r>
    <x v="182"/>
    <s v="Béresalexandra"/>
    <n v="-6270"/>
    <x v="2"/>
    <x v="2"/>
    <x v="4"/>
  </r>
  <r>
    <x v="183"/>
    <s v="Falatozz.hu"/>
    <n v="-4680"/>
    <x v="2"/>
    <x v="2"/>
    <x v="4"/>
  </r>
  <r>
    <x v="183"/>
    <s v="BIZDERI CSABA Sövényvágó"/>
    <n v="11000"/>
    <x v="3"/>
    <x v="31"/>
    <x v="0"/>
  </r>
  <r>
    <x v="184"/>
    <s v="HUN-GARDONY CSASZI2020 KFT. Vásárlás(2023.09.23) Card:5444-0XXX-XX68-8737 MCC5411 HUN-GARDONY CSASZI2020 KFT. 1.699,00 HUF Kártyatranzakció"/>
    <n v="-1699"/>
    <x v="3"/>
    <x v="4"/>
    <x v="0"/>
  </r>
  <r>
    <x v="184"/>
    <s v="HUN-ERD SALON PARTNERS KFT Vásárlás(2023.09.21) Card:5444-0XXX-XX68-8737 MCC5977 HUN-ERD SALON PARTNERS KFT 25.460,00 HUF Kártyatranzakció"/>
    <n v="-25460"/>
    <x v="3"/>
    <x v="4"/>
    <x v="0"/>
  </r>
  <r>
    <x v="184"/>
    <s v="LIDL ARUHAZ 0306.SZ. AGARD 17.391,00 HUF Vásárlás"/>
    <n v="-17391"/>
    <x v="3"/>
    <x v="4"/>
    <x v="0"/>
  </r>
  <r>
    <x v="184"/>
    <s v="TESCO 44089 O NKISZOLG MARTONVASAR 1.668,00 HUF Vásárlás"/>
    <n v="-1668"/>
    <x v="3"/>
    <x v="4"/>
    <x v="0"/>
  </r>
  <r>
    <x v="184"/>
    <s v="IKEA BUDAORS UGYFE Budaors 6.720,00 HUF Vásárlás"/>
    <n v="-6720"/>
    <x v="0"/>
    <x v="35"/>
    <x v="0"/>
  </r>
  <r>
    <x v="184"/>
    <s v="SKYSHOWTIME CFFB5 HU Amsterdam 999,00 HUF Vásárlás 2,58 EUR"/>
    <n v="-999"/>
    <x v="0"/>
    <x v="7"/>
    <x v="0"/>
  </r>
  <r>
    <x v="185"/>
    <s v="TEPSI"/>
    <n v="-6580"/>
    <x v="2"/>
    <x v="2"/>
    <x v="4"/>
  </r>
  <r>
    <x v="185"/>
    <s v="Burger King ÉRD"/>
    <n v="-6200"/>
    <x v="2"/>
    <x v="2"/>
    <x v="4"/>
  </r>
  <r>
    <x v="185"/>
    <s v="eMAG.hu Budapest 17.698,00 HUF Vásárlás"/>
    <n v="-17698"/>
    <x v="3"/>
    <x v="4"/>
    <x v="0"/>
  </r>
  <r>
    <x v="185"/>
    <s v="CSIZ SAJTMUHELY KFT BARACSKA 1.300,00 HUF Vásárlás"/>
    <n v="-1300"/>
    <x v="3"/>
    <x v="4"/>
    <x v="0"/>
  </r>
  <r>
    <x v="186"/>
    <s v="Foodora.hu"/>
    <n v="-8279"/>
    <x v="2"/>
    <x v="2"/>
    <x v="4"/>
  </r>
  <r>
    <x v="187"/>
    <s v="JAGUAR LAND ROVER HUNGARY KFT."/>
    <n v="31960"/>
    <x v="4"/>
    <x v="20"/>
    <x v="4"/>
  </r>
  <r>
    <x v="187"/>
    <s v="HUN-MARTONVASAR MARTON MARKET Vásárlás(2023.09.18) Card:5444-0XXX-XX68-8737 MCC5411 HUN-MARTONVASAR MARTON MARKET 388,00 HUF Kártyatranzakció"/>
    <n v="-388"/>
    <x v="3"/>
    <x v="4"/>
    <x v="0"/>
  </r>
  <r>
    <x v="187"/>
    <s v="HUN-BUDAORS MEDICINA PATIKA Vásárlás(2023.09.18) Card:5444-0XXX-XX68-8737 MCC5912 HUN-BUDAORS MEDICINA PATIKA 1.179,00 HUF Kártyatranzakció"/>
    <n v="-1179"/>
    <x v="7"/>
    <x v="5"/>
    <x v="0"/>
  </r>
  <r>
    <x v="187"/>
    <s v="11773339-01631223-00000000 Rácz Irén Karsai Adrienn fenyőrügy tea Kimenő azonnali megbízás"/>
    <n v="-1700"/>
    <x v="7"/>
    <x v="14"/>
    <x v="0"/>
  </r>
  <r>
    <x v="187"/>
    <s v="HUN-BUDAORS MEDICINA PATIKA Vásárlás(2023.09.18) Card:5444-0XXX-XX68-8737 MCC5912 HUN-BUDAORS MEDICINA PATIKA 8.711,00 HUF Kártyatranzakció"/>
    <n v="-8711"/>
    <x v="7"/>
    <x v="5"/>
    <x v="0"/>
  </r>
  <r>
    <x v="187"/>
    <s v="DM 311.SZ. BUDAORS 19.567,00 HUF Vásárlás"/>
    <n v="-19567"/>
    <x v="3"/>
    <x v="4"/>
    <x v="0"/>
  </r>
  <r>
    <x v="187"/>
    <s v="ALDI 156.SZ. BUDAORS 5.767,00 HUF Vásárlás"/>
    <n v="-5767"/>
    <x v="3"/>
    <x v="4"/>
    <x v="0"/>
  </r>
  <r>
    <x v="187"/>
    <s v="AUCHAN BUDAORS BUDAORS 10.502,00 HUF Vásárlás"/>
    <n v="-10502"/>
    <x v="3"/>
    <x v="4"/>
    <x v="0"/>
  </r>
  <r>
    <x v="187"/>
    <s v="CSIZ SAJTMUHELY KFT BARACSKA 1.530,00 HUF Vásárlás"/>
    <n v="-1530"/>
    <x v="3"/>
    <x v="4"/>
    <x v="0"/>
  </r>
  <r>
    <x v="188"/>
    <s v="HUN-MARTONVASAR MARTON MARKET Vásárlás(2023.09.16) Card:5444-0XXX-XX68-8737 MCC5411 HUN-MARTONVASAR MARTON MARKET 1.446,00 HUF Kártyatranzakció"/>
    <n v="-1446"/>
    <x v="3"/>
    <x v="4"/>
    <x v="0"/>
  </r>
  <r>
    <x v="188"/>
    <s v="HUN-BARACSKA CSIZ SAJTMUHELY KFT Vásárlás(2023.09.16) Card:5444-0XXX-XX68-8737 MCC5499 HUN-BARACSKA CSIZ SAJTMUHELY KFT 1.930,00 HUF Kártyatranzakció"/>
    <n v="-1930"/>
    <x v="3"/>
    <x v="4"/>
    <x v="0"/>
  </r>
  <r>
    <x v="188"/>
    <s v="SZENT KERESZT GYO'GYSZ RACKERESZTUR 3.032,00 HUF Vásárlás"/>
    <n v="-3032"/>
    <x v="7"/>
    <x v="5"/>
    <x v="0"/>
  </r>
  <r>
    <x v="188"/>
    <s v="MARTON FRUIT MARTONVASAR 968,00 HUF Vásárlás"/>
    <n v="-968"/>
    <x v="3"/>
    <x v="4"/>
    <x v="0"/>
  </r>
  <r>
    <x v="188"/>
    <s v="SPAR PARTNER 6920220 ERCSI 12.459,00 HUF Vásárlás"/>
    <n v="-12459"/>
    <x v="3"/>
    <x v="4"/>
    <x v="0"/>
  </r>
  <r>
    <x v="188"/>
    <s v="MARTON FRUIT MARTONVASAR 1.115,00 HUF Vásárlás"/>
    <n v="-1115"/>
    <x v="3"/>
    <x v="4"/>
    <x v="0"/>
  </r>
  <r>
    <x v="188"/>
    <s v="TESCO 44089 O NKISZOLG MARTONVASAR 581,00 HUF Vásárlás"/>
    <n v="-581"/>
    <x v="3"/>
    <x v="4"/>
    <x v="0"/>
  </r>
  <r>
    <x v="188"/>
    <s v="SESZTAK OPTIKA MARTONVASAR 600,00 HUF Vásárlás"/>
    <n v="-600"/>
    <x v="7"/>
    <x v="27"/>
    <x v="0"/>
  </r>
  <r>
    <x v="188"/>
    <s v="DISNEY PLUS AMSTERDAM 599,00 HUF Vásárlás 1,56 EUR"/>
    <n v="-599"/>
    <x v="0"/>
    <x v="7"/>
    <x v="0"/>
  </r>
  <r>
    <x v="188"/>
    <s v="Medicz Gyogyszertar Martonvasar 3.908,00 HUF Vásárlás 10,18 EUR"/>
    <n v="-3908"/>
    <x v="7"/>
    <x v="5"/>
    <x v="0"/>
  </r>
  <r>
    <x v="189"/>
    <s v="Martonvásár Város Önkormányzata 8325"/>
    <n v="-22500"/>
    <x v="0"/>
    <x v="0"/>
    <x v="0"/>
  </r>
  <r>
    <x v="190"/>
    <s v="Drago Rosso Pizzéria, Étterem"/>
    <n v="-3590"/>
    <x v="2"/>
    <x v="2"/>
    <x v="4"/>
  </r>
  <r>
    <x v="190"/>
    <s v="11773360-00508285-00000000 Veing Zsuzsanna Kimenő azonnali megbízás"/>
    <n v="-3700"/>
    <x v="7"/>
    <x v="14"/>
    <x v="0"/>
  </r>
  <r>
    <x v="191"/>
    <s v="Drago Rosso Pizzéria, Étterem"/>
    <n v="-3990"/>
    <x v="2"/>
    <x v="2"/>
    <x v="4"/>
  </r>
  <r>
    <x v="191"/>
    <s v="LIDL ARUHAZ 0349.SZ. BUDAORS 18.597,00 HUF Vásárlás"/>
    <n v="-18597"/>
    <x v="3"/>
    <x v="4"/>
    <x v="0"/>
  </r>
  <r>
    <x v="191"/>
    <s v="BRENDON BABAARUHAZ BUDAORS 47.828,00 HUF Vásárlás"/>
    <n v="-47828"/>
    <x v="3"/>
    <x v="3"/>
    <x v="0"/>
  </r>
  <r>
    <x v="191"/>
    <s v="CSIZ SAJTMUHELY KFT BARACSKA 2.920,00 HUF Vásárlás"/>
    <n v="-2920"/>
    <x v="3"/>
    <x v="4"/>
    <x v="0"/>
  </r>
  <r>
    <x v="191"/>
    <s v="OTPMOBL NAV Mobil app. BUDAPEST 24.630,00 HUF Vásárlás"/>
    <n v="-24630"/>
    <x v="5"/>
    <x v="33"/>
    <x v="0"/>
  </r>
  <r>
    <x v="191"/>
    <s v="SZENT KERESZT GYO'GYSZ RACKERESZTUR 15.635,00 HUF Vásárlás"/>
    <n v="-15635"/>
    <x v="7"/>
    <x v="5"/>
    <x v="0"/>
  </r>
  <r>
    <x v="191"/>
    <s v="MEDICINA PATIKA BUDAORS 7.759,00 HUF Vásárlás"/>
    <n v="-7759"/>
    <x v="7"/>
    <x v="5"/>
    <x v="0"/>
  </r>
  <r>
    <x v="192"/>
    <s v="VIANNI U ZLET MARTONVASAR 1.000,00 HUF Vásárlás"/>
    <n v="-1000"/>
    <x v="3"/>
    <x v="4"/>
    <x v="0"/>
  </r>
  <r>
    <x v="192"/>
    <s v="OTPMOBL DIJNET.HU BUDAPEST 6.944,00 HUF Vásárlás"/>
    <n v="-6944"/>
    <x v="0"/>
    <x v="23"/>
    <x v="0"/>
  </r>
  <r>
    <x v="192"/>
    <s v="MVM NEXT ENERGIAK BUDAPEST 1.495,00 HUF Vásárlás"/>
    <n v="-1495"/>
    <x v="0"/>
    <x v="22"/>
    <x v="0"/>
  </r>
  <r>
    <x v="192"/>
    <s v="VIANNI U ZLET MARTONVASAR 3.938,00 HUF Vásárlás"/>
    <n v="-3938"/>
    <x v="3"/>
    <x v="4"/>
    <x v="0"/>
  </r>
  <r>
    <x v="193"/>
    <s v="Burger King ÉRD"/>
    <n v="-7920"/>
    <x v="2"/>
    <x v="2"/>
    <x v="4"/>
  </r>
  <r>
    <x v="193"/>
    <s v="DM 316.SZ. GARDONY 5.103,00 HUF Vásárlás"/>
    <n v="-5103"/>
    <x v="3"/>
    <x v="4"/>
    <x v="0"/>
  </r>
  <r>
    <x v="193"/>
    <s v="AUTOMATA TO LTO'A'LLOM KAPOLNASNYEK 40.000,00 HUF Vásárlás"/>
    <n v="-40000"/>
    <x v="5"/>
    <x v="16"/>
    <x v="0"/>
  </r>
  <r>
    <x v="193"/>
    <s v="LIDL ARUHAZ 0306.SZ. AGARD 12.553,00 HUF Vásárlás"/>
    <n v="-12553"/>
    <x v="3"/>
    <x v="4"/>
    <x v="0"/>
  </r>
  <r>
    <x v="193"/>
    <s v="LIDL ARUHAZ 0117.SZ. SZEKESFEHERV 3.897,00 HUF Vásárlás"/>
    <n v="-3897"/>
    <x v="3"/>
    <x v="4"/>
    <x v="0"/>
  </r>
  <r>
    <x v="193"/>
    <s v="ALDI 5.SZ. GARDONY 6.196,00 HUF Vásárlás"/>
    <n v="-6196"/>
    <x v="3"/>
    <x v="4"/>
    <x v="0"/>
  </r>
  <r>
    <x v="193"/>
    <s v="TESCO 44089 MARTONVASAR 2.249,00 HUF Vásárlás"/>
    <n v="-2249"/>
    <x v="3"/>
    <x v="4"/>
    <x v="0"/>
  </r>
  <r>
    <x v="193"/>
    <s v="127.COOP SZUPER 1. MARTONVASAR 458,00 HUF Vásárlás"/>
    <n v="-458"/>
    <x v="3"/>
    <x v="4"/>
    <x v="0"/>
  </r>
  <r>
    <x v="194"/>
    <s v="HUN-GARDONY CSASZI2020 KFT. Vásárlás(2023.09.07) Card:5444-0XXX-XX68-8737 MCC5411 HUN-GARDONY CSASZI2020 KFT. 948,00 HUF Kártyatranzakció"/>
    <n v="-948"/>
    <x v="3"/>
    <x v="4"/>
    <x v="0"/>
  </r>
  <r>
    <x v="194"/>
    <s v="HUN-BARACSKA CSIZ SAJTMUHELY KFT Vásárlás(2023.09.09) Card:5444-0XXX-XX68-8737 MCC5499 HUN-BARACSKA CSIZ SAJTMUHELY KFT 4.485,00 HUF Kártyatranzakció"/>
    <n v="-4485"/>
    <x v="3"/>
    <x v="4"/>
    <x v="0"/>
  </r>
  <r>
    <x v="194"/>
    <s v="HUN-AGARD LIDL ARUHAZ 0306.SZ. Vásárlás(2023.09.07) Card:5444-0XXX-XX68-8737 MCC5411 HUN-AGARD LIDL ARUHAZ 0306.SZ. 14.084,00 HUF Kártyatranzakció"/>
    <n v="-14084"/>
    <x v="3"/>
    <x v="4"/>
    <x v="0"/>
  </r>
  <r>
    <x v="194"/>
    <s v="HUN-GARDONY DM 316.SZ. Vásárlás(2023.09.07) Card:5444-0XXX-XX68-8737 MCC5977 HUN-GARDONY DM 316.SZ. 17.469,00 HUF Kártyatranzakció"/>
    <n v="-17469"/>
    <x v="3"/>
    <x v="4"/>
    <x v="0"/>
  </r>
  <r>
    <x v="194"/>
    <s v="HUN-GARDONY ALDI 5.SZ. Vásárlás(2023.09.07) Card:5444-0XXX-XX68-8737 MCC5411 HUN-GARDONY ALDI 5.SZ. 23.426,00 HUF Kártyatranzakció"/>
    <n v="-23426"/>
    <x v="3"/>
    <x v="4"/>
    <x v="0"/>
  </r>
  <r>
    <x v="194"/>
    <s v="SKYLIGHT BA'R BUDAPEST 5.509,00 HUF Vásárlás"/>
    <n v="-5509"/>
    <x v="6"/>
    <x v="40"/>
    <x v="0"/>
  </r>
  <r>
    <x v="194"/>
    <s v="OTPMOBL VIMPAY.MAV-STA BUDAPEST 570,00 HUF Vásárlás"/>
    <n v="-570"/>
    <x v="5"/>
    <x v="28"/>
    <x v="0"/>
  </r>
  <r>
    <x v="194"/>
    <s v="OTPMOBL VIMPAY.MAV-STA BUDAPEST 570,00 HUF Vásárlás"/>
    <n v="-570"/>
    <x v="5"/>
    <x v="28"/>
    <x v="0"/>
  </r>
  <r>
    <x v="194"/>
    <s v="SIMPLE MOBILJEGY BUDAPEST 1.350,00 HUF Vásárlás"/>
    <n v="-1350"/>
    <x v="5"/>
    <x v="28"/>
    <x v="0"/>
  </r>
  <r>
    <x v="194"/>
    <s v="A GRUND BUDAPEST 2.200,00 HUF Vásárlás"/>
    <n v="-2200"/>
    <x v="6"/>
    <x v="40"/>
    <x v="0"/>
  </r>
  <r>
    <x v="194"/>
    <s v="SKYLIGHT BA'R BUDAPEST 1.350,00 HUF Vásárlás"/>
    <n v="-1350"/>
    <x v="6"/>
    <x v="40"/>
    <x v="0"/>
  </r>
  <r>
    <x v="194"/>
    <s v="M.PETROL E'RD AUTOMATA ERD 9.990,00 HUF Vásárlás"/>
    <n v="-9990"/>
    <x v="5"/>
    <x v="16"/>
    <x v="0"/>
  </r>
  <r>
    <x v="194"/>
    <s v="AUTOMATA TO LTO'A'LLOM KAPOLNASNYEK 28.403,00 HUF Vásárlás"/>
    <n v="-28403"/>
    <x v="5"/>
    <x v="16"/>
    <x v="0"/>
  </r>
  <r>
    <x v="195"/>
    <s v="PL:P/10SEP23 Tőkefizetés Hitel /21-41194/"/>
    <n v="-216687.07"/>
    <x v="0"/>
    <x v="21"/>
    <x v="0"/>
  </r>
  <r>
    <x v="195"/>
    <s v="11773353-59010812-00000000 Kovácsné Tonkó Csilla Mária KT-2023-182 Kimenő azonnali megbízás"/>
    <n v="-10000"/>
    <x v="7"/>
    <x v="13"/>
    <x v="0"/>
  </r>
  <r>
    <x v="195"/>
    <s v="PL:I/10SEP23 Kamatfizetés  Hitel /21-41194/"/>
    <n v="-45117.72"/>
    <x v="0"/>
    <x v="21"/>
    <x v="0"/>
  </r>
  <r>
    <x v="195"/>
    <s v="PL:P/10SEP23 Tőkefizetés Hitel /21-41194/"/>
    <n v="216687.07"/>
    <x v="0"/>
    <x v="21"/>
    <x v="1"/>
  </r>
  <r>
    <x v="196"/>
    <s v="JIU JIU CENTER KFT. BUDAPEST 1.900,00 HUF Vásárlás"/>
    <n v="-1900"/>
    <x v="3"/>
    <x v="4"/>
    <x v="0"/>
  </r>
  <r>
    <x v="196"/>
    <s v="JAGUAR LAND ROVER HUNGARY KFT. Munkab.r utal.sMunkabér"/>
    <n v="1094135"/>
    <x v="4"/>
    <x v="20"/>
    <x v="0"/>
  </r>
  <r>
    <x v="197"/>
    <s v="Advance Kantin"/>
    <n v="-3100"/>
    <x v="2"/>
    <x v="2"/>
    <x v="4"/>
  </r>
  <r>
    <x v="197"/>
    <s v="NEW YORK BAGEL KFT."/>
    <n v="-1640"/>
    <x v="2"/>
    <x v="2"/>
    <x v="4"/>
  </r>
  <r>
    <x v="197"/>
    <s v="Kemal Pasa Torok Et Budapest 2.800,00 HUF Vásárlás"/>
    <n v="-2800"/>
    <x v="2"/>
    <x v="2"/>
    <x v="0"/>
  </r>
  <r>
    <x v="197"/>
    <s v="SPAR 0167 BUDAPEST 999,00 HUF Vásárlás"/>
    <n v="-999"/>
    <x v="3"/>
    <x v="4"/>
    <x v="0"/>
  </r>
  <r>
    <x v="198"/>
    <s v="HUN-BARACSKA CSIZ SAJTMUHELY KFT Vásárlás(2023.09.05) Card:5444-0XXX-XX68-8737 MCC5499 HUN-BARACSKA CSIZ SAJTMUHELY KFT 1.270,00 HUF Kártyatranzakció"/>
    <n v="-1270"/>
    <x v="3"/>
    <x v="4"/>
    <x v="0"/>
  </r>
  <r>
    <x v="198"/>
    <s v="ATM1063 RERD 2030 ERD 40.000,00 HUF Kp felvét"/>
    <n v="-40000"/>
    <x v="5"/>
    <x v="45"/>
    <x v="0"/>
  </r>
  <r>
    <x v="198"/>
    <s v="Automos rd Disd 2.000,00 HUF Vásárlás 5,21 EUR"/>
    <n v="-2000"/>
    <x v="5"/>
    <x v="18"/>
    <x v="0"/>
  </r>
  <r>
    <x v="198"/>
    <s v="GENERTEL ZRT. A14011838 202308300353625293 10016736752"/>
    <n v="-32650"/>
    <x v="5"/>
    <x v="41"/>
    <x v="0"/>
  </r>
  <r>
    <x v="199"/>
    <s v="Cr Forgalmi kedvezmény"/>
    <n v="1914"/>
    <x v="1"/>
    <x v="1"/>
    <x v="0"/>
  </r>
  <r>
    <x v="199"/>
    <s v="Nhkv 16252513"/>
    <n v="-9134"/>
    <x v="0"/>
    <x v="38"/>
    <x v="0"/>
  </r>
  <r>
    <x v="200"/>
    <s v="10032000-00282637-00000000 OKTATÁSI HIVATAL MUNKABÉR UTALÁS Bejövő Forint Átutalás"/>
    <n v="243600"/>
    <x v="4"/>
    <x v="20"/>
    <x v="0"/>
  </r>
  <r>
    <x v="200"/>
    <s v="IRL-CORK APPLE.COM/BILL Vásárlás(2023.08.31) Card:5444-0XXX-XX68-8737 MCC5735 IRL-CORK APPLE.COM/BILL 2.790,00 HUF Kártyatranzakció"/>
    <n v="-2790"/>
    <x v="0"/>
    <x v="7"/>
    <x v="0"/>
  </r>
  <r>
    <x v="200"/>
    <s v="HUN-BUDAPEST OTPMOBL*PINGVINPATIKA. Vásárlás(2023.09.01) Card:5444-0XXX-XX68-8737 MCC5912 HUN-BUDAPEST OTPMOBL*PINGVINPATIKA. 9.364,00 HUF Kártyatranzakció"/>
    <n v="-9364"/>
    <x v="7"/>
    <x v="5"/>
    <x v="0"/>
  </r>
  <r>
    <x v="200"/>
    <s v="KAROLINA KAVEHAZ BALATONFURED 1.930,00 HUF Vásárlás"/>
    <n v="-1930"/>
    <x v="2"/>
    <x v="10"/>
    <x v="0"/>
  </r>
  <r>
    <x v="200"/>
    <s v="KAROLINA KAVEHAZ BALATONFURED 21.579,00 HUF Vásárlás"/>
    <n v="-21579"/>
    <x v="2"/>
    <x v="10"/>
    <x v="0"/>
  </r>
  <r>
    <x v="200"/>
    <s v="DM 316.SZ. GARDONY 5.594,00 HUF Vásárlás"/>
    <n v="-5594"/>
    <x v="3"/>
    <x v="4"/>
    <x v="0"/>
  </r>
  <r>
    <x v="200"/>
    <s v="LIDL ARUHAZ 0306.SZ. AGARD 7.602,00 HUF Vásárlás"/>
    <n v="-7602"/>
    <x v="3"/>
    <x v="4"/>
    <x v="0"/>
  </r>
  <r>
    <x v="200"/>
    <s v="ALDI 5.SZ. GARDONY 12.629,00 HUF Vásárlás"/>
    <n v="-12629"/>
    <x v="3"/>
    <x v="4"/>
    <x v="0"/>
  </r>
  <r>
    <x v="200"/>
    <s v="KAROLINA KAVEHAZ BALATONFURED 6.250,00 HUF Vásárlás"/>
    <n v="-6250"/>
    <x v="2"/>
    <x v="10"/>
    <x v="0"/>
  </r>
  <r>
    <x v="200"/>
    <s v="KEPESVARAZS KFT. MARTONVASAR 3.456,00 HUF Vásárlás"/>
    <n v="-3456"/>
    <x v="3"/>
    <x v="8"/>
    <x v="0"/>
  </r>
  <r>
    <x v="201"/>
    <s v="Havi zárlati díj"/>
    <n v="-2222"/>
    <x v="1"/>
    <x v="1"/>
    <x v="0"/>
  </r>
  <r>
    <x v="201"/>
    <s v="OTP MARTONVASAR 50.000,00 HUF Kp felvét"/>
    <n v="-1012"/>
    <x v="1"/>
    <x v="1"/>
    <x v="0"/>
  </r>
  <r>
    <x v="201"/>
    <s v="OTP MARTONVASAR 100.000,00 HUF Kp felvét"/>
    <n v="-1600"/>
    <x v="1"/>
    <x v="1"/>
    <x v="0"/>
  </r>
  <r>
    <x v="201"/>
    <s v="OTP MARTONVASAR 50.000,00 HUF Kp felvét"/>
    <n v="-90000"/>
    <x v="5"/>
    <x v="36"/>
    <x v="2"/>
  </r>
  <r>
    <x v="201"/>
    <s v="OTP MARTONVASAR 50.000,00 HUF Kp felvét"/>
    <n v="-50000"/>
    <x v="5"/>
    <x v="36"/>
    <x v="0"/>
  </r>
  <r>
    <x v="201"/>
    <s v="OTP MARTONVASAR 100.000,00 HUF Kp felvét"/>
    <n v="-100000"/>
    <x v="5"/>
    <x v="36"/>
    <x v="0"/>
  </r>
  <r>
    <x v="201"/>
    <s v="TESCO 44089 O NKISZOLG MARTONVASAR 1.434,00 HUF Vásárlás"/>
    <n v="-1434"/>
    <x v="3"/>
    <x v="4"/>
    <x v="0"/>
  </r>
  <r>
    <x v="202"/>
    <s v="Drago Rosso Pizzéria, Étterem"/>
    <n v="-3590"/>
    <x v="2"/>
    <x v="2"/>
    <x v="4"/>
  </r>
  <r>
    <x v="202"/>
    <s v="HUN-Martonvasar MEDICZ PATIKA Vásárlás(2023.08.28) Card:5444-0XXX-XX68-8737 MCC5912 HUN-Martonvasar MEDICZ PATIKA 919,00 HUF Kártyatranzakció"/>
    <n v="-919"/>
    <x v="7"/>
    <x v="5"/>
    <x v="0"/>
  </r>
  <r>
    <x v="202"/>
    <s v="CSIZ SAJTMUHELY KFT BARACSKA 1.420,00 HUF Vásárlás"/>
    <n v="-1420"/>
    <x v="3"/>
    <x v="4"/>
    <x v="0"/>
  </r>
  <r>
    <x v="203"/>
    <s v="TELEKOMSZAML 616601512 BUDAPEST 7.416,00 HUF Vásárlás 19,37 EUR"/>
    <n v="-7416"/>
    <x v="0"/>
    <x v="7"/>
    <x v="0"/>
  </r>
  <r>
    <x v="204"/>
    <s v="HUN-VELENCE VELENCE GYOGYSZERTAR Vásárlás(2023.08.26) Card:5444-0XXX-XX68-8737 MCC5912 HUN-VELENCE VELENCE GYOGYSZERTAR 2.890,00 HUF Kártyatranzakció"/>
    <n v="-2890"/>
    <x v="7"/>
    <x v="5"/>
    <x v="0"/>
  </r>
  <r>
    <x v="204"/>
    <s v="HUN-VELENCE VELENCE GYOGYSZERTAR Vásárlás(2023.08.26) Card:5444-0XXX-XX68-8737 MCC5912 HUN-VELENCE VELENCE GYOGYSZERTAR 9.269,00 HUF Kártyatranzakció"/>
    <n v="-9269"/>
    <x v="7"/>
    <x v="5"/>
    <x v="0"/>
  </r>
  <r>
    <x v="204"/>
    <s v="MERX A'RUHA'Z GARDONY 390,00 HUF Vásárlás"/>
    <n v="-390"/>
    <x v="3"/>
    <x v="4"/>
    <x v="0"/>
  </r>
  <r>
    <x v="204"/>
    <s v="LIDL ARUHAZ 0306.SZ. AGARD 15.495,00 HUF Vásárlás"/>
    <n v="-15495"/>
    <x v="3"/>
    <x v="4"/>
    <x v="0"/>
  </r>
  <r>
    <x v="204"/>
    <s v="BOHACS BARKACS ERD 17.196,00 HUF Vásárlás"/>
    <n v="-17196"/>
    <x v="0"/>
    <x v="6"/>
    <x v="0"/>
  </r>
  <r>
    <x v="204"/>
    <s v="MARTON FRUIT MARTONVASAR 199,00 HUF Vásárlás"/>
    <n v="-199"/>
    <x v="3"/>
    <x v="4"/>
    <x v="0"/>
  </r>
  <r>
    <x v="204"/>
    <s v="TESCO 44089 O NKISZOLG MARTONVASAR 2.369,00 HUF Vásárlás"/>
    <n v="-2369"/>
    <x v="3"/>
    <x v="4"/>
    <x v="0"/>
  </r>
  <r>
    <x v="204"/>
    <s v="CSIZ SAJTMUHELY KFT BARACSKA 4.390,00 HUF Vásárlás"/>
    <n v="-4390"/>
    <x v="3"/>
    <x v="4"/>
    <x v="0"/>
  </r>
  <r>
    <x v="204"/>
    <s v="NETFLIX.COM 408-724-9160 3.490,00 HUF Vásárlás 9,12 EUR"/>
    <n v="-3490"/>
    <x v="0"/>
    <x v="7"/>
    <x v="0"/>
  </r>
  <r>
    <x v="205"/>
    <s v="HUN-BUDAORS VISION EXPRESS Vásárlás(2023.08.23) Card:5444-0XXX-XX68-8737 MCC8043 HUN-BUDAORS VISION EXPRESS 11.168,00 HUF Kártyatranzakció"/>
    <n v="-11168"/>
    <x v="7"/>
    <x v="27"/>
    <x v="0"/>
  </r>
  <r>
    <x v="205"/>
    <s v="DM 311.SZ. BUDAORS 9.003,00 HUF Vásárlás"/>
    <n v="-9003"/>
    <x v="3"/>
    <x v="4"/>
    <x v="0"/>
  </r>
  <r>
    <x v="205"/>
    <s v="LIDL ARUHAZ 0349.SZ. BUDAORS 8.932,00 HUF Vásárlás"/>
    <n v="-8932"/>
    <x v="3"/>
    <x v="4"/>
    <x v="0"/>
  </r>
  <r>
    <x v="205"/>
    <s v="SKYSHOWTIME A1239 HU Amsterdam 999,00 HUF Vásárlás 2,61 EUR"/>
    <n v="-999"/>
    <x v="0"/>
    <x v="7"/>
    <x v="0"/>
  </r>
  <r>
    <x v="206"/>
    <s v="HUN-MARTONVASAR TESCO 44089 O:NKISZ Vásárlás(2023.08.21) Card:5444-0XXX-XX68-8737 MCC5311 HUN-MARTONVASAR TESCO 44089 O:NKISZ OLG 299,00 HUF Kártyatranzakció"/>
    <n v="-299"/>
    <x v="3"/>
    <x v="4"/>
    <x v="0"/>
  </r>
  <r>
    <x v="206"/>
    <s v="BRENDON BABAARUHAZ BUDAORS 58.107,00 HUF Vásárlás"/>
    <n v="-58107"/>
    <x v="3"/>
    <x v="3"/>
    <x v="0"/>
  </r>
  <r>
    <x v="206"/>
    <s v="OTPMOBL HERBAFERM.HU BUDAPEST 22.350,00 HUF Vásárlás"/>
    <n v="-22350"/>
    <x v="7"/>
    <x v="14"/>
    <x v="0"/>
  </r>
  <r>
    <x v="206"/>
    <s v="OTPMOBL perfektnatura. BUDAPEST 5.470,00 HUF Vásárlás"/>
    <n v="-5470"/>
    <x v="7"/>
    <x v="14"/>
    <x v="0"/>
  </r>
  <r>
    <x v="206"/>
    <s v="VIZ-, GAZ SZERELVENYB MARTONVASAR 3.429,00 HUF Vásárlás"/>
    <n v="-3429"/>
    <x v="0"/>
    <x v="6"/>
    <x v="0"/>
  </r>
  <r>
    <x v="206"/>
    <s v="TESCO 44089 O NKISZOLG MARTONVASAR 890,00 HUF Vásárlás"/>
    <n v="-890"/>
    <x v="3"/>
    <x v="4"/>
    <x v="0"/>
  </r>
  <r>
    <x v="207"/>
    <s v="OBI 010 BUDAORS BUDAORS 33.432,00 HUF Vásárlás"/>
    <n v="-33432"/>
    <x v="0"/>
    <x v="6"/>
    <x v="0"/>
  </r>
  <r>
    <x v="207"/>
    <s v="BARKACSBOLT MARTONVASAR 2.585,00 HUF Vásárlás"/>
    <n v="-2585"/>
    <x v="0"/>
    <x v="6"/>
    <x v="0"/>
  </r>
  <r>
    <x v="207"/>
    <s v="ALDI 3.SZ. BUDAORS 15.778,00 HUF Vásárlás"/>
    <n v="-15778"/>
    <x v="3"/>
    <x v="4"/>
    <x v="0"/>
  </r>
  <r>
    <x v="207"/>
    <s v="TMC klima Kft TMC-2023-45"/>
    <n v="-351874"/>
    <x v="0"/>
    <x v="6"/>
    <x v="0"/>
  </r>
  <r>
    <x v="208"/>
    <s v="HUN-BARACSKA CSIZ SAJTMUHELY KFT Vásárlás(2023.08.18) Card:5444-0XXX-XX68-8737 MCC5499 HUN-BARACSKA CSIZ SAJTMUHELY KFT 1.990,00 HUF Kártyatranzakció"/>
    <n v="-1990"/>
    <x v="3"/>
    <x v="4"/>
    <x v="0"/>
  </r>
  <r>
    <x v="208"/>
    <s v="HUN-MARTONVASAR OTP ATM készpénzfelvétel(2023.08.18) Card:5444-0XXX-XX68-8737 MCC6011 HUN-MARTONVASAR OTP 49.000,00 HUF Kártyatranzakció KLIMA"/>
    <n v="-49000"/>
    <x v="0"/>
    <x v="6"/>
    <x v="0"/>
  </r>
  <r>
    <x v="208"/>
    <s v="HUN-MARTONVASAR OTP ATM készpénzfelvétel(2023.08.18) Card:5444-0XXX-XX68-8737 MCC6011 HUN-MARTONVASAR OTP 100.000,00 HUF Kártyatranzakció KLIMA"/>
    <n v="-100000"/>
    <x v="0"/>
    <x v="6"/>
    <x v="0"/>
  </r>
  <r>
    <x v="208"/>
    <s v="Omnikont Kft #2967"/>
    <n v="-5990"/>
    <x v="3"/>
    <x v="8"/>
    <x v="0"/>
  </r>
  <r>
    <x v="208"/>
    <s v="BARKACSBOLT MARTONVASAR 1.000,00 HUF Vásárlás"/>
    <n v="-1000"/>
    <x v="0"/>
    <x v="6"/>
    <x v="0"/>
  </r>
  <r>
    <x v="208"/>
    <s v="TESCO 41970 O NKISZOLG ERD 3.399,00 HUF Vásárlás"/>
    <n v="-3399"/>
    <x v="3"/>
    <x v="4"/>
    <x v="0"/>
  </r>
  <r>
    <x v="209"/>
    <s v="HUN-MARTONVASAR VIANNI U:ZLET Vásárlás(2023.08.15) Card:5444-0XXX-XX68-8737 MCC5399 HUN-MARTONVASAR VIANNI U:ZLET 499,00 HUF Kártyatranzakció"/>
    <n v="-499"/>
    <x v="3"/>
    <x v="4"/>
    <x v="0"/>
  </r>
  <r>
    <x v="209"/>
    <s v="HUN-BARACSKA CSIZ SAJTMUHELY KFT Vásárlás(2023.08.17) Card:5444-0XXX-XX68-8737 MCC5499 HUN-BARACSKA CSIZ SAJTMUHELY KFT 840,00 HUF Kártyatranzakció"/>
    <n v="-840"/>
    <x v="3"/>
    <x v="4"/>
    <x v="0"/>
  </r>
  <r>
    <x v="209"/>
    <s v="HUN-MARTONVASAR MARTON MARKET Vásárlás(2023.08.18) Card:5444-0XXX-XX68-8737 MCC5411 HUN-MARTONVASAR MARTON MARKET 1.507,00 HUF Kártyatranzakció"/>
    <n v="-1507"/>
    <x v="3"/>
    <x v="4"/>
    <x v="0"/>
  </r>
  <r>
    <x v="209"/>
    <s v="HUN-MARTONVASAR KEPESVARAZS KFT. Vásárlás(2023.08.18) Card:5444-0XXX-XX68-8737 MCC5111 HUN-MARTONVASAR KEPESVARAZS KFT. 2.180,00 HUF Kártyatranzakció"/>
    <n v="-2180"/>
    <x v="3"/>
    <x v="8"/>
    <x v="0"/>
  </r>
  <r>
    <x v="209"/>
    <s v="HUN-Budaors IKEA BUDAORS ETTEREM Vásárlás(2023.08.17) Card:5444-0XXX-XX68-8737 MCC5814 HUN-Budaors IKEA BUDAORS ETTEREM 4.980,00 HUF Kártyatranzakció"/>
    <n v="-4980"/>
    <x v="2"/>
    <x v="2"/>
    <x v="0"/>
  </r>
  <r>
    <x v="209"/>
    <s v="HUN-BUDAORS LIDL ARUHAZ 0349.SZ. Vásárlás(2023.08.17) Card:5444-0XXX-XX68-8737 MCC5411 HUN-BUDAORS LIDL ARUHAZ 0349.SZ. 6.482,00 HUF Kártyatranzakció"/>
    <n v="-6482"/>
    <x v="3"/>
    <x v="4"/>
    <x v="0"/>
  </r>
  <r>
    <x v="209"/>
    <s v="HUN-BUDAORS REGIO JA'TE'K BUDAO:RS Vásárlás(2023.08.16) Card:5444-0XXX-XX68-8737 MCC5945 HUN-BUDAORS REGIO JA'TE'K BUDAO:RS 8.985,00 HUF Kártyatranzakció"/>
    <n v="-8985"/>
    <x v="3"/>
    <x v="3"/>
    <x v="0"/>
  </r>
  <r>
    <x v="209"/>
    <s v="HUN-BUDAORS DM 311.SZ. Vásárlás(2023.08.16) Card:5444-0XXX-XX68-8737 MCC5977 HUN-BUDAORS DM 311.SZ. 20.802,00 HUF Kártyatranzakció"/>
    <n v="-20802"/>
    <x v="3"/>
    <x v="4"/>
    <x v="0"/>
  </r>
  <r>
    <x v="209"/>
    <s v="CSIZ SAJTMUHELY KFT BARACSKA 2.280,00 HUF Vásárlás"/>
    <n v="-2280"/>
    <x v="3"/>
    <x v="4"/>
    <x v="0"/>
  </r>
  <r>
    <x v="209"/>
    <s v="TESCO 41970 O NKISZOLG ERD 2.786,00 HUF Vásárlás"/>
    <n v="-2786"/>
    <x v="3"/>
    <x v="4"/>
    <x v="0"/>
  </r>
  <r>
    <x v="209"/>
    <s v="ADVANCE KANTIN BUDAPEST 2.550,00 HUF Vásárlás"/>
    <n v="-2550"/>
    <x v="2"/>
    <x v="2"/>
    <x v="0"/>
  </r>
  <r>
    <x v="210"/>
    <s v="JAGUAR LAND ROVER HUNGARY KFT."/>
    <n v="31960"/>
    <x v="4"/>
    <x v="20"/>
    <x v="4"/>
  </r>
  <r>
    <x v="210"/>
    <s v="HUN-BUDAPEST BARIONP*BARION.COM/GUE Vásárlás(2023.08.14) Card:5444-0XXX-XX68-8737 MCC7299 HUN-BUDAPEST BARIONP*BARION.COM/GUE 7.130,00 HUF Kártyatranzakció"/>
    <n v="-7130"/>
    <x v="3"/>
    <x v="8"/>
    <x v="0"/>
  </r>
  <r>
    <x v="210"/>
    <s v="TESCO 44089 MARTONVASAR 694,00 HUF Vásárlás"/>
    <n v="-694"/>
    <x v="3"/>
    <x v="4"/>
    <x v="0"/>
  </r>
  <r>
    <x v="211"/>
    <s v="Kiskifli Kávézó"/>
    <n v="-1580"/>
    <x v="2"/>
    <x v="2"/>
    <x v="4"/>
  </r>
  <r>
    <x v="211"/>
    <s v="Tong Mao Kft."/>
    <n v="-1700"/>
    <x v="2"/>
    <x v="2"/>
    <x v="4"/>
  </r>
  <r>
    <x v="211"/>
    <s v="HUN-GARDONY CSASZI2020 KFT. Vásárlás(2023.08.13) Card:5444-0XXX-XX68-8737 MCC5411 HUN-GARDONY CSASZI2020 KFT. 6.985,00 HUF Kártyatranzakció"/>
    <n v="-6985"/>
    <x v="3"/>
    <x v="4"/>
    <x v="0"/>
  </r>
  <r>
    <x v="211"/>
    <s v="11773360-00508285-00000000 Veing Zsuzsanna Kimenő azonnali megbízás"/>
    <n v="-9300"/>
    <x v="7"/>
    <x v="14"/>
    <x v="0"/>
  </r>
  <r>
    <x v="212"/>
    <s v="HUN-MARTONVASAR KEPESVARAZS KFT. Vásárlás(2023.08.14) Card:5444-0XXX-XX68-8737 MCC5111 HUN-MARTONVASAR KEPESVARAZS KFT. 1.540,00 HUF Kártyatranzakció"/>
    <n v="-1540"/>
    <x v="3"/>
    <x v="8"/>
    <x v="0"/>
  </r>
  <r>
    <x v="212"/>
    <s v="HUN-MARTONVASAR MARTON MARKET Vásárlás(2023.08.14) Card:5444-0XXX-XX68-8737 MCC5411 HUN-MARTONVASAR MARTON MARKET 3.385,00 HUF Kártyatranzakció"/>
    <n v="-3385"/>
    <x v="3"/>
    <x v="4"/>
    <x v="0"/>
  </r>
  <r>
    <x v="212"/>
    <s v="11773353-59010812-00000000 Kovácsné Tonkó Csilla Mária KT-2023-166 Kimenő azonnali megbízás"/>
    <n v="-10000"/>
    <x v="7"/>
    <x v="13"/>
    <x v="0"/>
  </r>
  <r>
    <x v="212"/>
    <s v="IKEA BUDAORS UGYFE Budaors 22.360,00 HUF Vásárlás"/>
    <n v="-22360"/>
    <x v="0"/>
    <x v="35"/>
    <x v="0"/>
  </r>
  <r>
    <x v="212"/>
    <s v="DM 311.SZ. BUDAORS 16.211,00 HUF Vásárlás"/>
    <n v="-16211"/>
    <x v="3"/>
    <x v="4"/>
    <x v="0"/>
  </r>
  <r>
    <x v="212"/>
    <s v="REGIO JA'TE'K BUDAO RS BUDAORS 28.495,00 HUF Vásárlás"/>
    <n v="-28495"/>
    <x v="3"/>
    <x v="3"/>
    <x v="0"/>
  </r>
  <r>
    <x v="213"/>
    <s v="Kiskifli Kávézó"/>
    <n v="-1580"/>
    <x v="2"/>
    <x v="2"/>
    <x v="4"/>
  </r>
  <r>
    <x v="213"/>
    <s v="MVM NEXT ENERGIAK BUDAPEST 8.900,00 HUF Vásárlás"/>
    <n v="-8900"/>
    <x v="0"/>
    <x v="22"/>
    <x v="0"/>
  </r>
  <r>
    <x v="213"/>
    <s v="MAGLO'D BENZINKU'T AUT MAGLOD 39.492,00 HUF Vásárlás"/>
    <n v="-39492"/>
    <x v="5"/>
    <x v="16"/>
    <x v="0"/>
  </r>
  <r>
    <x v="213"/>
    <s v="OTPMOBL EON.HU BUDAPEST 5.588,00 HUF Vásárlás"/>
    <n v="-5588"/>
    <x v="0"/>
    <x v="11"/>
    <x v="0"/>
  </r>
  <r>
    <x v="214"/>
    <s v="11773360-00508285-00000000 Veing Zsuzsanna Kimenő azonnali megbízás"/>
    <n v="-9380"/>
    <x v="7"/>
    <x v="14"/>
    <x v="0"/>
  </r>
  <r>
    <x v="214"/>
    <s v="HUN-BUDAORS AUCHAN BUDAORS Vásárlás(2023.08.11) Card:5444-0XXX-XX68-8737 MCC5311 HUN-BUDAORS AUCHAN BUDAORS 10.370,00 HUF Kártyatranzakció"/>
    <n v="-10370"/>
    <x v="3"/>
    <x v="4"/>
    <x v="0"/>
  </r>
  <r>
    <x v="214"/>
    <s v="HUN-BUDAORS BRENDON BABAARUHAZ Vásárlás(2023.08.11) Card:5444-0XXX-XX68-8737 MCC5331 HUN-BUDAORS BRENDON BABAARUHAZ 14.858,00 HUF Kártyatranzakció"/>
    <n v="-14858"/>
    <x v="3"/>
    <x v="3"/>
    <x v="0"/>
  </r>
  <r>
    <x v="214"/>
    <s v="HUN-AGARD LIDL ARUHAZ 0306.SZ. Vásárlás(2023.08.10) Card:5444-0XXX-XX68-8737 MCC5411 HUN-AGARD LIDL ARUHAZ 0306.SZ. 15.808,00 HUF Kártyatranzakció"/>
    <n v="-15808"/>
    <x v="3"/>
    <x v="4"/>
    <x v="0"/>
  </r>
  <r>
    <x v="214"/>
    <s v="HUN-BUDAORS TESCO 41520 O:NKISZOLG Vásárlás(2023.08.11) Card:5444-0XXX-XX68-8737 MCC5311 HUN-BUDAORS TESCO 41520 O:NKISZOLG 16.941,00 HUF Kártyatranzakció"/>
    <n v="-16941"/>
    <x v="3"/>
    <x v="4"/>
    <x v="0"/>
  </r>
  <r>
    <x v="214"/>
    <s v="BRENDON BABAARUHAZ BUDAORS 4.290,00 HUF Vásárlás"/>
    <n v="-4290"/>
    <x v="3"/>
    <x v="3"/>
    <x v="0"/>
  </r>
  <r>
    <x v="214"/>
    <s v="TESCO 44089 O NKISZOLG MARTONVASAR 1.518,00 HUF Vásárlás"/>
    <n v="-1518"/>
    <x v="3"/>
    <x v="4"/>
    <x v="0"/>
  </r>
  <r>
    <x v="214"/>
    <s v="OTPMOBL PASTA APALY/LE BUDAPEST 2.000,00 HUF Vásárlás"/>
    <n v="-2000"/>
    <x v="2"/>
    <x v="2"/>
    <x v="0"/>
  </r>
  <r>
    <x v="214"/>
    <s v="TESCO 44089 MARTONVASAR 4.894,00 HUF Vásárlás"/>
    <n v="-4894"/>
    <x v="3"/>
    <x v="4"/>
    <x v="0"/>
  </r>
  <r>
    <x v="214"/>
    <s v="TESCO 44089 O NKISZOLG MARTONVASAR 1.928,00 HUF Vásárlás"/>
    <n v="-1928"/>
    <x v="3"/>
    <x v="4"/>
    <x v="0"/>
  </r>
  <r>
    <x v="215"/>
    <s v="HUN-BARACSKA CSIZ SAJTMUHELY KFT Vásárlás(2023.08.08) Card:5444-0XXX-XX68-8737 MCC5499 HUN-BARACSKA CSIZ SAJTMUHELY KFT 2.670,00 HUF Kártyatranzakció"/>
    <n v="-2670"/>
    <x v="3"/>
    <x v="4"/>
    <x v="0"/>
  </r>
  <r>
    <x v="215"/>
    <s v="HUN-BARACSKA CSIZ SAJTMUHELY KFT Vásárlás(2023.08.09) Card:5444-0XXX-XX68-8737 MCC5499 HUN-BARACSKA CSIZ SAJTMUHELY KFT 13.565,00 HUF Kártyatranzakció"/>
    <n v="-13565"/>
    <x v="3"/>
    <x v="4"/>
    <x v="0"/>
  </r>
  <r>
    <x v="215"/>
    <s v="KISKIFLI KAVEZO BUDAPEST 1.580,00 HUF Vásárlás"/>
    <n v="-1580"/>
    <x v="2"/>
    <x v="19"/>
    <x v="0"/>
  </r>
  <r>
    <x v="216"/>
    <s v="PL:P/10AUG23 Tőkefizetés Hitel /21-41194/"/>
    <n v="-216247.6"/>
    <x v="0"/>
    <x v="21"/>
    <x v="0"/>
  </r>
  <r>
    <x v="216"/>
    <s v="CZE-Brno notino.hu Vásárlás(2023.08.08) Card:5444-0XXX-XX68-8737 MCC5977 CZE-Brno notino.hu 22.200,00 HUF Kártyatranzakció"/>
    <n v="-22200"/>
    <x v="3"/>
    <x v="4"/>
    <x v="0"/>
  </r>
  <r>
    <x v="216"/>
    <s v="SZEKESFEHERVAR LOG. DE SZEKESFEHERV 12.980,00 HUF Vásárlás"/>
    <n v="-12980"/>
    <x v="3"/>
    <x v="8"/>
    <x v="0"/>
  </r>
  <r>
    <x v="216"/>
    <s v="JAGUAR LAND ROVER HUNGARY KFT. Munkab.r utal.sMunkabér"/>
    <n v="1061873"/>
    <x v="4"/>
    <x v="20"/>
    <x v="0"/>
  </r>
  <r>
    <x v="216"/>
    <s v="PL:I/10AUG23 Kamatfizetés  Hitel /21-41194/"/>
    <n v="-45557.19"/>
    <x v="0"/>
    <x v="21"/>
    <x v="0"/>
  </r>
  <r>
    <x v="216"/>
    <s v="PL:P/10AUG23 Tőkefizetés Hitel /21-41194/"/>
    <n v="216247.6"/>
    <x v="0"/>
    <x v="21"/>
    <x v="1"/>
  </r>
  <r>
    <x v="217"/>
    <s v="HUN-MARTONVASAR MARTON MARKET Vásárlás(2023.08.07) Card:5444-0XXX-XX68-8737 MCC5411 HUN-MARTONVASAR MARTON MARKET 649,00 HUF Kártyatranzakció"/>
    <n v="-649"/>
    <x v="3"/>
    <x v="4"/>
    <x v="0"/>
  </r>
  <r>
    <x v="217"/>
    <s v="HUN-MARTONVASAR KEPESVARAZS KFT. Vásárlás(2023.08.07) Card:5444-0XXX-XX68-8737 MCC5111 HUN-MARTONVASAR KEPESVARAZS KFT. 1.799,00 HUF Kártyatranzakció"/>
    <n v="-1799"/>
    <x v="3"/>
    <x v="8"/>
    <x v="0"/>
  </r>
  <r>
    <x v="218"/>
    <s v="HUN-GARDONY CSASZI2020 KFT. Vásárlás(2023.08.04) Card:5444-0XXX-XX68-8737 MCC5411 HUN-GARDONY CSASZI2020 KFT. 5.035,00 HUF Kártyatranzakció"/>
    <n v="-5035"/>
    <x v="3"/>
    <x v="4"/>
    <x v="0"/>
  </r>
  <r>
    <x v="218"/>
    <s v="HUN-GARDONY DM 316.SZ. Vásárlás(2023.08.04) Card:5444-0XXX-XX68-8737 MCC5977 HUN-GARDONY DM 316.SZ. 16.962,00 HUF Kártyatranzakció"/>
    <n v="-16962"/>
    <x v="3"/>
    <x v="4"/>
    <x v="0"/>
  </r>
  <r>
    <x v="218"/>
    <s v="HUN-AGARD LIDL ARUHAZ 0306.SZ. Vásárlás(2023.08.04) Card:5444-0XXX-XX68-8737 MCC5411 HUN-AGARD LIDL ARUHAZ 0306.SZ. 18.729,00 HUF Kártyatranzakció"/>
    <n v="-18729"/>
    <x v="3"/>
    <x v="4"/>
    <x v="0"/>
  </r>
  <r>
    <x v="218"/>
    <s v="REGIO JA'TE'K BUDAO RS BUDAORS 9.990,00 HUF Vásárlás"/>
    <n v="-9990"/>
    <x v="3"/>
    <x v="3"/>
    <x v="0"/>
  </r>
  <r>
    <x v="218"/>
    <s v="VIZ-, GAZ SZERELVENYB MARTONVASAR 12.484,00 HUF Vásárlás"/>
    <n v="-12484"/>
    <x v="0"/>
    <x v="6"/>
    <x v="0"/>
  </r>
  <r>
    <x v="218"/>
    <s v="TESCO 44089 O NKISZOLG MARTONVASAR 2.537,00 HUF Vásárlás"/>
    <n v="-2537"/>
    <x v="3"/>
    <x v="4"/>
    <x v="0"/>
  </r>
  <r>
    <x v="218"/>
    <s v="MARTON MARKET MARTONVASAR 1.565,00 HUF Vásárlás"/>
    <n v="-1565"/>
    <x v="3"/>
    <x v="4"/>
    <x v="0"/>
  </r>
  <r>
    <x v="218"/>
    <s v="PRAKTIKER 333. BUDAORS 14.990,00 HUF Vásárlás"/>
    <n v="-14990"/>
    <x v="0"/>
    <x v="6"/>
    <x v="0"/>
  </r>
  <r>
    <x v="219"/>
    <s v="HUN-MARTONVASAR TESCO 44089 O:NKISZ Vásárlás(2023.08.02) Card:5444-0XXX-XX68-8737 MCC5311 HUN-MARTONVASAR TESCO 44089 O:NKISZ OLG 1.338,00 HUF Kártyatranzakció"/>
    <n v="-1338"/>
    <x v="3"/>
    <x v="4"/>
    <x v="0"/>
  </r>
  <r>
    <x v="219"/>
    <s v="HUN-BARACSKA CSIZ SAJTMUHELY KFT Vásárlás(2023.08.02) Card:5444-0XXX-XX68-8737 MCC5499 HUN-BARACSKA CSIZ SAJTMUHELY KFT 1.470,00 HUF Kártyatranzakció"/>
    <n v="-1470"/>
    <x v="3"/>
    <x v="4"/>
    <x v="0"/>
  </r>
  <r>
    <x v="219"/>
    <s v="Kemal Pasa Torok Et Budapest 2.300,00 HUF Vásárlás"/>
    <n v="-2300"/>
    <x v="2"/>
    <x v="2"/>
    <x v="0"/>
  </r>
  <r>
    <x v="220"/>
    <s v="NEW YORK BAGEL KFT."/>
    <n v="-1690"/>
    <x v="2"/>
    <x v="2"/>
    <x v="4"/>
  </r>
  <r>
    <x v="220"/>
    <s v="Burger King ÉRD"/>
    <n v="-5860"/>
    <x v="2"/>
    <x v="2"/>
    <x v="4"/>
  </r>
  <r>
    <x v="220"/>
    <s v="Cr Forgalmi kedvezmény"/>
    <n v="1914"/>
    <x v="1"/>
    <x v="1"/>
    <x v="0"/>
  </r>
  <r>
    <x v="220"/>
    <s v="HUN-BARACSKA CSIZ SAJTMUHELY KFT Vásárlás(2023.08.01) Card:5444-0XXX-XX68-8737 MCC5499 HUN-BARACSKA CSIZ SAJTMUHELY KFT 2.620,00 HUF Kártyatranzakció"/>
    <n v="-2620"/>
    <x v="3"/>
    <x v="4"/>
    <x v="0"/>
  </r>
  <r>
    <x v="221"/>
    <s v="10032000-00282637-00000000 OKTATÁSI HIVATAL MUNKABÉR UTALÁS Bejövő Forint Átutalás"/>
    <n v="243600"/>
    <x v="4"/>
    <x v="20"/>
    <x v="0"/>
  </r>
  <r>
    <x v="221"/>
    <s v="MAGYAR ALLAMKINCSTAR BUDAPEST 615.246,00 HUF Vásárlás"/>
    <n v="615246"/>
    <x v="1"/>
    <x v="26"/>
    <x v="3"/>
  </r>
  <r>
    <x v="221"/>
    <s v="MAGYAR ALLAMKINCSTAR BUDAPEST 615.246,00 HUF Vásárlás"/>
    <n v="-615246"/>
    <x v="1"/>
    <x v="26"/>
    <x v="0"/>
  </r>
  <r>
    <x v="221"/>
    <s v="VIANNI U ZLET MARTONVASAR 1.590,00 HUF Vásárlás"/>
    <n v="-1590"/>
    <x v="3"/>
    <x v="4"/>
    <x v="0"/>
  </r>
  <r>
    <x v="221"/>
    <s v="KISKIFLI KAVEZO BUDAPEST 1.580,00 HUF Vásárlás"/>
    <n v="-1580"/>
    <x v="2"/>
    <x v="19"/>
    <x v="0"/>
  </r>
  <r>
    <x v="221"/>
    <s v="Kemal Pasa Torok Et Budapest 2.300,00 HUF Vásárlás"/>
    <n v="-2300"/>
    <x v="2"/>
    <x v="2"/>
    <x v="0"/>
  </r>
  <r>
    <x v="222"/>
    <s v="GENERALI ZRT. A10308024 202307259501000078 94005004927434400"/>
    <n v="-30985"/>
    <x v="5"/>
    <x v="41"/>
    <x v="0"/>
  </r>
  <r>
    <x v="223"/>
    <s v="HUN-BARACSKA CSIZ SAJTMUHELY KFT Vásárlás(2023.07.27) Card:5444-0XXX-XX68-8737 MCC5499 HUN-BARACSKA CSIZ SAJTMUHELY KFT 1.470,00 HUF Kártyatranzakció"/>
    <n v="-1470"/>
    <x v="3"/>
    <x v="4"/>
    <x v="0"/>
  </r>
  <r>
    <x v="223"/>
    <s v="Havi zárlati díj"/>
    <n v="-2222"/>
    <x v="1"/>
    <x v="1"/>
    <x v="0"/>
  </r>
  <r>
    <x v="223"/>
    <s v="HUN-SALGOTARJAN DM 151 Vásárlás(2023.07.29) Card:5444-0XXX-XX68-8737 MCC5977 HUN-SALGOTARJAN DM 151 4.923,00 HUF Kártyatranzakció"/>
    <n v="-4923"/>
    <x v="3"/>
    <x v="4"/>
    <x v="0"/>
  </r>
  <r>
    <x v="223"/>
    <s v="HUN-SALGOTARJAN SPAR MAGYARORSZAG K Vásárlás(2023.07.29) Card:5444-0XXX-XX68-8737 MCC5411 HUN-SALGOTARJAN SPAR MAGYARORSZAG K FT 5.645,00 HUF Kártyatranzakció"/>
    <n v="-5645"/>
    <x v="3"/>
    <x v="4"/>
    <x v="0"/>
  </r>
  <r>
    <x v="223"/>
    <s v="MOL 55219 HATVAN 3.796,00 HUF Vásárlás"/>
    <n v="-3796"/>
    <x v="2"/>
    <x v="2"/>
    <x v="0"/>
  </r>
  <r>
    <x v="223"/>
    <s v="LIDL ARUHAZ 0314.SZ. SALGOTARJAN 8.297,00 HUF Vásárlás"/>
    <n v="-8297"/>
    <x v="3"/>
    <x v="4"/>
    <x v="0"/>
  </r>
  <r>
    <x v="223"/>
    <s v="LIDL ARUHAZ 0306.SZ. AGARD 9.443,00 HUF Vásárlás"/>
    <n v="-9443"/>
    <x v="3"/>
    <x v="4"/>
    <x v="0"/>
  </r>
  <r>
    <x v="224"/>
    <s v="HUN-MARTONVASAR VIANNI U:ZLET Vásárlás(2023.07.26) Card:5444-0XXX-XX68-8737 MCC5399 HUN-MARTONVASAR VIANNI U:ZLET 450,00 HUF Kártyatranzakció"/>
    <n v="-450"/>
    <x v="3"/>
    <x v="4"/>
    <x v="0"/>
  </r>
  <r>
    <x v="224"/>
    <s v="HUN-BARACSKA CSIZ SAJTMUHELY KFT Vásárlás(2023.07.26) Card:5444-0XXX-XX68-8737 MCC5499 HUN-BARACSKA CSIZ SAJTMUHELY KFT 840,00 HUF Kártyatranzakció"/>
    <n v="-840"/>
    <x v="3"/>
    <x v="4"/>
    <x v="0"/>
  </r>
  <r>
    <x v="224"/>
    <s v="HUN-Budapest SumUp  *Hortobagyi Kas Vásárlás(2023.07.26) Card:5444-0XXX-XX68-8737 MCC7230 HUN-Budapest SumUp  *Hortobagyi Kas 4.900,00 HUF Kártyatranzakció"/>
    <n v="-4900"/>
    <x v="7"/>
    <x v="15"/>
    <x v="0"/>
  </r>
  <r>
    <x v="224"/>
    <s v="HUN-BUDAORS ROSSMANN 311. Vásárlás(2023.07.26) Card:5444-0XXX-XX68-8737 MCC5977 HUN-BUDAORS ROSSMANN 311. 15.257,00 HUF Kártyatranzakció"/>
    <n v="-15257"/>
    <x v="3"/>
    <x v="4"/>
    <x v="0"/>
  </r>
  <r>
    <x v="224"/>
    <s v="NETFLIX.COM 408-724-9160 3.490,00 HUF Vásárlás 9,19 EUR"/>
    <n v="-3490"/>
    <x v="0"/>
    <x v="7"/>
    <x v="0"/>
  </r>
  <r>
    <x v="225"/>
    <s v="HUN-BARACSKA CSIZ SAJTMUHELY KFT Vásárlás(2023.07.25) Card:5444-0XXX-XX68-8737 MCC5499 HUN-BARACSKA CSIZ SAJTMUHELY KFT 1.390,00 HUF Kártyatranzakció"/>
    <n v="-1390"/>
    <x v="3"/>
    <x v="4"/>
    <x v="0"/>
  </r>
  <r>
    <x v="225"/>
    <s v="HUN-BARACSKA CSIZ SAJTMUHELY KFT Vásárlás(2023.07.25) Card:5444-0XXX-XX68-8737 MCC5499 HUN-BARACSKA CSIZ SAJTMUHELY KFT 2.760,00 HUF Kártyatranzakció"/>
    <n v="-2760"/>
    <x v="3"/>
    <x v="4"/>
    <x v="0"/>
  </r>
  <r>
    <x v="226"/>
    <s v="10400872-50526688-72801000 Almássy-Fodor Dorottya Qfk-2023-46 Kimenő azonnali megbízás"/>
    <n v="-23000"/>
    <x v="7"/>
    <x v="15"/>
    <x v="0"/>
  </r>
  <r>
    <x v="226"/>
    <s v="AUCHAN BUDAORS BUDAORS 15.046,00 HUF Vásárlás"/>
    <n v="-15046"/>
    <x v="3"/>
    <x v="4"/>
    <x v="0"/>
  </r>
  <r>
    <x v="227"/>
    <s v="NEW YORK BAGEL KFT."/>
    <n v="-1690"/>
    <x v="2"/>
    <x v="2"/>
    <x v="4"/>
  </r>
  <r>
    <x v="227"/>
    <s v="Kemal Pasa"/>
    <n v="-2300"/>
    <x v="2"/>
    <x v="2"/>
    <x v="4"/>
  </r>
  <r>
    <x v="227"/>
    <s v="KFC Auchan Budaörs"/>
    <n v="-2700"/>
    <x v="2"/>
    <x v="2"/>
    <x v="4"/>
  </r>
  <r>
    <x v="227"/>
    <s v="HUN-MARTONVASAR POSTAKOCSI E'TTEREM Vásárlás(2023.07.23) Card:5444-0XXX-XX68-8737 MCC5812 HUN-MARTONVASAR POSTAKOCSI E'TTEREM 1.300,00 HUF Kártyatranzakció"/>
    <n v="-1300"/>
    <x v="2"/>
    <x v="2"/>
    <x v="0"/>
  </r>
  <r>
    <x v="227"/>
    <s v="11773360-00508285-00000000 Veing Zsuzsanna Kimenő azonnali megbízás"/>
    <n v="-5110"/>
    <x v="7"/>
    <x v="14"/>
    <x v="0"/>
  </r>
  <r>
    <x v="227"/>
    <s v="11773353-59010812-00000000 Kovácsné Tonkó Csilla Mária KT-2023-152 Kimenő azonnali megbízás"/>
    <n v="-10000"/>
    <x v="7"/>
    <x v="13"/>
    <x v="0"/>
  </r>
  <r>
    <x v="227"/>
    <s v="SZENT KERESZT GYO'GYSZ RACKERESZTUR 2.816,00 HUF Vásárlás"/>
    <n v="-2816"/>
    <x v="7"/>
    <x v="5"/>
    <x v="0"/>
  </r>
  <r>
    <x v="227"/>
    <s v="SKYSHOWTIME 9F0C4 HU Amsterdam 999,00 HUF Vásárlás 2,62 EUR"/>
    <n v="-999"/>
    <x v="0"/>
    <x v="7"/>
    <x v="0"/>
  </r>
  <r>
    <x v="228"/>
    <s v="HUN-BARACSKA CSIZ SAJTMUHELY KFT Vásárlás(2023.07.20) Card:5444-0XXX-XX68-8737 MCC5499 HUN-BARACSKA CSIZ SAJTMUHELY KFT 1.470,00 HUF Kártyatranzakció"/>
    <n v="-1470"/>
    <x v="3"/>
    <x v="4"/>
    <x v="0"/>
  </r>
  <r>
    <x v="228"/>
    <s v="HUN-BARACSKA CSIZ SAJTMUHELY KFT Vásárlás(2023.07.22) Card:5444-0XXX-XX68-8737 MCC5499 HUN-BARACSKA CSIZ SAJTMUHELY KFT 2.310,00 HUF Kártyatranzakció"/>
    <n v="-2310"/>
    <x v="3"/>
    <x v="4"/>
    <x v="0"/>
  </r>
  <r>
    <x v="228"/>
    <s v="HUN-BARACSKA CSIZ SAJTMUHELY KFT Vásárlás(2023.07.22) Card:5444-0XXX-XX68-8737 MCC5499 HUN-BARACSKA CSIZ SAJTMUHELY KFT 2.680,00 HUF Kártyatranzakció"/>
    <n v="-2680"/>
    <x v="3"/>
    <x v="4"/>
    <x v="0"/>
  </r>
  <r>
    <x v="228"/>
    <s v="HUN-GARDONY DM 316.SZ. Vásárlás(2023.07.21) Card:5444-0XXX-XX68-8737 MCC5977 HUN-GARDONY DM 316.SZ. 3.206,00 HUF Kártyatranzakció"/>
    <n v="-3206"/>
    <x v="3"/>
    <x v="4"/>
    <x v="0"/>
  </r>
  <r>
    <x v="228"/>
    <s v="HUN-RACKERESZTUR SZENT KERESZT GYO' Vásárlás(2023.07.21) Card:5444-0XXX-XX68-8737 MCC5912 HUN-RACKERESZTUR SZENT KERESZT GYO' GYSZ 5.106,00 HUF Kártyatranzakció"/>
    <n v="-5106"/>
    <x v="7"/>
    <x v="5"/>
    <x v="0"/>
  </r>
  <r>
    <x v="228"/>
    <s v="HUN-AGARD LIDL ARUHAZ 0306.SZ. Vásárlás(2023.07.21) Card:5444-0XXX-XX68-8737 MCC5411 HUN-AGARD LIDL ARUHAZ 0306.SZ. 21.150,00 HUF Kártyatranzakció"/>
    <n v="-21150"/>
    <x v="3"/>
    <x v="4"/>
    <x v="0"/>
  </r>
  <r>
    <x v="228"/>
    <s v="HUN-ERD TUDAS KONYVKUCKO Vásárlás(2023.07.22) Card:5444-0XXX-XX68-8737 MCC5942 HUN-ERD TUDAS KONYVKUCKO 21.625,00 HUF Kártyatranzakció"/>
    <n v="-21625"/>
    <x v="3"/>
    <x v="24"/>
    <x v="0"/>
  </r>
  <r>
    <x v="228"/>
    <s v="DM 311.SZ. BUDAORS 6.699,00 HUF Vásárlás"/>
    <n v="-6699"/>
    <x v="3"/>
    <x v="4"/>
    <x v="0"/>
  </r>
  <r>
    <x v="228"/>
    <s v="LIDL ARUHAZ 0349.SZ. BUDAORS 4.999,00 HUF Vásárlás"/>
    <n v="-4999"/>
    <x v="3"/>
    <x v="4"/>
    <x v="0"/>
  </r>
  <r>
    <x v="229"/>
    <s v="HUN-MARTONVASAR MARTON MARKET Vásárlás(2023.07.19) Card:5444-0XXX-XX68-8737 MCC5411 HUN-MARTONVASAR MARTON MARKET 1.797,00 HUF Kártyatranzakció"/>
    <n v="-1797"/>
    <x v="3"/>
    <x v="4"/>
    <x v="0"/>
  </r>
  <r>
    <x v="229"/>
    <s v="HUN-BARACSKA CSIZ SAJTMUHELY KFT Vásárlás(2023.07.19) Card:5444-0XXX-XX68-8737 MCC5499 HUN-BARACSKA CSIZ SAJTMUHELY KFT 2.240,00 HUF Kártyatranzakció"/>
    <n v="-2240"/>
    <x v="3"/>
    <x v="4"/>
    <x v="0"/>
  </r>
  <r>
    <x v="229"/>
    <s v="BRENDON BABAARUHAZ BUDAORS 75.570,00 HUF Vásárlás Gyerekszél"/>
    <n v="-75570"/>
    <x v="3"/>
    <x v="3"/>
    <x v="0"/>
  </r>
  <r>
    <x v="230"/>
    <s v="JAGUAR LAND ROVER HUNGARY KFT."/>
    <n v="31960"/>
    <x v="4"/>
    <x v="20"/>
    <x v="4"/>
  </r>
  <r>
    <x v="230"/>
    <s v="HUN-BARACSKA CSIZ SAJTMUHELY KFT Vásárlás(2023.07.18) Card:5444-0XXX-XX68-8737 MCC5499 HUN-BARACSKA CSIZ SAJTMUHELY KFT 1.470,00 HUF Kártyatranzakció"/>
    <n v="-1470"/>
    <x v="3"/>
    <x v="4"/>
    <x v="0"/>
  </r>
  <r>
    <x v="230"/>
    <s v="HUN-BICSKE GLS D120 DEPO' Vásárlás(2023.07.18) Card:5444-0XXX-XX68-8737 MCC4214 HUN-BICSKE GLS D120 DEPO' 27.490,00 HUF Kártyatranzakció"/>
    <n v="-27490"/>
    <x v="3"/>
    <x v="8"/>
    <x v="0"/>
  </r>
  <r>
    <x v="230"/>
    <s v="OTPMOBL DIJNET.HU BUDAPEST 6.944,00 HUF Vásárlás"/>
    <n v="-6944"/>
    <x v="0"/>
    <x v="23"/>
    <x v="0"/>
  </r>
  <r>
    <x v="230"/>
    <s v="OTPMOBL DIJNET.HU BUDAPEST 4.567,00 HUF Vásárlás"/>
    <n v="-4567"/>
    <x v="0"/>
    <x v="38"/>
    <x v="0"/>
  </r>
  <r>
    <x v="230"/>
    <s v="TELEKOMSZAML 605191405 BUDAPEST 7.425,00 HUF Vásárlás 19,86 EUR"/>
    <n v="-7425"/>
    <x v="0"/>
    <x v="7"/>
    <x v="0"/>
  </r>
  <r>
    <x v="230"/>
    <s v="TELEKOMFELT 605191752 BUDAPEST 3.000,00 HUF Vásárlás 8,02 EUR"/>
    <n v="-3000"/>
    <x v="3"/>
    <x v="46"/>
    <x v="0"/>
  </r>
  <r>
    <x v="231"/>
    <s v="KISKIFLI KAVEZO BUDAPEST 1.580,00 HUF Vásárlás"/>
    <n v="-1580"/>
    <x v="2"/>
    <x v="2"/>
    <x v="0"/>
  </r>
  <r>
    <x v="231"/>
    <s v="BUDAO RS BENZINKU'T AU BUDAORS 38.623,00 HUF Vásárlás"/>
    <n v="-38623"/>
    <x v="5"/>
    <x v="16"/>
    <x v="0"/>
  </r>
  <r>
    <x v="231"/>
    <s v="AUCHAN BUDAORS BUDAORS 4.084,00 HUF Vásárlás"/>
    <n v="-4084"/>
    <x v="3"/>
    <x v="4"/>
    <x v="0"/>
  </r>
  <r>
    <x v="232"/>
    <s v="White House"/>
    <n v="-2875"/>
    <x v="2"/>
    <x v="2"/>
    <x v="4"/>
  </r>
  <r>
    <x v="232"/>
    <s v="10918001-00000083-47290003 KARSAINÉ GASSER MÁRIA Kimenő azonnali megbízás"/>
    <n v="-30000"/>
    <x v="3"/>
    <x v="8"/>
    <x v="0"/>
  </r>
  <r>
    <x v="233"/>
    <s v="HUN-MARTONVASAR VIANNI U:ZLET Vásárlás(2023.07.14) Card:5444-0XXX-XX68-8737 MCC5399 HUN-MARTONVASAR VIANNI U:ZLET 620,00 HUF Kártyatranzakció"/>
    <n v="-620"/>
    <x v="3"/>
    <x v="4"/>
    <x v="0"/>
  </r>
  <r>
    <x v="233"/>
    <s v="LIDL ARUHAZ 0349.SZ. BUDAORS 16.959,00 HUF Vásárlás"/>
    <n v="-16959"/>
    <x v="3"/>
    <x v="4"/>
    <x v="0"/>
  </r>
  <r>
    <x v="233"/>
    <s v="TESCO 44089 O NKISZOLG MARTONVASAR 116,00 HUF Vásárlás"/>
    <n v="-116"/>
    <x v="3"/>
    <x v="4"/>
    <x v="0"/>
  </r>
  <r>
    <x v="233"/>
    <s v="BARIONP BARION.COM/GUE BUDAPEST 19.070,00 HUF Vásárlás"/>
    <n v="-19070"/>
    <x v="0"/>
    <x v="6"/>
    <x v="0"/>
  </r>
  <r>
    <x v="233"/>
    <s v="KOMA UZLETHAZ MARTONVASAR 2.280,00 HUF Vásárlás"/>
    <n v="-2280"/>
    <x v="0"/>
    <x v="6"/>
    <x v="0"/>
  </r>
  <r>
    <x v="233"/>
    <s v="BARKACSBOLT MARTONVASAR 2.270,00 HUF Vásárlás"/>
    <n v="-2270"/>
    <x v="0"/>
    <x v="6"/>
    <x v="0"/>
  </r>
  <r>
    <x v="233"/>
    <s v="EMAG BUDAO RS BUDAORS 39.990,00 HUF Vásárlás"/>
    <n v="-39990"/>
    <x v="3"/>
    <x v="31"/>
    <x v="0"/>
  </r>
  <r>
    <x v="234"/>
    <s v="Burger King Budaörs"/>
    <n v="-7380"/>
    <x v="2"/>
    <x v="2"/>
    <x v="4"/>
  </r>
  <r>
    <x v="235"/>
    <s v="HUN-BARACSKA CSIZ SAJTMUHELY KFT Vásárlás(2023.07.12) Card:5444-0XXX-XX68-8737 MCC5499 HUN-BARACSKA CSIZ SAJTMUHELY KFT 2.060,00 HUF Kártyatranzakció"/>
    <n v="-2060"/>
    <x v="3"/>
    <x v="4"/>
    <x v="0"/>
  </r>
  <r>
    <x v="236"/>
    <s v="KI'NAI BU FE' BUDAPEST 1.800,00 HUF Vásárlás"/>
    <n v="-1800"/>
    <x v="2"/>
    <x v="2"/>
    <x v="0"/>
  </r>
  <r>
    <x v="236"/>
    <s v="MVM NEXT ENERGIAK BUDAPEST 8.900,00 HUF Vásárlás"/>
    <n v="-8900"/>
    <x v="0"/>
    <x v="11"/>
    <x v="0"/>
  </r>
  <r>
    <x v="237"/>
    <s v="A TABLE Pékség,Cukrászda"/>
    <n v="-2190"/>
    <x v="2"/>
    <x v="2"/>
    <x v="4"/>
  </r>
  <r>
    <x v="237"/>
    <s v="HUN-MARTONVASAR TESCO 44089 O:NKISZ Vásárlás(2023.07.10) Card:5444-0XXX-XX68-8737 MCC5311 HUN-MARTONVASAR TESCO 44089 O:NKISZ OLG 589,00 HUF Kártyatranzakció"/>
    <n v="-589"/>
    <x v="3"/>
    <x v="4"/>
    <x v="0"/>
  </r>
  <r>
    <x v="237"/>
    <s v="HUN-BUDAORS BRENDON BABAARUHAZ Vásárlás(2023.07.10) Card:5444-0XXX-XX68-8737 MCC5331 HUN-BUDAORS BRENDON BABAARUHAZ 1.890,00 HUF Kártyatranzakció"/>
    <n v="-1890"/>
    <x v="3"/>
    <x v="3"/>
    <x v="0"/>
  </r>
  <r>
    <x v="237"/>
    <s v="HUN-BUDAORS SALAD BOX Vásárlás(2023.07.10) Card:5444-0XXX-XX68-8737 MCC5812 HUN-BUDAORS SALAD BOX 6.580,00 HUF Kártyatranzakció"/>
    <n v="-6580"/>
    <x v="2"/>
    <x v="2"/>
    <x v="0"/>
  </r>
  <r>
    <x v="237"/>
    <s v="11773353-59010812-00000000 Kovácsné Tonkó Csilla Mária KT-2023-146 Kimenő azonnali megbízás"/>
    <n v="-10000"/>
    <x v="7"/>
    <x v="13"/>
    <x v="0"/>
  </r>
  <r>
    <x v="237"/>
    <s v="HUN-BUDAORS LIDL ARUHAZ 0349.SZ. Vásárlás(2023.07.10) Card:5444-0XXX-XX68-8737 MCC5411 HUN-BUDAORS LIDL ARUHAZ 0349.SZ. 18.485,00 HUF Kártyatranzakció"/>
    <n v="-18485"/>
    <x v="3"/>
    <x v="4"/>
    <x v="0"/>
  </r>
  <r>
    <x v="237"/>
    <s v="HUN-BUDAORS DM 311.SZ. Vásárlás(2023.07.10) Card:5444-0XXX-XX68-8737 MCC5977 HUN-BUDAORS DM 311.SZ. 32.404,00 HUF Kártyatranzakció"/>
    <n v="-32404"/>
    <x v="3"/>
    <x v="4"/>
    <x v="0"/>
  </r>
  <r>
    <x v="237"/>
    <s v="MAGYAR ALLAMKINCSTAR BUDAPEST 53.860,00 HUF Vásárlás"/>
    <n v="-53860"/>
    <x v="1"/>
    <x v="26"/>
    <x v="0"/>
  </r>
  <r>
    <x v="237"/>
    <s v="MM BUDAO RS BUDAORS 14.598,00 HUF Vásárlás"/>
    <n v="-14598"/>
    <x v="3"/>
    <x v="31"/>
    <x v="0"/>
  </r>
  <r>
    <x v="237"/>
    <s v="AUCHAN BUDAORS BUDAORS 1.199,00 HUF Vásárlás"/>
    <n v="-1199"/>
    <x v="3"/>
    <x v="4"/>
    <x v="0"/>
  </r>
  <r>
    <x v="237"/>
    <s v="OTPMOBL EON.HU BUDAPEST 5.588,00 HUF Vásárlás"/>
    <n v="-5588"/>
    <x v="0"/>
    <x v="22"/>
    <x v="0"/>
  </r>
  <r>
    <x v="237"/>
    <s v="OTPMOBL DIJNET.HU BUDAPEST 6.944,00 HUF Vásárlás"/>
    <n v="-6944"/>
    <x v="0"/>
    <x v="23"/>
    <x v="0"/>
  </r>
  <r>
    <x v="238"/>
    <s v="Kemal Pasa"/>
    <n v="-2500"/>
    <x v="2"/>
    <x v="2"/>
    <x v="4"/>
  </r>
  <r>
    <x v="238"/>
    <s v="Kiskifli Kávézó"/>
    <n v="-1580"/>
    <x v="2"/>
    <x v="2"/>
    <x v="4"/>
  </r>
  <r>
    <x v="238"/>
    <s v="Andris mak 01437887"/>
    <n v="-200000"/>
    <x v="1"/>
    <x v="26"/>
    <x v="0"/>
  </r>
  <r>
    <x v="238"/>
    <s v="ZSU-ANN/2 BUDAPEST 2.790,00 HUF Vásárlás"/>
    <n v="-2790"/>
    <x v="2"/>
    <x v="2"/>
    <x v="0"/>
  </r>
  <r>
    <x v="239"/>
    <s v="PL:P/10JLY23 Tőkefizetés Hitel /21-41194/"/>
    <n v="-217289.85"/>
    <x v="0"/>
    <x v="21"/>
    <x v="0"/>
  </r>
  <r>
    <x v="239"/>
    <s v="NEW YORK BAGEL KFT."/>
    <n v="-1690"/>
    <x v="2"/>
    <x v="2"/>
    <x v="4"/>
  </r>
  <r>
    <x v="239"/>
    <s v="DECATHLON BUDAORS BUDAORS 9.980,00 HUF Vásárlás"/>
    <n v="-9980"/>
    <x v="3"/>
    <x v="30"/>
    <x v="0"/>
  </r>
  <r>
    <x v="239"/>
    <s v="IKEA BUDAORS ETTEREM Budaors 7.461,00 HUF Vásárlás"/>
    <n v="-7461"/>
    <x v="2"/>
    <x v="2"/>
    <x v="0"/>
  </r>
  <r>
    <x v="239"/>
    <s v="IKEA BUDAORS UGYFE Budaors 12.725,00 HUF Vásárlás"/>
    <n v="-12725"/>
    <x v="0"/>
    <x v="35"/>
    <x v="0"/>
  </r>
  <r>
    <x v="239"/>
    <s v="VIANNI U ZLET MARTONVASAR 1.000,00 HUF Vásárlás"/>
    <n v="-1000"/>
    <x v="3"/>
    <x v="4"/>
    <x v="0"/>
  </r>
  <r>
    <x v="239"/>
    <s v="Gazda-SAGI Bolt Martonvasar 2.980,00 HUF Vásárlás 7,71 EUR"/>
    <n v="-2980"/>
    <x v="0"/>
    <x v="6"/>
    <x v="0"/>
  </r>
  <r>
    <x v="239"/>
    <s v="JAGUAR LAND ROVER HUNGARY KFT. Munkab.r utal.sMunkabér"/>
    <n v="2162731"/>
    <x v="4"/>
    <x v="20"/>
    <x v="0"/>
  </r>
  <r>
    <x v="239"/>
    <s v="PL:I/10JLY23 Kamatfizetés  Hitel /21-41194/"/>
    <n v="-44514.94"/>
    <x v="0"/>
    <x v="21"/>
    <x v="0"/>
  </r>
  <r>
    <x v="239"/>
    <s v="PL:P/10JLY23 Tőkefizetés Hitel /21-41194/"/>
    <n v="217289.85"/>
    <x v="0"/>
    <x v="21"/>
    <x v="1"/>
  </r>
  <r>
    <x v="240"/>
    <s v="HUN-MARTONVASAR TESCO 44089 O:NKISZ Vásárlás(2023.07.05) Card:5444-0XXX-XX68-8737 MCC5311 HUN-MARTONVASAR TESCO 44089 O:NKISZ OLG 5.120,00 HUF Kártyatranzakció"/>
    <n v="-5120"/>
    <x v="3"/>
    <x v="4"/>
    <x v="0"/>
  </r>
  <r>
    <x v="241"/>
    <s v="HUN-Budapest reserved.com/hu Áru vissza/befizetés(2023.07.04) Card:5444-0XXX-XX68-8737 MCC5691 HUN-Budapest reserved.com/hu 82.150,00 HUF Kártyatranzakció"/>
    <n v="82150"/>
    <x v="3"/>
    <x v="30"/>
    <x v="0"/>
  </r>
  <r>
    <x v="241"/>
    <s v="HUN-BIATORBAGY DM 351 SZ. Vásárlás(2023.07.04) Card:5444-0XXX-XX68-8737 MCC5977 HUN-BIATORBAGY DM 351 SZ. 5.998,00 HUF Kártyatranzakció"/>
    <n v="-5998"/>
    <x v="3"/>
    <x v="4"/>
    <x v="0"/>
  </r>
  <r>
    <x v="241"/>
    <s v="HUN-BUDAORS DM 311.SZ. Vásárlás(2023.07.04) Card:5444-0XXX-XX68-8737 MCC5977 HUN-BUDAORS DM 311.SZ. 11.411,00 HUF Kártyatranzakció"/>
    <n v="-11411"/>
    <x v="3"/>
    <x v="4"/>
    <x v="0"/>
  </r>
  <r>
    <x v="241"/>
    <s v="HUN-BUDAORS ALDI 156.SZ. Vásárlás(2023.07.04) Card:5444-0XXX-XX68-8737 MCC5411 HUN-BUDAORS ALDI 156.SZ. 13.213,00 HUF Kártyatranzakció"/>
    <n v="-13213"/>
    <x v="3"/>
    <x v="4"/>
    <x v="0"/>
  </r>
  <r>
    <x v="241"/>
    <s v="HUN-BIATORBAGY CHIMICHANGA E'TTEREM Vásárlás(2023.07.04) Card:5444-0XXX-XX68-8737 MCC5812 HUN-BIATORBAGY CHIMICHANGA E'TTEREM 20.590,00 HUF Kártyatranzakció"/>
    <n v="-20590"/>
    <x v="2"/>
    <x v="2"/>
    <x v="0"/>
  </r>
  <r>
    <x v="241"/>
    <s v="BRENDON BABAARUHAZ BUDAORS 7.990,00 HUF Vásárlás"/>
    <n v="-7990"/>
    <x v="3"/>
    <x v="3"/>
    <x v="0"/>
  </r>
  <r>
    <x v="241"/>
    <s v="DOLCE VENEZIA KFT. VELENCE 5.150,00 HUF Vásárlás"/>
    <n v="-5150"/>
    <x v="2"/>
    <x v="19"/>
    <x v="0"/>
  </r>
  <r>
    <x v="241"/>
    <s v="Mazsa Nordik Kft. Budapest 1.199,00 HUF Vásárlás 3,20 EUR"/>
    <n v="-1199"/>
    <x v="3"/>
    <x v="4"/>
    <x v="0"/>
  </r>
  <r>
    <x v="241"/>
    <s v="IMO 22 Budaors 2.490,00 HUF Vásárlás 6,64 EUR"/>
    <n v="-2490"/>
    <x v="5"/>
    <x v="18"/>
    <x v="0"/>
  </r>
  <r>
    <x v="242"/>
    <s v="Kemal Pasa"/>
    <n v="-2500"/>
    <x v="2"/>
    <x v="2"/>
    <x v="4"/>
  </r>
  <r>
    <x v="242"/>
    <s v="Cr Forgalmi kedvezmény"/>
    <n v="1914"/>
    <x v="1"/>
    <x v="1"/>
    <x v="0"/>
  </r>
  <r>
    <x v="242"/>
    <s v="HUN-MARTONVASAR VIANNI U:ZLET Vásárlás(2023.07.03) Card:5444-0XXX-XX68-8737 MCC5399 HUN-MARTONVASAR VIANNI U:ZLET 1.589,00 HUF Kártyatranzakció"/>
    <n v="-1589"/>
    <x v="3"/>
    <x v="4"/>
    <x v="0"/>
  </r>
  <r>
    <x v="242"/>
    <s v="HUN-MARTONVASAR MARTON KLINIK Vásárlás(2023.07.03) Card:5444-0XXX-XX68-8737 MCC8099 HUN-MARTONVASAR MARTON KLINIK 11.370,00 HUF Kártyatranzakció"/>
    <n v="-11370"/>
    <x v="7"/>
    <x v="17"/>
    <x v="0"/>
  </r>
  <r>
    <x v="242"/>
    <s v="HUN-AGARD LIDL ARUHAZ 0306.SZ. Vásárlás(2023.07.03) Card:5444-0XXX-XX68-8737 MCC5411 HUN-AGARD LIDL ARUHAZ 0306.SZ. 20.323,00 HUF Kártyatranzakció"/>
    <n v="-20323"/>
    <x v="3"/>
    <x v="4"/>
    <x v="0"/>
  </r>
  <r>
    <x v="242"/>
    <s v="OBI 010 BUDAORS BUDAORS 37.289,00 HUF Vásárlás"/>
    <n v="-37289"/>
    <x v="0"/>
    <x v="6"/>
    <x v="0"/>
  </r>
  <r>
    <x v="243"/>
    <s v="10032000-00282637-00000000 OKTATÁSI HIVATAL MUNKABÉR UTALÁS Bejövő Forint Átutalás"/>
    <n v="243600"/>
    <x v="4"/>
    <x v="20"/>
    <x v="0"/>
  </r>
  <r>
    <x v="244"/>
    <s v="HUN-MARTONVASAR VIANNI U:ZLET Vásárlás(2023.06.30) Card:5444-0XXX-XX68-8737 MCC5399 HUN-MARTONVASAR VIANNI U:ZLET 840,00 HUF Kártyatranzakció"/>
    <n v="-840"/>
    <x v="3"/>
    <x v="4"/>
    <x v="0"/>
  </r>
  <r>
    <x v="244"/>
    <s v="HUN-BARACSKA CSIZ SAJTMUHELY KFT Vásárlás(2023.06.30) Card:5444-0XXX-XX68-8737 MCC5499 HUN-BARACSKA CSIZ SAJTMUHELY KFT 3.020,00 HUF Kártyatranzakció"/>
    <n v="-3020"/>
    <x v="3"/>
    <x v="4"/>
    <x v="0"/>
  </r>
  <r>
    <x v="244"/>
    <s v="DM 311.SZ. BUDAORS 13.104,00 HUF Vásárlás"/>
    <n v="-13104"/>
    <x v="3"/>
    <x v="4"/>
    <x v="0"/>
  </r>
  <r>
    <x v="244"/>
    <s v="GYURIVILL KFT. MARTONVASAR 813,00 HUF Vásárlás"/>
    <n v="-813"/>
    <x v="0"/>
    <x v="6"/>
    <x v="0"/>
  </r>
  <r>
    <x v="244"/>
    <s v="BUDAO RS BENZINKU'T AU BUDAORS 35.350,00 HUF Vásárlás"/>
    <n v="-35350"/>
    <x v="5"/>
    <x v="16"/>
    <x v="0"/>
  </r>
  <r>
    <x v="244"/>
    <s v="SIMPLE PARKOL S BUDAPEST 509,00 HUF Vásárlás"/>
    <n v="-509"/>
    <x v="5"/>
    <x v="9"/>
    <x v="0"/>
  </r>
  <r>
    <x v="244"/>
    <s v="SIMPLE PARKOL S BUDAPEST 562,00 HUF Vásárlás"/>
    <n v="-562"/>
    <x v="5"/>
    <x v="9"/>
    <x v="0"/>
  </r>
  <r>
    <x v="245"/>
    <s v="Int.Appl. to   30/06/23"/>
    <n v="29.91"/>
    <x v="1"/>
    <x v="1"/>
    <x v="0"/>
  </r>
  <r>
    <x v="245"/>
    <s v="CRT to         30/06/23"/>
    <n v="-4.49"/>
    <x v="1"/>
    <x v="1"/>
    <x v="0"/>
  </r>
  <r>
    <x v="245"/>
    <s v="Havi zárlati díj"/>
    <n v="-2222"/>
    <x v="1"/>
    <x v="1"/>
    <x v="0"/>
  </r>
  <r>
    <x v="245"/>
    <s v="CHE-Bad Zurzach Triumph Intertrade Vásárlás(2023.06.28) Card:5444-0XXX-XX68-8737 MCC5631 CHE-Bad Zurzach Triumph Intertrade AG 18.300,00 HUF Kártyatranzakció"/>
    <n v="-18300"/>
    <x v="3"/>
    <x v="30"/>
    <x v="0"/>
  </r>
  <r>
    <x v="245"/>
    <s v="bank"/>
    <n v="-11.04"/>
    <x v="1"/>
    <x v="1"/>
    <x v="0"/>
  </r>
  <r>
    <x v="245"/>
    <s v="Biohair Oktogon Budapest 4.980,00 HUF Vásárlás 13,45 EUR"/>
    <n v="-4980"/>
    <x v="7"/>
    <x v="15"/>
    <x v="0"/>
  </r>
  <r>
    <x v="245"/>
    <s v="bank"/>
    <n v="73.59"/>
    <x v="1"/>
    <x v="1"/>
    <x v="0"/>
  </r>
  <r>
    <x v="246"/>
    <s v="McDonald's Budaörs - Agip"/>
    <n v="-3530"/>
    <x v="2"/>
    <x v="2"/>
    <x v="4"/>
  </r>
  <r>
    <x v="246"/>
    <s v="TELEKOMSZAML 597307593 BUDAPEST 8.115,00 HUF Vásárlás 21,99 EUR"/>
    <n v="-8115"/>
    <x v="0"/>
    <x v="7"/>
    <x v="0"/>
  </r>
  <r>
    <x v="246"/>
    <s v="NETFLIX.COM 408-724-9160 3.490,00 HUF Vásárlás 9,46 EUR"/>
    <n v="-3490"/>
    <x v="0"/>
    <x v="7"/>
    <x v="0"/>
  </r>
  <r>
    <x v="247"/>
    <s v="HUN-BUDAORS MEDICINA PATIKA Vásárlás(2023.06.26) Card:5444-0XXX-XX68-8737 MCC5912 HUN-BUDAORS MEDICINA PATIKA 5.431,00 HUF Kártyatranzakció"/>
    <n v="-5431"/>
    <x v="7"/>
    <x v="5"/>
    <x v="0"/>
  </r>
  <r>
    <x v="247"/>
    <s v="SKYSHOWTIME 8646E HU Amsterdam 999,00 HUF Vásárlás 2,70 EUR"/>
    <n v="-999"/>
    <x v="0"/>
    <x v="7"/>
    <x v="0"/>
  </r>
  <r>
    <x v="248"/>
    <s v="SVK-mackojatek.hu GOPAY  *MACKOJATE Vásárlás(2023.06.25) Card:5444-0XXX-XX68-8737 MCC5945 SVK-mackojatek.hu GOPAY  *MACKOJATE K.HU 19.845,00 HUF Kártyatranzakció"/>
    <n v="-19845"/>
    <x v="3"/>
    <x v="3"/>
    <x v="0"/>
  </r>
  <r>
    <x v="248"/>
    <s v="ARTIZAN PEKSEG KAVEZO BUDAPEST 7.110,00 HUF Vásárlás"/>
    <n v="-7110"/>
    <x v="2"/>
    <x v="19"/>
    <x v="0"/>
  </r>
  <r>
    <x v="248"/>
    <s v="LIDL ARUHAZ 0306.SZ. AGARD 10.184,00 HUF Vásárlás"/>
    <n v="-10184"/>
    <x v="3"/>
    <x v="4"/>
    <x v="0"/>
  </r>
  <r>
    <x v="248"/>
    <s v="TESCO 41520 O NKISZOLG BUDAORS 3.407,00 HUF Vásárlás"/>
    <n v="-3407"/>
    <x v="3"/>
    <x v="4"/>
    <x v="0"/>
  </r>
  <r>
    <x v="248"/>
    <s v="SIMPLE PARKOL S BUDAPEST 419,00 HUF Vásárlás"/>
    <n v="-419"/>
    <x v="5"/>
    <x v="9"/>
    <x v="0"/>
  </r>
  <r>
    <x v="248"/>
    <s v="DM 311.SZ. BUDAORS 5.877,00 HUF Vásárlás"/>
    <n v="-5877"/>
    <x v="3"/>
    <x v="4"/>
    <x v="0"/>
  </r>
  <r>
    <x v="248"/>
    <s v="Gazda-SAGI Bolt Martonvasar 1.990,00 HUF Vásárlás 5,38 EUR"/>
    <n v="-1990"/>
    <x v="0"/>
    <x v="6"/>
    <x v="0"/>
  </r>
  <r>
    <x v="249"/>
    <s v="HUN-MARTONVASAR TESCO 44089 O:NKISZ Vásárlás(2023.06.24) Card:5444-0XXX-XX68-8737 MCC5311 HUN-MARTONVASAR TESCO 44089 O:NKISZ OLG 1.338,00 HUF Kártyatranzakció"/>
    <n v="-1338"/>
    <x v="3"/>
    <x v="4"/>
    <x v="0"/>
  </r>
  <r>
    <x v="249"/>
    <s v="HUN-BUDAPEST BKK AUTOMATA F65 Vásárlás(2023.06.24) Card:5444-0XXX-XX68-8737 MCC4131 HUN-BUDAPEST BKK AUTOMATA F65 3.000,00 HUF Kártyatranzakció"/>
    <n v="-3000"/>
    <x v="5"/>
    <x v="28"/>
    <x v="0"/>
  </r>
  <r>
    <x v="249"/>
    <s v="HUN-Budapest SumUp  *Hortobagyi Kas Vásárlás(2023.06.24) Card:5444-0XXX-XX68-8737 MCC7230 HUN-Budapest SumUp  *Hortobagyi Kas 4.540,00 HUF Kártyatranzakció"/>
    <n v="-4540"/>
    <x v="7"/>
    <x v="15"/>
    <x v="0"/>
  </r>
  <r>
    <x v="249"/>
    <s v="HUN-BUDAPEST BARIONP*BARION.COM/GUE Vásárlás(2023.06.22) Card:5444-0XXX-XX68-8737 MCC7299 HUN-BUDAPEST BARIONP*BARION.COM/GUE 4.777,00 HUF Kártyatranzakció"/>
    <n v="-4777"/>
    <x v="7"/>
    <x v="15"/>
    <x v="0"/>
  </r>
  <r>
    <x v="249"/>
    <s v="HUN-AGARD LIDL ARUHAZ 0306.SZ. Vásárlás(2023.06.22) Card:5444-0XXX-XX68-8737 MCC5411 HUN-AGARD LIDL ARUHAZ 0306.SZ. 11.356,00 HUF Kártyatranzakció"/>
    <n v="-11356"/>
    <x v="3"/>
    <x v="4"/>
    <x v="0"/>
  </r>
  <r>
    <x v="249"/>
    <s v="HUN-GARDONY DM 316.SZ. Vásárlás(2023.06.22) Card:5444-0XXX-XX68-8737 MCC5977 HUN-GARDONY DM 316.SZ. 29.758,00 HUF Kártyatranzakció"/>
    <n v="-29758"/>
    <x v="3"/>
    <x v="4"/>
    <x v="0"/>
  </r>
  <r>
    <x v="250"/>
    <s v="Burger King Étterem Oktogon"/>
    <n v="-6310"/>
    <x v="2"/>
    <x v="2"/>
    <x v="4"/>
  </r>
  <r>
    <x v="250"/>
    <s v="10400872-50526688-72801000 Almássy-Fodor Dorottya Qfk-2023-37 Kimenő azonnali megbízás"/>
    <n v="-29500"/>
    <x v="7"/>
    <x v="15"/>
    <x v="0"/>
  </r>
  <r>
    <x v="251"/>
    <s v="HUN-BARACSKA CSIZ SAJTMUHELY KFT Vásárlás(2023.06.21) Card:5444-0XXX-XX68-8737 MCC5499 HUN-BARACSKA CSIZ SAJTMUHELY KFT 1.750,00 HUF Kártyatranzakció"/>
    <n v="-1750"/>
    <x v="3"/>
    <x v="4"/>
    <x v="0"/>
  </r>
  <r>
    <x v="251"/>
    <s v="OMV 2072 Budapest M1_ 26.168,00 HUF Vásárlás"/>
    <n v="-26168"/>
    <x v="5"/>
    <x v="16"/>
    <x v="0"/>
  </r>
  <r>
    <x v="251"/>
    <s v="KISKIFLI KAVEZO BUDAPEST 1.580,00 HUF Vásárlás"/>
    <n v="-1580"/>
    <x v="2"/>
    <x v="19"/>
    <x v="0"/>
  </r>
  <r>
    <x v="252"/>
    <s v="Kiskifli Kávézó"/>
    <n v="-2790"/>
    <x v="2"/>
    <x v="2"/>
    <x v="4"/>
  </r>
  <r>
    <x v="252"/>
    <s v="HUN-MARTONVASAR TESCO 44089 O:NKISZ Vásárlás(2023.06.20) Card:5444-0XXX-XX68-8737 MCC5311 HUN-MARTONVASAR TESCO 44089 O:NKISZ OLG 6.486,00 HUF Kártyatranzakció"/>
    <n v="-6486"/>
    <x v="3"/>
    <x v="4"/>
    <x v="0"/>
  </r>
  <r>
    <x v="252"/>
    <s v="HUN-BUDAORS BRENDON BABAARUHAZ Vásárlás(2023.06.20) Card:5444-0XXX-XX68-8737 MCC5331 HUN-BUDAORS BRENDON BABAARUHAZ 11.170,00 HUF Kártyatranzakció"/>
    <n v="-11170"/>
    <x v="3"/>
    <x v="3"/>
    <x v="0"/>
  </r>
  <r>
    <x v="252"/>
    <s v="HUN-BUDAPEST OTPMOBL*JEGY.LIGETBUDA Vásárlás(2023.06.20) Card:5444-0XXX-XX68-8737 MCC7922 HUN-BUDAPEST OTPMOBL*JEGY.LIGETBUDA 12.320,00 HUF Kártyatranzakció"/>
    <n v="-12320"/>
    <x v="6"/>
    <x v="12"/>
    <x v="0"/>
  </r>
  <r>
    <x v="252"/>
    <s v="HUN-BUDAORS MEDICINA PATIKA Vásárlás(2023.06.20) Card:5444-0XXX-XX68-8737 MCC5912 HUN-BUDAORS MEDICINA PATIKA 31.756,00 HUF Kártyatranzakció"/>
    <n v="-31756"/>
    <x v="7"/>
    <x v="5"/>
    <x v="0"/>
  </r>
  <r>
    <x v="252"/>
    <s v="HUN-BUDAORS TESCO 41520 Vásárlás(2023.06.20) Card:5444-0XXX-XX68-8737 MCC5311 HUN-BUDAORS TESCO 41520 33.495,00 HUF Kártyatranzakció"/>
    <n v="-33495"/>
    <x v="3"/>
    <x v="4"/>
    <x v="0"/>
  </r>
  <r>
    <x v="252"/>
    <s v="FOXPOST TESCO MARTONVA MARTONVASAR 30.381,00 HUF Vásárlás"/>
    <n v="-30381"/>
    <x v="3"/>
    <x v="31"/>
    <x v="0"/>
  </r>
  <r>
    <x v="252"/>
    <s v="Gazda-SAGI Bolt Martonvasar 6.700,00 HUF Vásárlás 17,96 EUR"/>
    <n v="-6700"/>
    <x v="0"/>
    <x v="6"/>
    <x v="0"/>
  </r>
  <r>
    <x v="253"/>
    <s v="JAGUAR LAND ROVER HUNGARY KFT."/>
    <n v="31960"/>
    <x v="4"/>
    <x v="20"/>
    <x v="4"/>
  </r>
  <r>
    <x v="253"/>
    <s v="ZSU-ANN/2 BUDAPEST 2.990,00 HUF Vásárlás"/>
    <n v="-2990"/>
    <x v="2"/>
    <x v="2"/>
    <x v="0"/>
  </r>
  <r>
    <x v="253"/>
    <s v="New York Bagel Kft Budapest 1.650,00 HUF Vásárlás 4,41 EUR"/>
    <n v="-1650"/>
    <x v="2"/>
    <x v="2"/>
    <x v="0"/>
  </r>
  <r>
    <x v="254"/>
    <s v="HUN-BUDAPEST BARIONP*BARION.COM/GUE Vásárlás(2023.06.18) Card:5444-0XXX-XX68-8737 MCC7299 HUN-BUDAPEST BARIONP*BARION.COM/GUE 7.729,00 HUF Kártyatranzakció"/>
    <n v="-7729"/>
    <x v="7"/>
    <x v="15"/>
    <x v="0"/>
  </r>
  <r>
    <x v="254"/>
    <s v="TESCO 44089 O NKISZOLG MARTONVASAR 1.558,00 HUF Vásárlás"/>
    <n v="-1558"/>
    <x v="3"/>
    <x v="4"/>
    <x v="0"/>
  </r>
  <r>
    <x v="255"/>
    <s v="HUN-MARTONVASAR KEPESVARAZS KFT. Vásárlás(2023.06.16) Card:5444-0XXX-XX68-8737 MCC5111 HUN-MARTONVASAR KEPESVARAZS KFT. 598,00 HUF Kártyatranzakció"/>
    <n v="-598"/>
    <x v="3"/>
    <x v="8"/>
    <x v="0"/>
  </r>
  <r>
    <x v="255"/>
    <s v="HUN-MARTONVASAR VIANNI U:ZLET Vásárlás(2023.06.16) Card:5444-0XXX-XX68-8737 MCC5399 HUN-MARTONVASAR VIANNI U:ZLET 1.990,00 HUF Kártyatranzakció"/>
    <n v="-1990"/>
    <x v="3"/>
    <x v="4"/>
    <x v="0"/>
  </r>
  <r>
    <x v="255"/>
    <s v="HUN-GARDONY DM 316.SZ. Vásárlás(2023.06.15) Card:5444-0XXX-XX68-8737 MCC5977 HUN-GARDONY DM 316.SZ. 4.224,00 HUF Kártyatranzakció"/>
    <n v="-4224"/>
    <x v="3"/>
    <x v="4"/>
    <x v="0"/>
  </r>
  <r>
    <x v="255"/>
    <s v="HUN-MARTONVASAR MARTON MARKET Vásárlás(2023.06.16) Card:5444-0XXX-XX68-8737 MCC5411 HUN-MARTONVASAR MARTON MARKET 4.752,00 HUF Kártyatranzakció"/>
    <n v="-4752"/>
    <x v="3"/>
    <x v="4"/>
    <x v="0"/>
  </r>
  <r>
    <x v="255"/>
    <s v="HUN-AGARD LIDL ARUHAZ 0306.SZ. Vásárlás(2023.06.15) Card:5444-0XXX-XX68-8737 MCC5411 HUN-AGARD LIDL ARUHAZ 0306.SZ. 25.710,00 HUF Kártyatranzakció"/>
    <n v="-25710"/>
    <x v="3"/>
    <x v="4"/>
    <x v="0"/>
  </r>
  <r>
    <x v="255"/>
    <s v="HUN-Budapest reserved.com/hu Vásárlás(2023.06.16) Card:5444-0XXX-XX68-8737 MCC5691 HUN-Budapest reserved.com/hu 131.315,00 HUF Kártyatranzakció"/>
    <n v="-131315"/>
    <x v="3"/>
    <x v="30"/>
    <x v="0"/>
  </r>
  <r>
    <x v="255"/>
    <s v="TESCO 44089 O NKISZOLG MARTONVASAR 4.470,00 HUF Vásárlás"/>
    <n v="-4470"/>
    <x v="3"/>
    <x v="4"/>
    <x v="0"/>
  </r>
  <r>
    <x v="255"/>
    <s v="PANIFICIO ILBASILICO SZENTENDRE 8.940,00 HUF Vásárlás"/>
    <n v="-8940"/>
    <x v="2"/>
    <x v="10"/>
    <x v="0"/>
  </r>
  <r>
    <x v="256"/>
    <s v="HUN-MARTONVASAR TESCO 44089 O:NKISZ Vásárlás(2023.06.14) Card:5444-0XXX-XX68-8737 MCC5311 HUN-MARTONVASAR TESCO 44089 O:NKISZ OLG 4.006,00 HUF Kártyatranzakció"/>
    <n v="-4006"/>
    <x v="3"/>
    <x v="4"/>
    <x v="0"/>
  </r>
  <r>
    <x v="256"/>
    <s v="HUN-BARACSKA CSIZ SAJTMUHELY KFT Vásárlás(2023.06.14) Card:5444-0XXX-XX68-8737 MCC5499 HUN-BARACSKA CSIZ SAJTMUHELY KFT 4.818,00 HUF Kártyatranzakció"/>
    <n v="-4818"/>
    <x v="3"/>
    <x v="4"/>
    <x v="0"/>
  </r>
  <r>
    <x v="257"/>
    <s v="HUN-BUDAPEST DM 115 Vásárlás(2023.06.13) Card:5444-0XXX-XX68-8737 MCC5977 HUN-BUDAPEST DM 115 1.999,00 HUF Kártyatranzakció"/>
    <n v="-1999"/>
    <x v="3"/>
    <x v="4"/>
    <x v="0"/>
  </r>
  <r>
    <x v="257"/>
    <s v="11773353-59010812-00000000 Kovácsné Tonkó Csilla Mária KT-2023-131 Kimenő azonnali megbízás"/>
    <n v="-13000"/>
    <x v="7"/>
    <x v="13"/>
    <x v="0"/>
  </r>
  <r>
    <x v="257"/>
    <s v="OTPMOBL DIJNET.HU BUDAPEST 6.944,00 HUF Vásárlás"/>
    <n v="-6944"/>
    <x v="0"/>
    <x v="23"/>
    <x v="0"/>
  </r>
  <r>
    <x v="257"/>
    <s v="Kemal Pasa Torok Et Budapest 4.200,00 HUF Vásárlás"/>
    <n v="-4200"/>
    <x v="2"/>
    <x v="2"/>
    <x v="0"/>
  </r>
  <r>
    <x v="257"/>
    <s v="New York Bagel Kft Budapest 1.490,00 HUF Vásárlás 4,03 EUR"/>
    <n v="-1490"/>
    <x v="2"/>
    <x v="2"/>
    <x v="0"/>
  </r>
  <r>
    <x v="257"/>
    <s v="Cafe Frei Budapest- No Budapest 1.880,00 HUF Vásárlás 5,08 EUR"/>
    <n v="-1880"/>
    <x v="2"/>
    <x v="19"/>
    <x v="0"/>
  </r>
  <r>
    <x v="258"/>
    <s v="HUN-MARTONVASAR TESCO 44089 O:NKISZ Vásárlás(2023.06.12) Card:5444-0XXX-XX68-8737 MCC5311 HUN-MARTONVASAR TESCO 44089 O:NKISZ OLG 825,00 HUF Kártyatranzakció"/>
    <n v="-825"/>
    <x v="3"/>
    <x v="4"/>
    <x v="0"/>
  </r>
  <r>
    <x v="258"/>
    <s v="HUN-MARTONVASAR TESCO 44089 Vásárlás(2023.06.12) Card:5444-0XXX-XX68-8737 MCC5311 HUN-MARTONVASAR TESCO 44089 2.668,00 HUF Kártyatranzakció"/>
    <n v="-2668"/>
    <x v="3"/>
    <x v="4"/>
    <x v="0"/>
  </r>
  <r>
    <x v="258"/>
    <s v="HUN-BUDAPEST MARGIT KRT. 43-45. ATM készpénzfelvétel(2023.06.13) Card:5444-0XXX-XX68-8737 MCC6011 HUN-BUDAPEST MARGIT KRT. 43-45. 20.000,00 HUF Kártyatranzakció"/>
    <n v="-20000"/>
    <x v="8"/>
    <x v="43"/>
    <x v="0"/>
  </r>
  <r>
    <x v="258"/>
    <s v="VIANNI U ZLET MARTONVASAR 1.680,00 HUF Vásárlás"/>
    <n v="-1680"/>
    <x v="3"/>
    <x v="4"/>
    <x v="0"/>
  </r>
  <r>
    <x v="259"/>
    <s v="HUN-MARTONVASAR MARTON MARKET Vásárlás(2023.06.08) Card:5444-0XXX-XX68-8737 MCC5411 HUN-MARTONVASAR MARTON MARKET 2.015,00 HUF Kártyatranzakció"/>
    <n v="-2015"/>
    <x v="3"/>
    <x v="4"/>
    <x v="0"/>
  </r>
  <r>
    <x v="259"/>
    <s v="HUN-BUDAORS BRENDON BABAARUHAZ Vásárlás(2023.06.09) Card:5444-0XXX-XX68-8737 MCC5331 HUN-BUDAORS BRENDON BABAARUHAZ 4.289,00 HUF Kártyatranzakció"/>
    <n v="-4289"/>
    <x v="3"/>
    <x v="3"/>
    <x v="0"/>
  </r>
  <r>
    <x v="259"/>
    <s v="HUN-BUDAORS REGIO JA'TE'K BUDAO:RS Vásárlás(2023.06.09) Card:5444-0XXX-XX68-8737 MCC5945 HUN-BUDAORS REGIO JA'TE'K BUDAO:RS 4.995,00 HUF Kártyatranzakció"/>
    <n v="-4995"/>
    <x v="3"/>
    <x v="3"/>
    <x v="0"/>
  </r>
  <r>
    <x v="259"/>
    <s v="HUN-BUDAORS DM 311.SZ. Vásárlás(2023.06.09) Card:5444-0XXX-XX68-8737 MCC5977 HUN-BUDAORS DM 311.SZ. 16.965,00 HUF Kártyatranzakció"/>
    <n v="-16965"/>
    <x v="3"/>
    <x v="4"/>
    <x v="0"/>
  </r>
  <r>
    <x v="259"/>
    <s v="AUTOMATA TO LTO'A'LLOM KAPOLNASNYEK 34.286,00 HUF Vásárlás"/>
    <n v="-34286"/>
    <x v="5"/>
    <x v="16"/>
    <x v="0"/>
  </r>
  <r>
    <x v="259"/>
    <s v="OTPMOBL EON.HU BUDAPEST 5.588,00 HUF Vásárlás"/>
    <n v="-5588"/>
    <x v="0"/>
    <x v="11"/>
    <x v="0"/>
  </r>
  <r>
    <x v="259"/>
    <s v="OTPMOBL VIMPAY.MAV-STA BUDAPEST 504,00 HUF Vásárlás"/>
    <n v="-504"/>
    <x v="5"/>
    <x v="28"/>
    <x v="0"/>
  </r>
  <r>
    <x v="259"/>
    <s v="SIMPLE MOBILJEGY BUDAPEST 350,00 HUF Vásárlás"/>
    <n v="-350"/>
    <x v="5"/>
    <x v="28"/>
    <x v="0"/>
  </r>
  <r>
    <x v="259"/>
    <s v="BARKACSBOLT MARTONVASAR 1.800,00 HUF Vásárlás"/>
    <n v="-1800"/>
    <x v="0"/>
    <x v="6"/>
    <x v="0"/>
  </r>
  <r>
    <x v="259"/>
    <s v="MVM NEXT ENERGIAK BUDAPEST 8.900,00 HUF Vásárlás"/>
    <n v="-8900"/>
    <x v="0"/>
    <x v="22"/>
    <x v="0"/>
  </r>
  <r>
    <x v="259"/>
    <s v="HELLOPAY KERESKEDO' BUDAPEST 4.524,00 HUF Vásárlás"/>
    <n v="-4524"/>
    <x v="6"/>
    <x v="40"/>
    <x v="0"/>
  </r>
  <r>
    <x v="259"/>
    <s v="HELLOPAY KERESKEDO' BUDAPEST 3.937,00 HUF Vásárlás"/>
    <n v="-3937"/>
    <x v="6"/>
    <x v="40"/>
    <x v="0"/>
  </r>
  <r>
    <x v="259"/>
    <s v="TRIO PIZZA FORNETTI BUDAPEST 999,00 HUF Vásárlás"/>
    <n v="-999"/>
    <x v="2"/>
    <x v="2"/>
    <x v="0"/>
  </r>
  <r>
    <x v="259"/>
    <s v="OTPMOBL VIMPAY.MAV-STA BUDAPEST 504,00 HUF Vásárlás"/>
    <n v="-504"/>
    <x v="5"/>
    <x v="28"/>
    <x v="0"/>
  </r>
  <r>
    <x v="259"/>
    <s v="SIMPLE MOBILJEGY BUDAPEST 350,00 HUF Vásárlás"/>
    <n v="-350"/>
    <x v="5"/>
    <x v="28"/>
    <x v="0"/>
  </r>
  <r>
    <x v="259"/>
    <s v="SIMPLE MOBILJEGY BUDAPEST 350,00 HUF Vásárlás"/>
    <n v="-350"/>
    <x v="5"/>
    <x v="28"/>
    <x v="0"/>
  </r>
  <r>
    <x v="259"/>
    <s v="TELEKOMSZAML 592294265 BUDAPEST 8.114,00 HUF Vásárlás 21,99 EUR"/>
    <n v="-8114"/>
    <x v="0"/>
    <x v="7"/>
    <x v="0"/>
  </r>
  <r>
    <x v="259"/>
    <s v="JAGUAR LAND ROVER HUNGARY KFT. Munkab.r utal.sMunkabér"/>
    <n v="996627"/>
    <x v="4"/>
    <x v="20"/>
    <x v="0"/>
  </r>
  <r>
    <x v="260"/>
    <s v="PL:P/10JUN23 Tőkefizetés Hitel /21-41194/"/>
    <n v="-215368.35"/>
    <x v="0"/>
    <x v="21"/>
    <x v="0"/>
  </r>
  <r>
    <x v="260"/>
    <s v="Keszegsütő Salgótarján"/>
    <n v="-25140"/>
    <x v="2"/>
    <x v="10"/>
    <x v="4"/>
  </r>
  <r>
    <x v="260"/>
    <s v="PL:I/10JUN23 Kamatfizetés  Hitel /21-41194/"/>
    <n v="-46436.44"/>
    <x v="0"/>
    <x v="21"/>
    <x v="0"/>
  </r>
  <r>
    <x v="260"/>
    <s v="PL:P/10JUN23 Tőkefizetés Hitel /21-41194/"/>
    <n v="215368.35"/>
    <x v="0"/>
    <x v="21"/>
    <x v="1"/>
  </r>
  <r>
    <x v="261"/>
    <s v="HUN-MARTONVASAR MARTON MARKET Vásárlás(2023.06.07) Card:5444-0XXX-XX68-8737 MCC5411 HUN-MARTONVASAR MARTON MARKET 6.831,00 HUF Kártyatranzakció"/>
    <n v="-6831"/>
    <x v="3"/>
    <x v="4"/>
    <x v="0"/>
  </r>
  <r>
    <x v="261"/>
    <s v="KISKIFLI KAVEZO BUDAPEST 2.450,00 HUF Vásárlás"/>
    <n v="-2450"/>
    <x v="2"/>
    <x v="2"/>
    <x v="0"/>
  </r>
  <r>
    <x v="261"/>
    <s v="No Name Budapest 1.880,00 HUF Vásárlás 5,09 EUR"/>
    <n v="-1880"/>
    <x v="6"/>
    <x v="40"/>
    <x v="0"/>
  </r>
  <r>
    <x v="261"/>
    <s v="No Name Budapest 820,00 HUF Vásárlás 2,22 EUR"/>
    <n v="-820"/>
    <x v="6"/>
    <x v="40"/>
    <x v="0"/>
  </r>
  <r>
    <x v="262"/>
    <s v="DEU-HAMBURG WWW.ABOUTYOU.HU Áru vissza/befizetés(2023.06.05) Card:5444-0XXX-XX68-8737 MCC5311 DEU-HAMBURG WWW.ABOUTYOU.HU 53.200,00 HUF Kártyatranzakció"/>
    <n v="53200"/>
    <x v="3"/>
    <x v="30"/>
    <x v="0"/>
  </r>
  <r>
    <x v="262"/>
    <s v="HUN-BUDAPEST BARIONP*BARION.COM/GUE Vásárlás(2023.06.05) Card:5444-0XXX-XX68-8737 MCC7299 HUN-BUDAPEST BARIONP*BARION.COM/GUE 7.288,00 HUF Kártyatranzakció"/>
    <n v="-7288"/>
    <x v="2"/>
    <x v="2"/>
    <x v="0"/>
  </r>
  <r>
    <x v="262"/>
    <s v="10918001-00000118-43680009 MINYA GERGELY Johanna fotók Kimenő azonnali megbízás"/>
    <n v="-28000"/>
    <x v="8"/>
    <x v="29"/>
    <x v="0"/>
  </r>
  <r>
    <x v="262"/>
    <s v="DM 311.SZ. BUDAORS 19.795,00 HUF Vásárlás"/>
    <n v="-19795"/>
    <x v="3"/>
    <x v="4"/>
    <x v="0"/>
  </r>
  <r>
    <x v="262"/>
    <s v="LIDL ARUHAZ 0349.SZ. BUDAORS 13.168,00 HUF Vásárlás"/>
    <n v="-13168"/>
    <x v="3"/>
    <x v="4"/>
    <x v="0"/>
  </r>
  <r>
    <x v="263"/>
    <s v="70100114-11070818-00000000 AgroPerfekt Kft 607 Kimenő azonnali megbízás"/>
    <n v="-8290"/>
    <x v="3"/>
    <x v="4"/>
    <x v="0"/>
  </r>
  <r>
    <x v="263"/>
    <s v="Kemal Pasa Torok Et Budapest 2.300,00 HUF Vásárlás"/>
    <n v="-2300"/>
    <x v="2"/>
    <x v="2"/>
    <x v="0"/>
  </r>
  <r>
    <x v="263"/>
    <s v="NEU LO-RE 2005 Kft Solymr 1.200,00 HUF Vásárlás 3,24 EUR"/>
    <n v="-1200"/>
    <x v="5"/>
    <x v="18"/>
    <x v="0"/>
  </r>
  <r>
    <x v="263"/>
    <s v="NEU LO-RE 2005 Kft Solymr 1.200,00 HUF Vásárlás 3,24 EUR"/>
    <n v="-1200"/>
    <x v="5"/>
    <x v="18"/>
    <x v="0"/>
  </r>
  <r>
    <x v="263"/>
    <s v="NEU LO-RE 2005 Kft Solymr 1.200,00 HUF Vásárlás 3,24 EUR"/>
    <n v="-1200"/>
    <x v="5"/>
    <x v="18"/>
    <x v="0"/>
  </r>
  <r>
    <x v="263"/>
    <s v="IMO 22 Budaors 4.890,00 HUF Vásárlás 13,20 EUR"/>
    <n v="-4890"/>
    <x v="5"/>
    <x v="18"/>
    <x v="0"/>
  </r>
  <r>
    <x v="264"/>
    <s v="Kiskifli Kávézó"/>
    <n v="-1540"/>
    <x v="2"/>
    <x v="2"/>
    <x v="4"/>
  </r>
  <r>
    <x v="264"/>
    <s v="HUN-MARTONVASAR TESCO 44089 Vásárlás(2023.06.01) Card:5444-0XXX-XX68-8737 MCC5311 HUN-MARTONVASAR TESCO 44089 914,00 HUF Kártyatranzakció"/>
    <n v="-914"/>
    <x v="3"/>
    <x v="4"/>
    <x v="0"/>
  </r>
  <r>
    <x v="264"/>
    <s v="HUN-MARTONVASAR VIANNI U:ZLET Vásárlás(2023.06.03) Card:5444-0XXX-XX68-8737 MCC5399 HUN-MARTONVASAR VIANNI U:ZLET 940,00 HUF Kártyatranzakció"/>
    <n v="-940"/>
    <x v="3"/>
    <x v="4"/>
    <x v="0"/>
  </r>
  <r>
    <x v="264"/>
    <s v="HUN-ERCSI NAPSUGAR CUKRASZDA Vásárlás(2023.06.02) Card:5444-0XXX-XX68-8737 MCC5441 HUN-ERCSI NAPSUGAR CUKRASZDA 1.440,00 HUF Kártyatranzakció"/>
    <n v="-1440"/>
    <x v="2"/>
    <x v="19"/>
    <x v="0"/>
  </r>
  <r>
    <x v="264"/>
    <s v="HUN-MARTONVASAR 127.COOP SZUPER 1. Vásárlás(2023.06.03) Card:5444-0XXX-XX68-8737 MCC5411 HUN-MARTONVASAR 127.COOP SZUPER 1. 2.236,00 HUF Kártyatranzakció"/>
    <n v="-2236"/>
    <x v="3"/>
    <x v="4"/>
    <x v="0"/>
  </r>
  <r>
    <x v="264"/>
    <s v="HUN-MARTONVASAR TESCO 44089 Vásárlás(2023.06.03) Card:5444-0XXX-XX68-8737 MCC5311 HUN-MARTONVASAR TESCO 44089 5.241,00 HUF Kártyatranzakció"/>
    <n v="-5241"/>
    <x v="3"/>
    <x v="4"/>
    <x v="0"/>
  </r>
  <r>
    <x v="264"/>
    <s v="TESCO 44089 MARTONVASAR 2.517,00 HUF Vásárlás"/>
    <n v="-2517"/>
    <x v="3"/>
    <x v="4"/>
    <x v="0"/>
  </r>
  <r>
    <x v="264"/>
    <s v="AUCHAN MAGLOD MAGLOD 14.670,00 HUF Vásárlás"/>
    <n v="-14670"/>
    <x v="3"/>
    <x v="4"/>
    <x v="0"/>
  </r>
  <r>
    <x v="264"/>
    <s v="eBay O 12-10127-46613 London 42,00 GBP Vásárlás 49,54 EUR 379.6900"/>
    <n v="-18809.84"/>
    <x v="5"/>
    <x v="36"/>
    <x v="0"/>
  </r>
  <r>
    <x v="265"/>
    <s v="Cr Forgalmi kedvezmény"/>
    <n v="1914"/>
    <x v="1"/>
    <x v="1"/>
    <x v="0"/>
  </r>
  <r>
    <x v="266"/>
    <s v="10032000-00282637-00000000 OKTATÁSI HIVATAL MUNKABÉR UTALÁS Bejövő Forint Átutalás"/>
    <n v="243600"/>
    <x v="4"/>
    <x v="20"/>
    <x v="0"/>
  </r>
  <r>
    <x v="266"/>
    <s v="Kártya Tagsági díj Card:5444-0XXX-XX68-8737"/>
    <n v="-7518"/>
    <x v="1"/>
    <x v="1"/>
    <x v="0"/>
  </r>
  <r>
    <x v="267"/>
    <s v="Kiskifli Kávézó"/>
    <n v="-1540"/>
    <x v="2"/>
    <x v="2"/>
    <x v="4"/>
  </r>
  <r>
    <x v="267"/>
    <s v="Kemal Pasa"/>
    <n v="-2300"/>
    <x v="2"/>
    <x v="2"/>
    <x v="4"/>
  </r>
  <r>
    <x v="267"/>
    <s v="HUN-GARDONY CSASZI2020 KFT. Vásárlás(2023.05.30) Card:5444-0XXX-XX68-8737 MCC5411 HUN-GARDONY CSASZI2020 KFT. 6.512,00 HUF Kártyatranzakció"/>
    <n v="-6512"/>
    <x v="3"/>
    <x v="4"/>
    <x v="0"/>
  </r>
  <r>
    <x v="267"/>
    <s v="11773353-59010812-00000000 Kovácsné Tonkó Csilla Mária KT-2023-123 Kimenő azonnali megbízás"/>
    <n v="-13000"/>
    <x v="7"/>
    <x v="13"/>
    <x v="0"/>
  </r>
  <r>
    <x v="267"/>
    <s v="HUN-GARDONY DM 316.SZ. Vásárlás(2023.05.30) Card:5444-0XXX-XX68-8737 MCC5977 HUN-GARDONY DM 316.SZ. 19.804,00 HUF Kártyatranzakció"/>
    <n v="-19804"/>
    <x v="3"/>
    <x v="4"/>
    <x v="0"/>
  </r>
  <r>
    <x v="267"/>
    <s v="HUN-AGARD LIDL ARUHAZ 0306.SZ. Vásárlás(2023.05.30) Card:5444-0XXX-XX68-8737 MCC5411 HUN-AGARD LIDL ARUHAZ 0306.SZ. 23.884,00 HUF Kártyatranzakció"/>
    <n v="-23884"/>
    <x v="3"/>
    <x v="4"/>
    <x v="0"/>
  </r>
  <r>
    <x v="267"/>
    <s v="HUN-AGARD LIDL ARUHAZ 0306.SZ. Vásárlás(2023.05.30) Card:5444-0XXX-XX68-8737 MCC5411 HUN-AGARD LIDL ARUHAZ 0306.SZ. 27.588,00 HUF Kártyatranzakció"/>
    <n v="-27588"/>
    <x v="3"/>
    <x v="4"/>
    <x v="0"/>
  </r>
  <r>
    <x v="268"/>
    <s v="Havi zárlati díj"/>
    <n v="-2222"/>
    <x v="1"/>
    <x v="1"/>
    <x v="0"/>
  </r>
  <r>
    <x v="268"/>
    <s v="MAGYAR ALLAMKINCSTAR BUDAPEST 700.000,00 HUF Vásárlás"/>
    <n v="700000"/>
    <x v="1"/>
    <x v="1"/>
    <x v="3"/>
  </r>
  <r>
    <x v="268"/>
    <s v="MAGYAR ALLAMKINCSTAR BUDAPEST 700.000,00 HUF Vásárlás"/>
    <n v="-700000"/>
    <x v="1"/>
    <x v="1"/>
    <x v="0"/>
  </r>
  <r>
    <x v="268"/>
    <s v="OTPMOBL GENERALI.HU BUDAPEST 29.208,00 HUF Vásárlás"/>
    <n v="-29208"/>
    <x v="0"/>
    <x v="47"/>
    <x v="0"/>
  </r>
  <r>
    <x v="269"/>
    <s v="HUN-MARTONVASAR MARTON MARKET Vásárlás(2023.05.27) Card:5444-0XXX-XX68-8737 MCC5411 HUN-MARTONVASAR MARTON MARKET 699,00 HUF Kártyatranzakció"/>
    <n v="-699"/>
    <x v="3"/>
    <x v="4"/>
    <x v="0"/>
  </r>
  <r>
    <x v="269"/>
    <s v="HUN-MARTONVASAR 127.COOP SZUPER 1. Vásárlás(2023.05.26) Card:5444-0XXX-XX68-8737 MCC5411 HUN-MARTONVASAR 127.COOP SZUPER 1. 1.799,00 HUF Kártyatranzakció"/>
    <n v="-1799"/>
    <x v="3"/>
    <x v="4"/>
    <x v="0"/>
  </r>
  <r>
    <x v="269"/>
    <s v="HUN-Martonvasar MEDICZ PATIKA Vásárlás(2023.05.26) Card:5444-0XXX-XX68-8737 MCC5912 HUN-Martonvasar MEDICZ PATIKA 4.830,00 HUF Kártyatranzakció"/>
    <n v="-4830"/>
    <x v="7"/>
    <x v="5"/>
    <x v="0"/>
  </r>
  <r>
    <x v="269"/>
    <s v="HUN-BUDAORS LIDL ARUHAZ 0349.SZ. Vásárlás(2023.05.27) Card:5444-0XXX-XX68-8737 MCC5411 HUN-BUDAORS LIDL ARUHAZ 0349.SZ. 5.370,00 HUF Kártyatranzakció"/>
    <n v="-5370"/>
    <x v="3"/>
    <x v="4"/>
    <x v="0"/>
  </r>
  <r>
    <x v="269"/>
    <s v="HUN-MARTONVASAR TESCO 44089 Vásárlás(2023.05.26) Card:5444-0XXX-XX68-8737 MCC5311 HUN-MARTONVASAR TESCO 44089 5.844,00 HUF Kártyatranzakció"/>
    <n v="-5844"/>
    <x v="3"/>
    <x v="4"/>
    <x v="0"/>
  </r>
  <r>
    <x v="269"/>
    <s v="HUN-BUDAORS VISION EXPRESS Vásárlás(2023.05.27) Card:5444-0XXX-XX68-8737 MCC8043 HUN-BUDAORS VISION EXPRESS 8.221,00 HUF Kártyatranzakció"/>
    <n v="-8221"/>
    <x v="7"/>
    <x v="27"/>
    <x v="0"/>
  </r>
  <r>
    <x v="269"/>
    <s v="HUN-BUDAORS MEDICINA PATIKA Vásárlás(2023.05.27) Card:5444-0XXX-XX68-8737 MCC5912 HUN-BUDAORS MEDICINA PATIKA 9.223,00 HUF Kártyatranzakció"/>
    <n v="-9223"/>
    <x v="7"/>
    <x v="5"/>
    <x v="0"/>
  </r>
  <r>
    <x v="269"/>
    <s v="HUN-SZENTENDRE PANIFICIO ILBASILICO Vásárlás(2023.05.27) Card:5444-0XXX-XX68-8737 MCC5812 HUN-SZENTENDRE PANIFICIO ILBASILICO 10.000,00 HUF Kártyatranzakció"/>
    <n v="-10000"/>
    <x v="2"/>
    <x v="10"/>
    <x v="0"/>
  </r>
  <r>
    <x v="269"/>
    <s v="HUN-BUDAORS VISION EXPRESS Vásárlás(2023.05.27) Card:5444-0XXX-XX68-8737 MCC8043 HUN-BUDAORS VISION EXPRESS 11.168,00 HUF Kártyatranzakció"/>
    <n v="-11168"/>
    <x v="7"/>
    <x v="27"/>
    <x v="0"/>
  </r>
  <r>
    <x v="269"/>
    <s v="HUN-BUDAORS LIDL ARUHAZ 0349.SZ. Vásárlás(2023.05.27) Card:5444-0XXX-XX68-8737 MCC5411 HUN-BUDAORS LIDL ARUHAZ 0349.SZ. 12.999,00 HUF Kártyatranzakció"/>
    <n v="-12999"/>
    <x v="3"/>
    <x v="4"/>
    <x v="0"/>
  </r>
  <r>
    <x v="269"/>
    <s v="HUN-Budapest Www.babiesonboard.hu Vásárlás(2023.05.26) Card:5444-0XXX-XX68-8737 MCC5641 HUN-Budapest Www.babiesonboard.hu 19.380,00 HUF Kártyatranzakció"/>
    <n v="-19380"/>
    <x v="3"/>
    <x v="3"/>
    <x v="0"/>
  </r>
  <r>
    <x v="269"/>
    <s v="HUN-BUDAORS ROSSMANN 260 Vásárlás(2023.05.27) Card:5444-0XXX-XX68-8737 MCC5977 HUN-BUDAORS ROSSMANN 260 24.944,00 HUF Kártyatranzakció"/>
    <n v="-24944"/>
    <x v="3"/>
    <x v="4"/>
    <x v="0"/>
  </r>
  <r>
    <x v="269"/>
    <s v="DM 311.SZ. BUDAORS 3.396,00 HUF Vásárlás"/>
    <n v="-3396"/>
    <x v="3"/>
    <x v="4"/>
    <x v="0"/>
  </r>
  <r>
    <x v="269"/>
    <s v="OTPMOBL VIMPAY.MAV-STA BUDAPEST 584,00 HUF Vásárlás"/>
    <n v="-584"/>
    <x v="5"/>
    <x v="28"/>
    <x v="0"/>
  </r>
  <r>
    <x v="269"/>
    <s v="BRENDON BABAARUHAZ BUDAORS 4.790,00 HUF Vásárlás"/>
    <n v="-4790"/>
    <x v="3"/>
    <x v="3"/>
    <x v="0"/>
  </r>
  <r>
    <x v="269"/>
    <s v="Netflix.com Los Gatos 3.490,00 HUF Vásárlás 9,38 EUR"/>
    <n v="-3490"/>
    <x v="0"/>
    <x v="7"/>
    <x v="0"/>
  </r>
  <r>
    <x v="269"/>
    <s v="SumUp BudaPres Etyek 2.200,00 HUF Vásárlás 5,91 EUR"/>
    <n v="-2200"/>
    <x v="6"/>
    <x v="12"/>
    <x v="0"/>
  </r>
  <r>
    <x v="270"/>
    <s v="10102529-15474300-01001004 Medinaturals Kft 148897 Kimenő azonnali megbízás"/>
    <n v="-8796"/>
    <x v="7"/>
    <x v="14"/>
    <x v="0"/>
  </r>
  <r>
    <x v="271"/>
    <s v="HUN-MARTONVASAR MARTON MARKET Vásárlás(2023.05.24) Card:5444-0XXX-XX68-8737 MCC5411 HUN-MARTONVASAR MARTON MARKET 6.031,00 HUF Kártyatranzakció"/>
    <n v="-6031"/>
    <x v="3"/>
    <x v="4"/>
    <x v="0"/>
  </r>
  <r>
    <x v="271"/>
    <s v="NEU LO-RE 2005 Kft Solymr 1.200,00 HUF Vásárlás 3,21 EUR"/>
    <n v="-1200"/>
    <x v="5"/>
    <x v="18"/>
    <x v="0"/>
  </r>
  <r>
    <x v="271"/>
    <s v="NEU LO-RE 2005 Kft Solymr 1.200,00 HUF Vásárlás 3,21 EUR"/>
    <n v="-1200"/>
    <x v="5"/>
    <x v="18"/>
    <x v="0"/>
  </r>
  <r>
    <x v="271"/>
    <s v="Gazda-SAGI Bolt Martonvasar 13.410,00 HUF Vásárlás 35,87 EUR"/>
    <n v="-13410"/>
    <x v="0"/>
    <x v="6"/>
    <x v="0"/>
  </r>
  <r>
    <x v="272"/>
    <s v="Burger King Budaörs"/>
    <n v="-1750"/>
    <x v="2"/>
    <x v="2"/>
    <x v="4"/>
  </r>
  <r>
    <x v="272"/>
    <s v="HUN-ERCSI SPAR PARTNER 6920220 Vásárlás(2023.05.23) Card:5444-0XXX-XX68-8737 MCC5411 HUN-ERCSI SPAR PARTNER 6920220 3.818,00 HUF Kártyatranzakció"/>
    <n v="-3818"/>
    <x v="3"/>
    <x v="4"/>
    <x v="0"/>
  </r>
  <r>
    <x v="272"/>
    <s v="DM 311.SZ. BUDAORS 12.784,00 HUF Vásárlás"/>
    <n v="-12784"/>
    <x v="3"/>
    <x v="4"/>
    <x v="0"/>
  </r>
  <r>
    <x v="272"/>
    <s v="ALDI 156.SZ. BUDAORS 4.576,00 HUF Vásárlás"/>
    <n v="-4576"/>
    <x v="3"/>
    <x v="4"/>
    <x v="0"/>
  </r>
  <r>
    <x v="272"/>
    <s v="BRENDON BABAARUHAZ BUDAORS 4.990,00 HUF Vásárlás"/>
    <n v="-4990"/>
    <x v="3"/>
    <x v="3"/>
    <x v="0"/>
  </r>
  <r>
    <x v="272"/>
    <s v="SKYSHOWTIME BF999 HU Amsterdam 999,00 HUF Vásárlás 2,66 EUR"/>
    <n v="-999"/>
    <x v="0"/>
    <x v="7"/>
    <x v="0"/>
  </r>
  <r>
    <x v="273"/>
    <s v="Kiskifli Kávézó"/>
    <n v="-950"/>
    <x v="2"/>
    <x v="2"/>
    <x v="4"/>
  </r>
  <r>
    <x v="273"/>
    <s v="Kemal Pasa"/>
    <n v="-2300"/>
    <x v="2"/>
    <x v="2"/>
    <x v="4"/>
  </r>
  <r>
    <x v="273"/>
    <s v="KISKIFLI KAVEZO BUDAPEST 1.540,00 HUF Vásárlás"/>
    <n v="-1540"/>
    <x v="2"/>
    <x v="19"/>
    <x v="0"/>
  </r>
  <r>
    <x v="274"/>
    <s v="IL Treno Expressz ALLEE"/>
    <n v="-1980"/>
    <x v="2"/>
    <x v="2"/>
    <x v="4"/>
  </r>
  <r>
    <x v="274"/>
    <s v="11773353-59010812-00000000 Kovácsné Tonkó Csilla Mária KT-2023-113 Kimenő azonnali megbízás"/>
    <n v="-12000"/>
    <x v="7"/>
    <x v="13"/>
    <x v="0"/>
  </r>
  <r>
    <x v="275"/>
    <s v="POL-MAGNICE WWW.MYPROTEIN.COM Vásárlás(2023.05.19) Card:5444-0XXX-XX68-8737 MCC5499 POL-MAGNICE WWW.MYPROTEIN.COM 5.124,00 HUF Kártyatranzakció"/>
    <n v="-5124"/>
    <x v="7"/>
    <x v="14"/>
    <x v="0"/>
  </r>
  <r>
    <x v="275"/>
    <s v="LIDL ARUHAZ 0349.SZ. BUDAORS 14.708,00 HUF Vásárlás"/>
    <n v="-14708"/>
    <x v="3"/>
    <x v="4"/>
    <x v="0"/>
  </r>
  <r>
    <x v="275"/>
    <s v="IKEA BUDAORS UGYFE Budaors 5.460,00 HUF Vásárlás"/>
    <n v="-5460"/>
    <x v="0"/>
    <x v="35"/>
    <x v="0"/>
  </r>
  <r>
    <x v="275"/>
    <s v="VIANNI U ZLET MARTONVASAR 2.440,00 HUF Vásárlás"/>
    <n v="-2440"/>
    <x v="3"/>
    <x v="4"/>
    <x v="0"/>
  </r>
  <r>
    <x v="275"/>
    <s v="TESCO 44089 O NKISZOLG MARTONVASAR 1.249,00 HUF Vásárlás"/>
    <n v="-1249"/>
    <x v="3"/>
    <x v="4"/>
    <x v="0"/>
  </r>
  <r>
    <x v="276"/>
    <s v="Burger King Budaörs"/>
    <n v="-6910"/>
    <x v="2"/>
    <x v="2"/>
    <x v="4"/>
  </r>
  <r>
    <x v="277"/>
    <s v="JAGUAR LAND ROVER HUNGARY KFT."/>
    <n v="31960"/>
    <x v="4"/>
    <x v="20"/>
    <x v="4"/>
  </r>
  <r>
    <x v="277"/>
    <s v="Mazsa Nordik Kft. Budapest 1.199,00 HUF Vásárlás 3,24 EUR"/>
    <n v="-1199"/>
    <x v="3"/>
    <x v="4"/>
    <x v="0"/>
  </r>
  <r>
    <x v="278"/>
    <s v="ZSU_ANN KÁVÉZÓ"/>
    <n v="-2990"/>
    <x v="2"/>
    <x v="2"/>
    <x v="4"/>
  </r>
  <r>
    <x v="278"/>
    <s v="10918001-00000083-47290003 KARSAINÉ GASSER MÁRIA Kimenő azonnali megbízás"/>
    <n v="-20000"/>
    <x v="3"/>
    <x v="4"/>
    <x v="0"/>
  </r>
  <r>
    <x v="279"/>
    <s v="HUN-GARDONY CSASZI2020 KFT. Vásárlás(2023.05.15) Card:5444-0XXX-XX68-8737 MCC5411 HUN-GARDONY CSASZI2020 KFT. 10.874,00 HUF Kártyatranzakció"/>
    <n v="-10874"/>
    <x v="3"/>
    <x v="4"/>
    <x v="0"/>
  </r>
  <r>
    <x v="279"/>
    <s v="11773353-59010812-00000000 Kovácsné Tonkó Csilla Mária KT-2023-105 Kimenő azonnali megbízás"/>
    <n v="-13000"/>
    <x v="7"/>
    <x v="13"/>
    <x v="0"/>
  </r>
  <r>
    <x v="279"/>
    <s v="TESCO 41520 O NKISZOLG BUDAORS 5.008,00 HUF Vásárlás"/>
    <n v="-5008"/>
    <x v="3"/>
    <x v="4"/>
    <x v="0"/>
  </r>
  <r>
    <x v="279"/>
    <s v="KISKIFLI KAVEZO BUDAPEST 1.540,00 HUF Vásárlás"/>
    <n v="-1540"/>
    <x v="2"/>
    <x v="19"/>
    <x v="0"/>
  </r>
  <r>
    <x v="280"/>
    <s v="ZSU_ANN KÁVÉZÓ"/>
    <n v="-5980"/>
    <x v="2"/>
    <x v="2"/>
    <x v="4"/>
  </r>
  <r>
    <x v="281"/>
    <s v="McDonald's M7 Velence"/>
    <n v="-5580"/>
    <x v="2"/>
    <x v="2"/>
    <x v="4"/>
  </r>
  <r>
    <x v="281"/>
    <s v="HUN-Martonvasar MEDICZ PATIKA Vásárlás(2023.05.12) Card:5444-0XXX-XX68-8737 MCC5912 HUN-Martonvasar MEDICZ PATIKA 2.415,00 HUF Kártyatranzakció"/>
    <n v="-2415"/>
    <x v="7"/>
    <x v="5"/>
    <x v="0"/>
  </r>
  <r>
    <x v="281"/>
    <s v="HUN-Budapest www.minique.hu Vásárlás(2023.05.11) Card:5444-0XXX-XX68-8737 MCC5641 HUN-Budapest www.minique.hu 11.380,00 HUF Kártyatranzakció"/>
    <n v="-11380"/>
    <x v="3"/>
    <x v="30"/>
    <x v="0"/>
  </r>
  <r>
    <x v="281"/>
    <s v="JYSK H824 BUDAORS 4.165,00 HUF Vásárlás"/>
    <n v="-4165"/>
    <x v="0"/>
    <x v="35"/>
    <x v="0"/>
  </r>
  <r>
    <x v="281"/>
    <s v="ALDI 156.SZ. BUDAORS 22.939,00 HUF Vásárlás"/>
    <n v="-22939"/>
    <x v="3"/>
    <x v="4"/>
    <x v="0"/>
  </r>
  <r>
    <x v="281"/>
    <s v="BRENDON BABAARUHAZ BUDAORS 44.326,00 HUF Vásárlás"/>
    <n v="-44326"/>
    <x v="3"/>
    <x v="3"/>
    <x v="0"/>
  </r>
  <r>
    <x v="281"/>
    <s v="PANIFICIO ILBASILICO SZENTENDRE 1.440,00 HUF Vásárlás"/>
    <n v="-1440"/>
    <x v="2"/>
    <x v="10"/>
    <x v="0"/>
  </r>
  <r>
    <x v="281"/>
    <s v="PANIFICIO ILBASILICO SZENTENDRE 2.760,00 HUF Vásárlás"/>
    <n v="-2760"/>
    <x v="2"/>
    <x v="10"/>
    <x v="0"/>
  </r>
  <r>
    <x v="281"/>
    <s v="PANIFICIO ILBASILICO SZENTENDRE 4.790,00 HUF Vásárlás"/>
    <n v="-4790"/>
    <x v="2"/>
    <x v="10"/>
    <x v="0"/>
  </r>
  <r>
    <x v="281"/>
    <s v="TESCO 44089 MARTONVASAR 4.554,00 HUF Vásárlás"/>
    <n v="-4554"/>
    <x v="3"/>
    <x v="4"/>
    <x v="0"/>
  </r>
  <r>
    <x v="281"/>
    <s v="SPAR 0167 BUDAPEST 1.099,00 HUF Vásárlás"/>
    <n v="-1099"/>
    <x v="3"/>
    <x v="4"/>
    <x v="0"/>
  </r>
  <r>
    <x v="281"/>
    <s v="AUCHAN BUDAORS BUDAORS 11.611,00 HUF Vásárlás"/>
    <n v="-11611"/>
    <x v="3"/>
    <x v="4"/>
    <x v="0"/>
  </r>
  <r>
    <x v="282"/>
    <s v="Burger King Budaörs"/>
    <n v="-6440"/>
    <x v="2"/>
    <x v="2"/>
    <x v="4"/>
  </r>
  <r>
    <x v="283"/>
    <s v="HUN-BUDAPEST HM Hennes  Mauritz K Vásárlás(2023.05.11) Card:5444-0XXX-XX68-8737 MCC5651 HUN-BUDAPEST HM Hennes  Mauritz K 24.975,00 HUF Kártyatranzakció"/>
    <n v="-24975"/>
    <x v="3"/>
    <x v="30"/>
    <x v="0"/>
  </r>
  <r>
    <x v="283"/>
    <s v="Kemal Pasa Torok Et Budapest 2.300,00 HUF Vásárlás"/>
    <n v="-2300"/>
    <x v="2"/>
    <x v="2"/>
    <x v="0"/>
  </r>
  <r>
    <x v="283"/>
    <s v="HornyakIstvanGabor Utolsó vételárrész 3741/A/23"/>
    <n v="-6382000"/>
    <x v="9"/>
    <x v="48"/>
    <x v="0"/>
  </r>
  <r>
    <x v="284"/>
    <s v="DEU-HAMBURG WWW.ABOUTYOU.HU Vásárlás(2023.05.09) Card:5444-0XXX-XX68-8737 MCC5311 DEU-HAMBURG WWW.ABOUTYOU.HU 102.500,00 HUF Kártyatranzakció"/>
    <n v="-102500"/>
    <x v="3"/>
    <x v="30"/>
    <x v="0"/>
  </r>
  <r>
    <x v="284"/>
    <s v="DECATHLON BUDAORS BUDAORS 4.060,00 HUF Vásárlás"/>
    <n v="-4060"/>
    <x v="3"/>
    <x v="30"/>
    <x v="0"/>
  </r>
  <r>
    <x v="284"/>
    <s v="CATCHBURGER-SEWOBS BUDAPEST 2.840,00 HUF Vásárlás"/>
    <n v="-2840"/>
    <x v="2"/>
    <x v="2"/>
    <x v="0"/>
  </r>
  <r>
    <x v="284"/>
    <s v="BUDAO RS BENZINKU'T AU BUDAORS 34.872,00 HUF Vásárlás"/>
    <n v="-34872"/>
    <x v="5"/>
    <x v="16"/>
    <x v="0"/>
  </r>
  <r>
    <x v="284"/>
    <s v="ROSSMANN 260 BUDAORS 749,00 HUF Vásárlás"/>
    <n v="-749"/>
    <x v="3"/>
    <x v="4"/>
    <x v="0"/>
  </r>
  <r>
    <x v="284"/>
    <s v="DM 311.SZ. BUDAORS 9.196,00 HUF Vásárlás"/>
    <n v="-9196"/>
    <x v="3"/>
    <x v="4"/>
    <x v="0"/>
  </r>
  <r>
    <x v="284"/>
    <s v="MEDICINA PATIKA BUDAORS 10.571,00 HUF Vásárlás"/>
    <n v="-10571"/>
    <x v="7"/>
    <x v="5"/>
    <x v="0"/>
  </r>
  <r>
    <x v="284"/>
    <s v="New York Bagel Kft Budapest 1.490,00 HUF Vásárlás 4,01 EUR"/>
    <n v="-1490"/>
    <x v="2"/>
    <x v="19"/>
    <x v="0"/>
  </r>
  <r>
    <x v="285"/>
    <s v="PL:P/10MAY23 Tőkefizetés Hitel /21-41194/"/>
    <n v="-216440.63"/>
    <x v="0"/>
    <x v="21"/>
    <x v="0"/>
  </r>
  <r>
    <x v="285"/>
    <s v="HUN-ERD SALON PARTNERS KFT Vásárlás(2023.05.08) Card:5444-0XXX-XX68-8737 MCC5977 HUN-ERD SALON PARTNERS KFT 15.470,00 HUF Kártyatranzakció"/>
    <n v="-15470"/>
    <x v="3"/>
    <x v="4"/>
    <x v="0"/>
  </r>
  <r>
    <x v="285"/>
    <s v="PANIFICIO IL BASILICO BUDAPEST 4.060,00 HUF Vásárlás"/>
    <n v="-4060"/>
    <x v="2"/>
    <x v="10"/>
    <x v="0"/>
  </r>
  <r>
    <x v="285"/>
    <s v="DM 316.SZ. GARDONY 18.524,00 HUF Vásárlás"/>
    <n v="-18524"/>
    <x v="3"/>
    <x v="4"/>
    <x v="0"/>
  </r>
  <r>
    <x v="285"/>
    <s v="LIDL ARUHAZ 0306.SZ. AGARD 20.878,00 HUF Vásárlás"/>
    <n v="-20878"/>
    <x v="3"/>
    <x v="4"/>
    <x v="0"/>
  </r>
  <r>
    <x v="285"/>
    <s v="JAGUAR LAND ROVER HUNGARY KFT. Munkab.r utal.sMunkabér"/>
    <n v="957069"/>
    <x v="4"/>
    <x v="20"/>
    <x v="0"/>
  </r>
  <r>
    <x v="285"/>
    <s v="PL:I/10MAY23 Kamatfizetés  Hitel /21-41194/"/>
    <n v="-45364.16"/>
    <x v="0"/>
    <x v="21"/>
    <x v="0"/>
  </r>
  <r>
    <x v="285"/>
    <s v="PL:P/10MAY23 Tőkefizetés Hitel /21-41194/"/>
    <n v="216440.63"/>
    <x v="0"/>
    <x v="21"/>
    <x v="1"/>
  </r>
  <r>
    <x v="286"/>
    <s v="Kemal Pasa"/>
    <n v="-2300"/>
    <x v="2"/>
    <x v="2"/>
    <x v="4"/>
  </r>
  <r>
    <x v="286"/>
    <s v="HUN-BARACSKA BARACSKAI VIRAGUZLET Vásárlás(2023.05.07) Card:5444-0XXX-XX68-8737 MCC5992 HUN-BARACSKA BARACSKAI VIRAGUZLET 10.100,00 HUF Kártyatranzakció"/>
    <n v="-10100"/>
    <x v="0"/>
    <x v="6"/>
    <x v="0"/>
  </r>
  <r>
    <x v="286"/>
    <s v="OTPMOBL EON.HU BUDAPEST 5.588,00 HUF Vásárlás"/>
    <n v="-5588"/>
    <x v="0"/>
    <x v="11"/>
    <x v="0"/>
  </r>
  <r>
    <x v="286"/>
    <s v="OTPMOBL DIJNET.HU BUDAPEST 6.944,00 HUF Vásárlás"/>
    <n v="-6944"/>
    <x v="0"/>
    <x v="23"/>
    <x v="0"/>
  </r>
  <r>
    <x v="286"/>
    <s v="OTPMOBL DIJNET.HU BUDAPEST 4.567,00 HUF Vásárlás"/>
    <n v="-4567"/>
    <x v="0"/>
    <x v="38"/>
    <x v="0"/>
  </r>
  <r>
    <x v="286"/>
    <s v="MVM NEXT ENERGIAK BUDAPEST 8.900,00 HUF Vásárlás"/>
    <n v="-8900"/>
    <x v="0"/>
    <x v="22"/>
    <x v="0"/>
  </r>
  <r>
    <x v="286"/>
    <s v="TELEKOMSZAML 582085004 BUDAPEST 8.111,00 HUF Vásárlás 21,77 EUR"/>
    <n v="-8111"/>
    <x v="0"/>
    <x v="7"/>
    <x v="0"/>
  </r>
  <r>
    <x v="287"/>
    <s v="DM 311.SZ. BUDAORS 2.599,00 HUF Vásárlás"/>
    <n v="-2599"/>
    <x v="3"/>
    <x v="4"/>
    <x v="0"/>
  </r>
  <r>
    <x v="287"/>
    <s v="LIDL ARUHAZ 0349.SZ. BUDAORS 1.678,00 HUF Vásárlás"/>
    <n v="-1678"/>
    <x v="3"/>
    <x v="4"/>
    <x v="0"/>
  </r>
  <r>
    <x v="287"/>
    <s v="DM 151 SALGOTARJAN 12.496,00 HUF Vásárlás"/>
    <n v="-12496"/>
    <x v="3"/>
    <x v="4"/>
    <x v="0"/>
  </r>
  <r>
    <x v="287"/>
    <s v="SPAR MAGYARORSZAG KFT SALGOTARJAN 2.875,00 HUF Vásárlás"/>
    <n v="-2875"/>
    <x v="3"/>
    <x v="4"/>
    <x v="0"/>
  </r>
  <r>
    <x v="288"/>
    <s v="HUN-BUDAPEST OTPMOBL*expresszpatika Vásárlás(2023.05.03) Card:5444-0XXX-XX68-8737 MCC5912 HUN-BUDAPEST OTPMOBL*expresszpatika 25.963,00 HUF Kártyatranzakció"/>
    <n v="-25963"/>
    <x v="7"/>
    <x v="5"/>
    <x v="0"/>
  </r>
  <r>
    <x v="289"/>
    <s v="Kemal Pasa"/>
    <n v="-2300"/>
    <x v="2"/>
    <x v="2"/>
    <x v="4"/>
  </r>
  <r>
    <x v="289"/>
    <s v="NEW YORK BAGEL KFT."/>
    <n v="-1490"/>
    <x v="2"/>
    <x v="2"/>
    <x v="4"/>
  </r>
  <r>
    <x v="289"/>
    <s v="0145 7443 0000 0000 Kincstár(K07) 0000 XXXX XXXX 0022 35654357 KARSAI ADRIENN ÁGNES 2235654357 CST04 Bejövő Forint Átutalás"/>
    <n v="64125"/>
    <x v="4"/>
    <x v="20"/>
    <x v="0"/>
  </r>
  <r>
    <x v="289"/>
    <s v="Cr Forgalmi kedvezmény"/>
    <n v="1672"/>
    <x v="1"/>
    <x v="1"/>
    <x v="0"/>
  </r>
  <r>
    <x v="289"/>
    <s v="Mazsa Nordik Kft. Budapest 999,00 HUF Vásárlás 2,68 EUR"/>
    <n v="-999"/>
    <x v="3"/>
    <x v="4"/>
    <x v="0"/>
  </r>
  <r>
    <x v="290"/>
    <s v="Kemal Pasa"/>
    <n v="-2500"/>
    <x v="2"/>
    <x v="2"/>
    <x v="4"/>
  </r>
  <r>
    <x v="290"/>
    <s v="10032000-00282637-00000000 OKTATÁSI HIVATAL MUNKABÉR UTALÁS Bejövő Forint Átutalás"/>
    <n v="276340"/>
    <x v="4"/>
    <x v="20"/>
    <x v="0"/>
  </r>
  <r>
    <x v="291"/>
    <s v="HUN-MARTONVASAR TESCO 44089 O:NKISZ Vásárlás(2023.04.28) Card:5444-0XXX-XX68-8737 MCC5311 HUN-MARTONVASAR TESCO 44089 O:NKISZ OLG 3.514,00 HUF Kártyatranzakció"/>
    <n v="-3514"/>
    <x v="3"/>
    <x v="4"/>
    <x v="0"/>
  </r>
  <r>
    <x v="291"/>
    <s v="HUN-BUDAPEST BARIONP*BARION.COM/GUE Vásárlás(2023.04.27) Card:5444-0XXX-XX68-8737 MCC7299 HUN-BUDAPEST BARIONP*BARION.COM/GUE 7.709,00 HUF Kártyatranzakció"/>
    <n v="-7709"/>
    <x v="3"/>
    <x v="4"/>
    <x v="0"/>
  </r>
  <r>
    <x v="291"/>
    <s v="HUN-MARTONVASAR TESCO 44089 Vásárlás(2023.04.30) Card:5444-0XXX-XX68-8737 MCC5311 HUN-MARTONVASAR TESCO 44089 9.214,00 HUF Kártyatranzakció"/>
    <n v="-9214"/>
    <x v="3"/>
    <x v="4"/>
    <x v="0"/>
  </r>
  <r>
    <x v="291"/>
    <s v="LIDL ARUHAZ 0349.SZ. BUDAORS 46.983,00 HUF Vásárlás"/>
    <n v="-46983"/>
    <x v="3"/>
    <x v="4"/>
    <x v="0"/>
  </r>
  <r>
    <x v="291"/>
    <s v="Netflix.com Los Gatos 3.490,00 HUF Vásárlás 9,35 EUR"/>
    <n v="-3490"/>
    <x v="0"/>
    <x v="7"/>
    <x v="0"/>
  </r>
  <r>
    <x v="292"/>
    <s v="Havi zárlati díj"/>
    <n v="-1941"/>
    <x v="1"/>
    <x v="1"/>
    <x v="0"/>
  </r>
  <r>
    <x v="293"/>
    <s v="Burger King Budaörs"/>
    <n v="-6870"/>
    <x v="2"/>
    <x v="2"/>
    <x v="4"/>
  </r>
  <r>
    <x v="294"/>
    <s v="HUN-GARDONY DM 316.SZ. Vásárlás(2023.04.26) Card:5444-0XXX-XX68-8737 MCC5977 HUN-GARDONY DM 316.SZ. 19.179,00 HUF Kártyatranzakció"/>
    <n v="-19179"/>
    <x v="3"/>
    <x v="4"/>
    <x v="0"/>
  </r>
  <r>
    <x v="295"/>
    <s v="TESCO STORES 3212 STRATFORD 57,15 GBP Vásárlás 65,34 EUR 382.7700"/>
    <n v="-25010.19"/>
    <x v="3"/>
    <x v="4"/>
    <x v="0"/>
  </r>
  <r>
    <x v="296"/>
    <s v="HUN-MARTONVASAR VIANNI U:ZLET Vásárlás(2023.04.24) Card:5444-0XXX-XX68-8737 MCC5399 HUN-MARTONVASAR VIANNI U:ZLET 950,00 HUF Kártyatranzakció"/>
    <n v="-950"/>
    <x v="3"/>
    <x v="4"/>
    <x v="0"/>
  </r>
  <r>
    <x v="297"/>
    <s v="SKYSHOWTIME 9F0FE HU Amsterdam 999,00 HUF Vásárlás 2,65 EUR"/>
    <n v="-999"/>
    <x v="0"/>
    <x v="7"/>
    <x v="0"/>
  </r>
  <r>
    <x v="298"/>
    <s v="HUN-BUDAPEST OTPMOBL*128 Vásárlás(2023.04.21) Card:5444-0XXX-XX68-8737 MCC7299 HUN-BUDAPEST OTPMOBL*128 5.000,00 HUF Kártyatranzakció"/>
    <n v="-5000"/>
    <x v="3"/>
    <x v="4"/>
    <x v="0"/>
  </r>
  <r>
    <x v="298"/>
    <s v="NAPSUGAR CUKRASZDA ERCSI 3.350,00 HUF Vásárlás"/>
    <n v="-3350"/>
    <x v="2"/>
    <x v="19"/>
    <x v="0"/>
  </r>
  <r>
    <x v="298"/>
    <s v="MEDICINA PATIKA BUDAORS 20.120,00 HUF Vásárlás"/>
    <n v="-20120"/>
    <x v="7"/>
    <x v="5"/>
    <x v="0"/>
  </r>
  <r>
    <x v="298"/>
    <s v="LIDL ARUHAZ 0349.SZ. BUDAORS 19.154,00 HUF Vásárlás"/>
    <n v="-19154"/>
    <x v="3"/>
    <x v="4"/>
    <x v="0"/>
  </r>
  <r>
    <x v="298"/>
    <s v="VIANNI U ZLET MARTONVASAR 899,00 HUF Vásárlás"/>
    <n v="-899"/>
    <x v="3"/>
    <x v="4"/>
    <x v="0"/>
  </r>
  <r>
    <x v="298"/>
    <s v="ALDI 156.SZ. BUDAORS 9.924,00 HUF Vásárlás"/>
    <n v="-9924"/>
    <x v="3"/>
    <x v="4"/>
    <x v="0"/>
  </r>
  <r>
    <x v="299"/>
    <s v="Burger King Budaörs"/>
    <n v="-7120"/>
    <x v="2"/>
    <x v="2"/>
    <x v="4"/>
  </r>
  <r>
    <x v="299"/>
    <s v="Mazsa Nordik Kft. Budapest 1.199,00 HUF Vásárlás 3,20 EUR"/>
    <n v="-1199"/>
    <x v="3"/>
    <x v="4"/>
    <x v="0"/>
  </r>
  <r>
    <x v="300"/>
    <s v="ZSU_ANN KÁVÉZÓ"/>
    <n v="-5580"/>
    <x v="2"/>
    <x v="2"/>
    <x v="4"/>
  </r>
  <r>
    <x v="300"/>
    <s v="JAGUAR LAND ROVER HUNGARY KFT."/>
    <n v="31960"/>
    <x v="4"/>
    <x v="20"/>
    <x v="4"/>
  </r>
  <r>
    <x v="300"/>
    <s v="HUN-Martonvasar Medicz Gyogyszertar Vásárlás(2023.04.18) Card:5444-0XXX-XX68-8737 MCC5912 HUN-Martonvasar Medicz Gyogyszertar 10.130,00 HUF Kártyatranzakció"/>
    <n v="-10130"/>
    <x v="7"/>
    <x v="5"/>
    <x v="0"/>
  </r>
  <r>
    <x v="300"/>
    <s v="TESCO 44089 MARTONVASAR 4.944,00 HUF Vásárlás"/>
    <n v="-4944"/>
    <x v="3"/>
    <x v="4"/>
    <x v="0"/>
  </r>
  <r>
    <x v="300"/>
    <s v="BARKACSBOLT MARTONVASAR 1.120,00 HUF Vásárlás"/>
    <n v="-1120"/>
    <x v="0"/>
    <x v="6"/>
    <x v="0"/>
  </r>
  <r>
    <x v="300"/>
    <s v="VIZ-, GAZ SZERELVENYB MARTONVASAR 11.392,00 HUF Vásárlás"/>
    <n v="-11392"/>
    <x v="0"/>
    <x v="6"/>
    <x v="0"/>
  </r>
  <r>
    <x v="300"/>
    <s v="Hornyak Istvan Gabor Hrsz Salgótarján 3741/A/23 vevő Czu prik Györgyné"/>
    <n v="-5618000"/>
    <x v="9"/>
    <x v="48"/>
    <x v="5"/>
  </r>
  <r>
    <x v="301"/>
    <s v="czuprikgabor _"/>
    <n v="7450000"/>
    <x v="9"/>
    <x v="48"/>
    <x v="5"/>
  </r>
  <r>
    <x v="301"/>
    <s v="czuprikgyorgyne _"/>
    <n v="350000"/>
    <x v="9"/>
    <x v="48"/>
    <x v="5"/>
  </r>
  <r>
    <x v="302"/>
    <s v="HUN-MARTONVASAR TESCO 44089 Vásárlás(2023.04.15) Card:5444-0XXX-XX68-8737 MCC5311 HUN-MARTONVASAR TESCO 44089 5.285,00 HUF Kártyatranzakció"/>
    <n v="-5285"/>
    <x v="3"/>
    <x v="4"/>
    <x v="0"/>
  </r>
  <r>
    <x v="302"/>
    <s v="HUN-MARTONVASAR POSTAKOCSI E'TTEREM Vásárlás(2023.04.16) Card:5444-0XXX-XX68-8737 MCC5812 HUN-MARTONVASAR POSTAKOCSI E'TTEREM 22.325,00 HUF Kártyatranzakció"/>
    <n v="-22325"/>
    <x v="2"/>
    <x v="2"/>
    <x v="0"/>
  </r>
  <r>
    <x v="303"/>
    <s v="11773353-59010812-00000000 Kovácsné Tonkó Csilla Mária KT-2023-76 Kimenő azonnali megbízás"/>
    <n v="-15000"/>
    <x v="7"/>
    <x v="13"/>
    <x v="0"/>
  </r>
  <r>
    <x v="303"/>
    <s v="DM 311.SZ. BUDAORS 18.379,00 HUF Vásárlás"/>
    <n v="-18379"/>
    <x v="3"/>
    <x v="4"/>
    <x v="0"/>
  </r>
  <r>
    <x v="303"/>
    <s v="LIDL ARUHAZ 0349.SZ. BUDAORS 19.895,00 HUF Vásárlás"/>
    <n v="-19895"/>
    <x v="3"/>
    <x v="4"/>
    <x v="0"/>
  </r>
  <r>
    <x v="303"/>
    <s v="BRENDON BABAARUHAZ BUDAORS 39.165,00 HUF Vásárlás"/>
    <n v="-39165"/>
    <x v="3"/>
    <x v="3"/>
    <x v="0"/>
  </r>
  <r>
    <x v="303"/>
    <s v="Auchan Torokbalint Torokbalint 36.267,00 HUF Vásárlás"/>
    <n v="-36267"/>
    <x v="3"/>
    <x v="4"/>
    <x v="0"/>
  </r>
  <r>
    <x v="303"/>
    <s v="SumUp Veing Zsuzsan Martonvasar 1.480,00 HUF Vásárlás"/>
    <n v="-1480"/>
    <x v="3"/>
    <x v="4"/>
    <x v="0"/>
  </r>
  <r>
    <x v="304"/>
    <s v="Drago Rosso Pizzéria, Étterem"/>
    <n v="-3990"/>
    <x v="2"/>
    <x v="2"/>
    <x v="4"/>
  </r>
  <r>
    <x v="304"/>
    <s v="HUN-BUDAPEST OTPMOBL*HERBAFERM.HU Vásárlás(2023.04.12) Card:5444-0XXX-XX68-8737 MCC5499 HUN-BUDAPEST OTPMOBL*HERBAFERM.HU 22.350,00 HUF Kártyatranzakció"/>
    <n v="-22350"/>
    <x v="7"/>
    <x v="14"/>
    <x v="0"/>
  </r>
  <r>
    <x v="304"/>
    <s v="BARKACSBOLT MARTONVASAR 9.170,00 HUF Vásárlás"/>
    <n v="-9170"/>
    <x v="0"/>
    <x v="6"/>
    <x v="0"/>
  </r>
  <r>
    <x v="304"/>
    <s v="czuprikgergely _"/>
    <n v="-1413221"/>
    <x v="9"/>
    <x v="48"/>
    <x v="3"/>
  </r>
  <r>
    <x v="304"/>
    <s v="czuprikgergely _"/>
    <n v="1413221"/>
    <x v="9"/>
    <x v="48"/>
    <x v="0"/>
  </r>
  <r>
    <x v="305"/>
    <s v="HUN-Martonvasar Medicz Gyogyszertar Vásárlás(2023.04.11) Card:5444-0XXX-XX68-8737 MCC5912 HUN-Martonvasar Medicz Gyogyszertar 2.225,00 HUF Kártyatranzakció"/>
    <n v="-2225"/>
    <x v="7"/>
    <x v="5"/>
    <x v="0"/>
  </r>
  <r>
    <x v="305"/>
    <s v="HUN-BUDAPEST BARIONP*BARION.COM/GUE Vásárlás(2023.04.11) Card:5444-0XXX-XX68-8737 MCC7299 HUN-BUDAPEST BARIONP*BARION.COM/GUE 41.990,00 HUF Kártyatranzakció"/>
    <n v="-41990"/>
    <x v="3"/>
    <x v="3"/>
    <x v="0"/>
  </r>
  <r>
    <x v="305"/>
    <s v="NAPSUGAR CUKRASZDA ERCSI 1.800,00 HUF Vásárlás"/>
    <n v="-1800"/>
    <x v="2"/>
    <x v="19"/>
    <x v="0"/>
  </r>
  <r>
    <x v="306"/>
    <s v="DM 359. TOROKBALINT 5.456,00 HUF Vásárlás"/>
    <n v="-5456"/>
    <x v="3"/>
    <x v="4"/>
    <x v="0"/>
  </r>
  <r>
    <x v="306"/>
    <s v="SPAR MAGYARORSZA'G KFT TOROKBALINT 6.304,00 HUF Vásárlás"/>
    <n v="-6304"/>
    <x v="3"/>
    <x v="4"/>
    <x v="0"/>
  </r>
  <r>
    <x v="306"/>
    <s v="ALDI 3.SZ. BUDAORS 6.417,00 HUF Vásárlás"/>
    <n v="-6417"/>
    <x v="3"/>
    <x v="4"/>
    <x v="0"/>
  </r>
  <r>
    <x v="306"/>
    <s v="OBI 010 BUDAORS 22.592,00 HUF Vásárlás"/>
    <n v="-22592"/>
    <x v="0"/>
    <x v="6"/>
    <x v="0"/>
  </r>
  <r>
    <x v="306"/>
    <s v="KISKIFLI KAVEZO BUDAPEST 1.640,00 HUF Vásárlás"/>
    <n v="-1640"/>
    <x v="2"/>
    <x v="19"/>
    <x v="0"/>
  </r>
  <r>
    <x v="306"/>
    <s v="MVM NEXT ENERGIAK BUDAPEST 8.900,00 HUF Vásárlás"/>
    <n v="-8900"/>
    <x v="0"/>
    <x v="11"/>
    <x v="0"/>
  </r>
  <r>
    <x v="306"/>
    <s v="OTPMOBL EON.HU BUDAPEST 5.588,00 HUF Vásárlás"/>
    <n v="-5588"/>
    <x v="0"/>
    <x v="22"/>
    <x v="0"/>
  </r>
  <r>
    <x v="306"/>
    <s v="OTPMOBL DIJNET.HU BUDAPEST 6.944,00 HUF Vásárlás"/>
    <n v="-6944"/>
    <x v="0"/>
    <x v="23"/>
    <x v="0"/>
  </r>
  <r>
    <x v="306"/>
    <s v="Lipoti Pekseg kavezo Torokbalint 880,00 HUF Vásárlás 2,35 EUR"/>
    <n v="-880"/>
    <x v="2"/>
    <x v="19"/>
    <x v="0"/>
  </r>
  <r>
    <x v="307"/>
    <s v="HUN-MARTONVASAR TESCO 44089 O:NKISZ Vásárlás(2023.04.08) Card:5444-0XXX-XX68-8737 MCC5311 HUN-MARTONVASAR TESCO 44089 O:NKISZ OLG 598,00 HUF Kártyatranzakció"/>
    <n v="-598"/>
    <x v="3"/>
    <x v="4"/>
    <x v="0"/>
  </r>
  <r>
    <x v="307"/>
    <s v="HUN-MARTONVASAR TESCO 44089 O:NKISZ Vásárlás(2023.04.03) Card:5444-0XXX-XX68-8737 MCC5311 HUN-MARTONVASAR TESCO 44089 O:NKISZ OLG 1.896,00 HUF Kártyatranzakció"/>
    <n v="-1896"/>
    <x v="3"/>
    <x v="4"/>
    <x v="0"/>
  </r>
  <r>
    <x v="307"/>
    <s v="HUN-GARDONY ALDI 5.SZ. Vásárlás(2023.04.08) Card:5444-0XXX-XX68-8737 MCC5411 HUN-GARDONY ALDI 5.SZ. 25.523,00 HUF Kártyatranzakció"/>
    <n v="-25523"/>
    <x v="3"/>
    <x v="4"/>
    <x v="0"/>
  </r>
  <r>
    <x v="307"/>
    <s v="TESCO 44089 MARTONVASAR 2.365,00 HUF Vásárlás"/>
    <n v="-2365"/>
    <x v="3"/>
    <x v="4"/>
    <x v="0"/>
  </r>
  <r>
    <x v="307"/>
    <s v="SZENT KERESZT GYO'GYSZ RACKERESZTUR 5.014,00 HUF Vásárlás"/>
    <n v="-5014"/>
    <x v="7"/>
    <x v="5"/>
    <x v="0"/>
  </r>
  <r>
    <x v="307"/>
    <s v="NAPSUGAR CUKRASZDA ERCSI 2.830,00 HUF Vásárlás"/>
    <n v="-2830"/>
    <x v="2"/>
    <x v="19"/>
    <x v="0"/>
  </r>
  <r>
    <x v="307"/>
    <s v="TELEKOMSZAML 573828063 BUDAPEST 7.080,00 HUF Vásárlás 18,88 EUR"/>
    <n v="-7080"/>
    <x v="0"/>
    <x v="7"/>
    <x v="0"/>
  </r>
  <r>
    <x v="308"/>
    <s v="PL:P/10APR23 Tőkefizetés Hitel /21-41194/"/>
    <n v="-214492.59"/>
    <x v="0"/>
    <x v="21"/>
    <x v="0"/>
  </r>
  <r>
    <x v="308"/>
    <s v="PL:I/10APR23 Kamatfizetés  Hitel /21-41194/"/>
    <n v="-47312.2"/>
    <x v="0"/>
    <x v="21"/>
    <x v="0"/>
  </r>
  <r>
    <x v="308"/>
    <s v="PL:P/10APR23 Tőkefizetés Hitel /21-41194/"/>
    <n v="214492.59"/>
    <x v="0"/>
    <x v="21"/>
    <x v="1"/>
  </r>
  <r>
    <x v="309"/>
    <s v="JAGUAR LAND ROVER HUNGARY KFT. Munkab.r utal.sMunkabér"/>
    <n v="999323"/>
    <x v="4"/>
    <x v="20"/>
    <x v="0"/>
  </r>
  <r>
    <x v="310"/>
    <s v="Cr Forgalmi kedvezmény"/>
    <n v="1672"/>
    <x v="1"/>
    <x v="1"/>
    <x v="0"/>
  </r>
  <r>
    <x v="310"/>
    <s v="HUN-MARTONVASAR MARTON MARKET Vásárlás(2023.04.03) Card:5444-0XXX-XX68-8737 MCC5411 HUN-MARTONVASAR MARTON MARKET 169,00 HUF Kártyatranzakció"/>
    <n v="-169"/>
    <x v="3"/>
    <x v="4"/>
    <x v="0"/>
  </r>
  <r>
    <x v="310"/>
    <s v="KISKIFLI KAVEZO BUDAPEST 1.500,00 HUF Vásárlás"/>
    <n v="-1500"/>
    <x v="2"/>
    <x v="19"/>
    <x v="0"/>
  </r>
  <r>
    <x v="310"/>
    <s v="ALDI 156.SZ. BUDAORS 14.965,00 HUF Vásárlás"/>
    <n v="-14965"/>
    <x v="3"/>
    <x v="4"/>
    <x v="0"/>
  </r>
  <r>
    <x v="310"/>
    <s v="Cafe Frei Budapest- No Budapest 1.700,00 HUF Vásárlás 4,48 EUR"/>
    <n v="-1700"/>
    <x v="2"/>
    <x v="19"/>
    <x v="0"/>
  </r>
  <r>
    <x v="310"/>
    <s v="A-Plast Kft Er_23_002830"/>
    <n v="-328642"/>
    <x v="0"/>
    <x v="6"/>
    <x v="0"/>
  </r>
  <r>
    <x v="311"/>
    <s v="Burger King Budaörs"/>
    <n v="-7140"/>
    <x v="2"/>
    <x v="2"/>
    <x v="4"/>
  </r>
  <r>
    <x v="311"/>
    <s v="10032000-00282637-00000000 OKTATÁSI HIVATAL MUNKABÉR UTALÁS Bejövő Forint Átutalás"/>
    <n v="396690"/>
    <x v="4"/>
    <x v="20"/>
    <x v="0"/>
  </r>
  <r>
    <x v="311"/>
    <s v="HUN-AGARD THERMA'L-E'S GYO'GYFU: Vásárlás(2023.04.01) Card:5444-0XXX-XX68-8737 MCC7999 HUN-AGARD THERMA'L-E'S GYO'GYFU: 2.300,00 HUF Kártyatranzakció"/>
    <n v="-2300"/>
    <x v="7"/>
    <x v="13"/>
    <x v="0"/>
  </r>
  <r>
    <x v="311"/>
    <s v="HUN-GARDONY DM 316.SZ. Vásárlás(2023.04.01) Card:5444-0XXX-XX68-8737 MCC5977 HUN-GARDONY DM 316.SZ. 18.330,00 HUF Kártyatranzakció"/>
    <n v="-18330"/>
    <x v="3"/>
    <x v="4"/>
    <x v="0"/>
  </r>
  <r>
    <x v="312"/>
    <s v="HUN-Budapest Déli 1 Trio+Fornetti p Vásárlás(2023.03.30) Card:5444-0XXX-XX68-8737 MCC5462 HUN-Budapest Déli 1 Trio+Fornetti p 559,00 HUF Kártyatranzakció"/>
    <n v="-559"/>
    <x v="2"/>
    <x v="2"/>
    <x v="0"/>
  </r>
  <r>
    <x v="312"/>
    <s v="HUN-BUDAPEST OTPMOBL*JEGY.MAV.HU Vásárlás(2023.03.30) Card:5444-0XXX-XX68-8737 MCC4112 HUN-BUDAPEST OTPMOBL*JEGY.MAV.HU 586,00 HUF Kártyatranzakció"/>
    <n v="-586"/>
    <x v="5"/>
    <x v="28"/>
    <x v="0"/>
  </r>
  <r>
    <x v="312"/>
    <s v="HUN-ERCSI NAPSUGAR CUKRASZDA Vásárlás(2023.03.31) Card:5444-0XXX-XX68-8737 MCC5441 HUN-ERCSI NAPSUGAR CUKRASZDA 1.890,00 HUF Kártyatranzakció"/>
    <n v="-1890"/>
    <x v="2"/>
    <x v="2"/>
    <x v="0"/>
  </r>
  <r>
    <x v="312"/>
    <s v="HUN-Budapest Déli 1 Trio+Fornetti p Vásárlás(2023.03.30) Card:5444-0XXX-XX68-8737 MCC5462 HUN-Budapest Déli 1 Trio+Fornetti p 1.906,00 HUF Kártyatranzakció"/>
    <n v="-1906"/>
    <x v="2"/>
    <x v="2"/>
    <x v="0"/>
  </r>
  <r>
    <x v="312"/>
    <s v="BRENDON BABAARUHAZ BUDAORS 12.370,00 HUF Vásárlás"/>
    <n v="-12370"/>
    <x v="3"/>
    <x v="3"/>
    <x v="0"/>
  </r>
  <r>
    <x v="312"/>
    <s v="TESCO 44089 MARTONVASAR 2.150,00 HUF Vásárlás"/>
    <n v="-2150"/>
    <x v="3"/>
    <x v="4"/>
    <x v="0"/>
  </r>
  <r>
    <x v="312"/>
    <s v="POSTAKOCSI E'TTEREM MARTONVASAR 7.695,00 HUF Vásárlás"/>
    <n v="-7695"/>
    <x v="2"/>
    <x v="2"/>
    <x v="0"/>
  </r>
  <r>
    <x v="313"/>
    <s v="Burger King Budaörs"/>
    <n v="-3810"/>
    <x v="2"/>
    <x v="2"/>
    <x v="4"/>
  </r>
  <r>
    <x v="314"/>
    <s v="Napellenző eladás"/>
    <n v="130000"/>
    <x v="0"/>
    <x v="6"/>
    <x v="2"/>
  </r>
  <r>
    <x v="314"/>
    <s v="Int.Appl. to   31/03/23"/>
    <n v="52.29"/>
    <x v="1"/>
    <x v="1"/>
    <x v="0"/>
  </r>
  <r>
    <x v="314"/>
    <s v="CRT to         31/03/23"/>
    <n v="-7.84"/>
    <x v="1"/>
    <x v="1"/>
    <x v="0"/>
  </r>
  <r>
    <x v="314"/>
    <s v="Havi zárlati díj"/>
    <n v="-1941"/>
    <x v="1"/>
    <x v="1"/>
    <x v="0"/>
  </r>
  <r>
    <x v="314"/>
    <s v="Kamatadó"/>
    <n v="-6.12"/>
    <x v="1"/>
    <x v="1"/>
    <x v="0"/>
  </r>
  <r>
    <x v="314"/>
    <s v="BARKACSBOLT MARTONVASAR 7.120,00 HUF Vásárlás"/>
    <n v="-7120"/>
    <x v="0"/>
    <x v="6"/>
    <x v="0"/>
  </r>
  <r>
    <x v="314"/>
    <s v="kamat"/>
    <n v="40.82"/>
    <x v="1"/>
    <x v="1"/>
    <x v="0"/>
  </r>
  <r>
    <x v="315"/>
    <s v="HUN-MARTONVASAR TESCO 44089 O:NKISZ Vásárlás(2023.03.28) Card:5444-0XXX-XX68-8737 MCC5311 HUN-MARTONVASAR TESCO 44089 O:NKISZ OLG 5.341,00 HUF Kártyatranzakció"/>
    <n v="-5341"/>
    <x v="3"/>
    <x v="4"/>
    <x v="0"/>
  </r>
  <r>
    <x v="315"/>
    <s v="11773353-59010812-00000000 Kovácsné Tonkó Csilla Mária KT-2023-69 Kimenő azonnali megbízás"/>
    <n v="-19000"/>
    <x v="3"/>
    <x v="3"/>
    <x v="0"/>
  </r>
  <r>
    <x v="315"/>
    <s v="OBI 010 BUDAORS BUDAORS 18.492,00 HUF Vásárlás"/>
    <n v="-18492"/>
    <x v="0"/>
    <x v="6"/>
    <x v="0"/>
  </r>
  <r>
    <x v="315"/>
    <s v="AUCHAN BUDAORS BUDAORS 25.597,00 HUF Vásárlás"/>
    <n v="-25597"/>
    <x v="3"/>
    <x v="4"/>
    <x v="0"/>
  </r>
  <r>
    <x v="315"/>
    <s v="BARKACSBOLT MARTONVASAR 9.000,00 HUF Vásárlás"/>
    <n v="-9000"/>
    <x v="0"/>
    <x v="6"/>
    <x v="0"/>
  </r>
  <r>
    <x v="316"/>
    <s v="HUN-MARTONVASAR VIANNI U:ZLET Vásárlás(2023.03.27) Card:5444-0XXX-XX68-8737 MCC5399 HUN-MARTONVASAR VIANNI U:ZLET 1.100,00 HUF Kártyatranzakció"/>
    <n v="-1100"/>
    <x v="3"/>
    <x v="4"/>
    <x v="0"/>
  </r>
  <r>
    <x v="316"/>
    <s v="NETFLIX.COM Amsterdam 3.490,00 HUF Vásárlás 9,06 EUR"/>
    <n v="-3490"/>
    <x v="0"/>
    <x v="7"/>
    <x v="0"/>
  </r>
  <r>
    <x v="317"/>
    <s v="Burger King Budaörs"/>
    <n v="-8420"/>
    <x v="2"/>
    <x v="2"/>
    <x v="4"/>
  </r>
  <r>
    <x v="317"/>
    <s v="HUN-MARTONVASAR POSTAKOCSI E'TTEREM Vásárlás(2023.03.24) Card:5444-0XXX-XX68-8737 MCC5812 HUN-MARTONVASAR POSTAKOCSI E'TTEREM 6.815,00 HUF Kártyatranzakció"/>
    <n v="-6815"/>
    <x v="2"/>
    <x v="2"/>
    <x v="0"/>
  </r>
  <r>
    <x v="317"/>
    <s v="LIDL ARUHAZ 0306.SZ. AGARD 9.178,00 HUF Vásárlás"/>
    <n v="-9178"/>
    <x v="3"/>
    <x v="4"/>
    <x v="0"/>
  </r>
  <r>
    <x v="317"/>
    <s v="POSTAKOCSI E'TTEREM MARTONVASAR 3.795,00 HUF Vásárlás"/>
    <n v="-3795"/>
    <x v="2"/>
    <x v="2"/>
    <x v="0"/>
  </r>
  <r>
    <x v="317"/>
    <s v="SKYSHOWTIME AFCEF HU Amsterdam 999,00 HUF Vásárlás 2,59 EUR"/>
    <n v="-999"/>
    <x v="0"/>
    <x v="7"/>
    <x v="0"/>
  </r>
  <r>
    <x v="318"/>
    <s v="HUN-BUDAPEST OTPMOBL*JEGY.MAV.HU Vásárlás(2023.03.22) Card:5444-0XXX-XX68-8737 MCC4112 HUN-BUDAPEST OTPMOBL*JEGY.MAV.HU 586,00 HUF Kártyatranzakció"/>
    <n v="-586"/>
    <x v="5"/>
    <x v="28"/>
    <x v="0"/>
  </r>
  <r>
    <x v="319"/>
    <s v="HUN-BUDAPEST OTPMOBL*VITAMINBOLT.NE Vásárlás(2023.03.21) Card:5444-0XXX-XX68-8737 MCC5499 HUN-BUDAPEST OTPMOBL*VITAMINBOLT.NE 3.800,00 HUF Kártyatranzakció"/>
    <n v="-3800"/>
    <x v="7"/>
    <x v="14"/>
    <x v="0"/>
  </r>
  <r>
    <x v="319"/>
    <s v="OTPMOBL HU-GO.HU BUDAPEST 5.720,00 HUF Vásárlás"/>
    <n v="-5720"/>
    <x v="3"/>
    <x v="8"/>
    <x v="0"/>
  </r>
  <r>
    <x v="319"/>
    <s v="TESCO 44089 MARTONVASAR 1.486,00 HUF Vásárlás"/>
    <n v="-1486"/>
    <x v="3"/>
    <x v="4"/>
    <x v="0"/>
  </r>
  <r>
    <x v="319"/>
    <s v="ATM1063 RERD 2030 ERD 119.000,00 HUF Kp felvét"/>
    <n v="-119000"/>
    <x v="0"/>
    <x v="6"/>
    <x v="0"/>
  </r>
  <r>
    <x v="319"/>
    <s v="DM 311.SZ. BUDAORS 5.354,00 HUF Vásárlás"/>
    <n v="-5354"/>
    <x v="3"/>
    <x v="4"/>
    <x v="0"/>
  </r>
  <r>
    <x v="319"/>
    <s v="LIDL ARUHAZ 0349.SZ. BUDAORS 19.233,00 HUF Vásárlás"/>
    <n v="-19233"/>
    <x v="3"/>
    <x v="4"/>
    <x v="0"/>
  </r>
  <r>
    <x v="320"/>
    <s v="HUN-BUDAPEST OTPMOBL*VITAMINBOLT.NE Vásárlás(2023.03.20) Card:5444-0XXX-XX68-8737 MCC5499 HUN-BUDAPEST OTPMOBL*VITAMINBOLT.NE 6.470,00 HUF Kártyatranzakció"/>
    <n v="-6470"/>
    <x v="7"/>
    <x v="14"/>
    <x v="0"/>
  </r>
  <r>
    <x v="320"/>
    <s v="10918001-00000083-47290003 KARSAINÉ GASSER MÁRIA Kimenő azonnali megbízás"/>
    <n v="-10000"/>
    <x v="3"/>
    <x v="4"/>
    <x v="0"/>
  </r>
  <r>
    <x v="320"/>
    <s v="SIMPLE PARKOL S BUDAPEST 502,00 HUF Vásárlás"/>
    <n v="-502"/>
    <x v="5"/>
    <x v="9"/>
    <x v="0"/>
  </r>
  <r>
    <x v="320"/>
    <s v="BRENDON BABAARUHAZ BUDAORS 1.196,00 HUF Vásárlás"/>
    <n v="-1196"/>
    <x v="3"/>
    <x v="3"/>
    <x v="0"/>
  </r>
  <r>
    <x v="320"/>
    <s v="KISKIFLI KAVEZO BUDAPEST 1.400,00 HUF Vásárlás"/>
    <n v="-1400"/>
    <x v="2"/>
    <x v="19"/>
    <x v="0"/>
  </r>
  <r>
    <x v="320"/>
    <s v="ZSU-ANN BUDAPEST 3.340,00 HUF Vásárlás"/>
    <n v="-3340"/>
    <x v="2"/>
    <x v="2"/>
    <x v="0"/>
  </r>
  <r>
    <x v="320"/>
    <s v="POSTAKOCSI E'TTEREM MARTONVASAR 5.895,00 HUF Vásárlás"/>
    <n v="-5895"/>
    <x v="2"/>
    <x v="2"/>
    <x v="0"/>
  </r>
  <r>
    <x v="321"/>
    <s v="HUN-ERCSI NAPSUGAR CUKRASZDA Vásárlás(2023.03.19) Card:5444-0XXX-XX68-8737 MCC5441 HUN-ERCSI NAPSUGAR CUKRASZDA 3.060,00 HUF Kártyatranzakció"/>
    <n v="-3060"/>
    <x v="2"/>
    <x v="19"/>
    <x v="0"/>
  </r>
  <r>
    <x v="321"/>
    <s v="MAGYAR ALLAMKINCSTAR BUDAPEST 51.127,00 HUF Vásárlás"/>
    <n v="-51127"/>
    <x v="1"/>
    <x v="26"/>
    <x v="0"/>
  </r>
  <r>
    <x v="322"/>
    <s v="JAGUAR LAND ROVER HUNGARY KFT."/>
    <n v="31960"/>
    <x v="4"/>
    <x v="20"/>
    <x v="4"/>
  </r>
  <r>
    <x v="322"/>
    <s v="HUN-MARTONVASAR TESCO 44089 Vásárlás(2023.03.17) Card:5444-0XXX-XX68-8737 MCC5311 HUN-MARTONVASAR TESCO 44089 2.946,00 HUF Kártyatranzakció"/>
    <n v="-2946"/>
    <x v="3"/>
    <x v="4"/>
    <x v="0"/>
  </r>
  <r>
    <x v="322"/>
    <s v="DM 311.SZ. BUDAORS 5.508,00 HUF Vásárlás"/>
    <n v="-5508"/>
    <x v="3"/>
    <x v="4"/>
    <x v="0"/>
  </r>
  <r>
    <x v="322"/>
    <s v="ALDI 156.SZ. BUDAORS 16.710,00 HUF Vásárlás"/>
    <n v="-16710"/>
    <x v="3"/>
    <x v="4"/>
    <x v="0"/>
  </r>
  <r>
    <x v="322"/>
    <s v="BAUHAUS SZIGETSZENTMIK SZIGETSZENTM 12.860,00 HUF Vásárlás"/>
    <n v="-12860"/>
    <x v="0"/>
    <x v="6"/>
    <x v="0"/>
  </r>
  <r>
    <x v="322"/>
    <s v="MARTONCOLOR FESTE'K MARTONVASAR 28.120,00 HUF Vásárlás"/>
    <n v="-28120"/>
    <x v="0"/>
    <x v="6"/>
    <x v="0"/>
  </r>
  <r>
    <x v="322"/>
    <s v="OMV 2026 Erd jobb 26.530,00 HUF Vásárlás"/>
    <n v="-26530"/>
    <x v="5"/>
    <x v="16"/>
    <x v="0"/>
  </r>
  <r>
    <x v="322"/>
    <s v="Krain Tuzep Martonvasar 6.800,00 HUF Vásárlás"/>
    <n v="-6800"/>
    <x v="0"/>
    <x v="6"/>
    <x v="0"/>
  </r>
  <r>
    <x v="323"/>
    <s v="Drago Rosso Pizzéria, Étterem"/>
    <n v="-7580"/>
    <x v="2"/>
    <x v="2"/>
    <x v="4"/>
  </r>
  <r>
    <x v="323"/>
    <s v="HUN-LEANYVAR SUGART BY JUHOS JOCI Vásárlás(2023.03.15) Card:5444-0XXX-XX68-8737 MCC5812 HUN-LEANYVAR SUGART BY JUHOS JOCI 4.300,00 HUF Kártyatranzakció"/>
    <n v="-4300"/>
    <x v="2"/>
    <x v="19"/>
    <x v="0"/>
  </r>
  <r>
    <x v="323"/>
    <s v="OMV 2111 M6 Geresd jo 6.803,00 HUF Vásárlás"/>
    <n v="-6803"/>
    <x v="5"/>
    <x v="16"/>
    <x v="0"/>
  </r>
  <r>
    <x v="324"/>
    <s v="HUN-ERCSI NAPSUGAR CUKRASZDA Vásárlás(2023.03.14) Card:5444-0XXX-XX68-8737 MCC5441 HUN-ERCSI NAPSUGAR CUKRASZDA 2.390,00 HUF Kártyatranzakció"/>
    <n v="-2390"/>
    <x v="2"/>
    <x v="19"/>
    <x v="0"/>
  </r>
  <r>
    <x v="324"/>
    <s v="OTPMOBL EON.HU BUDAPEST 5.588,00 HUF Vásárlás"/>
    <n v="-5588"/>
    <x v="0"/>
    <x v="11"/>
    <x v="0"/>
  </r>
  <r>
    <x v="324"/>
    <s v="OTPMOBL DIJNET.HU BUDAPEST 6.944,00 HUF Vásárlás"/>
    <n v="-6944"/>
    <x v="0"/>
    <x v="23"/>
    <x v="0"/>
  </r>
  <r>
    <x v="324"/>
    <s v="MVM NEXT ENERGIAK BUDAPEST 8.900,00 HUF Vásárlás"/>
    <n v="-8900"/>
    <x v="0"/>
    <x v="22"/>
    <x v="0"/>
  </r>
  <r>
    <x v="324"/>
    <s v="BUDAO RS BENZINKU'T AU BUDAORS 38.426,00 HUF Vásárlás"/>
    <n v="-38426"/>
    <x v="5"/>
    <x v="16"/>
    <x v="0"/>
  </r>
  <r>
    <x v="324"/>
    <s v="LIDL ARUHAZ 0349.SZ. BUDAORS 3.194,00 HUF Vásárlás"/>
    <n v="-3194"/>
    <x v="3"/>
    <x v="4"/>
    <x v="0"/>
  </r>
  <r>
    <x v="325"/>
    <s v="Burger King Budaörs"/>
    <n v="-4960"/>
    <x v="2"/>
    <x v="2"/>
    <x v="4"/>
  </r>
  <r>
    <x v="326"/>
    <s v="HUN-MARTONVASAR OTP ATM készpénzfelvétel(2023.03.12) Card:5444-0XXX-XX68-8737 MCC6011 HUN-MARTONVASAR OTP 14.000,00 HUF Kártyatranzakció"/>
    <n v="-14000"/>
    <x v="8"/>
    <x v="43"/>
    <x v="0"/>
  </r>
  <r>
    <x v="326"/>
    <s v="HUN-MARTONVASAR OTP ATM készpénzfelvétel(2023.03.12) Card:5444-0XXX-XX68-8737 MCC6011 HUN-MARTONVASAR OTP 29.000,00 HUF Kártyatranzakció"/>
    <n v="-29000"/>
    <x v="8"/>
    <x v="43"/>
    <x v="0"/>
  </r>
  <r>
    <x v="326"/>
    <s v="KISKIFLI KAVEZO BUDAPEST 1.400,00 HUF Vásárlás"/>
    <n v="-1400"/>
    <x v="2"/>
    <x v="19"/>
    <x v="0"/>
  </r>
  <r>
    <x v="326"/>
    <s v="ZSU-ANN BUDAPEST 2.790,00 HUF Vásárlás"/>
    <n v="-2790"/>
    <x v="2"/>
    <x v="2"/>
    <x v="0"/>
  </r>
  <r>
    <x v="326"/>
    <s v="NEU LO-RE 2005 Kft Solymr 1.200,00 HUF Vásárlás 3,13 EUR"/>
    <n v="-1200"/>
    <x v="3"/>
    <x v="8"/>
    <x v="0"/>
  </r>
  <r>
    <x v="326"/>
    <s v="Martonvásár Város Önkormányzata 8325"/>
    <n v="-22500"/>
    <x v="0"/>
    <x v="0"/>
    <x v="0"/>
  </r>
  <r>
    <x v="326"/>
    <s v="NAV Belfoldi Gépjárműadó 8439602758"/>
    <n v="-24630"/>
    <x v="5"/>
    <x v="33"/>
    <x v="0"/>
  </r>
  <r>
    <x v="327"/>
    <s v="HUN-BUDAORS BRENDON BABAARUHAZ Vásárlás(2023.03.11) Card:5444-0XXX-XX68-8737 MCC5331 HUN-BUDAORS BRENDON BABAARUHAZ 1.598,00 HUF Kártyatranzakció"/>
    <n v="-1598"/>
    <x v="3"/>
    <x v="3"/>
    <x v="0"/>
  </r>
  <r>
    <x v="327"/>
    <s v="HUN-MARTONVASAR TESCO 44089 Vásárlás(2023.03.09) Card:5444-0XXX-XX68-8737 MCC5311 HUN-MARTONVASAR TESCO 44089 2.557,00 HUF Kártyatranzakció"/>
    <n v="-2557"/>
    <x v="3"/>
    <x v="4"/>
    <x v="0"/>
  </r>
  <r>
    <x v="327"/>
    <s v="11773353-59010812-00000000 Kovácsné Tonkó Csilla Mária Karsai Adrienn hegkezelés Kimenő azonnali megbízás"/>
    <n v="-15000"/>
    <x v="7"/>
    <x v="13"/>
    <x v="0"/>
  </r>
  <r>
    <x v="327"/>
    <s v="TESCO 44089 MARTONVASAR 1.197,00 HUF Vásárlás"/>
    <n v="-1197"/>
    <x v="3"/>
    <x v="4"/>
    <x v="0"/>
  </r>
  <r>
    <x v="327"/>
    <s v="FULL GSM BUDAORS 5.000,00 HUF Vásárlás"/>
    <n v="-5000"/>
    <x v="3"/>
    <x v="31"/>
    <x v="0"/>
  </r>
  <r>
    <x v="327"/>
    <s v="THERMA'L-E'S GYO'GYFU AGARD 3.000,00 HUF Vásárlás"/>
    <n v="-3000"/>
    <x v="6"/>
    <x v="12"/>
    <x v="0"/>
  </r>
  <r>
    <x v="327"/>
    <s v="DM 311.SZ. BUDAORS 1.069,00 HUF Vásárlás"/>
    <n v="-1069"/>
    <x v="3"/>
    <x v="4"/>
    <x v="0"/>
  </r>
  <r>
    <x v="327"/>
    <s v="LIDL ARUHAZ 0349.SZ. BUDAORS 26.517,00 HUF Vásárlás"/>
    <n v="-26517"/>
    <x v="3"/>
    <x v="4"/>
    <x v="0"/>
  </r>
  <r>
    <x v="328"/>
    <s v="Burger King Budaörs"/>
    <n v="-11560"/>
    <x v="2"/>
    <x v="2"/>
    <x v="4"/>
  </r>
  <r>
    <x v="329"/>
    <s v="PL:P/10MAR23 Tőkefizetés Hitel /21-41194/"/>
    <n v="-218669.81"/>
    <x v="0"/>
    <x v="21"/>
    <x v="0"/>
  </r>
  <r>
    <x v="329"/>
    <s v="HUN-MARTONVASAR VIANNI U:ZLET Vásárlás(2023.03.08) Card:5444-0XXX-XX68-8737 MCC5399 HUN-MARTONVASAR VIANNI U:ZLET 1.840,00 HUF Kártyatranzakció"/>
    <n v="-1840"/>
    <x v="3"/>
    <x v="4"/>
    <x v="0"/>
  </r>
  <r>
    <x v="329"/>
    <s v="10918001-00000083-47290003 KARSAINÉ GASSER MÁRIA Kimenő azonnali megbízás"/>
    <n v="-5000"/>
    <x v="3"/>
    <x v="4"/>
    <x v="0"/>
  </r>
  <r>
    <x v="329"/>
    <s v="HUN-BUDAPEST OTPMOBL*VITAMINBOLT.NE Vásárlás(2023.03.08) Card:5444-0XXX-XX68-8737 MCC5499 HUN-BUDAPEST OTPMOBL*VITAMINBOLT.NE 8.779,00 HUF Kártyatranzakció"/>
    <n v="-8779"/>
    <x v="7"/>
    <x v="14"/>
    <x v="0"/>
  </r>
  <r>
    <x v="329"/>
    <s v="JAGUAR LAND ROVER HUNGARY KFT. Munkab.r utal.sMunkabér"/>
    <n v="999323"/>
    <x v="4"/>
    <x v="20"/>
    <x v="0"/>
  </r>
  <r>
    <x v="329"/>
    <s v="PL:I/10MAR23 Kamatfizetés  Hitel /21-41194/"/>
    <n v="-43134.98"/>
    <x v="0"/>
    <x v="21"/>
    <x v="0"/>
  </r>
  <r>
    <x v="329"/>
    <s v="PL:P/10MAR23 Tőkefizetés Hitel /21-41194/"/>
    <n v="218669.81"/>
    <x v="0"/>
    <x v="21"/>
    <x v="1"/>
  </r>
  <r>
    <x v="330"/>
    <s v="HUN-MARTONVASAR POSTAKOCSI E'TTEREM Vásárlás(2023.03.07) Card:5444-0XXX-XX68-8737 MCC5812 HUN-MARTONVASAR POSTAKOCSI E'TTEREM 5.895,00 HUF Kártyatranzakció"/>
    <n v="-5895"/>
    <x v="2"/>
    <x v="2"/>
    <x v="0"/>
  </r>
  <r>
    <x v="330"/>
    <s v="TELEKOMSZAML 564092588 BUDAPEST 6.479,00 HUF Vásárlás 17,16 EUR"/>
    <n v="-6479"/>
    <x v="3"/>
    <x v="46"/>
    <x v="0"/>
  </r>
  <r>
    <x v="331"/>
    <s v="Drago Rosso Pizzéria, Étterem"/>
    <n v="-7580"/>
    <x v="2"/>
    <x v="2"/>
    <x v="4"/>
  </r>
  <r>
    <x v="331"/>
    <s v="HUN-+3616130468 jokonyvek.hu Vásárlás(2023.03.06) Card:5444-0XXX-XX68-8737 MCC5942 HUN-+3616130468 jokonyvek.hu 3.300,00 HUF Kártyatranzakció"/>
    <n v="-3300"/>
    <x v="3"/>
    <x v="24"/>
    <x v="0"/>
  </r>
  <r>
    <x v="331"/>
    <s v="SPAR 0167 BUDAPEST 999,00 HUF Vásárlás"/>
    <n v="-999"/>
    <x v="3"/>
    <x v="4"/>
    <x v="0"/>
  </r>
  <r>
    <x v="331"/>
    <s v="IKEA BUDAORS UGYFE Budaors 5.990,00 HUF Vásárlás"/>
    <n v="-5990"/>
    <x v="0"/>
    <x v="35"/>
    <x v="0"/>
  </r>
  <r>
    <x v="332"/>
    <s v="White House"/>
    <n v="-2380"/>
    <x v="2"/>
    <x v="2"/>
    <x v="4"/>
  </r>
  <r>
    <x v="333"/>
    <s v="HUN-BUDAORS DM 311.SZ. Vásárlás(2023.03.04) Card:5444-0XXX-XX68-8737 MCC5977 HUN-BUDAORS DM 311.SZ. 3.000,00 HUF Kártyatranzakció"/>
    <n v="-3000"/>
    <x v="3"/>
    <x v="4"/>
    <x v="0"/>
  </r>
  <r>
    <x v="333"/>
    <s v="HUN-MARTONVASAR TESCO 44089 Vásárlás(2023.03.02) Card:5444-0XXX-XX68-8737 MCC5311 HUN-MARTONVASAR TESCO 44089 3.525,00 HUF Kártyatranzakció"/>
    <n v="-3525"/>
    <x v="3"/>
    <x v="4"/>
    <x v="0"/>
  </r>
  <r>
    <x v="333"/>
    <s v="HUN-BUDAORS DM 311.SZ. Vásárlás(2023.03.04) Card:5444-0XXX-XX68-8737 MCC5977 HUN-BUDAORS DM 311.SZ. 13.800,00 HUF Kártyatranzakció"/>
    <n v="-13800"/>
    <x v="3"/>
    <x v="4"/>
    <x v="0"/>
  </r>
  <r>
    <x v="333"/>
    <s v="OBI 010 BUDAORS BUDAORS 7.833,00 HUF Vásárlás"/>
    <n v="-7833"/>
    <x v="0"/>
    <x v="6"/>
    <x v="0"/>
  </r>
  <r>
    <x v="333"/>
    <s v="LIDL ARUHAZ 0349.SZ. BUDAORS 17.189,00 HUF Vásárlás"/>
    <n v="-17189"/>
    <x v="3"/>
    <x v="4"/>
    <x v="0"/>
  </r>
  <r>
    <x v="333"/>
    <s v="PANIFICIO ILBASILICO SZENTENDRE 1.060,00 HUF Vásárlás"/>
    <n v="-1060"/>
    <x v="2"/>
    <x v="10"/>
    <x v="0"/>
  </r>
  <r>
    <x v="333"/>
    <s v="PANIFICIO ILBASILICO SZENTENDRE 7.310,00 HUF Vásárlás"/>
    <n v="-7310"/>
    <x v="2"/>
    <x v="10"/>
    <x v="0"/>
  </r>
  <r>
    <x v="333"/>
    <s v="BWT Hungaria Budaors 7.590,00 HUF Vásárlás"/>
    <n v="-7590"/>
    <x v="7"/>
    <x v="25"/>
    <x v="0"/>
  </r>
  <r>
    <x v="333"/>
    <s v="SIMPLE PARKOL S BUDAPEST 1.179,00 HUF Vásárlás"/>
    <n v="-1179"/>
    <x v="5"/>
    <x v="9"/>
    <x v="0"/>
  </r>
  <r>
    <x v="334"/>
    <s v="Burger King ÉRD"/>
    <n v="-3670"/>
    <x v="2"/>
    <x v="2"/>
    <x v="4"/>
  </r>
  <r>
    <x v="335"/>
    <s v="Cr Forgalmi kedvezmény"/>
    <n v="1672"/>
    <x v="1"/>
    <x v="1"/>
    <x v="0"/>
  </r>
  <r>
    <x v="335"/>
    <s v="KISKIFLI KAVEZO BUDAPEST 1.400,00 HUF Vásárlás"/>
    <n v="-1400"/>
    <x v="2"/>
    <x v="19"/>
    <x v="0"/>
  </r>
  <r>
    <x v="335"/>
    <s v="ZSU-ANN BUDAPEST 3.140,00 HUF Vásárlás"/>
    <n v="-3140"/>
    <x v="2"/>
    <x v="2"/>
    <x v="0"/>
  </r>
  <r>
    <x v="335"/>
    <s v="Pizza Pazza Budapest 990,00 HUF Vásárlás 2,63 EUR"/>
    <n v="-990"/>
    <x v="2"/>
    <x v="2"/>
    <x v="0"/>
  </r>
  <r>
    <x v="335"/>
    <s v="Fulop balazs Gokart"/>
    <n v="-10055"/>
    <x v="6"/>
    <x v="12"/>
    <x v="0"/>
  </r>
  <r>
    <x v="336"/>
    <s v="10032000-00282637-00000000 OKTATÁSI HIVATAL MUNKABÉR UTALÁS Bejövő Forint Átutalás"/>
    <n v="358300"/>
    <x v="4"/>
    <x v="20"/>
    <x v="0"/>
  </r>
  <r>
    <x v="336"/>
    <s v="VIANNI U ZLET MARTONVASAR 950,00 HUF Vásárlás"/>
    <n v="-950"/>
    <x v="3"/>
    <x v="4"/>
    <x v="0"/>
  </r>
  <r>
    <x v="336"/>
    <s v="Támogatásokat Közvetítő Főosztál 2233305117OTTFELUJ, A00504906T1322 303013303001645, 000000000000002233  1.221.824Ft_x000a_10918001-00000083-47290003 KARSAINÉ GASSER MÁRIA Kimenő azonnali megbízás 431.700Ft"/>
    <n v="790124"/>
    <x v="0"/>
    <x v="6"/>
    <x v="0"/>
  </r>
  <r>
    <x v="337"/>
    <s v="Havi zárlati díj"/>
    <n v="-1941"/>
    <x v="1"/>
    <x v="1"/>
    <x v="0"/>
  </r>
  <r>
    <x v="337"/>
    <s v="Alza.cz a.s. Prague TRAN IDEJE 20230228 125034 TRAN ÖSSZEG 17,180.00 HUF"/>
    <n v="-17180"/>
    <x v="3"/>
    <x v="3"/>
    <x v="0"/>
  </r>
  <r>
    <x v="337"/>
    <s v="KISKIFLI KAVEZO BUDAPEST 1.400,00 HUF Vásárlás"/>
    <n v="-1400"/>
    <x v="2"/>
    <x v="19"/>
    <x v="0"/>
  </r>
  <r>
    <x v="337"/>
    <s v="NETFLIX.COM 408-724-9160 3.490,00 HUF Vásárlás 9,20 EUR"/>
    <n v="-3490"/>
    <x v="0"/>
    <x v="7"/>
    <x v="0"/>
  </r>
  <r>
    <x v="338"/>
    <s v="IKEA BUDAORS ETTEREM Budaors 6.210,00 HUF Vásárlás"/>
    <n v="-6210"/>
    <x v="2"/>
    <x v="2"/>
    <x v="0"/>
  </r>
  <r>
    <x v="338"/>
    <s v="IKEA BUDAORS ETTEREM Budaors 1.190,00 HUF Vásárlás"/>
    <n v="-1190"/>
    <x v="2"/>
    <x v="2"/>
    <x v="0"/>
  </r>
  <r>
    <x v="338"/>
    <s v="TESCO 44089 O NKISZOLG MARTONVASAR 879,00 HUF Vásárlás"/>
    <n v="-879"/>
    <x v="3"/>
    <x v="4"/>
    <x v="0"/>
  </r>
  <r>
    <x v="338"/>
    <s v="70-ES KOZERT BARACSKA 778,00 HUF Vásárlás"/>
    <n v="-778"/>
    <x v="3"/>
    <x v="4"/>
    <x v="0"/>
  </r>
  <r>
    <x v="338"/>
    <s v="DM 311.SZ. BUDAORS 4.099,00 HUF Vásárlás"/>
    <n v="-4099"/>
    <x v="3"/>
    <x v="4"/>
    <x v="0"/>
  </r>
  <r>
    <x v="338"/>
    <s v="LIDL ARUHAZ 0349.SZ. BUDAORS 18.111,00 HUF Vásárlás"/>
    <n v="-18111"/>
    <x v="3"/>
    <x v="4"/>
    <x v="0"/>
  </r>
  <r>
    <x v="338"/>
    <s v="ALDI 156.SZ. BUDAORS 1.597,00 HUF Vásárlás"/>
    <n v="-1597"/>
    <x v="3"/>
    <x v="4"/>
    <x v="0"/>
  </r>
  <r>
    <x v="338"/>
    <s v="TESCO 44089 MARTONVASAR 789,00 HUF Vásárlás"/>
    <n v="-789"/>
    <x v="3"/>
    <x v="4"/>
    <x v="0"/>
  </r>
  <r>
    <x v="338"/>
    <s v="AUCHAN BUDAORS BUDAORS 5.675,00 HUF Vásárlás"/>
    <n v="-5675"/>
    <x v="3"/>
    <x v="4"/>
    <x v="0"/>
  </r>
  <r>
    <x v="338"/>
    <s v="BRENDON BABAARUHAZ BUDAORS 3.490,00 HUF Vásárlás"/>
    <n v="-3490"/>
    <x v="3"/>
    <x v="3"/>
    <x v="0"/>
  </r>
  <r>
    <x v="338"/>
    <s v="SKYSHOWTIME ACAA4 HU Amsterdam 999,00 HUF Vásárlás 2,62 EUR"/>
    <n v="-999"/>
    <x v="0"/>
    <x v="7"/>
    <x v="0"/>
  </r>
  <r>
    <x v="338"/>
    <s v="Mazsa Nordik Kft. Budapest 1.398,00 HUF Vásárlás 3,67 EUR"/>
    <n v="-1398"/>
    <x v="3"/>
    <x v="4"/>
    <x v="0"/>
  </r>
  <r>
    <x v="339"/>
    <s v="Drago Rosso Pizzéria, Étterem"/>
    <n v="-3690"/>
    <x v="2"/>
    <x v="2"/>
    <x v="4"/>
  </r>
  <r>
    <x v="340"/>
    <s v="Kemal Pasa"/>
    <n v="-2300"/>
    <x v="2"/>
    <x v="2"/>
    <x v="4"/>
  </r>
  <r>
    <x v="341"/>
    <s v="HUN-BUDAPEST OTPMOBL*MINDIGBUTOR.HU Vásárlás(2023.02.21) Card:5444-0XXX-XX68-8737 MCC5021 HUN-BUDAPEST OTPMOBL*MINDIGBUTOR.HU 32.900,00 HUF Kártyatranzakció"/>
    <n v="-32900"/>
    <x v="3"/>
    <x v="3"/>
    <x v="0"/>
  </r>
  <r>
    <x v="341"/>
    <s v="HUN-CSANYTELEK ADAMOHAMMOCK.COM Vásárlás(2023.02.21) Card:5444-0XXX-XX68-8737 MCC5712 HUN-CSANYTELEK ADAMOHAMMOCK.COM 49.790,00 HUF Kártyatranzakció"/>
    <n v="-49790"/>
    <x v="3"/>
    <x v="3"/>
    <x v="0"/>
  </r>
  <r>
    <x v="342"/>
    <s v="DM 311.SZ. BUDAORS 2.027,00 HUF Vásárlás"/>
    <n v="-2027"/>
    <x v="3"/>
    <x v="4"/>
    <x v="0"/>
  </r>
  <r>
    <x v="342"/>
    <s v="ALDI 156.SZ. BUDAORS 998,00 HUF Vásárlás"/>
    <n v="-998"/>
    <x v="3"/>
    <x v="4"/>
    <x v="0"/>
  </r>
  <r>
    <x v="342"/>
    <s v="KISKIFLI KAVEZO BUDAPEST 1.400,00 HUF Vásárlás"/>
    <n v="-1400"/>
    <x v="2"/>
    <x v="19"/>
    <x v="0"/>
  </r>
  <r>
    <x v="343"/>
    <s v="JAGUAR LAND ROVER HUNGARY KFT."/>
    <n v="31960"/>
    <x v="4"/>
    <x v="20"/>
    <x v="4"/>
  </r>
  <r>
    <x v="343"/>
    <s v="Kemal Pasa"/>
    <n v="-2300"/>
    <x v="2"/>
    <x v="2"/>
    <x v="4"/>
  </r>
  <r>
    <x v="343"/>
    <s v="LIDL ARUHAZ 0306.SZ. AGARD 30.093,00 HUF Vásárlás"/>
    <n v="-30093"/>
    <x v="3"/>
    <x v="4"/>
    <x v="0"/>
  </r>
  <r>
    <x v="344"/>
    <s v="Burger King Budaörs"/>
    <n v="-3960"/>
    <x v="2"/>
    <x v="2"/>
    <x v="4"/>
  </r>
  <r>
    <x v="344"/>
    <s v="Iphone14 apple tok"/>
    <n v="-5224.86"/>
    <x v="3"/>
    <x v="31"/>
    <x v="6"/>
  </r>
  <r>
    <x v="344"/>
    <s v="Iphone14 apple"/>
    <n v="-320251.41"/>
    <x v="3"/>
    <x v="31"/>
    <x v="6"/>
  </r>
  <r>
    <x v="344"/>
    <s v="VIANNI U ZLET MARTONVASAR 1.230,00 HUF Vásárlás"/>
    <n v="-1230"/>
    <x v="3"/>
    <x v="4"/>
    <x v="0"/>
  </r>
  <r>
    <x v="344"/>
    <s v="TESCO 44089 O NKISZOLG MARTONVASAR 1.300,00 HUF Vásárlás"/>
    <n v="-1300"/>
    <x v="3"/>
    <x v="4"/>
    <x v="0"/>
  </r>
  <r>
    <x v="344"/>
    <s v="OTPMOBL HU-GO.HU BUDAPEST 11.440,00 HUF Vásárlás"/>
    <n v="-11440"/>
    <x v="3"/>
    <x v="8"/>
    <x v="0"/>
  </r>
  <r>
    <x v="344"/>
    <s v="KI'NAI BU FE' BUDAPEST 1.800,00 HUF Vásárlás"/>
    <n v="-1800"/>
    <x v="2"/>
    <x v="2"/>
    <x v="0"/>
  </r>
  <r>
    <x v="344"/>
    <s v="ALDI 156.SZ. BUDAORS 19.188,00 HUF Vásárlás"/>
    <n v="-19188"/>
    <x v="3"/>
    <x v="4"/>
    <x v="0"/>
  </r>
  <r>
    <x v="345"/>
    <s v="Burger King Budaörs"/>
    <n v="-5800"/>
    <x v="2"/>
    <x v="2"/>
    <x v="4"/>
  </r>
  <r>
    <x v="345"/>
    <s v="KISKIFLI KAVEZO BUDAPEST 1.400,00 HUF Vásárlás"/>
    <n v="-1400"/>
    <x v="2"/>
    <x v="19"/>
    <x v="0"/>
  </r>
  <r>
    <x v="346"/>
    <s v="BARIONP BARION.COM/GUE BUDAPEST 11.189,00 HUF Vásárlás"/>
    <n v="-11189"/>
    <x v="3"/>
    <x v="8"/>
    <x v="0"/>
  </r>
  <r>
    <x v="347"/>
    <s v="WHITE HOUSE BUDAPEST 2.540,00 HUF Vásárlás"/>
    <n v="-2540"/>
    <x v="2"/>
    <x v="2"/>
    <x v="0"/>
  </r>
  <r>
    <x v="347"/>
    <s v="DM 311.SZ. BUDAORS 4.425,00 HUF Vásárlás"/>
    <n v="-4425"/>
    <x v="3"/>
    <x v="4"/>
    <x v="0"/>
  </r>
  <r>
    <x v="347"/>
    <s v="ALDI 156.SZ. BUDAORS 5.255,00 HUF Vásárlás"/>
    <n v="-5255"/>
    <x v="3"/>
    <x v="4"/>
    <x v="0"/>
  </r>
  <r>
    <x v="347"/>
    <s v="PANIFICIO IL BASILICO BUDAPEST 3.960,00 HUF Vásárlás"/>
    <n v="-3960"/>
    <x v="2"/>
    <x v="10"/>
    <x v="0"/>
  </r>
  <r>
    <x v="347"/>
    <s v="BUDAO RS BENZINKU'T AU BUDAORS 39.562,00 HUF Vásárlás"/>
    <n v="-39562"/>
    <x v="5"/>
    <x v="16"/>
    <x v="0"/>
  </r>
  <r>
    <x v="348"/>
    <s v="10918001-00000083-47290003 KARSAINÉ GASSER MÁRIA Kimenő azonnali megbízás"/>
    <n v="-15516"/>
    <x v="3"/>
    <x v="8"/>
    <x v="0"/>
  </r>
  <r>
    <x v="349"/>
    <s v="DECATHLON BUDAO RS BUDAORS 15.480,00 HUF Vásárlás"/>
    <n v="-15480"/>
    <x v="3"/>
    <x v="30"/>
    <x v="0"/>
  </r>
  <r>
    <x v="349"/>
    <s v="WHITE HOUSE BUDAPEST 1.990,00 HUF Vásárlás"/>
    <n v="-1990"/>
    <x v="2"/>
    <x v="2"/>
    <x v="0"/>
  </r>
  <r>
    <x v="349"/>
    <s v="LIDL ARUHAZ 0349.SZ. BUDAORS 12.857,00 HUF Vásárlás"/>
    <n v="-12857"/>
    <x v="3"/>
    <x v="4"/>
    <x v="0"/>
  </r>
  <r>
    <x v="349"/>
    <s v="OTPMOBL VIMPAY.MAV-STA BUDAPEST 454,00 HUF Vásárlás"/>
    <n v="454"/>
    <x v="5"/>
    <x v="28"/>
    <x v="0"/>
  </r>
  <r>
    <x v="350"/>
    <s v="PL:P/10FEB23 Tőkefizetés Hitel /21-41194/"/>
    <n v="-213614.1"/>
    <x v="0"/>
    <x v="21"/>
    <x v="0"/>
  </r>
  <r>
    <x v="350"/>
    <s v="JAGUAR LAND ROVER HUNGARY KFT. Munkab.r utal.sMunkabér"/>
    <n v="962069"/>
    <x v="4"/>
    <x v="20"/>
    <x v="0"/>
  </r>
  <r>
    <x v="350"/>
    <s v="PL:I/10FEB23 Kamatfizetés  Hitel /21-41194/"/>
    <n v="-48190.69"/>
    <x v="0"/>
    <x v="21"/>
    <x v="0"/>
  </r>
  <r>
    <x v="350"/>
    <s v="PL:P/10FEB23 Tőkefizetés Hitel /21-41194/"/>
    <n v="213614.1"/>
    <x v="0"/>
    <x v="21"/>
    <x v="1"/>
  </r>
  <r>
    <x v="351"/>
    <s v="DM 311.SZ. BUDAORS 13.946,00 HUF Vásárlás"/>
    <n v="-13946"/>
    <x v="3"/>
    <x v="4"/>
    <x v="0"/>
  </r>
  <r>
    <x v="351"/>
    <s v="WHITE HOUSE BUDAPEST 720,00 HUF Vásárlás"/>
    <n v="-720"/>
    <x v="2"/>
    <x v="2"/>
    <x v="0"/>
  </r>
  <r>
    <x v="351"/>
    <s v="LIDL ARUHAZ 0349.SZ. BUDAORS 6.480,00 HUF Vásárlás"/>
    <n v="-6480"/>
    <x v="3"/>
    <x v="4"/>
    <x v="0"/>
  </r>
  <r>
    <x v="352"/>
    <s v="Drago Rosso Pizzéria, Étterem"/>
    <n v="-6580"/>
    <x v="2"/>
    <x v="2"/>
    <x v="4"/>
  </r>
  <r>
    <x v="352"/>
    <s v="HUN-BUDAORS MEDICINA PATIKA Vásárlás(2023.02.05) Card:5444-0XXX-XX68-8737 MCC5912 HUN-BUDAORS MEDICINA PATIKA 21.790,00 HUF Kártyatranzakció"/>
    <n v="-21790"/>
    <x v="7"/>
    <x v="5"/>
    <x v="0"/>
  </r>
  <r>
    <x v="352"/>
    <s v="Kemal Pasa Torok Et Budapest 2.000,00 HUF Vásárlás"/>
    <n v="-2000"/>
    <x v="2"/>
    <x v="2"/>
    <x v="0"/>
  </r>
  <r>
    <x v="352"/>
    <s v="MAGYAR ALLAMKINCSTAR BUDAPEST 1.008.329,00 HUF Vásárlás"/>
    <n v="1008329"/>
    <x v="1"/>
    <x v="26"/>
    <x v="3"/>
  </r>
  <r>
    <x v="352"/>
    <s v="MAGYAR ALLAMKINCSTAR BUDAPEST 1.008.329,00 HUF Vásárlás"/>
    <n v="-1008329"/>
    <x v="1"/>
    <x v="26"/>
    <x v="0"/>
  </r>
  <r>
    <x v="353"/>
    <s v="HUN-ERD SALON PARTNERS KFT Vásárlás(2023.02.06) Card:5444-0XXX-XX68-8737 MCC5977 HUN-ERD SALON PARTNERS KFT 18.670,00 HUF Kártyatranzakció"/>
    <n v="-18670"/>
    <x v="3"/>
    <x v="4"/>
    <x v="0"/>
  </r>
  <r>
    <x v="354"/>
    <s v="HUN-MARTONVASAR VIANNI U:ZLET Vásárlás(2023.02.01) Card:5444-0XXX-XX68-8737 MCC5399 HUN-MARTONVASAR VIANNI U:ZLET 468,00 HUF Kártyatranzakció"/>
    <n v="-468"/>
    <x v="3"/>
    <x v="4"/>
    <x v="0"/>
  </r>
  <r>
    <x v="354"/>
    <s v="PANIFICIO ILBASILICO SZENTENDRE 820,00 HUF Vásárlás"/>
    <n v="-820"/>
    <x v="2"/>
    <x v="10"/>
    <x v="0"/>
  </r>
  <r>
    <x v="354"/>
    <s v="PANIFICIO ILBASILICO SZENTENDRE 4.840,00 HUF Vásárlás"/>
    <n v="-4840"/>
    <x v="2"/>
    <x v="10"/>
    <x v="0"/>
  </r>
  <r>
    <x v="354"/>
    <s v="LIDL ARUHAZ 0349.SZ. BUDAORS 9.251,00 HUF Vásárlás"/>
    <n v="-9251"/>
    <x v="3"/>
    <x v="4"/>
    <x v="0"/>
  </r>
  <r>
    <x v="354"/>
    <s v="HELLOPAY KERESKEDO' BUDAPEST 3.508,00 HUF Vásárlás"/>
    <n v="-3508"/>
    <x v="6"/>
    <x v="40"/>
    <x v="0"/>
  </r>
  <r>
    <x v="354"/>
    <s v="MCD UNIO BUDAPEST 3.730,00 HUF Vásárlás"/>
    <n v="-3730"/>
    <x v="2"/>
    <x v="2"/>
    <x v="0"/>
  </r>
  <r>
    <x v="354"/>
    <s v="OTPMOBL VIMPAY.MAV-STA BUDAPEST 504,00 HUF Vásárlás"/>
    <n v="-504"/>
    <x v="5"/>
    <x v="28"/>
    <x v="0"/>
  </r>
  <r>
    <x v="354"/>
    <s v="OTPMOBL VIMPAY.MAV-STA BUDAPEST 504,00 HUF Vásárlás"/>
    <n v="-504"/>
    <x v="5"/>
    <x v="28"/>
    <x v="0"/>
  </r>
  <r>
    <x v="354"/>
    <s v="SIMPLE MOBILJEGY BUDAPEST 700,00 HUF Vásárlás"/>
    <n v="-700"/>
    <x v="5"/>
    <x v="28"/>
    <x v="0"/>
  </r>
  <r>
    <x v="354"/>
    <s v="PANIFICIO ILBASILICO SZENTENDRE 3.780,00 HUF Vásárlás"/>
    <n v="-3780"/>
    <x v="2"/>
    <x v="10"/>
    <x v="0"/>
  </r>
  <r>
    <x v="354"/>
    <s v="PANIFICIO ILBASILICO SZENTENDRE 650,00 HUF Vásárlás"/>
    <n v="-650"/>
    <x v="2"/>
    <x v="10"/>
    <x v="0"/>
  </r>
  <r>
    <x v="354"/>
    <s v="SIMPLE MOBILJEGY BUDAPEST 350,00 HUF Vásárlás"/>
    <n v="-350"/>
    <x v="5"/>
    <x v="28"/>
    <x v="0"/>
  </r>
  <r>
    <x v="354"/>
    <s v="HELLOPAY KERESKEDO' BUDAPEST 352,00 HUF Vásárlás"/>
    <n v="-352"/>
    <x v="6"/>
    <x v="40"/>
    <x v="0"/>
  </r>
  <r>
    <x v="354"/>
    <s v="HELLOPAY KERESKEDO' BUDAPEST 9.420,00 HUF Vásárlás"/>
    <n v="-9420"/>
    <x v="6"/>
    <x v="40"/>
    <x v="0"/>
  </r>
  <r>
    <x v="354"/>
    <s v="HELLOPAY KERESKEDO' BUDAPEST 1.549,00 HUF Vásárlás"/>
    <n v="-1549"/>
    <x v="6"/>
    <x v="40"/>
    <x v="0"/>
  </r>
  <r>
    <x v="354"/>
    <s v="HELLOPAY KERESKEDO' BUDAPEST 10.993,00 HUF Vásárlás"/>
    <n v="-10993"/>
    <x v="6"/>
    <x v="40"/>
    <x v="0"/>
  </r>
  <r>
    <x v="354"/>
    <s v="FESTIPAY KERESKEDO 3 BUDAPEST 1.099,00 HUF Vásárlás"/>
    <n v="-1099"/>
    <x v="6"/>
    <x v="40"/>
    <x v="0"/>
  </r>
  <r>
    <x v="354"/>
    <s v="OTPMOBL VIMPAY.MAV-STA BUDAPEST 504,00 HUF Vásárlás"/>
    <n v="-504"/>
    <x v="5"/>
    <x v="28"/>
    <x v="0"/>
  </r>
  <r>
    <x v="355"/>
    <s v="Burger King Budaörs"/>
    <n v="-6640"/>
    <x v="2"/>
    <x v="2"/>
    <x v="4"/>
  </r>
  <r>
    <x v="355"/>
    <s v="11600006-00000000-15541668 Tuchbandné Varga Orsolya játék Kimenő azonnali megbízás"/>
    <n v="-3000"/>
    <x v="3"/>
    <x v="8"/>
    <x v="0"/>
  </r>
  <r>
    <x v="356"/>
    <s v="10032000-00282637-00000000 OKTATÁSI HIVATAL MUNKABÉR UTALÁS Bejövő Forint Átutalás"/>
    <n v="133000"/>
    <x v="4"/>
    <x v="20"/>
    <x v="0"/>
  </r>
  <r>
    <x v="356"/>
    <s v="Cr Forgalmi kedvezmény"/>
    <n v="1672"/>
    <x v="1"/>
    <x v="1"/>
    <x v="0"/>
  </r>
  <r>
    <x v="356"/>
    <s v="HUN-MARTONVASAR MARTON MARKET Vásárlás(2023.02.01) Card:5444-0XXX-XX68-8737 MCC5411 HUN-MARTONVASAR MARTON MARKET 2.087,00 HUF Kártyatranzakció"/>
    <n v="-2087"/>
    <x v="3"/>
    <x v="4"/>
    <x v="0"/>
  </r>
  <r>
    <x v="356"/>
    <s v="10918001-00000083-47290003 KARSAINÉ GASSER MÁRIA Kimenő azonnali megbízás"/>
    <n v="-17000"/>
    <x v="3"/>
    <x v="8"/>
    <x v="0"/>
  </r>
  <r>
    <x v="356"/>
    <s v="Kemal Pasa Torok Et Budapest 2.000,00 HUF Vásárlás"/>
    <n v="-2000"/>
    <x v="2"/>
    <x v="2"/>
    <x v="0"/>
  </r>
  <r>
    <x v="357"/>
    <s v="10032000-00282637-00000000 OKTATÁSI HIVATAL MUNKABÉR UTALÁS Bejövő Forint Átutalás"/>
    <n v="396690"/>
    <x v="4"/>
    <x v="20"/>
    <x v="0"/>
  </r>
  <r>
    <x v="357"/>
    <s v="DM 311.SZ. BUDAORS 7.246,00 HUF Vásárlás"/>
    <n v="-7246"/>
    <x v="3"/>
    <x v="4"/>
    <x v="0"/>
  </r>
  <r>
    <x v="357"/>
    <s v="MEDICINA PATIKA BUDAORS 13.190,00 HUF Vásárlás"/>
    <n v="-13190"/>
    <x v="7"/>
    <x v="5"/>
    <x v="0"/>
  </r>
  <r>
    <x v="357"/>
    <s v="LIDL ARUHAZ 0349.SZ. BUDAORS 7.841,00 HUF Vásárlás"/>
    <n v="-7841"/>
    <x v="3"/>
    <x v="4"/>
    <x v="0"/>
  </r>
  <r>
    <x v="358"/>
    <s v="KISKIFLI KAVEZO BUDAPEST 1.400,00 HUF Vásárlás"/>
    <n v="-1400"/>
    <x v="2"/>
    <x v="19"/>
    <x v="0"/>
  </r>
  <r>
    <x v="358"/>
    <s v="Kemal Pasa Torok Et Budapest 2.300,00 HUF Vásárlás"/>
    <n v="-2300"/>
    <x v="2"/>
    <x v="2"/>
    <x v="0"/>
  </r>
  <r>
    <x v="359"/>
    <s v="Havi zárlati díj"/>
    <n v="-1941"/>
    <x v="1"/>
    <x v="1"/>
    <x v="0"/>
  </r>
  <r>
    <x v="359"/>
    <s v="HUN-ERCSI NAPSUGAR CUKRASZDA Vásárlás(2023.01.29) Card:5444-0XXX-XX68-8737 MCC5441 HUN-ERCSI NAPSUGAR CUKRASZDA 3.680,00 HUF Kártyatranzakció"/>
    <n v="-3680"/>
    <x v="2"/>
    <x v="19"/>
    <x v="0"/>
  </r>
  <r>
    <x v="360"/>
    <s v="HUN-MARTONVASAR TESCO 44089 O:NKISZ Vásárlás(2023.01.26) Card:5444-0XXX-XX68-8737 MCC5311 HUN-MARTONVASAR TESCO 44089 O:NKISZ OLG 539,00 HUF Kártyatranzakció"/>
    <n v="-539"/>
    <x v="3"/>
    <x v="4"/>
    <x v="0"/>
  </r>
  <r>
    <x v="360"/>
    <s v="Czuprik Györgyné Kávé"/>
    <n v="-6800"/>
    <x v="3"/>
    <x v="4"/>
    <x v="0"/>
  </r>
  <r>
    <x v="360"/>
    <s v="TESCO 44089 O NKISZOLG MARTONVASAR 918,00 HUF Vásárlás"/>
    <n v="-918"/>
    <x v="3"/>
    <x v="4"/>
    <x v="0"/>
  </r>
  <r>
    <x v="360"/>
    <s v="TESCO 44089 O NKISZOLG MARTONVASAR 1.717,00 HUF Vásárlás"/>
    <n v="-1717"/>
    <x v="3"/>
    <x v="4"/>
    <x v="0"/>
  </r>
  <r>
    <x v="360"/>
    <s v="OTPMOBL EON.HU BUDAPEST 11.176,00 HUF Vásárlás"/>
    <n v="-11176"/>
    <x v="0"/>
    <x v="11"/>
    <x v="0"/>
  </r>
  <r>
    <x v="360"/>
    <s v="OTPMOBL DIJNET.HU BUDAPEST 6.944,00 HUF Vásárlás"/>
    <n v="-6944"/>
    <x v="0"/>
    <x v="23"/>
    <x v="0"/>
  </r>
  <r>
    <x v="360"/>
    <s v="MVM NEXT ENERGIAK BUDAPEST 8.900,00 HUF Vásárlás"/>
    <n v="-8900"/>
    <x v="0"/>
    <x v="22"/>
    <x v="0"/>
  </r>
  <r>
    <x v="360"/>
    <s v="DM 311.SZ. BUDAORS 14.002,00 HUF Vásárlás"/>
    <n v="-14002"/>
    <x v="3"/>
    <x v="4"/>
    <x v="0"/>
  </r>
  <r>
    <x v="360"/>
    <s v="ALDI 156.SZ. BUDAORS 6.979,00 HUF Vásárlás"/>
    <n v="-6979"/>
    <x v="3"/>
    <x v="4"/>
    <x v="0"/>
  </r>
  <r>
    <x v="360"/>
    <s v="NETFLIX.COM 408-724-9160 3.490,00 HUF Vásárlás 8,97 EUR"/>
    <n v="-3490"/>
    <x v="0"/>
    <x v="7"/>
    <x v="0"/>
  </r>
  <r>
    <x v="360"/>
    <s v="TELEKOMSZAML 551736059 BUDAPEST 6.481,00 HUF Vásárlás 16,73 EUR"/>
    <n v="-6481"/>
    <x v="0"/>
    <x v="7"/>
    <x v="0"/>
  </r>
  <r>
    <x v="361"/>
    <s v="LGEMK (MARKASZERVIZ) BUDAPEST 8.325,00 HUF Vásárlás"/>
    <n v="-8325"/>
    <x v="3"/>
    <x v="31"/>
    <x v="0"/>
  </r>
  <r>
    <x v="361"/>
    <s v="KISKIFLI KAVEZO BUDAPEST 1.400,00 HUF Vásárlás"/>
    <n v="-1400"/>
    <x v="2"/>
    <x v="19"/>
    <x v="0"/>
  </r>
  <r>
    <x v="361"/>
    <s v="Zsu-Ann Kft. Budapest 2.790,00 HUF Vásárlás"/>
    <n v="-2790"/>
    <x v="2"/>
    <x v="2"/>
    <x v="0"/>
  </r>
  <r>
    <x v="362"/>
    <s v="HUN-Budaors LIDL 0349 Budaors Vásárlás(2023.01.24) Card:5444-0XXX-XX68-8737 MCC5411 HUN-Budaors LIDL 0349 Budaors 12.277,00 HUF Kártyatranzakció"/>
    <n v="-12277"/>
    <x v="3"/>
    <x v="4"/>
    <x v="0"/>
  </r>
  <r>
    <x v="363"/>
    <s v="UNIQA BIZTOSÍTÓ ZRT. ÉB.visszav 2029143"/>
    <n v="-128908"/>
    <x v="1"/>
    <x v="49"/>
    <x v="7"/>
  </r>
  <r>
    <x v="363"/>
    <s v="UNIQA BIZTOSÍTÓ ZRT. ÉB.visszav 2029143"/>
    <n v="123281"/>
    <x v="1"/>
    <x v="49"/>
    <x v="0"/>
  </r>
  <r>
    <x v="363"/>
    <s v="UNIQA BIZTOSÍTÓ ZRT. ÉB.visszav 2029139"/>
    <n v="2455"/>
    <x v="1"/>
    <x v="49"/>
    <x v="0"/>
  </r>
  <r>
    <x v="363"/>
    <s v="UNIQA BIZTOSÍTÓ ZRT. ÉB.visszav 2029132"/>
    <n v="338"/>
    <x v="1"/>
    <x v="49"/>
    <x v="0"/>
  </r>
  <r>
    <x v="363"/>
    <s v="UNIQA BIZTOSÍTÓ ZRT. ÉB.visszav 2029137"/>
    <n v="2834"/>
    <x v="1"/>
    <x v="49"/>
    <x v="0"/>
  </r>
  <r>
    <x v="364"/>
    <s v="Burger King ÉRD"/>
    <n v="-6670"/>
    <x v="2"/>
    <x v="2"/>
    <x v="4"/>
  </r>
  <r>
    <x v="364"/>
    <s v="HUN-BUDAPEST BARIONP*BARION.COM/GUE Vásárlás(2023.01.19) Card:5444-0XXX-XX68-8737 MCC7299 HUN-BUDAPEST BARIONP*BARION.COM/GUE 7.000,00 HUF Kártyatranzakció"/>
    <n v="-7000"/>
    <x v="7"/>
    <x v="13"/>
    <x v="0"/>
  </r>
  <r>
    <x v="364"/>
    <s v="ALDI 22.SZ. ERD 18.620,00 HUF Vásárlás"/>
    <n v="-18620"/>
    <x v="3"/>
    <x v="4"/>
    <x v="0"/>
  </r>
  <r>
    <x v="364"/>
    <s v="DM 311.SZ. BUDAORS 6.297,00 HUF Vásárlás"/>
    <n v="-6297"/>
    <x v="3"/>
    <x v="4"/>
    <x v="0"/>
  </r>
  <r>
    <x v="364"/>
    <s v="LIDL ARUHAZ 0349.SZ. BUDAORS 18.253,00 HUF Vásárlás"/>
    <n v="-18253"/>
    <x v="3"/>
    <x v="4"/>
    <x v="0"/>
  </r>
  <r>
    <x v="364"/>
    <s v="PRAKTIKER 333. BUDAORS 2.036,00 HUF Vásárlás"/>
    <n v="-2036"/>
    <x v="0"/>
    <x v="6"/>
    <x v="0"/>
  </r>
  <r>
    <x v="365"/>
    <s v="Kemal Pasa Torok Et Budapest 4.100,00 HUF Vásárlás"/>
    <n v="-4100"/>
    <x v="2"/>
    <x v="2"/>
    <x v="0"/>
  </r>
  <r>
    <x v="365"/>
    <s v="Mazsa Nordik Kft. Budapest 1.876,00 HUF Vásárlás 4,75 EUR"/>
    <n v="-1876"/>
    <x v="3"/>
    <x v="4"/>
    <x v="0"/>
  </r>
  <r>
    <x v="366"/>
    <s v="OTPMOBL DIJNET.HU BUDAPEST 6.944,00 HUF Vásárlás"/>
    <n v="-6944"/>
    <x v="0"/>
    <x v="23"/>
    <x v="0"/>
  </r>
  <r>
    <x v="366"/>
    <s v="AUCHAN BUDAORS BUDAORS 6.387,00 HUF Vásárlás"/>
    <n v="-6387"/>
    <x v="3"/>
    <x v="4"/>
    <x v="0"/>
  </r>
  <r>
    <x v="366"/>
    <s v="Mazsa Nordik Kft. Budapest 999,00 HUF Vásárlás 2,51 EUR"/>
    <n v="-999"/>
    <x v="3"/>
    <x v="4"/>
    <x v="0"/>
  </r>
  <r>
    <x v="367"/>
    <s v="Kemal Pasa Torok Et Budapest 3.000,00 HUF Vásárlás"/>
    <n v="-3000"/>
    <x v="2"/>
    <x v="2"/>
    <x v="0"/>
  </r>
  <r>
    <x v="367"/>
    <s v="Mazsa Nordik Kft. Budapest 738,00 HUF Vásárlás 1,86 EUR"/>
    <n v="-738"/>
    <x v="3"/>
    <x v="4"/>
    <x v="0"/>
  </r>
  <r>
    <x v="368"/>
    <s v="LIDL ARUHAZ 0349.SZ. BUDAORS 13.619,00 HUF Vásárlás"/>
    <n v="-13619"/>
    <x v="3"/>
    <x v="4"/>
    <x v="0"/>
  </r>
  <r>
    <x v="368"/>
    <s v="TESCO 41520 BUDAORS 23.259,00 HUF Vásárlás"/>
    <n v="-23259"/>
    <x v="3"/>
    <x v="4"/>
    <x v="0"/>
  </r>
  <r>
    <x v="368"/>
    <s v="NAPSUGAR CUKRASZDA ERCSI 2.920,00 HUF Vásárlás"/>
    <n v="-2920"/>
    <x v="2"/>
    <x v="19"/>
    <x v="0"/>
  </r>
  <r>
    <x v="368"/>
    <s v="DM 311.SZ. BUDAORS 1.999,00 HUF Vásárlás"/>
    <n v="-1999"/>
    <x v="3"/>
    <x v="4"/>
    <x v="0"/>
  </r>
  <r>
    <x v="368"/>
    <s v="KISKIFLI KAVEZO BUDAPEST 1.340,00 HUF Vásárlás"/>
    <n v="-1340"/>
    <x v="2"/>
    <x v="19"/>
    <x v="0"/>
  </r>
  <r>
    <x v="368"/>
    <s v="Kemal Pasa Torok Et Budapest 2.100,00 HUF Vásárlás"/>
    <n v="-2100"/>
    <x v="2"/>
    <x v="2"/>
    <x v="0"/>
  </r>
  <r>
    <x v="368"/>
    <s v="DM 311.SZ. BUDAORS 794,00 HUF Vásárlás"/>
    <n v="-794"/>
    <x v="3"/>
    <x v="4"/>
    <x v="0"/>
  </r>
  <r>
    <x v="368"/>
    <s v="BUDAO RS BENZINKU'T AU BUDAORS 42.626,00 HUF Vásárlás"/>
    <n v="-42626"/>
    <x v="5"/>
    <x v="16"/>
    <x v="0"/>
  </r>
  <r>
    <x v="369"/>
    <s v="HUN-MARTONVASAR VIANNI U:ZLET Vásárlás(2023.01.11) Card:5444-0XXX-XX68-8737 MCC5399 HUN-MARTONVASAR VIANNI U:ZLET 1.100,00 HUF Kártyatranzakció"/>
    <n v="-1100"/>
    <x v="3"/>
    <x v="4"/>
    <x v="0"/>
  </r>
  <r>
    <x v="369"/>
    <s v="HUN-GARDONY CSASZI2020 KFT. Vásárlás(2023.01.11) Card:5444-0XXX-XX68-8737 MCC5411 HUN-GARDONY CSASZI2020 KFT. 2.213,00 HUF Kártyatranzakció"/>
    <n v="-2213"/>
    <x v="3"/>
    <x v="4"/>
    <x v="0"/>
  </r>
  <r>
    <x v="369"/>
    <s v="HUN-VELENCE VELENCE GYO'GYSZERTA'R Vásárlás(2023.01.11) Card:5444-0XXX-XX68-8737 MCC5912 HUN-VELENCE VELENCE GYO'GYSZERTA'R 2.479,00 HUF Kártyatranzakció"/>
    <n v="-2479"/>
    <x v="7"/>
    <x v="5"/>
    <x v="0"/>
  </r>
  <r>
    <x v="369"/>
    <s v="KISKIFLI KAVEZO BUDAPEST 1.340,00 HUF Vásárlás"/>
    <n v="-1340"/>
    <x v="2"/>
    <x v="19"/>
    <x v="0"/>
  </r>
  <r>
    <x v="369"/>
    <s v="Kemal Pasa Torok Et Budapest 2.000,00 HUF Vásárlás"/>
    <n v="-2000"/>
    <x v="2"/>
    <x v="2"/>
    <x v="0"/>
  </r>
  <r>
    <x v="369"/>
    <s v="MAGYAR ALLAMKINCSTAR BUDAPEST 992.166,00 HUF Vásárlás"/>
    <n v="992166"/>
    <x v="1"/>
    <x v="26"/>
    <x v="3"/>
  </r>
  <r>
    <x v="369"/>
    <s v="MAGYAR ALLAMKINCSTAR BUDAPEST 992.166,00 HUF Vásárlás"/>
    <n v="-992166"/>
    <x v="1"/>
    <x v="26"/>
    <x v="0"/>
  </r>
  <r>
    <x v="370"/>
    <s v="HUN-MARTONVASAR MARTON MARKET Vásárlás(2023.01.10) Card:5444-0XXX-XX68-8737 MCC5411 HUN-MARTONVASAR MARTON MARKET 3.525,00 HUF Kártyatranzakció"/>
    <n v="-3525"/>
    <x v="3"/>
    <x v="4"/>
    <x v="0"/>
  </r>
  <r>
    <x v="370"/>
    <s v="IKEA BUDAORS ETTEREM Budaors 5.210,00 HUF Vásárlás"/>
    <n v="-5210"/>
    <x v="2"/>
    <x v="2"/>
    <x v="0"/>
  </r>
  <r>
    <x v="370"/>
    <s v="IKEA BUDAORS UGYFE Budaors 7.160,00 HUF Vásárlás"/>
    <n v="-7160"/>
    <x v="3"/>
    <x v="8"/>
    <x v="0"/>
  </r>
  <r>
    <x v="371"/>
    <s v="PL:P/10JAN23 Tőkefizetés Hitel /21-41194/"/>
    <n v="-213180.87"/>
    <x v="0"/>
    <x v="21"/>
    <x v="0"/>
  </r>
  <r>
    <x v="371"/>
    <s v="MVM NEXT ENERGIAK BUDAPEST 8.880,00 HUF Vásárlás"/>
    <n v="-8880"/>
    <x v="0"/>
    <x v="22"/>
    <x v="0"/>
  </r>
  <r>
    <x v="371"/>
    <s v="MEDICINA PATIKA BUDAORS 8.049,00 HUF Vásárlás"/>
    <n v="-8049"/>
    <x v="7"/>
    <x v="5"/>
    <x v="0"/>
  </r>
  <r>
    <x v="371"/>
    <s v="LIDL ARUHAZ 0349.SZ. BUDAORS 13.259,00 HUF Vásárlás"/>
    <n v="-13259"/>
    <x v="3"/>
    <x v="4"/>
    <x v="0"/>
  </r>
  <r>
    <x v="371"/>
    <s v="JAGUAR LAND ROVER HUNGARY KFT. Munkaber utalasMunkabér"/>
    <n v="915670"/>
    <x v="4"/>
    <x v="20"/>
    <x v="0"/>
  </r>
  <r>
    <x v="371"/>
    <s v="PL:I/10JAN23 Kamatfizetés  Hitel /21-41194/"/>
    <n v="-48623.92"/>
    <x v="0"/>
    <x v="21"/>
    <x v="0"/>
  </r>
  <r>
    <x v="371"/>
    <s v="PL:P/10JAN23 Tőkefizetés Hitel /21-41194/"/>
    <n v="213180.87"/>
    <x v="0"/>
    <x v="21"/>
    <x v="1"/>
  </r>
  <r>
    <x v="372"/>
    <s v="HUN-BUDAPEST OTPMOBL*CSASZARVONAL.H Vásárlás(2023.01.06) Card:5444-0XXX-XX68-8737 MCC8099 HUN-BUDAPEST OTPMOBL*CSASZARVONAL.H 8.990,00 HUF Kártyatranzakció"/>
    <n v="-8990"/>
    <x v="7"/>
    <x v="13"/>
    <x v="0"/>
  </r>
  <r>
    <x v="372"/>
    <s v="MOUNTEX PRESSZO BUDAORS 1.550,00 HUF Vásárlás"/>
    <n v="-1550"/>
    <x v="2"/>
    <x v="19"/>
    <x v="0"/>
  </r>
  <r>
    <x v="372"/>
    <s v="TESCO 44089 MARTONVASAR 1.977,00 HUF Vásárlás"/>
    <n v="-1977"/>
    <x v="3"/>
    <x v="4"/>
    <x v="0"/>
  </r>
  <r>
    <x v="372"/>
    <s v="ALDI 156.SZ. BUDAORS 2.647,00 HUF Vásárlás"/>
    <n v="-2647"/>
    <x v="3"/>
    <x v="4"/>
    <x v="0"/>
  </r>
  <r>
    <x v="373"/>
    <s v="10918001-00000097-08110006 GENERALI EGÉSZSÉG ÉS ÖNSEGÉLYEZŐ PÉ ÖSP/8881/3104 Bejövő Forint Átutalás"/>
    <n v="-560000"/>
    <x v="1"/>
    <x v="50"/>
    <x v="8"/>
  </r>
  <r>
    <x v="373"/>
    <s v="10918001-00000097-08110006 GENERALI EGÉSZSÉG ÉS ÖNSEGÉLYEZŐ PÉ ÖSP/8881/3104 Bejövő Forint Átutalás"/>
    <n v="560000"/>
    <x v="1"/>
    <x v="50"/>
    <x v="0"/>
  </r>
  <r>
    <x v="373"/>
    <s v="HUN-BUDAPEST OTPMOBL*HERBAFERM.HU Vásárlás(2023.01.04) Card:5444-0XXX-XX68-8737 MCC5499 HUN-BUDAPEST OTPMOBL*HERBAFERM.HU 19.050,00 HUF Kártyatranzakció"/>
    <n v="-19050"/>
    <x v="7"/>
    <x v="14"/>
    <x v="0"/>
  </r>
  <r>
    <x v="373"/>
    <s v="HUN-BUDAPEST BARIONP*BARION.COM/GUE Vásárlás(2023.01.04) Card:5444-0XXX-XX68-8737 MCC7299 HUN-BUDAPEST BARIONP*BARION.COM/GUE 39.900,00 HUF Kártyatranzakció"/>
    <n v="-39900"/>
    <x v="7"/>
    <x v="13"/>
    <x v="0"/>
  </r>
  <r>
    <x v="373"/>
    <s v="BRENDON BABAARUHAZ BUDAORS 1.999,00 HUF Vásárlás"/>
    <n v="-1999"/>
    <x v="3"/>
    <x v="3"/>
    <x v="0"/>
  </r>
  <r>
    <x v="373"/>
    <s v="GENERALI EGÉSZSÉG ÉS ÖNSEGÉLYEZŐ PÉ ÖSP/8874/3104, A181777962023010 62386000190, 72763"/>
    <n v="-830000"/>
    <x v="1"/>
    <x v="50"/>
    <x v="8"/>
  </r>
  <r>
    <x v="373"/>
    <s v="GENERALI EGÉSZSÉG ÉS ÖNSEGÉLYEZŐ PÉ ÖSP/8874/3104, A181777962023010 62386000190, 72763"/>
    <n v="830000"/>
    <x v="1"/>
    <x v="50"/>
    <x v="0"/>
  </r>
  <r>
    <x v="374"/>
    <s v="Cr Forgalmi kedvezmény"/>
    <n v="1672"/>
    <x v="1"/>
    <x v="1"/>
    <x v="0"/>
  </r>
  <r>
    <x v="375"/>
    <s v="10032000-00282637-00000000 OKTATÁSI HIVATAL MUNKABÉR UTALÁS Bejövő Forint Átutalás"/>
    <n v="396690"/>
    <x v="4"/>
    <x v="20"/>
    <x v="0"/>
  </r>
  <r>
    <x v="375"/>
    <s v="LIDL ARUHAZ 0349.SZ. BUDAORS 24.221,00 HUF Vásárlás"/>
    <n v="-24221"/>
    <x v="3"/>
    <x v="4"/>
    <x v="0"/>
  </r>
  <r>
    <x v="376"/>
    <s v="HUN-BUDAORS MEDICINA PATIKA Vásárlás(2022.12.29) Card:5444-0XXX-XX68-8737 MCC5912 HUN-BUDAORS MEDICINA PATIKA 8.437,00 HUF Kártyatranzakció"/>
    <n v="-8437"/>
    <x v="7"/>
    <x v="5"/>
    <x v="0"/>
  </r>
  <r>
    <x v="376"/>
    <s v="HUN-BUDAKESZI WWW.MMATCHA.HU Vásárlás(2022.12.31) Card:5444-0XXX-XX68-8737 MCC5499 HUN-BUDAKESZI WWW.MMATCHA.HU 8.480,00 HUF Kártyatranzakció"/>
    <n v="-8480"/>
    <x v="7"/>
    <x v="14"/>
    <x v="0"/>
  </r>
  <r>
    <x v="376"/>
    <s v="Kamatadó"/>
    <n v="-2.2"/>
    <x v="1"/>
    <x v="34"/>
    <x v="0"/>
  </r>
  <r>
    <x v="376"/>
    <s v="TESCO 44089 O NKISZOLG MARTONVASAR 619,00 HUF Vásárlás"/>
    <n v="-619"/>
    <x v="3"/>
    <x v="4"/>
    <x v="0"/>
  </r>
  <r>
    <x v="376"/>
    <s v="LIDL ARUHAZ 0349.SZ. BUDAORS 8.748,00 HUF Vásárlás"/>
    <n v="-8748"/>
    <x v="3"/>
    <x v="4"/>
    <x v="0"/>
  </r>
  <r>
    <x v="376"/>
    <s v="PRAKTIKER 333. BUDAORS 3.491,00 HUF Vásárlás"/>
    <n v="-3491"/>
    <x v="0"/>
    <x v="6"/>
    <x v="0"/>
  </r>
  <r>
    <x v="376"/>
    <s v="Kamat"/>
    <n v="14.66"/>
    <x v="1"/>
    <x v="34"/>
    <x v="0"/>
  </r>
  <r>
    <x v="377"/>
    <s v="Int.Appl. to   31/12/22"/>
    <n v="42.07"/>
    <x v="1"/>
    <x v="1"/>
    <x v="0"/>
  </r>
  <r>
    <x v="377"/>
    <s v="CRT to         31/12/22"/>
    <n v="-6.31"/>
    <x v="1"/>
    <x v="1"/>
    <x v="0"/>
  </r>
  <r>
    <x v="377"/>
    <s v="Havi zárlati díj"/>
    <n v="-1941"/>
    <x v="1"/>
    <x v="1"/>
    <x v="0"/>
  </r>
  <r>
    <x v="377"/>
    <s v="Matcha"/>
    <n v="-8480"/>
    <x v="7"/>
    <x v="14"/>
    <x v="0"/>
  </r>
  <r>
    <x v="377"/>
    <s v="TESCO 44089 O NKISZOLG MARTONVASAR TRAN IDEJE 20221231 114954 TRAN ÖSSZEG 619.00 HUF"/>
    <n v="-619"/>
    <x v="3"/>
    <x v="4"/>
    <x v="0"/>
  </r>
  <r>
    <x v="378"/>
    <s v="5444 XXXX XXXX 8737 / null"/>
    <n v="-8437"/>
    <x v="7"/>
    <x v="5"/>
    <x v="0"/>
  </r>
  <r>
    <x v="378"/>
    <s v="HUN-BUDAORS MEDICINA PATIKA Vásárlás(2022.12.27) Card:5444-0XXX-XX68-8737 MCC5912 HUN-BUDAORS MEDICINA PATIKA 16.604,00 HUF Kártyatranzakció"/>
    <n v="-16604"/>
    <x v="7"/>
    <x v="5"/>
    <x v="0"/>
  </r>
  <r>
    <x v="378"/>
    <s v="LIDL ARUHAZ 0349.SZ. BUDAORS TRAN IDEJE 20221229 121236 TRAN ÖSSZEG 8,748.00 HUF"/>
    <n v="-8748"/>
    <x v="3"/>
    <x v="4"/>
    <x v="0"/>
  </r>
  <r>
    <x v="378"/>
    <s v="PRAKTIKER 333. BUDAORS TRAN IDEJE 20221229 123703 TRAN ÖSSZEG 3,491.00 HUF"/>
    <n v="-3491"/>
    <x v="0"/>
    <x v="6"/>
    <x v="0"/>
  </r>
  <r>
    <x v="378"/>
    <s v="LIPO'TI PE'KSE'G E'S K SALGOTARJAN 1.340,00 HUF Vásárlás"/>
    <n v="-1340"/>
    <x v="3"/>
    <x v="4"/>
    <x v="0"/>
  </r>
  <r>
    <x v="379"/>
    <s v="DM 173 ERD 5.325,00 HUF Vásárlás"/>
    <n v="-5325"/>
    <x v="3"/>
    <x v="4"/>
    <x v="0"/>
  </r>
  <r>
    <x v="379"/>
    <s v="HUN-Budaors LIDL 0349 Buda?rs Vásárlás(2022.12.27) Card:5444-0XXX-XX68-8737 MCC5411 HUN-Budaors LIDL 0349 Buda?rs 4.727,00 HUF Kártyatranzakció"/>
    <n v="-4727"/>
    <x v="3"/>
    <x v="4"/>
    <x v="0"/>
  </r>
  <r>
    <x v="379"/>
    <s v="NETFLIX.COM 408-724-9160 3.490,00 HUF Vásárlás 8,69 EUR"/>
    <n v="-3490"/>
    <x v="0"/>
    <x v="7"/>
    <x v="0"/>
  </r>
  <r>
    <x v="379"/>
    <s v="Czuprik Györgyné - - -"/>
    <n v="-10000"/>
    <x v="3"/>
    <x v="4"/>
    <x v="0"/>
  </r>
  <r>
    <x v="380"/>
    <s v="127.COOP SZUPER 1. MARTONVASAR 4.366,00 HUF Vásárlás"/>
    <n v="-4366"/>
    <x v="3"/>
    <x v="4"/>
    <x v="0"/>
  </r>
  <r>
    <x v="380"/>
    <s v="TESCO 44089 O NKISZOLG MARTONVASAR 1.099,00 HUF Vásárlás"/>
    <n v="-1099"/>
    <x v="3"/>
    <x v="4"/>
    <x v="0"/>
  </r>
  <r>
    <x v="380"/>
    <s v="TESCO 44089 O NKISZOLG MARTONVASAR 4.095,00 HUF Vásárlás"/>
    <n v="-4095"/>
    <x v="3"/>
    <x v="4"/>
    <x v="0"/>
  </r>
  <r>
    <x v="380"/>
    <s v="VELUXSHOP.HU Budapest 67.598,00 HUF Vásárlás"/>
    <n v="-67598"/>
    <x v="0"/>
    <x v="6"/>
    <x v="0"/>
  </r>
  <r>
    <x v="381"/>
    <s v="DM 311.SZ. BUDAORS 8.913,00 HUF Vásárlás"/>
    <n v="-8913"/>
    <x v="3"/>
    <x v="4"/>
    <x v="0"/>
  </r>
  <r>
    <x v="381"/>
    <s v="LIDL ARUHAZ 0349.SZ. BUDAORS 15.061,00 HUF Vásárlás"/>
    <n v="-15061"/>
    <x v="3"/>
    <x v="4"/>
    <x v="0"/>
  </r>
  <r>
    <x v="381"/>
    <s v="TESCO 44089 MARTONVASAR 329,00 HUF Vásárlás"/>
    <n v="-329"/>
    <x v="3"/>
    <x v="4"/>
    <x v="0"/>
  </r>
  <r>
    <x v="382"/>
    <s v="BRENDON BABAARUHAZ BUDAORS 14.806,00 HUF Vásárlás"/>
    <n v="-14806"/>
    <x v="3"/>
    <x v="3"/>
    <x v="0"/>
  </r>
  <r>
    <x v="383"/>
    <s v="JAGUAR LAND ROVER HUNGARY KFT."/>
    <n v="7670"/>
    <x v="4"/>
    <x v="20"/>
    <x v="4"/>
  </r>
  <r>
    <x v="383"/>
    <s v="JAGUAR LAND ROVER HUNGARY KFT."/>
    <n v="24937"/>
    <x v="4"/>
    <x v="20"/>
    <x v="4"/>
  </r>
  <r>
    <x v="383"/>
    <s v="TESCO 44089 O NKISZOLG MARTONVASAR 699,00 HUF Vásárlás"/>
    <n v="-699"/>
    <x v="3"/>
    <x v="4"/>
    <x v="0"/>
  </r>
  <r>
    <x v="383"/>
    <s v="S.A. Auto Szervíz Kft 2022/0358"/>
    <n v="-71876"/>
    <x v="5"/>
    <x v="36"/>
    <x v="0"/>
  </r>
  <r>
    <x v="384"/>
    <s v="10918001-00000083-47290003 KARSAINÉ GASSER MÁRIA Kimenő azonnali megbízás"/>
    <n v="-20000"/>
    <x v="3"/>
    <x v="4"/>
    <x v="0"/>
  </r>
  <r>
    <x v="384"/>
    <s v="OTPMOBL EON.HU BUDAPEST 5.588,00 HUF Vásárlás"/>
    <n v="-5588"/>
    <x v="0"/>
    <x v="11"/>
    <x v="0"/>
  </r>
  <r>
    <x v="384"/>
    <s v="SZENT KERESZT GYO'GYSZ RACKERESZTUR 4.790,00 HUF Vásárlás"/>
    <n v="-4790"/>
    <x v="7"/>
    <x v="5"/>
    <x v="0"/>
  </r>
  <r>
    <x v="384"/>
    <s v="ALDI 156.SZ. BUDAORS 1.548,00 HUF Vásárlás"/>
    <n v="-1548"/>
    <x v="3"/>
    <x v="4"/>
    <x v="0"/>
  </r>
  <r>
    <x v="384"/>
    <s v="ALDI 156.SZ. BUDAORS 699,00 HUF Vásárlás"/>
    <n v="-699"/>
    <x v="3"/>
    <x v="4"/>
    <x v="0"/>
  </r>
  <r>
    <x v="384"/>
    <s v="ALDI 3.SZ. BUDAORS 10.992,00 HUF Vásárlás"/>
    <n v="-10992"/>
    <x v="3"/>
    <x v="4"/>
    <x v="0"/>
  </r>
  <r>
    <x v="384"/>
    <s v="TESCO 41520 BUDAORS 4.326,00 HUF Vásárlás"/>
    <n v="-4326"/>
    <x v="3"/>
    <x v="4"/>
    <x v="0"/>
  </r>
  <r>
    <x v="384"/>
    <s v="OBI 010 BUDAORS 9.198,00 HUF Vásárlás"/>
    <n v="-9198"/>
    <x v="0"/>
    <x v="6"/>
    <x v="0"/>
  </r>
  <r>
    <x v="384"/>
    <s v="Medicz Gyogyszertar Martonvasar 5.091,00 HUF Vásárlás 12,53 EUR"/>
    <n v="-5091"/>
    <x v="7"/>
    <x v="5"/>
    <x v="0"/>
  </r>
  <r>
    <x v="384"/>
    <s v="czuprikgergely _"/>
    <n v="-41"/>
    <x v="1"/>
    <x v="1"/>
    <x v="0"/>
  </r>
  <r>
    <x v="385"/>
    <s v="Burger King Budaörs"/>
    <n v="-5830"/>
    <x v="2"/>
    <x v="2"/>
    <x v="4"/>
  </r>
  <r>
    <x v="385"/>
    <s v="HUN-MARTONVASAR MARTON KLINIK Vásárlás(2022.12.16) Card:5444-0XXX-XX68-8737 MCC8099 HUN-MARTONVASAR MARTON KLINIK 10.110,00 HUF Kártyatranzakció"/>
    <n v="-10110"/>
    <x v="7"/>
    <x v="17"/>
    <x v="0"/>
  </r>
  <r>
    <x v="385"/>
    <s v="MEDICINA PATIKA BUDAORS 2.845,00 HUF Vásárlás"/>
    <n v="-2845"/>
    <x v="7"/>
    <x v="5"/>
    <x v="0"/>
  </r>
  <r>
    <x v="385"/>
    <s v="VIANNI U ZLET MARTONVASAR 1.270,00 HUF Vásárlás"/>
    <n v="-1270"/>
    <x v="3"/>
    <x v="4"/>
    <x v="0"/>
  </r>
  <r>
    <x v="385"/>
    <s v="MEDICINA PATIKA BUDAORS 5.237,00 HUF Vásárlás"/>
    <n v="-5237"/>
    <x v="7"/>
    <x v="5"/>
    <x v="0"/>
  </r>
  <r>
    <x v="385"/>
    <s v="TELEKOMSZAML 541692217 BUDAPEST 7.080,00 HUF Vásárlás 17,42 EUR"/>
    <n v="-7080"/>
    <x v="0"/>
    <x v="7"/>
    <x v="0"/>
  </r>
  <r>
    <x v="386"/>
    <s v="HUN-Martonvasar Medicz Gyogyszertar Vásárlás(2022.12.14) Card:5444-0XXX-XX68-8737 MCC5912 HUN-Martonvasar Medicz Gyogyszertar 3.035,00 HUF Kártyatranzakció"/>
    <n v="-3035"/>
    <x v="7"/>
    <x v="5"/>
    <x v="0"/>
  </r>
  <r>
    <x v="386"/>
    <s v="HUN-MARTONVASAR MARTON KLINIK Vásárlás(2022.12.14) Card:5444-0XXX-XX68-8737 MCC8099 HUN-MARTONVASAR MARTON KLINIK 22.000,00 HUF Kártyatranzakció"/>
    <n v="-22000"/>
    <x v="7"/>
    <x v="17"/>
    <x v="0"/>
  </r>
  <r>
    <x v="386"/>
    <s v="POLLACK GARAZS BUDAPEST 1.000,00 HUF Vásárlás"/>
    <n v="-1000"/>
    <x v="5"/>
    <x v="9"/>
    <x v="0"/>
  </r>
  <r>
    <x v="386"/>
    <s v="Sörsajt Kft. Budapest 7.205,00 HUF Vásárlás"/>
    <n v="-7205"/>
    <x v="6"/>
    <x v="40"/>
    <x v="0"/>
  </r>
  <r>
    <x v="387"/>
    <s v="HUN-BICSKE GLS D120 DEPO' Vásárlás(2022.12.13) Card:5444-0XXX-XX68-8737 MCC4214 HUN-BICSKE GLS D120 DEPO' 17.090,00 HUF Kártyatranzakció"/>
    <n v="-17090"/>
    <x v="3"/>
    <x v="4"/>
    <x v="0"/>
  </r>
  <r>
    <x v="387"/>
    <s v="ALDI 156.SZ. BUDAORS 4.943,00 HUF Vásárlás"/>
    <n v="-4943"/>
    <x v="3"/>
    <x v="4"/>
    <x v="0"/>
  </r>
  <r>
    <x v="387"/>
    <s v="DM 311.SZ. BUDAORS 6.543,00 HUF Vásárlás"/>
    <n v="-6543"/>
    <x v="3"/>
    <x v="4"/>
    <x v="0"/>
  </r>
  <r>
    <x v="387"/>
    <s v="BUDAO RS BENZINKU'T AU BUDAORS 40.000,00 HUF Vásárlás"/>
    <n v="-40000"/>
    <x v="5"/>
    <x v="16"/>
    <x v="0"/>
  </r>
  <r>
    <x v="387"/>
    <s v="BRENDON BABAARUHAZ BUDAORS 7.497,00 HUF Vásárlás"/>
    <n v="-7497"/>
    <x v="3"/>
    <x v="3"/>
    <x v="0"/>
  </r>
  <r>
    <x v="387"/>
    <s v="TESCO 41520 BUDAORS 249,00 HUF Vásárlás"/>
    <n v="-249"/>
    <x v="3"/>
    <x v="4"/>
    <x v="0"/>
  </r>
  <r>
    <x v="387"/>
    <s v="MEDICINA PATIKA BUDAORS 5.431,00 HUF Vásárlás"/>
    <n v="-5431"/>
    <x v="7"/>
    <x v="5"/>
    <x v="0"/>
  </r>
  <r>
    <x v="388"/>
    <s v="Kemal Pasa"/>
    <n v="-2400"/>
    <x v="2"/>
    <x v="2"/>
    <x v="4"/>
  </r>
  <r>
    <x v="388"/>
    <s v="KFC Budaörs DT"/>
    <n v="-2430"/>
    <x v="2"/>
    <x v="2"/>
    <x v="4"/>
  </r>
  <r>
    <x v="388"/>
    <s v="HUN-Martonvasar MEDICZ PATIKA Vásárlás(2022.12.12) Card:5444-0XXX-XX68-8737 MCC5912 HUN-Martonvasar MEDICZ PATIKA 5.900,00 HUF Kártyatranzakció"/>
    <n v="-5900"/>
    <x v="7"/>
    <x v="5"/>
    <x v="0"/>
  </r>
  <r>
    <x v="388"/>
    <s v="GBR-Manchester myprotein Vásárlás(2022.12.13) Card:5444-0XXX-XX68-8737 MCC5499 GBR-Manchester myprotein 8.080,00 HUF Kártyatranzakció"/>
    <n v="-8080"/>
    <x v="7"/>
    <x v="14"/>
    <x v="0"/>
  </r>
  <r>
    <x v="388"/>
    <s v="KISKIFLI KAVEZO BUDAPEST 1.480,00 HUF Vásárlás"/>
    <n v="-1480"/>
    <x v="2"/>
    <x v="2"/>
    <x v="0"/>
  </r>
  <r>
    <x v="389"/>
    <s v="AUTOMATA TO LTO'A'LLOM KAPOLNASNYEK 19.693,00 HUF Vásárlás"/>
    <n v="-19693"/>
    <x v="5"/>
    <x v="16"/>
    <x v="0"/>
  </r>
  <r>
    <x v="389"/>
    <s v="BRENDON BABAARUHAZ BUDAORS 24.876,00 HUF Vásárlás"/>
    <n v="-24876"/>
    <x v="3"/>
    <x v="3"/>
    <x v="0"/>
  </r>
  <r>
    <x v="389"/>
    <s v="ALDI 156.SZ. BUDAORS 9.288,00 HUF Vásárlás"/>
    <n v="-9288"/>
    <x v="3"/>
    <x v="4"/>
    <x v="0"/>
  </r>
  <r>
    <x v="389"/>
    <s v="LIDL ARUHAZ 0349.SZ. BUDAORS 12.371,00 HUF Vásárlás"/>
    <n v="-12371"/>
    <x v="3"/>
    <x v="4"/>
    <x v="0"/>
  </r>
  <r>
    <x v="390"/>
    <s v="PL:P/10DEC22 Tőkefizetés Hitel /21-41194/"/>
    <n v="-214327.87"/>
    <x v="0"/>
    <x v="21"/>
    <x v="0"/>
  </r>
  <r>
    <x v="390"/>
    <s v="Burger King Budaörs"/>
    <n v="-5750"/>
    <x v="2"/>
    <x v="2"/>
    <x v="4"/>
  </r>
  <r>
    <x v="390"/>
    <s v="PL:I/10DEC22 Kamatfizetés  Hitel /21-41194/"/>
    <n v="-47476.92"/>
    <x v="0"/>
    <x v="21"/>
    <x v="0"/>
  </r>
  <r>
    <x v="390"/>
    <s v="PL:P/10DEC22 Tőkefizetés Hitel /21-41194/"/>
    <n v="214327.87"/>
    <x v="0"/>
    <x v="21"/>
    <x v="1"/>
  </r>
  <r>
    <x v="391"/>
    <s v="Kemal Pasa Torok Et Budapest 2.100,00 HUF Vásárlás"/>
    <n v="-2100"/>
    <x v="2"/>
    <x v="2"/>
    <x v="0"/>
  </r>
  <r>
    <x v="391"/>
    <s v="Mazsa Nordik Kft. Budapest 949,00 HUF Vásárlás 2,31 EUR"/>
    <n v="-949"/>
    <x v="3"/>
    <x v="4"/>
    <x v="0"/>
  </r>
  <r>
    <x v="391"/>
    <s v="JAGUAR LAND ROVER HUNGARY KFT. Munkaber utalasMunkabér"/>
    <n v="911829"/>
    <x v="4"/>
    <x v="20"/>
    <x v="0"/>
  </r>
  <r>
    <x v="392"/>
    <s v="OTPMOBL EON.HU BUDAPEST 5.588,00 HUF Vásárlás"/>
    <n v="-5588"/>
    <x v="0"/>
    <x v="11"/>
    <x v="0"/>
  </r>
  <r>
    <x v="392"/>
    <s v="OTPMOBL DIJNET.HU BUDAPEST 6.944,00 HUF Vásárlás"/>
    <n v="-6944"/>
    <x v="0"/>
    <x v="23"/>
    <x v="0"/>
  </r>
  <r>
    <x v="392"/>
    <s v="ALDI 156.SZ. BUDAORS 1.222,00 HUF Vásárlás"/>
    <n v="-1222"/>
    <x v="3"/>
    <x v="4"/>
    <x v="0"/>
  </r>
  <r>
    <x v="392"/>
    <s v="KISKIFLI KAVEZO BUDAPEST 2.290,00 HUF Vásárlás"/>
    <n v="-2290"/>
    <x v="2"/>
    <x v="19"/>
    <x v="0"/>
  </r>
  <r>
    <x v="392"/>
    <s v="KISKIFLI KAVEZO BUDAPEST 1.340,00 HUF Vásárlás"/>
    <n v="-1340"/>
    <x v="2"/>
    <x v="19"/>
    <x v="0"/>
  </r>
  <r>
    <x v="392"/>
    <s v="MVM NEXT ENERGIAK BUDAPEST 8.880,00 HUF Vásárlás"/>
    <n v="-8880"/>
    <x v="0"/>
    <x v="22"/>
    <x v="0"/>
  </r>
  <r>
    <x v="392"/>
    <s v="ROSSMANN 260 BUDAORS 1.799,00 HUF Vásárlás"/>
    <n v="-1799"/>
    <x v="3"/>
    <x v="4"/>
    <x v="0"/>
  </r>
  <r>
    <x v="392"/>
    <s v="ALDI 156.SZ. BUDAORS 9.000,00 HUF Vásárlás"/>
    <n v="-9000"/>
    <x v="3"/>
    <x v="4"/>
    <x v="0"/>
  </r>
  <r>
    <x v="392"/>
    <s v="DM 311.SZ. BUDAORS 1.767,00 HUF Vásárlás"/>
    <n v="-1767"/>
    <x v="3"/>
    <x v="4"/>
    <x v="0"/>
  </r>
  <r>
    <x v="392"/>
    <s v="DM 311.SZ. BUDAORS 2.797,00 HUF Vásárlás"/>
    <n v="-2797"/>
    <x v="3"/>
    <x v="4"/>
    <x v="0"/>
  </r>
  <r>
    <x v="392"/>
    <s v="TESCO 41520 O NKISZOLG BUDAORS 1.720,00 HUF Vásárlás"/>
    <n v="-1720"/>
    <x v="3"/>
    <x v="4"/>
    <x v="0"/>
  </r>
  <r>
    <x v="393"/>
    <s v="ZSU-ANN Étkezde"/>
    <n v="-2790"/>
    <x v="2"/>
    <x v="2"/>
    <x v="4"/>
  </r>
  <r>
    <x v="393"/>
    <s v="KISKIFLI KAVEZO BUDAPEST 1.340,00 HUF Vásárlás"/>
    <n v="-1340"/>
    <x v="2"/>
    <x v="19"/>
    <x v="0"/>
  </r>
  <r>
    <x v="393"/>
    <s v="TELEKOMSZAML 537620595 BUDAPEST 6.481,00 HUF Vásárlás 15,67 EUR"/>
    <n v="-6481"/>
    <x v="0"/>
    <x v="7"/>
    <x v="0"/>
  </r>
  <r>
    <x v="394"/>
    <s v="10400126-86767867-84511000 Minya Gergely Johanna fotók Kimenő azonnali megbízás"/>
    <n v="-19000"/>
    <x v="3"/>
    <x v="3"/>
    <x v="0"/>
  </r>
  <r>
    <x v="395"/>
    <s v="HUN-BUDAPEST OTPMOBL*HERBAFERM.HU Vásárlás(2022.12.03) Card:5444-0XXX-XX68-8737 MCC5499 HUN-BUDAPEST OTPMOBL*HERBAFERM.HU 7.240,00 HUF Kártyatranzakció"/>
    <n v="-7240"/>
    <x v="7"/>
    <x v="14"/>
    <x v="0"/>
  </r>
  <r>
    <x v="395"/>
    <s v="LIDL ARUHAZ 0349.SZ. BUDAORS 7.151,00 HUF Vásárlás"/>
    <n v="-7151"/>
    <x v="3"/>
    <x v="4"/>
    <x v="0"/>
  </r>
  <r>
    <x v="395"/>
    <s v="VIANNI U ZLET MARTONVASAR 880,00 HUF Vásárlás"/>
    <n v="-880"/>
    <x v="3"/>
    <x v="4"/>
    <x v="0"/>
  </r>
  <r>
    <x v="396"/>
    <s v="Burger King Budaörs"/>
    <n v="-2580"/>
    <x v="2"/>
    <x v="2"/>
    <x v="4"/>
  </r>
  <r>
    <x v="396"/>
    <s v="Cr Forgalmi kedvezmény"/>
    <n v="1672"/>
    <x v="1"/>
    <x v="1"/>
    <x v="0"/>
  </r>
  <r>
    <x v="396"/>
    <s v="10700691-61570722-51100005 Barabás Anna 2022-140 Kimenő azonnali megbízás"/>
    <n v="-15000"/>
    <x v="7"/>
    <x v="17"/>
    <x v="0"/>
  </r>
  <r>
    <x v="397"/>
    <s v="10032000-00282637-00000000 OKTATÁSI HIVATAL MUNKABÉR UTALÁS Bejövő Forint Átutalás"/>
    <n v="383890"/>
    <x v="4"/>
    <x v="20"/>
    <x v="0"/>
  </r>
  <r>
    <x v="398"/>
    <s v="10032000-00282637-00000000 OKTATÁSI HIVATAL MUNKABÉR UTALÁS Bejövő Forint Átutalás"/>
    <n v="64631"/>
    <x v="4"/>
    <x v="20"/>
    <x v="0"/>
  </r>
  <r>
    <x v="398"/>
    <s v="TESCO 44089 O NKISZOLG MARTONVASAR 758,00 HUF Vásárlás"/>
    <n v="-758"/>
    <x v="3"/>
    <x v="4"/>
    <x v="0"/>
  </r>
  <r>
    <x v="398"/>
    <s v="Paris Attila - - -"/>
    <n v="-1500"/>
    <x v="3"/>
    <x v="3"/>
    <x v="0"/>
  </r>
  <r>
    <x v="399"/>
    <s v="Havi zárlati díj"/>
    <n v="-1941"/>
    <x v="1"/>
    <x v="1"/>
    <x v="0"/>
  </r>
  <r>
    <x v="399"/>
    <s v="MEDICINA PATIKA BUDAORS 11.113,00 HUF Vásárlás"/>
    <n v="-11113"/>
    <x v="7"/>
    <x v="5"/>
    <x v="0"/>
  </r>
  <r>
    <x v="399"/>
    <s v="BAKERS PIZZA BUDAPEST 649,00 HUF Vásárlás"/>
    <n v="-649"/>
    <x v="2"/>
    <x v="2"/>
    <x v="0"/>
  </r>
  <r>
    <x v="399"/>
    <s v="LIDL ARUHAZ 0349.SZ. BUDAORS 12.426,00 HUF Vásárlás"/>
    <n v="-12426"/>
    <x v="3"/>
    <x v="4"/>
    <x v="0"/>
  </r>
  <r>
    <x v="399"/>
    <s v="OTPMOBL VIMPAY.MAV-STA BUDAPEST 224,00 HUF Vásárlás"/>
    <n v="-224"/>
    <x v="5"/>
    <x v="28"/>
    <x v="0"/>
  </r>
  <r>
    <x v="399"/>
    <s v="SIMPLE MOBILJEGY BUDAPEST 350,00 HUF Vásárlás"/>
    <n v="-350"/>
    <x v="5"/>
    <x v="28"/>
    <x v="0"/>
  </r>
  <r>
    <x v="399"/>
    <s v="TESCO 41520 O NKISZOLG BUDAORS 12.410,00 HUF Vásárlás"/>
    <n v="-12410"/>
    <x v="3"/>
    <x v="4"/>
    <x v="0"/>
  </r>
  <r>
    <x v="400"/>
    <s v="ALDI 156.SZ. BUDAORS 828,00 HUF Vásárlás"/>
    <n v="-828"/>
    <x v="3"/>
    <x v="4"/>
    <x v="0"/>
  </r>
  <r>
    <x v="400"/>
    <s v="AUCHAN BUDAORS BUDAORS 5.980,00 HUF Vásárlás"/>
    <n v="-5980"/>
    <x v="3"/>
    <x v="4"/>
    <x v="0"/>
  </r>
  <r>
    <x v="400"/>
    <s v="BARKACSBOLT MARTONVASAR 2.860,00 HUF Vásárlás"/>
    <n v="-2860"/>
    <x v="0"/>
    <x v="6"/>
    <x v="0"/>
  </r>
  <r>
    <x v="400"/>
    <s v="APPLE.COM/BILL 0680983435 6.990,00 HUF Vásárlás 16,99 EUR"/>
    <n v="-6990"/>
    <x v="3"/>
    <x v="3"/>
    <x v="0"/>
  </r>
  <r>
    <x v="401"/>
    <s v="Burger King Budaörs"/>
    <n v="-2770"/>
    <x v="2"/>
    <x v="2"/>
    <x v="4"/>
  </r>
  <r>
    <x v="401"/>
    <s v="GBR-Manchester myprotein Vásárlás(2022.11.24) Card:5444-0XXX-XX68-8737 MCC5499 GBR-Manchester myprotein 9.506,00 HUF Kártyatranzakció"/>
    <n v="-9506"/>
    <x v="7"/>
    <x v="14"/>
    <x v="0"/>
  </r>
  <r>
    <x v="401"/>
    <s v="LIDL ARUHAZ 0349.SZ. BUDAORS 2.472,00 HUF Vásárlás"/>
    <n v="-2472"/>
    <x v="3"/>
    <x v="4"/>
    <x v="0"/>
  </r>
  <r>
    <x v="401"/>
    <s v="MARTON MARKET MARTONVASAR 3.616,00 HUF Vásárlás"/>
    <n v="-3616"/>
    <x v="3"/>
    <x v="4"/>
    <x v="0"/>
  </r>
  <r>
    <x v="401"/>
    <s v="BARKACSBOLT MARTONVASAR 850,00 HUF Vásárlás"/>
    <n v="-850"/>
    <x v="0"/>
    <x v="6"/>
    <x v="0"/>
  </r>
  <r>
    <x v="401"/>
    <s v="BARKACSBOLT MARTONVASAR 1.690,00 HUF Vásárlás"/>
    <n v="-1690"/>
    <x v="0"/>
    <x v="6"/>
    <x v="0"/>
  </r>
  <r>
    <x v="401"/>
    <s v="DECATHLON BUDAO RS BUDAORS 11.180,00 HUF Vásárlás"/>
    <n v="-11180"/>
    <x v="3"/>
    <x v="30"/>
    <x v="0"/>
  </r>
  <r>
    <x v="401"/>
    <s v="MEDICINA PATIKA BUDAORS 12.608,00 HUF Vásárlás"/>
    <n v="-12608"/>
    <x v="7"/>
    <x v="5"/>
    <x v="0"/>
  </r>
  <r>
    <x v="401"/>
    <s v="TESCO 44089 O NKISZOLG MARTONVASAR 1.521,00 HUF Vásárlás"/>
    <n v="-1521"/>
    <x v="3"/>
    <x v="4"/>
    <x v="0"/>
  </r>
  <r>
    <x v="401"/>
    <s v="NETFLIX.COM 408-724-9160 3.490,00 HUF Vásárlás 8,48 EUR"/>
    <n v="-3490"/>
    <x v="0"/>
    <x v="7"/>
    <x v="0"/>
  </r>
  <r>
    <x v="402"/>
    <s v="HUN-BUDAPEST HM Hennes  Mauritz K Vásárlás(2022.11.21) Card:5444-0XXX-XX68-8737 MCC5651 HUN-BUDAPEST HM Hennes  Mauritz K 27.265,00 HUF Kártyatranzakció"/>
    <n v="-27265"/>
    <x v="3"/>
    <x v="30"/>
    <x v="0"/>
  </r>
  <r>
    <x v="402"/>
    <s v="MARTON MARKET MARTONVASAR 699,00 HUF Vásárlás"/>
    <n v="-699"/>
    <x v="3"/>
    <x v="4"/>
    <x v="0"/>
  </r>
  <r>
    <x v="402"/>
    <s v="VIANNI U ZLET MARTONVASAR 660,00 HUF Vásárlás"/>
    <n v="-660"/>
    <x v="3"/>
    <x v="4"/>
    <x v="0"/>
  </r>
  <r>
    <x v="402"/>
    <s v="Medicz Gyogyszertar Martonvasar 1.690,00 HUF Vásárlás 4,13 EUR"/>
    <n v="-1690"/>
    <x v="7"/>
    <x v="5"/>
    <x v="0"/>
  </r>
  <r>
    <x v="402"/>
    <s v="Medicz Gyogyszertar Martonvasar 2.400,00 HUF Vásárlás 5,87 EUR"/>
    <n v="-2400"/>
    <x v="7"/>
    <x v="5"/>
    <x v="0"/>
  </r>
  <r>
    <x v="403"/>
    <s v="Csibefaló Friss Étterem Tesco Áruház"/>
    <n v="-6060"/>
    <x v="2"/>
    <x v="2"/>
    <x v="4"/>
  </r>
  <r>
    <x v="403"/>
    <s v="ALDI 156.SZ. BUDAORS 8.239,00 HUF Vásárlás"/>
    <n v="-8239"/>
    <x v="3"/>
    <x v="4"/>
    <x v="0"/>
  </r>
  <r>
    <x v="403"/>
    <s v="MEDICINA PATIKA BUDAORS 6.400,00 HUF Vásárlás"/>
    <n v="-6400"/>
    <x v="7"/>
    <x v="5"/>
    <x v="0"/>
  </r>
  <r>
    <x v="403"/>
    <s v="BUDAO RS BENZINKU'T AU BUDAORS 35.000,00 HUF Vásárlás"/>
    <n v="-35000"/>
    <x v="5"/>
    <x v="16"/>
    <x v="0"/>
  </r>
  <r>
    <x v="403"/>
    <s v="DM 311.SZ. BUDAORS 6.946,00 HUF Vásárlás"/>
    <n v="-6946"/>
    <x v="3"/>
    <x v="4"/>
    <x v="0"/>
  </r>
  <r>
    <x v="403"/>
    <s v="BRENDON BABAARUHAZ BUDAORS 4.690,00 HUF Vásárlás"/>
    <n v="-4690"/>
    <x v="3"/>
    <x v="3"/>
    <x v="0"/>
  </r>
  <r>
    <x v="403"/>
    <s v="OSMAN SHOARMA KFT. BUDAORS 890,00 HUF Vásárlás"/>
    <n v="-890"/>
    <x v="2"/>
    <x v="2"/>
    <x v="0"/>
  </r>
  <r>
    <x v="403"/>
    <s v="Deichmann Budaörs 079 Budaörs 4.990,00 HUF Vásárlás"/>
    <n v="-4990"/>
    <x v="3"/>
    <x v="30"/>
    <x v="0"/>
  </r>
  <r>
    <x v="403"/>
    <s v="TESCO 41520 O NKISZOLG BUDAORS 5.821,00 HUF Vásárlás"/>
    <n v="-5821"/>
    <x v="3"/>
    <x v="4"/>
    <x v="0"/>
  </r>
  <r>
    <x v="404"/>
    <s v="Burger King Étterem Oktogon"/>
    <n v="-5060"/>
    <x v="2"/>
    <x v="2"/>
    <x v="4"/>
  </r>
  <r>
    <x v="404"/>
    <s v="JAGUAR LAND ROVER HUNGARY KFT."/>
    <n v="25038"/>
    <x v="4"/>
    <x v="20"/>
    <x v="4"/>
  </r>
  <r>
    <x v="404"/>
    <s v="JAGUAR LAND ROVER HUNGARY KFT."/>
    <n v="7670"/>
    <x v="4"/>
    <x v="20"/>
    <x v="4"/>
  </r>
  <r>
    <x v="404"/>
    <s v="HUN-BUDAPEST OTPMOBL*SHOP.ROSSMANN. Vásárlás(2022.11.18) Card:5444-0XXX-XX68-8737 MCC5977 HUN-BUDAPEST OTPMOBL*SHOP.ROSSMANN. 4.499,00 HUF Kártyatranzakció"/>
    <n v="-4499"/>
    <x v="3"/>
    <x v="4"/>
    <x v="0"/>
  </r>
  <r>
    <x v="404"/>
    <s v="SZENT KERESZT GYO'GYSZ RACKERESZTUR 1.034,00 HUF Vásárlás"/>
    <n v="-1034"/>
    <x v="7"/>
    <x v="5"/>
    <x v="0"/>
  </r>
  <r>
    <x v="404"/>
    <s v="DM 311.SZ. BUDAORS 5.745,00 HUF Vásárlás"/>
    <n v="-5745"/>
    <x v="3"/>
    <x v="4"/>
    <x v="0"/>
  </r>
  <r>
    <x v="404"/>
    <s v="TESCO 41520 O NKISZOLG BUDAORS 3.275,00 HUF Vásárlás"/>
    <n v="-3275"/>
    <x v="3"/>
    <x v="4"/>
    <x v="0"/>
  </r>
  <r>
    <x v="405"/>
    <s v="Nhkv Azonosíto 16252513 számla szám 1572 82604"/>
    <n v="-4567"/>
    <x v="0"/>
    <x v="38"/>
    <x v="0"/>
  </r>
  <r>
    <x v="406"/>
    <s v="LIDL ARUHAZ 0349.SZ. BUDAORS 10.490,00 HUF Vásárlás"/>
    <n v="-10490"/>
    <x v="3"/>
    <x v="4"/>
    <x v="0"/>
  </r>
  <r>
    <x v="406"/>
    <s v="TESCO 41520 O NKISZOLG BUDAORS 7.398,00 HUF Vásárlás"/>
    <n v="-7398"/>
    <x v="3"/>
    <x v="4"/>
    <x v="0"/>
  </r>
  <r>
    <x v="407"/>
    <s v="BioTech USA Budaörs Te Budaörs 1.770,00 HUF Vásárlás"/>
    <n v="-1770"/>
    <x v="7"/>
    <x v="14"/>
    <x v="0"/>
  </r>
  <r>
    <x v="407"/>
    <s v="BRENDON BABAARUHAZ BUDAORS 75.679,00 HUF Vásárlás"/>
    <n v="-75679"/>
    <x v="3"/>
    <x v="3"/>
    <x v="0"/>
  </r>
  <r>
    <x v="407"/>
    <s v="MEDICINA PATIKA BUDAORS 3.174,00 HUF Vásárlás"/>
    <n v="-3174"/>
    <x v="7"/>
    <x v="5"/>
    <x v="0"/>
  </r>
  <r>
    <x v="407"/>
    <s v="DM 311.SZ. BUDAORS 5.798,00 HUF Vásárlás"/>
    <n v="-5798"/>
    <x v="3"/>
    <x v="4"/>
    <x v="0"/>
  </r>
  <r>
    <x v="408"/>
    <s v="OTPMOBL DIJNET.HU BUDAPEST 6.944,00 HUF Vásárlás"/>
    <n v="-6944"/>
    <x v="0"/>
    <x v="23"/>
    <x v="0"/>
  </r>
  <r>
    <x v="408"/>
    <s v="ARTIZAN PEKSEG KAVEZO BUDAPEST 2.750,00 HUF Vásárlás"/>
    <n v="-2750"/>
    <x v="2"/>
    <x v="19"/>
    <x v="0"/>
  </r>
  <r>
    <x v="408"/>
    <s v="VIZ-, GAZ SZERELVENYB MARTONVASAR 2.654,00 HUF Vásárlás"/>
    <n v="-2654"/>
    <x v="0"/>
    <x v="6"/>
    <x v="0"/>
  </r>
  <r>
    <x v="408"/>
    <s v="OSMAN SHOARMA KFT. BUDAORS 1.780,00 HUF Vásárlás"/>
    <n v="-1780"/>
    <x v="2"/>
    <x v="2"/>
    <x v="0"/>
  </r>
  <r>
    <x v="408"/>
    <s v="MVM NEXT ENERGIAK BUDAPEST 2.557,00 HUF Vásárlás"/>
    <n v="-2557"/>
    <x v="0"/>
    <x v="22"/>
    <x v="0"/>
  </r>
  <r>
    <x v="408"/>
    <s v="SZALONSKICC BUDAPEST 5.190,00 HUF Vásárlás"/>
    <n v="-5190"/>
    <x v="7"/>
    <x v="15"/>
    <x v="0"/>
  </r>
  <r>
    <x v="408"/>
    <s v="SIMPLE PARKOL S BUDAPEST 1.424,00 HUF Vásárlás"/>
    <n v="-1424"/>
    <x v="5"/>
    <x v="9"/>
    <x v="0"/>
  </r>
  <r>
    <x v="408"/>
    <s v="SIMPLE PARKOL S BUDAPEST 239,00 HUF Vásárlás"/>
    <n v="-239"/>
    <x v="5"/>
    <x v="9"/>
    <x v="0"/>
  </r>
  <r>
    <x v="408"/>
    <s v="TESCO 41520 O NKISZOLG BUDAORS 15.924,00 HUF Vásárlás"/>
    <n v="-15924"/>
    <x v="3"/>
    <x v="4"/>
    <x v="0"/>
  </r>
  <r>
    <x v="409"/>
    <s v="KINIZSI UT 1-3. BUDAORS 4.000,00 HUF Kp felvét"/>
    <n v="-884"/>
    <x v="1"/>
    <x v="1"/>
    <x v="0"/>
  </r>
  <r>
    <x v="409"/>
    <s v="PREMIUM DONER KEBAB HO BUDAPEST 1.200,00 HUF Vásárlás"/>
    <n v="-1200"/>
    <x v="2"/>
    <x v="2"/>
    <x v="0"/>
  </r>
  <r>
    <x v="409"/>
    <s v="ALDI 156.SZ. BUDAORS 1.548,00 HUF Vásárlás"/>
    <n v="-1548"/>
    <x v="3"/>
    <x v="4"/>
    <x v="0"/>
  </r>
  <r>
    <x v="409"/>
    <s v="TESCO 41520 O NKISZOLG BUDAORS 2.682,00 HUF Vásárlás"/>
    <n v="-2682"/>
    <x v="3"/>
    <x v="4"/>
    <x v="0"/>
  </r>
  <r>
    <x v="409"/>
    <s v="AUCHAN BUDAORS BUDAORS 7.327,00 HUF Vásárlás"/>
    <n v="-7327"/>
    <x v="3"/>
    <x v="4"/>
    <x v="0"/>
  </r>
  <r>
    <x v="409"/>
    <s v="BRENDON BABAARUHAZ BUDAORS 3.890,00 HUF Vásárlás"/>
    <n v="-3890"/>
    <x v="3"/>
    <x v="3"/>
    <x v="0"/>
  </r>
  <r>
    <x v="409"/>
    <s v="OMV 2072 Budapest M1_ 1.275,00 HUF Vásárlás"/>
    <n v="-1275"/>
    <x v="5"/>
    <x v="16"/>
    <x v="0"/>
  </r>
  <r>
    <x v="409"/>
    <s v="OTPMOBL CSASZARVONAL.H BUDAPEST 6.390,00 HUF Vásárlás"/>
    <n v="-6390"/>
    <x v="7"/>
    <x v="13"/>
    <x v="0"/>
  </r>
  <r>
    <x v="409"/>
    <s v="DM 311.SZ. BUDAORS 9.525,00 HUF Vásárlás"/>
    <n v="-9525"/>
    <x v="3"/>
    <x v="4"/>
    <x v="0"/>
  </r>
  <r>
    <x v="409"/>
    <s v="SIMPLE PARKOL S BUDAPEST 1.439,00 HUF Vásárlás"/>
    <n v="-1439"/>
    <x v="5"/>
    <x v="9"/>
    <x v="0"/>
  </r>
  <r>
    <x v="409"/>
    <s v="SIMPLE PARKOL S BUDAPEST 1.274,00 HUF Vásárlás"/>
    <n v="-1274"/>
    <x v="5"/>
    <x v="9"/>
    <x v="0"/>
  </r>
  <r>
    <x v="409"/>
    <s v="SIMPLE PARKOL S BUDAPEST 1.424,00 HUF Vásárlás"/>
    <n v="-1424"/>
    <x v="5"/>
    <x v="9"/>
    <x v="0"/>
  </r>
  <r>
    <x v="409"/>
    <s v="SIMPLE PARKOL S BUDAPEST 1.387,00 HUF Vásárlás"/>
    <n v="-1387"/>
    <x v="5"/>
    <x v="9"/>
    <x v="0"/>
  </r>
  <r>
    <x v="409"/>
    <s v="KINIZSI UT 1-3. BUDAORS 4.000,00 HUF Kp felvét"/>
    <n v="4000"/>
    <x v="8"/>
    <x v="43"/>
    <x v="0"/>
  </r>
  <r>
    <x v="409"/>
    <s v="KINIZSI UT 1-3. BUDAORS 4.000,00 HUF Kp felvét"/>
    <n v="-4000"/>
    <x v="8"/>
    <x v="43"/>
    <x v="0"/>
  </r>
  <r>
    <x v="410"/>
    <s v="McDonald's Budaörs 2."/>
    <n v="-2160"/>
    <x v="2"/>
    <x v="2"/>
    <x v="4"/>
  </r>
  <r>
    <x v="411"/>
    <s v="KFC Budaörs Agip DT"/>
    <n v="-3070"/>
    <x v="2"/>
    <x v="2"/>
    <x v="4"/>
  </r>
  <r>
    <x v="412"/>
    <s v="BRENDON WEBARUHAZ BUDAPEST 37.179,00 HUF Vásárlás"/>
    <n v="-37179"/>
    <x v="3"/>
    <x v="3"/>
    <x v="0"/>
  </r>
  <r>
    <x v="413"/>
    <s v="PL:P/10NOV22 Tőkefizetés Hitel /21-41194/"/>
    <n v="-212313.84"/>
    <x v="0"/>
    <x v="21"/>
    <x v="0"/>
  </r>
  <r>
    <x v="413"/>
    <s v="HUN-MARTONVASAR OTP ATM készpénzfelvétel(2022.11.08) Card:5444-0XXX-XX68-8737 MCC6011 HUN-MARTONVASAR OTP 100.000,00 HUF Kártyatranzakció"/>
    <n v="100000"/>
    <x v="8"/>
    <x v="43"/>
    <x v="2"/>
  </r>
  <r>
    <x v="413"/>
    <s v="HUN-MARTONVASAR OTP ATM készpénzfelvétel(2022.11.08) Card:5444-0XXX-XX68-8737 MCC6011 HUN-MARTONVASAR OTP 100.000,00 HUF Kártyatranzakció"/>
    <n v="-100000"/>
    <x v="8"/>
    <x v="43"/>
    <x v="0"/>
  </r>
  <r>
    <x v="413"/>
    <s v="PL:I/10NOV22 Kamatfizetés  Hitel /21-41194/"/>
    <n v="-49490.95"/>
    <x v="0"/>
    <x v="21"/>
    <x v="0"/>
  </r>
  <r>
    <x v="413"/>
    <s v="TESCO 44089 O NKISZOLG MARTONVASAR 1.918,00 HUF Vásárlás"/>
    <n v="-1918"/>
    <x v="3"/>
    <x v="4"/>
    <x v="0"/>
  </r>
  <r>
    <x v="413"/>
    <s v="JAGUAR LAND ROVER HUNGARY KFT. Munkaber utalasMunkabér"/>
    <n v="881487"/>
    <x v="4"/>
    <x v="20"/>
    <x v="0"/>
  </r>
  <r>
    <x v="413"/>
    <s v="PL:P/10NOV22 Tőkefizetés Hitel /21-41194/"/>
    <n v="212313.84"/>
    <x v="0"/>
    <x v="21"/>
    <x v="1"/>
  </r>
  <r>
    <x v="414"/>
    <s v="Kemal Pasa"/>
    <n v="-2200"/>
    <x v="2"/>
    <x v="2"/>
    <x v="4"/>
  </r>
  <r>
    <x v="414"/>
    <s v="BUDAO RS BENZINKU'T AU BUDAORS 35.000,00 HUF Vásárlás"/>
    <n v="-35000"/>
    <x v="5"/>
    <x v="16"/>
    <x v="0"/>
  </r>
  <r>
    <x v="414"/>
    <s v="KISKIFLI KAVEZO BUDAPEST 1.300,00 HUF Vásárlás"/>
    <n v="-1300"/>
    <x v="2"/>
    <x v="19"/>
    <x v="0"/>
  </r>
  <r>
    <x v="415"/>
    <s v="HUN-Törökbalint dm Kft. Vásárlás(2022.11.06) Card:5444-0XXX-XX68-8737 MCC5977 HUN-Törökbalint dm Kft. 16.113,00 HUF Kártyatranzakció"/>
    <n v="-16113"/>
    <x v="3"/>
    <x v="4"/>
    <x v="0"/>
  </r>
  <r>
    <x v="416"/>
    <s v="127.COOP SZUPER 1. MARTONVASAR 599,00 HUF Vásárlás"/>
    <n v="-599"/>
    <x v="3"/>
    <x v="4"/>
    <x v="0"/>
  </r>
  <r>
    <x v="416"/>
    <s v="ALDI 156.SZ. BUDAORS 2.368,00 HUF Vásárlás"/>
    <n v="-2368"/>
    <x v="3"/>
    <x v="4"/>
    <x v="0"/>
  </r>
  <r>
    <x v="416"/>
    <s v="LIDL ARUHAZ 0349.SZ. BUDAORS 5.444,00 HUF Vásárlás"/>
    <n v="-5444"/>
    <x v="3"/>
    <x v="4"/>
    <x v="0"/>
  </r>
  <r>
    <x v="416"/>
    <s v="TESCO 41520 O NKISZOLG BUDAORS 6.252,00 HUF Vásárlás"/>
    <n v="-6252"/>
    <x v="3"/>
    <x v="4"/>
    <x v="0"/>
  </r>
  <r>
    <x v="416"/>
    <s v="TESCO 44089 O NKISZOLG MARTONVASAR 279,00 HUF Vásárlás"/>
    <n v="-279"/>
    <x v="3"/>
    <x v="4"/>
    <x v="0"/>
  </r>
  <r>
    <x v="416"/>
    <s v="IKEA BUDAORS UGYFE Budaors 11.000,00 HUF Vásárlás"/>
    <n v="-11000"/>
    <x v="0"/>
    <x v="0"/>
    <x v="0"/>
  </r>
  <r>
    <x v="416"/>
    <s v="TOP CLEAN HUNGARIA KFT BUDAORS 3.960,00 HUF Vásárlás"/>
    <n v="-3960"/>
    <x v="3"/>
    <x v="30"/>
    <x v="0"/>
  </r>
  <r>
    <x v="416"/>
    <s v="TESCO 44089 O NKISZOLG MARTONVASAR 3.413,00 HUF Vásárlás"/>
    <n v="-3413"/>
    <x v="3"/>
    <x v="4"/>
    <x v="0"/>
  </r>
  <r>
    <x v="417"/>
    <s v="Cr Forgalmi kedvezmény"/>
    <n v="1672"/>
    <x v="1"/>
    <x v="1"/>
    <x v="0"/>
  </r>
  <r>
    <x v="418"/>
    <s v="10032000-00282637-00000000 OKTATÁSI HIVATAL MUNKABÉR UTALÁS Bejövő Forint Átutalás"/>
    <n v="209215"/>
    <x v="4"/>
    <x v="20"/>
    <x v="0"/>
  </r>
  <r>
    <x v="419"/>
    <s v="HUN-BUDAORS MEDICINA PATIKA Vásárlás(2022.10.28) Card:5444-0XXX-XX68-8737 MCC5912 HUN-BUDAORS MEDICINA PATIKA 5.367,00 HUF Kártyatranzakció"/>
    <n v="-5367"/>
    <x v="7"/>
    <x v="5"/>
    <x v="0"/>
  </r>
  <r>
    <x v="419"/>
    <s v="HUN-Erd PEPCO 3546 Stop Shop Vásárlás(2022.10.29) Card:5444-0XXX-XX68-8737 MCC5331 HUN-Erd PEPCO 3546 Stop Shop 5.800,00 HUF Kártyatranzakció"/>
    <n v="-5800"/>
    <x v="3"/>
    <x v="4"/>
    <x v="0"/>
  </r>
  <r>
    <x v="419"/>
    <s v="10700691-61570722-51100005 Barabás Anna 2022-116 Kimenő azonnali megbízás"/>
    <n v="-60000"/>
    <x v="7"/>
    <x v="17"/>
    <x v="0"/>
  </r>
  <r>
    <x v="419"/>
    <s v="IKEA BUDAORS UGYFE Budaors 17.870,00 HUF Vásárlás"/>
    <n v="-17870"/>
    <x v="0"/>
    <x v="6"/>
    <x v="0"/>
  </r>
  <r>
    <x v="419"/>
    <s v="HUN-MARTONVASAR 127.COOP SZUPER 1. Vásárlás(2022.10.28) Card:5444-0XXX-XX68-8737 MCC5411 HUN-MARTONVASAR 127.COOP SZUPER 1. 886,00 HUF Kártyatranzakció"/>
    <n v="-886"/>
    <x v="3"/>
    <x v="4"/>
    <x v="0"/>
  </r>
  <r>
    <x v="419"/>
    <s v="BAUHAUS SZIGETSZENTMIK SZIGETSZENTM 18.958,00 HUF Vásárlás"/>
    <n v="-18958"/>
    <x v="0"/>
    <x v="6"/>
    <x v="0"/>
  </r>
  <r>
    <x v="419"/>
    <s v="BAUHAUS SZIGETSZENTMIK SZIGETSZENTM 2.250,00 HUF Vásárlás"/>
    <n v="-2250"/>
    <x v="0"/>
    <x v="6"/>
    <x v="0"/>
  </r>
  <r>
    <x v="419"/>
    <s v="BOHACS BARKACS ERD 1.151,00 HUF Vásárlás"/>
    <n v="-1151"/>
    <x v="0"/>
    <x v="6"/>
    <x v="0"/>
  </r>
  <r>
    <x v="419"/>
    <s v="BRENDON BABAARUHAZ BUDAORS 13.797,00 HUF Vásárlás"/>
    <n v="-13797"/>
    <x v="3"/>
    <x v="3"/>
    <x v="0"/>
  </r>
  <r>
    <x v="419"/>
    <s v="EURONICS MEGA MU'SZAKI BUDAORS 64.989,00 HUF Vásárlás"/>
    <n v="-64989"/>
    <x v="3"/>
    <x v="31"/>
    <x v="0"/>
  </r>
  <r>
    <x v="420"/>
    <s v="Paris Attila 2022 decemberig"/>
    <n v="-5670"/>
    <x v="0"/>
    <x v="7"/>
    <x v="0"/>
  </r>
  <r>
    <x v="421"/>
    <s v="Havi zárlati díj"/>
    <n v="-1941"/>
    <x v="1"/>
    <x v="1"/>
    <x v="0"/>
  </r>
  <r>
    <x v="422"/>
    <s v="Pepco"/>
    <n v="-5800"/>
    <x v="3"/>
    <x v="4"/>
    <x v="0"/>
  </r>
  <r>
    <x v="423"/>
    <s v="Coop"/>
    <n v="-886"/>
    <x v="3"/>
    <x v="4"/>
    <x v="0"/>
  </r>
  <r>
    <x v="423"/>
    <s v="HUN-MARTONVASAR VIANNI U:ZLET Vásárlás(2022.10.26) Card:5444-0XXX-XX68-8737 MCC5399 HUN-MARTONVASAR VIANNI U:ZLET 990,00 HUF Kártyatranzakció"/>
    <n v="-990"/>
    <x v="3"/>
    <x v="4"/>
    <x v="0"/>
  </r>
  <r>
    <x v="423"/>
    <s v="Medicina Patika"/>
    <n v="-5367"/>
    <x v="7"/>
    <x v="5"/>
    <x v="0"/>
  </r>
  <r>
    <x v="423"/>
    <s v="ALDI 156.SZ. BUDAORS TRAN IDEJE 20221028 172136 TRAN ÖSSZEG 4,814.00 HUF"/>
    <n v="-4814"/>
    <x v="3"/>
    <x v="4"/>
    <x v="0"/>
  </r>
  <r>
    <x v="423"/>
    <s v="ROSSMANN 260 BUDAORS TRAN IDEJE 20221028 180310 TRAN ÖSSZEG 369.00 HUF"/>
    <n v="-369"/>
    <x v="3"/>
    <x v="4"/>
    <x v="0"/>
  </r>
  <r>
    <x v="423"/>
    <s v="LIDL ARUHAZ 0349.SZ. BUDAORS TRAN IDEJE 20221028 183513 TRAN ÖSSZEG 5,245.00 HUF"/>
    <n v="-5245"/>
    <x v="3"/>
    <x v="4"/>
    <x v="0"/>
  </r>
  <r>
    <x v="423"/>
    <s v="BOHACS BARKACS ERD TRAN IDEJE 20221029 123658 TRAN ÖSSZEG 1,151.00 HUF"/>
    <n v="-1151"/>
    <x v="0"/>
    <x v="6"/>
    <x v="0"/>
  </r>
  <r>
    <x v="423"/>
    <s v="BAUHAUS SZIGETSZENTMIK SZIGETSZENTM TRAN IDEJE 20221029 135141 TRAN ÖSSZEG 18,958.00 HUF"/>
    <n v="-18958"/>
    <x v="0"/>
    <x v="6"/>
    <x v="0"/>
  </r>
  <r>
    <x v="423"/>
    <s v="BAUHAUS SZIGETSZENTMIK SZIGETSZENTM TRAN IDEJE 20221029 135227 TRAN ÖSSZEG 2,250.00 HUF"/>
    <n v="-2250"/>
    <x v="0"/>
    <x v="6"/>
    <x v="0"/>
  </r>
  <r>
    <x v="423"/>
    <s v="ALDI 156.SZ. BUDAORS TRAN IDEJE 20221031 163755 TRAN ÖSSZEG 4,385.00 HUF"/>
    <n v="-4385"/>
    <x v="3"/>
    <x v="4"/>
    <x v="0"/>
  </r>
  <r>
    <x v="423"/>
    <s v="IKEA Budaors TRAN IDEJE 20221031 171851 TRAN ÖSSZEG 17,870.00 HUF"/>
    <n v="-17870"/>
    <x v="0"/>
    <x v="35"/>
    <x v="0"/>
  </r>
  <r>
    <x v="423"/>
    <s v="MARTONCOLOR FESTE'K MARTONVASAR 4.300,00 HUF Vásárlás"/>
    <n v="-4300"/>
    <x v="0"/>
    <x v="6"/>
    <x v="0"/>
  </r>
  <r>
    <x v="423"/>
    <s v="NETFLIX.COM 408-724-9160 3.490,00 HUF Vásárlás 8,55 USD"/>
    <n v="-3490"/>
    <x v="0"/>
    <x v="7"/>
    <x v="0"/>
  </r>
  <r>
    <x v="423"/>
    <s v="Bakos Barna - - -"/>
    <n v="-30000"/>
    <x v="0"/>
    <x v="6"/>
    <x v="0"/>
  </r>
  <r>
    <x v="424"/>
    <s v="HUN-BUDAORS ALDI 156.SZ. Vásárlás(2022.10.25) Card:5444-0XXX-XX68-8737 MCC5411 HUN-BUDAORS ALDI 156.SZ. 4.075,00 HUF Kártyatranzakció"/>
    <n v="-4075"/>
    <x v="3"/>
    <x v="4"/>
    <x v="0"/>
  </r>
  <r>
    <x v="424"/>
    <s v="TESCO 44089 MARTONVASAR 1.554,00 HUF Vásárlás"/>
    <n v="-1554"/>
    <x v="3"/>
    <x v="4"/>
    <x v="0"/>
  </r>
  <r>
    <x v="425"/>
    <s v="HUN-MARTONVASAR VIANNI U:ZLET Vásárlás(2022.10.24) Card:5444-0XXX-XX68-8737 MCC5399 HUN-MARTONVASAR VIANNI U:ZLET 220,00 HUF Kártyatranzakció"/>
    <n v="-220"/>
    <x v="3"/>
    <x v="4"/>
    <x v="0"/>
  </r>
  <r>
    <x v="425"/>
    <s v="HUN-MARTONVASAR MARTON MARKET Vásárlás(2022.10.24) Card:5444-0XXX-XX68-8737 MCC5411 HUN-MARTONVASAR MARTON MARKET 1.509,00 HUF Kártyatranzakció"/>
    <n v="-1509"/>
    <x v="3"/>
    <x v="4"/>
    <x v="0"/>
  </r>
  <r>
    <x v="425"/>
    <s v="HUN-Budaors LIDL 0349 Budaors Vásárlás(2022.10.25) Card:5444-0XXX-XX68-8737 MCC5411 HUN-Budaors LIDL 0349 Budaors 20.500,00 HUF Kártyatranzakció"/>
    <n v="-20500"/>
    <x v="3"/>
    <x v="4"/>
    <x v="0"/>
  </r>
  <r>
    <x v="425"/>
    <s v="MARTONCOLOR FESTE'K MARTONVASAR 3.200,00 HUF Vásárlás"/>
    <n v="-3200"/>
    <x v="0"/>
    <x v="6"/>
    <x v="0"/>
  </r>
  <r>
    <x v="425"/>
    <s v="MARTONCOLOR FESTE'K MARTONVASAR 15.000,00 HUF Vásárlás"/>
    <n v="-15000"/>
    <x v="0"/>
    <x v="6"/>
    <x v="0"/>
  </r>
  <r>
    <x v="426"/>
    <s v="HUN-MARTONVASAR OTP ATM készpénzfelvétel(2022.10.23) Card:5444-0XXX-XX68-8737 MCC6011 HUN-MARTONVASAR OTP 50.000,00 HUF Kártyatranzakció"/>
    <n v="-50000"/>
    <x v="0"/>
    <x v="6"/>
    <x v="0"/>
  </r>
  <r>
    <x v="426"/>
    <s v="HUN-MARTONVASAR OTP ATM készpénzfelvétel(2022.10.23) Card:5444-0XXX-XX68-8737 MCC6011 HUN-MARTONVASAR OTP 100.000,00 HUF Kártyatranzakció"/>
    <n v="-100000"/>
    <x v="0"/>
    <x v="6"/>
    <x v="0"/>
  </r>
  <r>
    <x v="426"/>
    <s v="Bakos Barna - - -"/>
    <n v="-30000"/>
    <x v="0"/>
    <x v="6"/>
    <x v="0"/>
  </r>
  <r>
    <x v="427"/>
    <s v="POL-LODZ WWW.BONPRIX.HU Áru vissza/befizetés(2022.10.20) Card:5444-0XXX-XX68-8737 MCC5311 POL-LODZ WWW.BONPRIX.HU 24.999,00 HUF Kártyatranzakció"/>
    <n v="24999"/>
    <x v="3"/>
    <x v="30"/>
    <x v="0"/>
  </r>
  <r>
    <x v="427"/>
    <s v="HUN-BUDAORS MEDICINA PATIKA Vásárlás(2022.10.22) Card:5444-0XXX-XX68-8737 MCC5912 HUN-BUDAORS MEDICINA PATIKA 6.310,00 HUF Kártyatranzakció"/>
    <n v="-6310"/>
    <x v="7"/>
    <x v="5"/>
    <x v="0"/>
  </r>
  <r>
    <x v="427"/>
    <s v="HUN-BUDAPEST BARIONP*BARION.COM/GUE Vásárlás(2022.10.20) Card:5444-0XXX-XX68-8737 MCC7299 HUN-BUDAPEST BARIONP*BARION.COM/GUE 8.796,00 HUF Kártyatranzakció"/>
    <n v="-8796"/>
    <x v="7"/>
    <x v="15"/>
    <x v="0"/>
  </r>
  <r>
    <x v="427"/>
    <s v="OTPMOBL DIJNET.HU BUDAPEST 18.259,00 HUF Vásárlás"/>
    <n v="-18259"/>
    <x v="0"/>
    <x v="23"/>
    <x v="0"/>
  </r>
  <r>
    <x v="427"/>
    <s v="JYSK H824 BUDAORS 8.000,00 HUF Vásárlás"/>
    <n v="-8000"/>
    <x v="0"/>
    <x v="35"/>
    <x v="0"/>
  </r>
  <r>
    <x v="427"/>
    <s v="ALDI 156.SZ. BUDAORS 7.936,00 HUF Vásárlás"/>
    <n v="-7936"/>
    <x v="3"/>
    <x v="4"/>
    <x v="0"/>
  </r>
  <r>
    <x v="427"/>
    <s v="TESCO 41520 BUDAORS 7.873,00 HUF Vásárlás"/>
    <n v="-7873"/>
    <x v="3"/>
    <x v="4"/>
    <x v="0"/>
  </r>
  <r>
    <x v="427"/>
    <s v="PRAKTIKER 333. BUDAORS 6.313,00 HUF Vásárlás"/>
    <n v="-6313"/>
    <x v="0"/>
    <x v="6"/>
    <x v="0"/>
  </r>
  <r>
    <x v="427"/>
    <s v="DELILI BUDAORS 2.030,00 HUF Vásárlás"/>
    <n v="-2030"/>
    <x v="2"/>
    <x v="19"/>
    <x v="0"/>
  </r>
  <r>
    <x v="427"/>
    <s v="PANIFICIO ILBASILICO SZENTENDRE 7.500,00 HUF Vásárlás"/>
    <n v="-7500"/>
    <x v="2"/>
    <x v="10"/>
    <x v="0"/>
  </r>
  <r>
    <x v="427"/>
    <s v="VIANNI U ZLET MARTONVASAR 847,00 HUF Vásárlás"/>
    <n v="-847"/>
    <x v="3"/>
    <x v="4"/>
    <x v="0"/>
  </r>
  <r>
    <x v="427"/>
    <s v="OTPMOBL EON.HU BUDAPEST 11.742,00 HUF Vásárlás"/>
    <n v="-11742"/>
    <x v="0"/>
    <x v="11"/>
    <x v="0"/>
  </r>
  <r>
    <x v="427"/>
    <s v="TELEKOMSZAML 525540982 BUDAPEST 7.080,00 HUF Vásárlás 16,82 USD"/>
    <n v="-7080"/>
    <x v="0"/>
    <x v="7"/>
    <x v="0"/>
  </r>
  <r>
    <x v="427"/>
    <s v="IMO Hungary kft Budaors 2.790,00 HUF Vásárlás 6,63 USD"/>
    <n v="-2790"/>
    <x v="5"/>
    <x v="18"/>
    <x v="0"/>
  </r>
  <r>
    <x v="428"/>
    <s v="JAGUAR LAND ROVER HUNGARY KFT."/>
    <n v="25917"/>
    <x v="4"/>
    <x v="20"/>
    <x v="4"/>
  </r>
  <r>
    <x v="428"/>
    <s v="JAGUAR LAND ROVER HUNGARY KFT."/>
    <n v="7670"/>
    <x v="4"/>
    <x v="20"/>
    <x v="4"/>
  </r>
  <r>
    <x v="428"/>
    <s v="HUN-MARTONVASAR TESCO 44089 Vásárlás(2022.10.19) Card:5444-0XXX-XX68-8737 MCC5311 HUN-MARTONVASAR TESCO 44089 2.487,00 HUF Kártyatranzakció"/>
    <n v="-2487"/>
    <x v="3"/>
    <x v="4"/>
    <x v="0"/>
  </r>
  <r>
    <x v="429"/>
    <s v="HUN-BUDAPEST OTPMOBL*JEGY.MAV.HU Vásárlás(2022.10.18) Card:5444-0XXX-XX68-8737 MCC4112 HUN-BUDAPEST OTPMOBL*JEGY.MAV.HU 293,00 HUF Kártyatranzakció"/>
    <n v="-293"/>
    <x v="5"/>
    <x v="28"/>
    <x v="0"/>
  </r>
  <r>
    <x v="429"/>
    <s v="HUN-BUDAPEST FORNETTI Vásárlás(2022.10.18) Card:5444-0XXX-XX68-8737 MCC5462 HUN-BUDAPEST FORNETTI 759,00 HUF Kártyatranzakció"/>
    <n v="-759"/>
    <x v="2"/>
    <x v="2"/>
    <x v="0"/>
  </r>
  <r>
    <x v="429"/>
    <s v="TESCO 44089 O NKISZOLG MARTONVASAR 261,00 HUF Vásárlás"/>
    <n v="-261"/>
    <x v="3"/>
    <x v="4"/>
    <x v="0"/>
  </r>
  <r>
    <x v="429"/>
    <s v="VIZ-, GAZ SZERELVENYB MARTONVASAR 1.975,00 HUF Vásárlás"/>
    <n v="-1975"/>
    <x v="0"/>
    <x v="6"/>
    <x v="0"/>
  </r>
  <r>
    <x v="430"/>
    <s v="Kemal Pasa"/>
    <n v="-2100"/>
    <x v="2"/>
    <x v="2"/>
    <x v="4"/>
  </r>
  <r>
    <x v="430"/>
    <s v="DEU-HAMBURG WWW.ABOUTYOU.HU Áru vissza/befizetés(2022.10.17) Card:5444-0XXX-XX68-8737 MCC5311 DEU-HAMBURG WWW.ABOUTYOU.HU 27.990,00 HUF Kártyatranzakció"/>
    <n v="27990"/>
    <x v="3"/>
    <x v="30"/>
    <x v="0"/>
  </r>
  <r>
    <x v="430"/>
    <s v="HUN-BUDAPEST OTPMOBL*VITAMINBOLT.NE Vásárlás(2022.10.17) Card:5444-0XXX-XX68-8737 MCC5499 HUN-BUDAPEST OTPMOBL*VITAMINBOLT.NE 2.550,00 HUF Kártyatranzakció"/>
    <n v="-2550"/>
    <x v="7"/>
    <x v="14"/>
    <x v="0"/>
  </r>
  <r>
    <x v="430"/>
    <s v="HUN-BUDAORS DM 311.SZ. Vásárlás(2022.10.17) Card:5444-0XXX-XX68-8737 MCC5977 HUN-BUDAORS DM 311.SZ. 3.802,00 HUF Kártyatranzakció"/>
    <n v="-3802"/>
    <x v="3"/>
    <x v="4"/>
    <x v="0"/>
  </r>
  <r>
    <x v="430"/>
    <s v="10700529-62328528-51100005 Réka BR-2022-58 Kimenő azonnali megbízás"/>
    <n v="-5000"/>
    <x v="7"/>
    <x v="13"/>
    <x v="0"/>
  </r>
  <r>
    <x v="430"/>
    <s v="HUN-BUDAPEST BARIONP*BIOEGESZSEG Vásárlás(2022.10.17) Card:5444-0XXX-XX68-8737 MCC5499 HUN-BUDAPEST BARIONP*BIOEGESZSEG 5.629,00 HUF Kártyatranzakció"/>
    <n v="-5629"/>
    <x v="7"/>
    <x v="14"/>
    <x v="0"/>
  </r>
  <r>
    <x v="430"/>
    <s v="22222222-21300099-00000000 Péter Mátyás PM-2022-656 Kimenő azonnali megbízás"/>
    <n v="-14000"/>
    <x v="7"/>
    <x v="13"/>
    <x v="0"/>
  </r>
  <r>
    <x v="430"/>
    <s v="MOM PARKOLO'AUTOMATA BUDAPEST 660,00 HUF Vásárlás"/>
    <n v="-660"/>
    <x v="5"/>
    <x v="9"/>
    <x v="0"/>
  </r>
  <r>
    <x v="430"/>
    <s v="SPAR 0170 BUDAPEST 4.600,00 HUF Vásárlás"/>
    <n v="-4600"/>
    <x v="3"/>
    <x v="4"/>
    <x v="0"/>
  </r>
  <r>
    <x v="430"/>
    <s v="MINI BOUTIQUE MOM PARK BUDAPEST 4.950,00 HUF Vásárlás"/>
    <n v="-4950"/>
    <x v="3"/>
    <x v="30"/>
    <x v="0"/>
  </r>
  <r>
    <x v="431"/>
    <s v="Budha Original Bartók Ház"/>
    <n v="-8534"/>
    <x v="2"/>
    <x v="2"/>
    <x v="4"/>
  </r>
  <r>
    <x v="431"/>
    <s v="10800007-70000000-12522061 Velux Magyarorszag Kft 16276689 Kimenő azonnali megbízás"/>
    <n v="-11799"/>
    <x v="0"/>
    <x v="6"/>
    <x v="0"/>
  </r>
  <r>
    <x v="431"/>
    <s v="10918001-00000002-68950006 TETŐCENTRUM MAGYARORSZÁG KERESKEDEL 79231666074556 Gergely Czuprik Kimenő azonnali megbízás"/>
    <n v="-475122"/>
    <x v="0"/>
    <x v="6"/>
    <x v="0"/>
  </r>
  <r>
    <x v="431"/>
    <s v="FODOR ORSOLYA Leesésgátló köszi szépen"/>
    <n v="4000"/>
    <x v="0"/>
    <x v="35"/>
    <x v="0"/>
  </r>
  <r>
    <x v="431"/>
    <s v="DM 311.SZ. BUDAORS 2.799,00 HUF Vásárlás"/>
    <n v="-2799"/>
    <x v="3"/>
    <x v="4"/>
    <x v="0"/>
  </r>
  <r>
    <x v="431"/>
    <s v="JYSK H824 BUDAORS 8.000,00 HUF Vásárlás"/>
    <n v="-8000"/>
    <x v="0"/>
    <x v="35"/>
    <x v="0"/>
  </r>
  <r>
    <x v="431"/>
    <s v="KO' FAGYI BUDAPEST 1.000,00 HUF Vásárlás"/>
    <n v="-1000"/>
    <x v="2"/>
    <x v="19"/>
    <x v="0"/>
  </r>
  <r>
    <x v="431"/>
    <s v="ALDI 156.SZ. BUDAORS 12.173,00 HUF Vásárlás"/>
    <n v="-12173"/>
    <x v="3"/>
    <x v="4"/>
    <x v="0"/>
  </r>
  <r>
    <x v="431"/>
    <s v="SIMPLE PARKOL S BUDAPEST 1.042,00 HUF Vásárlás"/>
    <n v="-1042"/>
    <x v="5"/>
    <x v="9"/>
    <x v="0"/>
  </r>
  <r>
    <x v="432"/>
    <s v="HUN-MARTONVASAR MARTON MARKET Vásárlás(2022.10.15) Card:5444-0XXX-XX68-8737 MCC5411 HUN-MARTONVASAR MARTON MARKET 1.755,00 HUF Kártyatranzakció"/>
    <n v="-1755"/>
    <x v="3"/>
    <x v="4"/>
    <x v="0"/>
  </r>
  <r>
    <x v="432"/>
    <s v="HUN-BUDAPEST BARIONP*BARION.COM/GUE Vásárlás(2022.10.15) Card:5444-0XXX-XX68-8737 MCC7299 HUN-BUDAPEST BARIONP*BARION.COM/GUE 8.439,00 HUF Kártyatranzakció"/>
    <n v="-8439"/>
    <x v="7"/>
    <x v="15"/>
    <x v="0"/>
  </r>
  <r>
    <x v="432"/>
    <s v="KISKIFLI KAVEZO BUDAPEST 1.180,00 HUF Vásárlás"/>
    <n v="-1180"/>
    <x v="2"/>
    <x v="19"/>
    <x v="0"/>
  </r>
  <r>
    <x v="432"/>
    <s v="LIDL ARUHAZ 0254.SZ. SOLT 4.870,00 HUF Vásárlás"/>
    <n v="-4870"/>
    <x v="3"/>
    <x v="4"/>
    <x v="0"/>
  </r>
  <r>
    <x v="432"/>
    <s v="LIDL ARUHAZ 0254.SZ. SOLT 3.820,00 HUF Vásárlás"/>
    <n v="-3820"/>
    <x v="3"/>
    <x v="4"/>
    <x v="0"/>
  </r>
  <r>
    <x v="432"/>
    <s v="TESCO 41880 KISKOROS 16.970,00 HUF Vásárlás"/>
    <n v="-16970"/>
    <x v="3"/>
    <x v="4"/>
    <x v="0"/>
  </r>
  <r>
    <x v="433"/>
    <s v="FERMENTO BUDAPEST 11.385,00 HUF Vásárlás"/>
    <n v="-11385"/>
    <x v="2"/>
    <x v="10"/>
    <x v="0"/>
  </r>
  <r>
    <x v="433"/>
    <s v="SIMPLE PARKOL S BUDAPEST 709,00 HUF Vásárlás"/>
    <n v="-709"/>
    <x v="5"/>
    <x v="9"/>
    <x v="0"/>
  </r>
  <r>
    <x v="434"/>
    <s v="HUN-MARTONVASAR TESCO 44089 Vásárlás(2022.10.12) Card:5444-0XXX-XX68-8737 MCC5311 HUN-MARTONVASAR TESCO 44089 643,00 HUF Kártyatranzakció"/>
    <n v="-643"/>
    <x v="3"/>
    <x v="4"/>
    <x v="0"/>
  </r>
  <r>
    <x v="435"/>
    <s v="BUDAO RS BENZINKU'T AU BUDAORS 10.000,00 HUF Vásárlás"/>
    <n v="-10000"/>
    <x v="5"/>
    <x v="16"/>
    <x v="0"/>
  </r>
  <r>
    <x v="435"/>
    <s v="BUDAO RS BENZINKU'T AU BUDAORS 2.412,00 HUF Vásárlás"/>
    <n v="-2412"/>
    <x v="5"/>
    <x v="16"/>
    <x v="0"/>
  </r>
  <r>
    <x v="435"/>
    <s v="Auchan Budaors Budaors 22.470,00 HUF Vásárlás"/>
    <n v="-22470"/>
    <x v="3"/>
    <x v="4"/>
    <x v="0"/>
  </r>
  <r>
    <x v="435"/>
    <s v="TESCO 41520 O NKISZOLG BUDAORS 799,00 HUF Vásárlás"/>
    <n v="-799"/>
    <x v="3"/>
    <x v="4"/>
    <x v="0"/>
  </r>
  <r>
    <x v="436"/>
    <s v="KISKIFLI KAVEZO BUDAPEST 3.590,00 HUF Vásárlás"/>
    <n v="-3590"/>
    <x v="2"/>
    <x v="19"/>
    <x v="0"/>
  </r>
  <r>
    <x v="437"/>
    <s v="IKEA BUDAORS UGYFE Budaors 4.990,00 HUF Vásárlás"/>
    <n v="-4990"/>
    <x v="0"/>
    <x v="35"/>
    <x v="0"/>
  </r>
  <r>
    <x v="437"/>
    <s v="Cafe Frei Budapest- No Budapest 2.820,00 HUF Vásárlás 6,50 USD"/>
    <n v="-2820"/>
    <x v="2"/>
    <x v="19"/>
    <x v="0"/>
  </r>
  <r>
    <x v="438"/>
    <s v="PL:P/10OCT22 Tőkefizetés Hitel /21-41194/"/>
    <n v="-213490.45"/>
    <x v="0"/>
    <x v="21"/>
    <x v="0"/>
  </r>
  <r>
    <x v="438"/>
    <s v="HUN-Budaors IKEA BUDAORS ETTEREM Vásárlás(2022.10.07) Card:5444-0XXX-XX68-8737 MCC5814 HUN-Budaors IKEA BUDAORS ETTEREM 490,00 HUF Kártyatranzakció"/>
    <n v="-490"/>
    <x v="2"/>
    <x v="2"/>
    <x v="0"/>
  </r>
  <r>
    <x v="438"/>
    <s v="HUN-Martonvasar POSTA5324 Vásárlás(2022.10.07) Card:5444-0XXX-XX68-8737 MCC4900 HUN-Martonvasar POSTA5324 2.060,00 HUF Kártyatranzakció"/>
    <n v="-2060"/>
    <x v="3"/>
    <x v="30"/>
    <x v="0"/>
  </r>
  <r>
    <x v="438"/>
    <s v="HUN-BUDAPEST H&amp;M Hennes &amp; Mauritz K Vásárlás(2022.10.07) Card:5444-0XXX-XX68-8737 MCC5651 HUN-BUDAPEST H&amp;M Hennes &amp; Mauritz K 10.285,00 HUF Kártyatranzakció"/>
    <n v="-10285"/>
    <x v="3"/>
    <x v="30"/>
    <x v="0"/>
  </r>
  <r>
    <x v="438"/>
    <s v="HUN-BUDAPEST BRENDON WEBARUHAZ Vásárlás(2022.10.07) Card:5444-0XXX-XX68-8737 MCC5331 HUN-BUDAPEST BRENDON WEBARUHAZ 27.892,00 HUF Kártyatranzakció"/>
    <n v="-27892"/>
    <x v="3"/>
    <x v="3"/>
    <x v="0"/>
  </r>
  <r>
    <x v="438"/>
    <s v="PL:I/10OCT22 Kamatfizetés  Hitel /21-41194/"/>
    <n v="-48314.34"/>
    <x v="0"/>
    <x v="21"/>
    <x v="0"/>
  </r>
  <r>
    <x v="438"/>
    <s v="IKEA BUDAORS ETTEREM Budaors 690,00 HUF Vásárlás"/>
    <n v="-690"/>
    <x v="2"/>
    <x v="2"/>
    <x v="0"/>
  </r>
  <r>
    <x v="438"/>
    <s v="MEDICINA PATIKA BUDAORS 6.914,00 HUF Vásárlás"/>
    <n v="-6914"/>
    <x v="7"/>
    <x v="5"/>
    <x v="0"/>
  </r>
  <r>
    <x v="438"/>
    <s v="LIDL ARUHAZ 0349.SZ. BUDAORS 6.623,00 HUF Vásárlás"/>
    <n v="-6623"/>
    <x v="3"/>
    <x v="4"/>
    <x v="0"/>
  </r>
  <r>
    <x v="438"/>
    <s v="TESCO 41520 O NKISZOLG BUDAORS 8.307,00 HUF Vásárlás"/>
    <n v="-8307"/>
    <x v="3"/>
    <x v="4"/>
    <x v="0"/>
  </r>
  <r>
    <x v="438"/>
    <s v="JAGUAR LAND ROVER HUNGARY KFT. Munkaber utalasMunkabér"/>
    <n v="924310"/>
    <x v="4"/>
    <x v="20"/>
    <x v="0"/>
  </r>
  <r>
    <x v="438"/>
    <s v="PL:P/10OCT22 Tőkefizetés Hitel /21-41194/"/>
    <n v="213490.45"/>
    <x v="0"/>
    <x v="21"/>
    <x v="1"/>
  </r>
  <r>
    <x v="439"/>
    <s v="Kemal Pasa"/>
    <n v="-2100"/>
    <x v="2"/>
    <x v="2"/>
    <x v="4"/>
  </r>
  <r>
    <x v="439"/>
    <s v="Cr Forgalmi kedvezmény"/>
    <n v="1672"/>
    <x v="1"/>
    <x v="1"/>
    <x v="0"/>
  </r>
  <r>
    <x v="439"/>
    <s v="KISKIFLI KAVEZO BUDAPEST 1.300,00 HUF Vásárlás"/>
    <n v="-1300"/>
    <x v="2"/>
    <x v="19"/>
    <x v="0"/>
  </r>
  <r>
    <x v="439"/>
    <s v="IKEA BUDAORS UGYFE Budaors 8.480,00 HUF Vásárlás"/>
    <n v="-8480"/>
    <x v="0"/>
    <x v="35"/>
    <x v="0"/>
  </r>
  <r>
    <x v="439"/>
    <s v="SIMPLE PARKOL S BUDAPEST 214,00 HUF Vásárlás"/>
    <n v="-214"/>
    <x v="5"/>
    <x v="9"/>
    <x v="0"/>
  </r>
  <r>
    <x v="439"/>
    <s v="ALDI 156.SZ. BUDAORS 10.738,00 HUF Vásárlás"/>
    <n v="-10738"/>
    <x v="3"/>
    <x v="4"/>
    <x v="0"/>
  </r>
  <r>
    <x v="440"/>
    <s v="HUN-MARTONVASAR MARTON MARKET Vásárlás(2022.10.03) Card:5444-0XXX-XX68-8737 MCC5411 HUN-MARTONVASAR MARTON MARKET 1.627,00 HUF Kártyatranzakció"/>
    <n v="-1627"/>
    <x v="3"/>
    <x v="4"/>
    <x v="0"/>
  </r>
  <r>
    <x v="440"/>
    <s v="HUN-MARTONVASAR MARTONCOLOR FESTE'K Vásárlás(2022.10.03) Card:5444-0XXX-XX68-8737 MCC5198 HUN-MARTONVASAR MARTONCOLOR FESTE'K 2.340,00 HUF Kártyatranzakció"/>
    <n v="-2340"/>
    <x v="0"/>
    <x v="6"/>
    <x v="0"/>
  </r>
  <r>
    <x v="441"/>
    <s v="10032000-00282637-00000000 OKTATÁSI HIVATAL MUNKABÉR UTALÁS Bejövő Forint Átutalás"/>
    <n v="334894"/>
    <x v="4"/>
    <x v="20"/>
    <x v="0"/>
  </r>
  <r>
    <x v="441"/>
    <s v="HUN-BUDAPEST H&amp;M Hennes &amp; Mauritz K Áru vissza/befizetés(2022.10.03) Card:5444-0XXX-XX68-8737 MCC5651 HUN-BUDAPEST H&amp;M Hennes &amp; Mauritz K 17.485,00 HUF Kártyatranzakció"/>
    <n v="17485"/>
    <x v="3"/>
    <x v="30"/>
    <x v="0"/>
  </r>
  <r>
    <x v="441"/>
    <s v="10700691-61570722-51100005 Barabás Anna 2022-100 Kimenő azonnali megbízás"/>
    <n v="-60000"/>
    <x v="7"/>
    <x v="17"/>
    <x v="0"/>
  </r>
  <r>
    <x v="441"/>
    <s v="MAGLO'D BENZINKU'T AUT MAGLOD 25.000,00 HUF Vásárlás"/>
    <n v="-25000"/>
    <x v="5"/>
    <x v="16"/>
    <x v="0"/>
  </r>
  <r>
    <x v="441"/>
    <s v="TELEKOMSZAML 518705487 BUDAPEST 7.080,00 HUF Vásárlás 16,47 USD"/>
    <n v="-7080"/>
    <x v="0"/>
    <x v="7"/>
    <x v="0"/>
  </r>
  <r>
    <x v="442"/>
    <s v="HUN-BUDAPEST PHILLIPPOS GYROS BAR Vásárlás(2022.09.30) Card:5444-0XXX-XX68-8737 MCC5814 HUN-BUDAPEST PHILLIPPOS GYROS BAR 1.450,00 HUF Kártyatranzakció"/>
    <n v="-1450"/>
    <x v="2"/>
    <x v="2"/>
    <x v="0"/>
  </r>
  <r>
    <x v="442"/>
    <s v="DM 316.SZ. GARDONY 5.415,00 HUF Vásárlás"/>
    <n v="-5415"/>
    <x v="3"/>
    <x v="4"/>
    <x v="0"/>
  </r>
  <r>
    <x v="442"/>
    <s v="ALDI 156.SZ. BUDAORS 1.672,00 HUF Vásárlás"/>
    <n v="-1672"/>
    <x v="3"/>
    <x v="4"/>
    <x v="0"/>
  </r>
  <r>
    <x v="442"/>
    <s v="ALDI 5.SZ. GARDONY 10.296,00 HUF Vásárlás"/>
    <n v="-10296"/>
    <x v="3"/>
    <x v="4"/>
    <x v="0"/>
  </r>
  <r>
    <x v="442"/>
    <s v="ALDI 5.SZ. GARDONY 5.942,00 HUF Vásárlás"/>
    <n v="-5942"/>
    <x v="3"/>
    <x v="4"/>
    <x v="0"/>
  </r>
  <r>
    <x v="442"/>
    <s v="LIDL ARUHAZ 0306.SZ. AGARD 9.854,00 HUF Vásárlás"/>
    <n v="-9854"/>
    <x v="3"/>
    <x v="4"/>
    <x v="0"/>
  </r>
  <r>
    <x v="443"/>
    <s v="Kemal Pasa"/>
    <n v="-2600"/>
    <x v="2"/>
    <x v="2"/>
    <x v="4"/>
  </r>
  <r>
    <x v="444"/>
    <s v="Int.Appl. to   30/09/22"/>
    <n v="43.13"/>
    <x v="1"/>
    <x v="34"/>
    <x v="0"/>
  </r>
  <r>
    <x v="444"/>
    <s v="CRT to         30/09/22"/>
    <n v="-6.47"/>
    <x v="1"/>
    <x v="34"/>
    <x v="0"/>
  </r>
  <r>
    <x v="444"/>
    <s v="Havi zárlati díj"/>
    <n v="-1941"/>
    <x v="1"/>
    <x v="1"/>
    <x v="0"/>
  </r>
  <r>
    <x v="444"/>
    <s v="HUN-BICSKE GLS D120 DEPO' Vásárlás(2022.09.28) Card:5444-0XXX-XX68-8737 MCC4214 HUN-BICSKE GLS D120 DEPO' 15.930,00 HUF Kártyatranzakció"/>
    <n v="-15930"/>
    <x v="3"/>
    <x v="4"/>
    <x v="0"/>
  </r>
  <r>
    <x v="444"/>
    <s v="Kamatadó"/>
    <n v="-2.51"/>
    <x v="1"/>
    <x v="34"/>
    <x v="0"/>
  </r>
  <r>
    <x v="444"/>
    <s v="BOSCH 101 KANTIN BUDAPEST 1.071,00 HUF Vásárlás"/>
    <n v="-1071"/>
    <x v="2"/>
    <x v="2"/>
    <x v="0"/>
  </r>
  <r>
    <x v="444"/>
    <s v="Auchan Maglod Maglod 20.565,00 HUF Vásárlás"/>
    <n v="-20565"/>
    <x v="3"/>
    <x v="4"/>
    <x v="0"/>
  </r>
  <r>
    <x v="444"/>
    <s v="Kamat"/>
    <n v="16.72"/>
    <x v="1"/>
    <x v="34"/>
    <x v="0"/>
  </r>
  <r>
    <x v="445"/>
    <s v="HUN-MARTONVASAR TESCO 44089 Vásárlás(2022.09.27) Card:5444-0XXX-XX68-8737 MCC5311 HUN-MARTONVASAR TESCO 44089 689,00 HUF Kártyatranzakció"/>
    <n v="-689"/>
    <x v="3"/>
    <x v="4"/>
    <x v="0"/>
  </r>
  <r>
    <x v="446"/>
    <s v="HUN-MARTONVASAR TESCO 44089 Vásárlás(2022.09.26) Card:5444-0XXX-XX68-8737 MCC5311 HUN-MARTONVASAR TESCO 44089 814,00 HUF Kártyatranzakció"/>
    <n v="-814"/>
    <x v="3"/>
    <x v="4"/>
    <x v="0"/>
  </r>
  <r>
    <x v="446"/>
    <s v="SIMPLE PARKOL S BUDAPEST 319,00 HUF Vásárlás"/>
    <n v="-319"/>
    <x v="5"/>
    <x v="9"/>
    <x v="0"/>
  </r>
  <r>
    <x v="446"/>
    <s v="SIMPLE PARKOL S BUDAPEST 1.889,00 HUF Vásárlás"/>
    <n v="-1889"/>
    <x v="5"/>
    <x v="9"/>
    <x v="0"/>
  </r>
  <r>
    <x v="446"/>
    <s v="NETFLIX.COM 408-724-9160 3.490,00 HUF Vásárlás 8,25 USD"/>
    <n v="-3490"/>
    <x v="0"/>
    <x v="7"/>
    <x v="0"/>
  </r>
  <r>
    <x v="447"/>
    <s v="HUN-BUDAORS MEDICINA PATIKA Vásárlás(2022.09.25) Card:5444-0XXX-XX68-8737 MCC5912 HUN-BUDAORS MEDICINA PATIKA 16.856,00 HUF Kártyatranzakció"/>
    <n v="-16856"/>
    <x v="7"/>
    <x v="5"/>
    <x v="0"/>
  </r>
  <r>
    <x v="448"/>
    <s v="HUN-MARTONVASAR MARTON MARKET Vásárlás(2022.09.22) Card:5444-0XXX-XX68-8737 MCC5411 HUN-MARTONVASAR MARTON MARKET 507,00 HUF Kártyatranzakció"/>
    <n v="-507"/>
    <x v="3"/>
    <x v="4"/>
    <x v="0"/>
  </r>
  <r>
    <x v="448"/>
    <s v="HUN-BUDAPEST PHILLIPPOS GYROS BAR Vásárlás(2022.09.23) Card:5444-0XXX-XX68-8737 MCC5814 HUN-BUDAPEST PHILLIPPOS GYROS BAR 2.490,00 HUF Kártyatranzakció"/>
    <n v="-2490"/>
    <x v="2"/>
    <x v="2"/>
    <x v="0"/>
  </r>
  <r>
    <x v="448"/>
    <s v="HUN-BUDAPEST Dr. Bogdan and Dr. Gye Vásárlás(2022.09.22) Card:5444-0XXX-XX68-8737 MCC8021 HUN-BUDAPEST Dr. Bogdan and Dr. Gye 35.000,00 HUF Kártyatranzakció"/>
    <n v="-35000"/>
    <x v="7"/>
    <x v="17"/>
    <x v="0"/>
  </r>
  <r>
    <x v="448"/>
    <s v="KARSAINÉ GASSER MÁRIA -"/>
    <n v="24000"/>
    <x v="3"/>
    <x v="8"/>
    <x v="0"/>
  </r>
  <r>
    <x v="448"/>
    <s v="IKEA BUDAORS UGYFE Budaors 22.540,00 HUF Vásárlás"/>
    <n v="-22540"/>
    <x v="0"/>
    <x v="35"/>
    <x v="0"/>
  </r>
  <r>
    <x v="448"/>
    <s v="SIMPLE PARKOL S BUDAPEST 329,00 HUF Vásárlás"/>
    <n v="-329"/>
    <x v="5"/>
    <x v="9"/>
    <x v="0"/>
  </r>
  <r>
    <x v="448"/>
    <s v="ALDI 156.SZ. BUDAORS 6.130,00 HUF Vásárlás"/>
    <n v="-6130"/>
    <x v="3"/>
    <x v="4"/>
    <x v="0"/>
  </r>
  <r>
    <x v="448"/>
    <s v="IKEA BUDAORS ETTEREM Budaors 490,00 HUF Vásárlás"/>
    <n v="-490"/>
    <x v="2"/>
    <x v="2"/>
    <x v="0"/>
  </r>
  <r>
    <x v="448"/>
    <s v="LIDL ARUHAZ 0349.SZ. BUDAORS 6.283,00 HUF Vásárlás"/>
    <n v="-6283"/>
    <x v="3"/>
    <x v="4"/>
    <x v="0"/>
  </r>
  <r>
    <x v="448"/>
    <s v="Kemal Pasa Torok Et Budapest 1.900,00 HUF Vásárlás"/>
    <n v="-1900"/>
    <x v="2"/>
    <x v="2"/>
    <x v="0"/>
  </r>
  <r>
    <x v="449"/>
    <s v="IKEA BUDAORS ETTEREM Budaors 1.000,00 HUF Vásárlás"/>
    <n v="-1000"/>
    <x v="2"/>
    <x v="2"/>
    <x v="0"/>
  </r>
  <r>
    <x v="450"/>
    <s v="HUN-Törökbalint dm Kft. Vásárlás(2022.09.20) Card:5444-0XXX-XX68-8737 MCC5977 HUN-Törökbalint dm Kft. 21.806,00 HUF Kártyatranzakció"/>
    <n v="-21806"/>
    <x v="3"/>
    <x v="4"/>
    <x v="0"/>
  </r>
  <r>
    <x v="450"/>
    <s v="HUN-BUDAPEST H&amp;M Hennes &amp; Mauritz K Vásárlás(2022.09.21) Card:5444-0XXX-XX68-8737 MCC5651 HUN-BUDAPEST H&amp;M Hennes &amp; Mauritz K 39.970,00 HUF Kártyatranzakció"/>
    <n v="-39970"/>
    <x v="3"/>
    <x v="30"/>
    <x v="0"/>
  </r>
  <r>
    <x v="450"/>
    <s v="SUPER WOK BUDAPEST 1.450,00 HUF Vásárlás"/>
    <n v="-1450"/>
    <x v="2"/>
    <x v="2"/>
    <x v="0"/>
  </r>
  <r>
    <x v="450"/>
    <s v="ALDI 156.SZ. BUDAORS 4.803,00 HUF Vásárlás"/>
    <n v="-4803"/>
    <x v="3"/>
    <x v="4"/>
    <x v="0"/>
  </r>
  <r>
    <x v="451"/>
    <s v="JAGUAR LAND ROVER HUNGARY KFT."/>
    <n v="25917"/>
    <x v="4"/>
    <x v="20"/>
    <x v="4"/>
  </r>
  <r>
    <x v="451"/>
    <s v="JAGUAR LAND ROVER HUNGARY KFT."/>
    <n v="7670"/>
    <x v="4"/>
    <x v="20"/>
    <x v="4"/>
  </r>
  <r>
    <x v="451"/>
    <s v="DEU-HAMBURG WWW.ABOUTYOU.HU Vásárlás(2022.09.19) Card:5444-0XXX-XX68-8737 MCC5311 DEU-HAMBURG WWW.ABOUTYOU.HU 27.990,00 HUF Kártyatranzakció"/>
    <n v="-27990"/>
    <x v="3"/>
    <x v="30"/>
    <x v="0"/>
  </r>
  <r>
    <x v="451"/>
    <s v="POL-LODZ WWW.BONPRIX.HU Vásárlás(2022.09.19) Card:5444-0XXX-XX68-8737 MCC5311 POL-LODZ WWW.BONPRIX.HU 36.187,00 HUF Kártyatranzakció"/>
    <n v="-36187"/>
    <x v="3"/>
    <x v="30"/>
    <x v="0"/>
  </r>
  <r>
    <x v="451"/>
    <s v="HUN-Budapest IKEA HU ecom Vásárlás(2022.09.19) Card:5444-0XXX-XX68-8737 MCC5712 HUN-Budapest IKEA HU ecom 73.680,00 HUF Kártyatranzakció"/>
    <n v="-73680"/>
    <x v="0"/>
    <x v="35"/>
    <x v="0"/>
  </r>
  <r>
    <x v="451"/>
    <s v="VIANNI U ZLET MARTONVASAR 1.380,00 HUF Vásárlás"/>
    <n v="-1380"/>
    <x v="3"/>
    <x v="4"/>
    <x v="0"/>
  </r>
  <r>
    <x v="452"/>
    <s v="OMV 2087 M7 Kajaszo b 18.293,00 HUF Vásárlás"/>
    <n v="-18293"/>
    <x v="5"/>
    <x v="16"/>
    <x v="0"/>
  </r>
  <r>
    <x v="452"/>
    <s v="OTPMOBL GENERTEL.HU BUDAPEST 42.233,00 HUF Vásárlás"/>
    <n v="-42233"/>
    <x v="5"/>
    <x v="16"/>
    <x v="0"/>
  </r>
  <r>
    <x v="452"/>
    <s v="Revolut 8767 Dublin 25.000,00 HUF Vásárlás 61,51 USD"/>
    <n v="-25000"/>
    <x v="3"/>
    <x v="8"/>
    <x v="0"/>
  </r>
  <r>
    <x v="453"/>
    <s v="HUN-Budapest sin-say.com/hu/hu/ Áru vissza/befizetés(2022.09.15) Card:5444-0XXX-XX68-8737 MCC5611 HUN-Budapest sin-say.com/hu/hu/ 3.995,00 HUF Kártyatranzakció"/>
    <n v="3995"/>
    <x v="3"/>
    <x v="30"/>
    <x v="0"/>
  </r>
  <r>
    <x v="453"/>
    <s v="HUN-MARTONVASAR VIANNI U:ZLET Vásárlás(2022.09.15) Card:5444-0XXX-XX68-8737 MCC5399 HUN-MARTONVASAR VIANNI U:ZLET 880,00 HUF Kártyatranzakció"/>
    <n v="-880"/>
    <x v="3"/>
    <x v="4"/>
    <x v="0"/>
  </r>
  <r>
    <x v="453"/>
    <s v="HUN-MARTONVASAR MARTON KLINIK Vásárlás(2022.09.16) Card:5444-0XXX-XX68-8737 MCC8099 HUN-MARTONVASAR MARTON KLINIK 8.100,00 HUF Kártyatranzakció"/>
    <n v="-8100"/>
    <x v="7"/>
    <x v="17"/>
    <x v="0"/>
  </r>
  <r>
    <x v="453"/>
    <s v="HUN-BUDAORS DM 311.SZ. Vásárlás(2022.09.17) Card:5444-0XXX-XX68-8737 MCC5977 HUN-BUDAORS DM 311.SZ. 10.273,00 HUF Kártyatranzakció"/>
    <n v="-10273"/>
    <x v="3"/>
    <x v="4"/>
    <x v="0"/>
  </r>
  <r>
    <x v="453"/>
    <s v="HUN-BUDAORS H&amp;M HU0341 Vásárlás(2022.09.17) Card:5444-0XXX-XX68-8737 MCC5691 HUN-BUDAORS H&amp;M HU0341 11.990,00 HUF Kártyatranzakció"/>
    <n v="-11990"/>
    <x v="3"/>
    <x v="30"/>
    <x v="0"/>
  </r>
  <r>
    <x v="453"/>
    <s v="HUN-BUDAORS HA'DA HASZNA'LTRUHA U: Vásárlás(2022.09.17) Card:5444-0XXX-XX68-8737 MCC5691 HUN-BUDAORS HA'DA HASZNA'LTRUHA U: 11.998,00 HUF Kártyatranzakció"/>
    <n v="-11998"/>
    <x v="3"/>
    <x v="30"/>
    <x v="0"/>
  </r>
  <r>
    <x v="453"/>
    <s v="HUN-Budapest www.doranatura.hu Vásárlás(2022.09.17) Card:5444-0XXX-XX68-8737 MCC5977 HUN-Budapest www.doranatura.hu 14.740,00 HUF Kártyatranzakció"/>
    <n v="-14740"/>
    <x v="7"/>
    <x v="14"/>
    <x v="0"/>
  </r>
  <r>
    <x v="453"/>
    <s v="TESCO 41520 O NKISZOLG BUDAORS 12.049,00 HUF Vásárlás"/>
    <n v="-12049"/>
    <x v="3"/>
    <x v="4"/>
    <x v="0"/>
  </r>
  <r>
    <x v="453"/>
    <s v="BAUHAUS SZIGETSZENTMIK SZIGETSZENTM 32.788,00 HUF Vásárlás"/>
    <n v="-32788"/>
    <x v="0"/>
    <x v="6"/>
    <x v="0"/>
  </r>
  <r>
    <x v="453"/>
    <s v="TESCO 44089 MARTONVASAR 1.098,00 HUF Vásárlás"/>
    <n v="-1098"/>
    <x v="3"/>
    <x v="4"/>
    <x v="0"/>
  </r>
  <r>
    <x v="453"/>
    <s v="VARTA MINTABOLT BUDAPEST 23.990,00 HUF Vásárlás"/>
    <n v="-23990"/>
    <x v="3"/>
    <x v="31"/>
    <x v="0"/>
  </r>
  <r>
    <x v="454"/>
    <s v="HUN-BUDAPEST HELLOPAY ZRT-KERESKEDO Vásárlás(2022.09.13) Card:5444-0XXX-XX68-8737 MCC7999 HUN-BUDAPEST HELLOPAY ZRT-KERESKEDO 380,00 HUF Kártyatranzakció"/>
    <n v="-380"/>
    <x v="3"/>
    <x v="8"/>
    <x v="0"/>
  </r>
  <r>
    <x v="454"/>
    <s v="HUN-BUDAPEST BOUTIQUE ALLEE Vásárlás(2022.09.13) Card:5444-0XXX-XX68-8737 MCC5399 HUN-BUDAPEST BOUTIQUE ALLEE 4.650,00 HUF Kártyatranzakció"/>
    <n v="-4650"/>
    <x v="3"/>
    <x v="30"/>
    <x v="0"/>
  </r>
  <r>
    <x v="454"/>
    <s v="HUN-BUDAPEST SPAR MAGYARORSZAG KFT Vásárlás(2022.09.13) Card:5444-0XXX-XX68-8737 MCC5411 HUN-BUDAPEST SPAR MAGYARORSZAG KFT 4.963,00 HUF Kártyatranzakció"/>
    <n v="-4963"/>
    <x v="3"/>
    <x v="4"/>
    <x v="0"/>
  </r>
  <r>
    <x v="454"/>
    <s v="HUN-BUDAPEST H&amp;M HU0309 Vásárlás(2022.09.13) Card:5444-0XXX-XX68-8737 MCC5691 HUN-BUDAPEST H&amp;M HU0309 22.486,00 HUF Kártyatranzakció"/>
    <n v="-22486"/>
    <x v="3"/>
    <x v="30"/>
    <x v="0"/>
  </r>
  <r>
    <x v="454"/>
    <s v="Kemal Pasa Torok Et Budapest 2.100,00 HUF Vásárlás"/>
    <n v="-2100"/>
    <x v="2"/>
    <x v="2"/>
    <x v="0"/>
  </r>
  <r>
    <x v="454"/>
    <s v="OTPMOBL NAV EFER BUDAPEST 29.250,00 HUF Vásárlás"/>
    <n v="-29250"/>
    <x v="5"/>
    <x v="16"/>
    <x v="0"/>
  </r>
  <r>
    <x v="454"/>
    <s v="VIANNI U ZLET MARTONVASAR 220,00 HUF Vásárlás"/>
    <n v="-220"/>
    <x v="3"/>
    <x v="4"/>
    <x v="0"/>
  </r>
  <r>
    <x v="454"/>
    <s v="Lipoti Pekseg Budapest 990,00 HUF Vásárlás 2,46 USD"/>
    <n v="-990"/>
    <x v="2"/>
    <x v="2"/>
    <x v="0"/>
  </r>
  <r>
    <x v="455"/>
    <s v="HUN-BUDAORS SZENT JOBB GYO'GYSZERT Vásárlás(2022.09.12) Card:5444-0XXX-XX68-8737 MCC5912 HUN-BUDAORS SZENT JOBB GYO'GYSZERT 780,00 HUF Kártyatranzakció"/>
    <n v="-780"/>
    <x v="7"/>
    <x v="5"/>
    <x v="0"/>
  </r>
  <r>
    <x v="455"/>
    <s v="BUDAO RS BENZINKU'T AU BUDAORS 24.000,00 HUF Vásárlás"/>
    <n v="-24000"/>
    <x v="5"/>
    <x v="16"/>
    <x v="0"/>
  </r>
  <r>
    <x v="455"/>
    <s v="PRAKTIKER 333. BUDAORS 969,00 HUF Vásárlás"/>
    <n v="-969"/>
    <x v="0"/>
    <x v="6"/>
    <x v="0"/>
  </r>
  <r>
    <x v="455"/>
    <s v="OTPMOBL DIJNET.HU BUDAPEST 6.944,00 HUF Vásárlás"/>
    <n v="-6944"/>
    <x v="0"/>
    <x v="23"/>
    <x v="0"/>
  </r>
  <r>
    <x v="455"/>
    <s v="BELLOZZO ALLEE BUDAPEST 3.610,00 HUF Vásárlás"/>
    <n v="-3610"/>
    <x v="2"/>
    <x v="2"/>
    <x v="0"/>
  </r>
  <r>
    <x v="455"/>
    <s v="SIMPLE PARKOL S BUDAPEST 389,00 HUF Vásárlás"/>
    <n v="-389"/>
    <x v="5"/>
    <x v="9"/>
    <x v="0"/>
  </r>
  <r>
    <x v="455"/>
    <s v="SIMPLE PARKOL S BUDAPEST 1.439,00 HUF Vásárlás"/>
    <n v="-1439"/>
    <x v="5"/>
    <x v="9"/>
    <x v="0"/>
  </r>
  <r>
    <x v="455"/>
    <s v="PM-ABACUS FIZETO'AUT 4 BUDAPEST 1.050,00 HUF Vásárlás"/>
    <n v="-1050"/>
    <x v="5"/>
    <x v="9"/>
    <x v="0"/>
  </r>
  <r>
    <x v="456"/>
    <s v="BOHACS BARKACS ERD 22.231,00 HUF Vásárlás"/>
    <n v="-22231"/>
    <x v="0"/>
    <x v="6"/>
    <x v="0"/>
  </r>
  <r>
    <x v="457"/>
    <s v="TESCO 44089 O NKISZOLG MARTONVASAR 1.439,00 HUF Vásárlás"/>
    <n v="-1439"/>
    <x v="3"/>
    <x v="4"/>
    <x v="0"/>
  </r>
  <r>
    <x v="458"/>
    <s v="HUN-BUDAPEST OTPMOBL*JEGY.MAV.HU Vásárlás(2022.09.08) Card:5444-0XXX-XX68-8737 MCC4112 HUN-BUDAPEST OTPMOBL*JEGY.MAV.HU 293,00 HUF Kártyatranzakció"/>
    <n v="-293"/>
    <x v="5"/>
    <x v="28"/>
    <x v="0"/>
  </r>
  <r>
    <x v="458"/>
    <s v="HUN-BUDAPEST Dr. Bogdan and Dr. Gye Vásárlás(2022.09.08) Card:5444-0XXX-XX68-8737 MCC8021 HUN-BUDAPEST Dr. Bogdan and Dr. Gye 15.000,00 HUF Kártyatranzakció"/>
    <n v="-15000"/>
    <x v="7"/>
    <x v="17"/>
    <x v="0"/>
  </r>
  <r>
    <x v="458"/>
    <s v="HUN-Törökbalint dm Kft. Vásárlás(2022.09.08) Card:5444-0XXX-XX68-8737 MCC5977 HUN-Törökbalint dm Kft. 22.495,00 HUF Kártyatranzakció"/>
    <n v="-22495"/>
    <x v="3"/>
    <x v="4"/>
    <x v="0"/>
  </r>
  <r>
    <x v="458"/>
    <s v="LIDL ARUHAZ 0349.SZ. BUDAORS 14.793,00 HUF Vásárlás"/>
    <n v="-14793"/>
    <x v="3"/>
    <x v="4"/>
    <x v="0"/>
  </r>
  <r>
    <x v="458"/>
    <s v="VIANNI U ZLET MARTONVASAR 1.360,00 HUF Vásárlás"/>
    <n v="-1360"/>
    <x v="3"/>
    <x v="4"/>
    <x v="0"/>
  </r>
  <r>
    <x v="458"/>
    <s v="OBI 010 BUDAORS 11.051,00 HUF Vásárlás"/>
    <n v="-11051"/>
    <x v="0"/>
    <x v="6"/>
    <x v="0"/>
  </r>
  <r>
    <x v="458"/>
    <s v="MARTONCOLOR FESTE'K MARTONVASAR 6.450,00 HUF Vásárlás"/>
    <n v="-6450"/>
    <x v="0"/>
    <x v="6"/>
    <x v="0"/>
  </r>
  <r>
    <x v="458"/>
    <s v="LIPO'TI PE'KSE'G E'S K SALGOTARJAN 810,00 HUF Vásárlás"/>
    <n v="-810"/>
    <x v="2"/>
    <x v="2"/>
    <x v="0"/>
  </r>
  <r>
    <x v="458"/>
    <s v="Martonvásár Város Önkormányzata Azon 8325"/>
    <n v="-14250"/>
    <x v="0"/>
    <x v="0"/>
    <x v="0"/>
  </r>
  <r>
    <x v="459"/>
    <s v="PL:P/10SEP22 Tőkefizetés Hitel /21-41194/"/>
    <n v="-211450.26"/>
    <x v="0"/>
    <x v="21"/>
    <x v="0"/>
  </r>
  <r>
    <x v="459"/>
    <s v="PL:I/10SEP22 Kamatfizetés  Hitel /21-41194/"/>
    <n v="-50354.53"/>
    <x v="0"/>
    <x v="21"/>
    <x v="0"/>
  </r>
  <r>
    <x v="459"/>
    <s v="PL:P/10SEP22 Tőkefizetés Hitel /21-41194/"/>
    <n v="211450.26"/>
    <x v="0"/>
    <x v="21"/>
    <x v="1"/>
  </r>
  <r>
    <x v="460"/>
    <s v="Burger King Budaörs"/>
    <n v="-6990"/>
    <x v="2"/>
    <x v="2"/>
    <x v="4"/>
  </r>
  <r>
    <x v="460"/>
    <s v="HUN-Agard LIDL 0306 Agard Vásárlás(2022.09.08) Card:5444-0XXX-XX68-8737 MCC5411 HUN-Agard LIDL 0306 Agard 34.282,00 HUF Kártyatranzakció"/>
    <n v="-34282"/>
    <x v="3"/>
    <x v="4"/>
    <x v="0"/>
  </r>
  <r>
    <x v="460"/>
    <s v="JAGUAR LAND ROVER HUNGARY KFT. Munkaber utalasMunkabér"/>
    <n v="922389"/>
    <x v="4"/>
    <x v="20"/>
    <x v="0"/>
  </r>
  <r>
    <x v="461"/>
    <s v="HUN-BUDAPEST OTPMOBL*JEGY.MAV.HU Vásárlás(2022.09.06) Card:5444-0XXX-XX68-8737 MCC4112 HUN-BUDAPEST OTPMOBL*JEGY.MAV.HU 293,00 HUF Kártyatranzakció"/>
    <n v="-293"/>
    <x v="5"/>
    <x v="28"/>
    <x v="0"/>
  </r>
  <r>
    <x v="462"/>
    <s v="ZSU-ANN Étkezde"/>
    <n v="-3340"/>
    <x v="2"/>
    <x v="2"/>
    <x v="4"/>
  </r>
  <r>
    <x v="462"/>
    <s v="WHITE HOUSE BUDAPEST 655,00 HUF Vásárlás"/>
    <n v="-655"/>
    <x v="2"/>
    <x v="2"/>
    <x v="0"/>
  </r>
  <r>
    <x v="462"/>
    <s v="TESCO 41520 O NKISZOLG BUDAORS 14.051,00 HUF Vásárlás"/>
    <n v="-14051"/>
    <x v="3"/>
    <x v="4"/>
    <x v="0"/>
  </r>
  <r>
    <x v="463"/>
    <s v="Cr Forgalmi kedvezmény"/>
    <n v="1672"/>
    <x v="1"/>
    <x v="1"/>
    <x v="0"/>
  </r>
  <r>
    <x v="463"/>
    <s v="HUN-BUDAORS MEDICINA PATIKA Vásárlás(2022.09.04) Card:5444-0XXX-XX68-8737 MCC5912 HUN-BUDAORS MEDICINA PATIKA 4.752,00 HUF Kártyatranzakció"/>
    <n v="-4752"/>
    <x v="7"/>
    <x v="5"/>
    <x v="0"/>
  </r>
  <r>
    <x v="463"/>
    <s v="KISKIFLI KAVEZO BUDAPEST 1.300,00 HUF Vásárlás"/>
    <n v="-1300"/>
    <x v="2"/>
    <x v="19"/>
    <x v="0"/>
  </r>
  <r>
    <x v="464"/>
    <s v="10700691-61570722-51100005 Barabás Anna EV. 2022-59 Kimenő azonnali megbízás"/>
    <n v="-75000"/>
    <x v="7"/>
    <x v="17"/>
    <x v="0"/>
  </r>
  <r>
    <x v="464"/>
    <s v="ALDI 3.SZ. BUDAORS 9.861,00 HUF Vásárlás"/>
    <n v="-9861"/>
    <x v="3"/>
    <x v="4"/>
    <x v="0"/>
  </r>
  <r>
    <x v="464"/>
    <s v="TESCO 44089 O NKISZOLG MARTONVASAR 1.978,00 HUF Vásárlás"/>
    <n v="-1978"/>
    <x v="3"/>
    <x v="4"/>
    <x v="0"/>
  </r>
  <r>
    <x v="464"/>
    <s v="TESCO 41520 O NKISZOLG BUDAORS 6.398,00 HUF Vásárlás"/>
    <n v="-6398"/>
    <x v="3"/>
    <x v="4"/>
    <x v="0"/>
  </r>
  <r>
    <x v="464"/>
    <s v="MOUNTEX PRESSZO BUDAORS 1.600,00 HUF Vásárlás"/>
    <n v="-1600"/>
    <x v="2"/>
    <x v="19"/>
    <x v="0"/>
  </r>
  <r>
    <x v="464"/>
    <s v="SPAR MAGYARORSZAG KFT SALGOTARJAN 2.178,00 HUF Vásárlás"/>
    <n v="-2178"/>
    <x v="3"/>
    <x v="4"/>
    <x v="0"/>
  </r>
  <r>
    <x v="464"/>
    <s v="LIBRI SALGOTARJAN 10.000,00 HUF Vásárlás"/>
    <n v="-10000"/>
    <x v="3"/>
    <x v="24"/>
    <x v="0"/>
  </r>
  <r>
    <x v="464"/>
    <s v="LIDL ARUHAZ 0314.SZ. SALGOTARJAN 6.605,00 HUF Vásárlás"/>
    <n v="-6605"/>
    <x v="3"/>
    <x v="4"/>
    <x v="0"/>
  </r>
  <r>
    <x v="464"/>
    <s v="DM 311.SZ. BUDAORS 11.174,00 HUF Vásárlás"/>
    <n v="-11174"/>
    <x v="3"/>
    <x v="4"/>
    <x v="0"/>
  </r>
  <r>
    <x v="464"/>
    <s v="TELEKOMSZAML 511362246 BUDAPEST 7.080,00 HUF Vásárlás 17,66 USD"/>
    <n v="-7080"/>
    <x v="0"/>
    <x v="7"/>
    <x v="0"/>
  </r>
  <r>
    <x v="464"/>
    <s v="Alois Dallmayr Automat Biatorbagy 170,00 HUF Vásárlás 0,42 USD"/>
    <n v="-170"/>
    <x v="2"/>
    <x v="19"/>
    <x v="0"/>
  </r>
  <r>
    <x v="465"/>
    <s v="CATCH"/>
    <n v="-3500"/>
    <x v="2"/>
    <x v="2"/>
    <x v="4"/>
  </r>
  <r>
    <x v="465"/>
    <s v="10032000-00282637-00000000 OKTATÁSI HIVATAL MUNKABÉR UTALÁS Bejövő Forint Átutalás"/>
    <n v="266000"/>
    <x v="4"/>
    <x v="20"/>
    <x v="0"/>
  </r>
  <r>
    <x v="465"/>
    <s v="KISKIFLI KAVEZO BUDAPEST 1.300,00 HUF Vásárlás"/>
    <n v="-1300"/>
    <x v="2"/>
    <x v="19"/>
    <x v="0"/>
  </r>
  <r>
    <x v="466"/>
    <s v="Burger King Budaörs"/>
    <n v="-6170"/>
    <x v="2"/>
    <x v="2"/>
    <x v="4"/>
  </r>
  <r>
    <x v="466"/>
    <s v="HUN-GARDONY ALDI 5.SZ. Vásárlás(2022.08.29) Card:5444-0XXX-XX68-8737 MCC5411 HUN-GARDONY ALDI 5.SZ. 2.967,00 HUF Kártyatranzakció"/>
    <n v="-2967"/>
    <x v="3"/>
    <x v="4"/>
    <x v="0"/>
  </r>
  <r>
    <x v="466"/>
    <s v="HUN-MARTONVASAR MARTON MARKET Vásárlás(2022.08.30) Card:5444-0XXX-XX68-8737 MCC5411 HUN-MARTONVASAR MARTON MARKET 3.296,00 HUF Kártyatranzakció"/>
    <n v="-3296"/>
    <x v="3"/>
    <x v="4"/>
    <x v="0"/>
  </r>
  <r>
    <x v="466"/>
    <s v="HUN-BUDAPEST ZAGONI ISTVAN Vásárlás(2022.08.30) Card:5444-0XXX-XX68-8737 MCC5399 HUN-BUDAPEST ZAGONI ISTVAN 9.700,00 HUF Kártyatranzakció"/>
    <n v="-9700"/>
    <x v="3"/>
    <x v="24"/>
    <x v="0"/>
  </r>
  <r>
    <x v="466"/>
    <s v="ISTENHEGYI NOGYOGYASZ BUDAPEST 32.000,00 HUF Vásárlás"/>
    <n v="-32000"/>
    <x v="7"/>
    <x v="17"/>
    <x v="0"/>
  </r>
  <r>
    <x v="467"/>
    <s v="SIMPLE PARKOL S BUDAPEST 368,00 HUF Vásárlás"/>
    <n v="-368"/>
    <x v="5"/>
    <x v="9"/>
    <x v="0"/>
  </r>
  <r>
    <x v="467"/>
    <s v="Havi zárlati díj"/>
    <n v="-1941"/>
    <x v="1"/>
    <x v="1"/>
    <x v="0"/>
  </r>
  <r>
    <x v="467"/>
    <s v="HUN-Budapest sin-say.com/hu/hu/ Vásárlás(2022.08.26) Card:5444-0XXX-XX68-8737 MCC5611 HUN-Budapest sin-say.com/hu/hu/ 10.985,00 HUF Kártyatranzakció"/>
    <n v="-10985"/>
    <x v="3"/>
    <x v="30"/>
    <x v="0"/>
  </r>
  <r>
    <x v="468"/>
    <s v="OMV 2072 Budapest M1_ 23.950,00 HUF Vásárlás"/>
    <n v="-23950"/>
    <x v="5"/>
    <x v="16"/>
    <x v="0"/>
  </r>
  <r>
    <x v="468"/>
    <s v="KENEZ ES TARSA KFT. BUDAPEST 4.444,00 HUF Vásárlás"/>
    <n v="-4444"/>
    <x v="2"/>
    <x v="2"/>
    <x v="0"/>
  </r>
  <r>
    <x v="468"/>
    <s v="PANIFICIO IL BASILICO SZENTENDRE 4.650,00 HUF Vásárlás"/>
    <n v="-4650"/>
    <x v="2"/>
    <x v="10"/>
    <x v="0"/>
  </r>
  <r>
    <x v="468"/>
    <s v="Kemal Pasa Torok Et Budapest 1.950,00 HUF Vásárlás"/>
    <n v="-1950"/>
    <x v="2"/>
    <x v="2"/>
    <x v="0"/>
  </r>
  <r>
    <x v="468"/>
    <s v="PANIFICIO IL BASILICO SZENTENDRE 1.440,00 HUF Vásárlás"/>
    <n v="-1440"/>
    <x v="2"/>
    <x v="10"/>
    <x v="0"/>
  </r>
  <r>
    <x v="468"/>
    <s v="HUN-Agard LIDL 0306 Agard Vásárlás(2022.08.29) Card:5444-0XXX-XX68-8737 MCC5411 HUN-Agard LIDL 0306 Agard 7.805,00 HUF Kártyatranzakció"/>
    <n v="-7805"/>
    <x v="3"/>
    <x v="4"/>
    <x v="0"/>
  </r>
  <r>
    <x v="469"/>
    <s v="TESCO 44089 O NKISZOLG MARTONVASAR 1.503,00 HUF Vásárlás"/>
    <n v="-1503"/>
    <x v="3"/>
    <x v="4"/>
    <x v="0"/>
  </r>
  <r>
    <x v="469"/>
    <s v="TESCO 41520 BUDAORS 29.093,00 HUF Vásárlás"/>
    <n v="-29093"/>
    <x v="3"/>
    <x v="4"/>
    <x v="0"/>
  </r>
  <r>
    <x v="469"/>
    <s v="AUCHAN BUDAORS BUDAORS 25.900,00 HUF Vásárlás"/>
    <n v="-25900"/>
    <x v="3"/>
    <x v="4"/>
    <x v="0"/>
  </r>
  <r>
    <x v="469"/>
    <s v="PARISI UDVAR HOTEL BUDAPEST 28.339,00 HUF Vásárlás"/>
    <n v="-28339"/>
    <x v="2"/>
    <x v="10"/>
    <x v="0"/>
  </r>
  <r>
    <x v="469"/>
    <s v="IKEA BUDAORS UGYFE Budaors 50.250,00 HUF Vásárlás"/>
    <n v="-50250"/>
    <x v="0"/>
    <x v="35"/>
    <x v="0"/>
  </r>
  <r>
    <x v="469"/>
    <s v="Franklin Ház Kft Budapest 1.400,00 HUF Vásárlás"/>
    <n v="-1400"/>
    <x v="5"/>
    <x v="9"/>
    <x v="0"/>
  </r>
  <r>
    <x v="469"/>
    <s v="NETFLIX.COM 408-724-9160 3.490,00 HUF Vásárlás 8,48 USD"/>
    <n v="-3490"/>
    <x v="0"/>
    <x v="7"/>
    <x v="0"/>
  </r>
  <r>
    <x v="469"/>
    <s v="HUN-MARTONVASAR MARTON MARKET Vásárlás(2022.08.26) Card:5444-0XXX-XX68-8737 MCC5411 HUN-MARTONVASAR MARTON MARKET 338,00 HUF Kártyatranzakció"/>
    <n v="-338"/>
    <x v="3"/>
    <x v="4"/>
    <x v="0"/>
  </r>
  <r>
    <x v="469"/>
    <s v="HUN-Martonvasar Medicz Gyogyszertar Vásárlás(2022.08.26) Card:5444-0XXX-XX68-8737 MCC5912 HUN-Martonvasar Medicz Gyogyszertar 8.370,00 HUF Kártyatranzakció"/>
    <n v="-8370"/>
    <x v="7"/>
    <x v="5"/>
    <x v="0"/>
  </r>
  <r>
    <x v="470"/>
    <s v="HUN-MARTONVASAR VIANNI U:ZLET Vásárlás(2022.08.24) Card:5444-0XXX-XX68-8737 MCC5399 HUN-MARTONVASAR VIANNI U:ZLET 792,00 HUF Kártyatranzakció"/>
    <n v="-792"/>
    <x v="3"/>
    <x v="4"/>
    <x v="0"/>
  </r>
  <r>
    <x v="470"/>
    <s v="HUN-MARTONVASAR TESCO 44089 Vásárlás(2022.08.24) Card:5444-0XXX-XX68-8737 MCC5311 HUN-MARTONVASAR TESCO 44089 974,00 HUF Kártyatranzakció"/>
    <n v="-974"/>
    <x v="3"/>
    <x v="4"/>
    <x v="0"/>
  </r>
  <r>
    <x v="471"/>
    <s v="HUN-BUDAPEST OTPMOBL*VITAMINBOLT.NE Vásárlás(2022.08.23) Card:5444-0XXX-XX68-8737 MCC5499 HUN-BUDAPEST OTPMOBL*VITAMINBOLT.NE 8.245,00 HUF Kártyatranzakció"/>
    <n v="-8245"/>
    <x v="7"/>
    <x v="14"/>
    <x v="0"/>
  </r>
  <r>
    <x v="472"/>
    <s v="ALDI 156.SZ. BUDAORS 7.648,00 HUF Vásárlás"/>
    <n v="-7648"/>
    <x v="3"/>
    <x v="4"/>
    <x v="0"/>
  </r>
  <r>
    <x v="472"/>
    <s v="TESCO 44089 MARTONVASAR 3.418,00 HUF Vásárlás"/>
    <n v="-3418"/>
    <x v="3"/>
    <x v="4"/>
    <x v="0"/>
  </r>
  <r>
    <x v="473"/>
    <s v="JAGUAR LAND ROVER HUNGARY KFT."/>
    <n v="13636"/>
    <x v="4"/>
    <x v="20"/>
    <x v="4"/>
  </r>
  <r>
    <x v="473"/>
    <s v="JAGUAR LAND ROVER HUNGARY KFT."/>
    <n v="7670"/>
    <x v="4"/>
    <x v="20"/>
    <x v="4"/>
  </r>
  <r>
    <x v="473"/>
    <s v="TESCO 44089 MARTONVASAR 1.544,00 HUF Vásárlás"/>
    <n v="-1544"/>
    <x v="3"/>
    <x v="4"/>
    <x v="0"/>
  </r>
  <r>
    <x v="473"/>
    <s v="LIDL ARUHAZ 0349.SZ. BUDAORS 30.265,00 HUF Vásárlás"/>
    <n v="-30265"/>
    <x v="3"/>
    <x v="4"/>
    <x v="0"/>
  </r>
  <r>
    <x v="473"/>
    <s v="ALDI 156.SZ. BUDAORS 4.868,00 HUF Vásárlás"/>
    <n v="-4868"/>
    <x v="3"/>
    <x v="4"/>
    <x v="0"/>
  </r>
  <r>
    <x v="473"/>
    <s v="TESCO 41520 O NKISZOLG BUDAORS 7.743,00 HUF Vásárlás"/>
    <n v="-7743"/>
    <x v="3"/>
    <x v="4"/>
    <x v="0"/>
  </r>
  <r>
    <x v="473"/>
    <s v="OMV 2086 M7 Kajaszo j 15.609,00 HUF Vásárlás"/>
    <n v="-15609"/>
    <x v="5"/>
    <x v="16"/>
    <x v="0"/>
  </r>
  <r>
    <x v="473"/>
    <s v="VIANNI U ZLET MARTONVASAR 792,00 HUF Vásárlás"/>
    <n v="-792"/>
    <x v="3"/>
    <x v="4"/>
    <x v="0"/>
  </r>
  <r>
    <x v="473"/>
    <s v="HUN-BUDAORS DM 311.SZ. Vásárlás(2022.08.18) Card:5444-0XXX-XX68-8737 MCC5977 HUN-BUDAORS DM 311.SZ. 1.299,00 HUF Kártyatranzakció"/>
    <n v="-1299"/>
    <x v="3"/>
    <x v="4"/>
    <x v="0"/>
  </r>
  <r>
    <x v="473"/>
    <s v="HUN-Martonvasar SumUp  *Veing Bogla Vásárlás(2022.08.19) Card:5444-0XXX-XX68-8737 MCC5999 HUN-Martonvasar SumUp  *Veing Bogla rka 5.000,00 HUF Kártyatranzakció"/>
    <n v="-5000"/>
    <x v="3"/>
    <x v="8"/>
    <x v="0"/>
  </r>
  <r>
    <x v="473"/>
    <s v="HUN-BUDAORS DM 311.SZ. Vásárlás(2022.08.18) Card:5444-0XXX-XX68-8737 MCC5977 HUN-BUDAORS DM 311.SZ. 10.000,00 HUF Kártyatranzakció"/>
    <n v="-10000"/>
    <x v="3"/>
    <x v="8"/>
    <x v="0"/>
  </r>
  <r>
    <x v="474"/>
    <s v="CBA PRI'MA CSEMEGE BUDAPEST 1.161,00 HUF Vásárlás"/>
    <n v="-1161"/>
    <x v="3"/>
    <x v="4"/>
    <x v="0"/>
  </r>
  <r>
    <x v="475"/>
    <s v="MARTON MARKET MARTONVASAR 1.038,00 HUF Vásárlás"/>
    <n v="-1038"/>
    <x v="3"/>
    <x v="4"/>
    <x v="0"/>
  </r>
  <r>
    <x v="475"/>
    <s v="VIANNI U ZLET MARTONVASAR 1.888,00 HUF Vásárlás"/>
    <n v="-1888"/>
    <x v="3"/>
    <x v="4"/>
    <x v="0"/>
  </r>
  <r>
    <x v="476"/>
    <s v="WHITE HOUSE BUDAPEST 655,00 HUF Vásárlás"/>
    <n v="-655"/>
    <x v="2"/>
    <x v="2"/>
    <x v="0"/>
  </r>
  <r>
    <x v="476"/>
    <s v="ADVANCE KANTIN BUDAPEST 2.200,00 HUF Vásárlás"/>
    <n v="-2200"/>
    <x v="2"/>
    <x v="2"/>
    <x v="0"/>
  </r>
  <r>
    <x v="476"/>
    <s v="10700529-62328528-51100005 Réka BR-2022-41 Kimenő azonnali megbízás"/>
    <n v="-5000"/>
    <x v="7"/>
    <x v="13"/>
    <x v="0"/>
  </r>
  <r>
    <x v="477"/>
    <s v="ALDI 156.SZ. BUDAORS 12.545,00 HUF Vásárlás"/>
    <n v="-12545"/>
    <x v="3"/>
    <x v="4"/>
    <x v="0"/>
  </r>
  <r>
    <x v="477"/>
    <s v="TESCO 44089 MARTONVASAR 570,00 HUF Vásárlás"/>
    <n v="-570"/>
    <x v="3"/>
    <x v="4"/>
    <x v="0"/>
  </r>
  <r>
    <x v="477"/>
    <s v="MOL Nyrt. Kisker.,5521 HATVAN 10.522,00 HUF Vásárlás"/>
    <n v="-10522"/>
    <x v="5"/>
    <x v="16"/>
    <x v="0"/>
  </r>
  <r>
    <x v="477"/>
    <s v="Fulop Balazs Czuprik G"/>
    <n v="-2800"/>
    <x v="6"/>
    <x v="12"/>
    <x v="0"/>
  </r>
  <r>
    <x v="478"/>
    <s v="TESCO 44089 O NKISZOLG MARTONVASAR 569,00 HUF Vásárlás"/>
    <n v="-569"/>
    <x v="3"/>
    <x v="4"/>
    <x v="0"/>
  </r>
  <r>
    <x v="478"/>
    <s v="AUCHAN BUDAORS BUDAORS 9.949,00 HUF Vásárlás"/>
    <n v="-9949"/>
    <x v="3"/>
    <x v="4"/>
    <x v="0"/>
  </r>
  <r>
    <x v="478"/>
    <s v="OMV 2062 M3 Karacsond 12.663,00 HUF Vásárlás"/>
    <n v="-12663"/>
    <x v="5"/>
    <x v="16"/>
    <x v="0"/>
  </r>
  <r>
    <x v="478"/>
    <s v="OMV 2061 M3 Karacsond 2.667,00 HUF Vásárlás"/>
    <n v="-2667"/>
    <x v="2"/>
    <x v="19"/>
    <x v="0"/>
  </r>
  <r>
    <x v="478"/>
    <s v="OTPMOBL DIJNET.HU BUDAPEST 6.944,00 HUF Vásárlás"/>
    <n v="-6944"/>
    <x v="0"/>
    <x v="23"/>
    <x v="0"/>
  </r>
  <r>
    <x v="478"/>
    <s v="LIBRI BUDAO RS BUDAORS 4.335,00 HUF Vásárlás"/>
    <n v="-4335"/>
    <x v="3"/>
    <x v="24"/>
    <x v="0"/>
  </r>
  <r>
    <x v="478"/>
    <s v="MINI-MANO KFT. BUDAPEST 590,00 HUF Vásárlás"/>
    <n v="-590"/>
    <x v="2"/>
    <x v="19"/>
    <x v="0"/>
  </r>
  <r>
    <x v="478"/>
    <s v="OTPMOBL EON.HU BUDAPEST 5.546,00 HUF Vásárlás"/>
    <n v="-5546"/>
    <x v="0"/>
    <x v="11"/>
    <x v="0"/>
  </r>
  <r>
    <x v="478"/>
    <s v="HUN-BUDAPEST DM 420 Vásárlás(2022.08.13) Card:5444-0XXX-XX68-8737 MCC5977 HUN-BUDAPEST DM 420 691,00 HUF Kártyatranzakció"/>
    <n v="-691"/>
    <x v="3"/>
    <x v="4"/>
    <x v="0"/>
  </r>
  <r>
    <x v="478"/>
    <s v="HUN-BUDAORS MEDICINA PATIKA Vásárlás(2022.08.11) Card:5444-0XXX-XX68-8737 MCC5912 HUN-BUDAORS MEDICINA PATIKA 1.699,00 HUF Kártyatranzakció"/>
    <n v="-1699"/>
    <x v="7"/>
    <x v="5"/>
    <x v="0"/>
  </r>
  <r>
    <x v="478"/>
    <s v="HUN-Budaörs 9999KT Kft. Vásárlás(2022.08.11) Card:5444-0XXX-XX68-8737 MCC5944 HUN-Budaörs 9999KT Kft. 27.000,00 HUF Kártyatranzakció"/>
    <n v="-27000"/>
    <x v="3"/>
    <x v="8"/>
    <x v="0"/>
  </r>
  <r>
    <x v="479"/>
    <s v="Padthai Wok Bar"/>
    <n v="-6340"/>
    <x v="2"/>
    <x v="2"/>
    <x v="4"/>
  </r>
  <r>
    <x v="480"/>
    <s v="VIZ-, GAZ SZERELVENYB MARTONVASAR 1.137,00 HUF Vásárlás"/>
    <n v="-1137"/>
    <x v="0"/>
    <x v="6"/>
    <x v="0"/>
  </r>
  <r>
    <x v="480"/>
    <s v="Nhkv 16252513 szamlaszam 154317932"/>
    <n v="-4567"/>
    <x v="0"/>
    <x v="38"/>
    <x v="0"/>
  </r>
  <r>
    <x v="481"/>
    <s v="OMV 2072 Budapest M1_ 19.342,00 HUF Vásárlás"/>
    <n v="-19342"/>
    <x v="5"/>
    <x v="16"/>
    <x v="0"/>
  </r>
  <r>
    <x v="481"/>
    <s v="AUCHAN BUDAORS BUDAORS 1.069,00 HUF Vásárlás"/>
    <n v="-1069"/>
    <x v="3"/>
    <x v="4"/>
    <x v="0"/>
  </r>
  <r>
    <x v="481"/>
    <s v="ALDI 156.SZ. BUDAORS 15.617,00 HUF Vásárlás"/>
    <n v="-15617"/>
    <x v="3"/>
    <x v="4"/>
    <x v="0"/>
  </r>
  <r>
    <x v="481"/>
    <s v="Kemal Pasa Torok Et Budapest 2.100,00 HUF Vásárlás"/>
    <n v="-2100"/>
    <x v="2"/>
    <x v="2"/>
    <x v="0"/>
  </r>
  <r>
    <x v="481"/>
    <s v="10032000-00282637-00000000 OKTATÁSI HIVATAL MUNKABÉR UTALÁS Bejövő Forint Átutalás"/>
    <n v="34447"/>
    <x v="4"/>
    <x v="20"/>
    <x v="0"/>
  </r>
  <r>
    <x v="481"/>
    <s v="HUN-BUDAPEST OTPMOBL*JEGY.MAV.HU Vásárlás(2022.08.08) Card:5444-0XXX-XX68-8737 MCC4112 HUN-BUDAPEST OTPMOBL*JEGY.MAV.HU 293,00 HUF Kártyatranzakció"/>
    <n v="-293"/>
    <x v="5"/>
    <x v="28"/>
    <x v="0"/>
  </r>
  <r>
    <x v="481"/>
    <s v="HUN-BUDAPEST DM 115 Vásárlás(2022.08.08) Card:5444-0XXX-XX68-8737 MCC5977 HUN-BUDAPEST DM 115 569,00 HUF Kártyatranzakció"/>
    <n v="-569"/>
    <x v="3"/>
    <x v="4"/>
    <x v="0"/>
  </r>
  <r>
    <x v="482"/>
    <s v="PL:P/10AUG22 Tőkefizetés Hitel /21-41194/"/>
    <n v="-211021.42"/>
    <x v="0"/>
    <x v="21"/>
    <x v="0"/>
  </r>
  <r>
    <x v="482"/>
    <s v="PL:I/10AUG22 Kamatfizetés  Hitel /21-41194/"/>
    <n v="-50783.37"/>
    <x v="0"/>
    <x v="21"/>
    <x v="0"/>
  </r>
  <r>
    <x v="482"/>
    <s v="L33 Medical Budaors Budaors 25.000,00 HUF Vásárlás 64,83 USD"/>
    <n v="-25000"/>
    <x v="7"/>
    <x v="17"/>
    <x v="0"/>
  </r>
  <r>
    <x v="482"/>
    <s v="JAGUAR LAND ROVER HUNGARY KFT. Munkaber utalasMunkabér"/>
    <n v="764511"/>
    <x v="4"/>
    <x v="20"/>
    <x v="0"/>
  </r>
  <r>
    <x v="482"/>
    <s v="HUN-ERD SALON PARTNERS KFT Vásárlás(2022.08.09) Card:5444-0XXX-XX68-8737 MCC5977 HUN-ERD SALON PARTNERS KFT 16.870,00 HUF Kártyatranzakció"/>
    <n v="-16870"/>
    <x v="7"/>
    <x v="15"/>
    <x v="0"/>
  </r>
  <r>
    <x v="482"/>
    <s v="HUN-Budapest Www.babiesonboard.hu Vásárlás(2022.08.08) Card:5444-0XXX-XX68-8737 MCC5641 HUN-Budapest Www.babiesonboard.hu 36.980,00 HUF Kártyatranzakció"/>
    <n v="-36980"/>
    <x v="3"/>
    <x v="8"/>
    <x v="0"/>
  </r>
  <r>
    <x v="482"/>
    <s v="PL:P/10AUG22 Tőkefizetés Hitel /21-41194/"/>
    <n v="211021.42"/>
    <x v="0"/>
    <x v="21"/>
    <x v="1"/>
  </r>
  <r>
    <x v="483"/>
    <s v="KISKIFLI KAVEZO BUDAPEST 1.440,00 HUF Vásárlás"/>
    <n v="-1440"/>
    <x v="2"/>
    <x v="19"/>
    <x v="0"/>
  </r>
  <r>
    <x v="483"/>
    <s v="Kemal Pasa Torok Et Budapest 2.100,00 HUF Vásárlás"/>
    <n v="-2100"/>
    <x v="2"/>
    <x v="2"/>
    <x v="0"/>
  </r>
  <r>
    <x v="484"/>
    <s v="TESCO 41520 O NKISZOLG BUDAORS 4.000,00 HUF Vásárlás"/>
    <n v="-4000"/>
    <x v="3"/>
    <x v="4"/>
    <x v="0"/>
  </r>
  <r>
    <x v="484"/>
    <s v="OTP BUDAPEST 39.000,00 HUF Kp felvét"/>
    <n v="-884"/>
    <x v="1"/>
    <x v="1"/>
    <x v="0"/>
  </r>
  <r>
    <x v="484"/>
    <s v="Wok n Go étterem Budapest 2.030,00 HUF Vásárlás"/>
    <n v="-2030"/>
    <x v="2"/>
    <x v="2"/>
    <x v="0"/>
  </r>
  <r>
    <x v="484"/>
    <s v="SIMPLE PARKOL S BUDAPEST 1.629,00 HUF Vásárlás"/>
    <n v="-1629"/>
    <x v="5"/>
    <x v="9"/>
    <x v="0"/>
  </r>
  <r>
    <x v="484"/>
    <s v="OTP BUDAPEST 39.000,00 HUF Kp felvét"/>
    <n v="-39000"/>
    <x v="6"/>
    <x v="40"/>
    <x v="0"/>
  </r>
  <r>
    <x v="484"/>
    <s v="SHELL BUDAPEST 20.103,00 HUF Vásárlás"/>
    <n v="-20103"/>
    <x v="5"/>
    <x v="16"/>
    <x v="0"/>
  </r>
  <r>
    <x v="484"/>
    <s v="Tisza Fa Kft Csongrad 2.050,00 HUF Vásárlás"/>
    <n v="-2050"/>
    <x v="6"/>
    <x v="40"/>
    <x v="0"/>
  </r>
  <r>
    <x v="484"/>
    <s v="Czazy Flash Budapest 3.000,00 HUF Vásárlás"/>
    <n v="-3000"/>
    <x v="6"/>
    <x v="40"/>
    <x v="0"/>
  </r>
  <r>
    <x v="484"/>
    <s v="Szilagyi Zsolt - - -"/>
    <n v="-16150"/>
    <x v="6"/>
    <x v="40"/>
    <x v="0"/>
  </r>
  <r>
    <x v="484"/>
    <s v="HUN-BUDAPEST OTPMOBL*JEGY.MAV.HU Vásárlás(2022.08.06) Card:5444-0XXX-XX68-8737 MCC4112 HUN-BUDAPEST OTPMOBL*JEGY.MAV.HU 586,00 HUF Kártyatranzakció"/>
    <n v="-586"/>
    <x v="5"/>
    <x v="28"/>
    <x v="0"/>
  </r>
  <r>
    <x v="484"/>
    <s v="HUN-BUDAPEST DM 148 Vásárlás(2022.08.06) Card:5444-0XXX-XX68-8737 MCC5977 HUN-BUDAPEST DM 148 1.078,00 HUF Kártyatranzakció"/>
    <n v="-1078"/>
    <x v="3"/>
    <x v="4"/>
    <x v="0"/>
  </r>
  <r>
    <x v="484"/>
    <s v="HUN-MARTONVASAR MARTON MARKET Vásárlás(2022.08.05) Card:5444-0XXX-XX68-8737 MCC5411 HUN-MARTONVASAR MARTON MARKET 1.955,00 HUF Kártyatranzakció"/>
    <n v="-1955"/>
    <x v="3"/>
    <x v="4"/>
    <x v="0"/>
  </r>
  <r>
    <x v="484"/>
    <s v="HUN-Budaörs Wok n'go Budaörs Vásárlás(2022.08.06) Card:5444-0XXX-XX68-8737 MCC5812 HUN-Budaörs Wok n'go Budaörs 2.380,00 HUF Kártyatranzakció"/>
    <n v="-2380"/>
    <x v="2"/>
    <x v="2"/>
    <x v="0"/>
  </r>
  <r>
    <x v="484"/>
    <s v="HUN-BUDAPEST BKK AUTOMATA - A57 Vásárlás(2022.08.06) Card:5444-0XXX-XX68-8737 MCC4131 HUN-BUDAPEST BKK AUTOMATA - A57 3.000,00 HUF Kártyatranzakció"/>
    <n v="-3000"/>
    <x v="5"/>
    <x v="28"/>
    <x v="0"/>
  </r>
  <r>
    <x v="484"/>
    <s v="HUN-BUDAORS MEDICINA PATIKA Vásárlás(2022.08.06) Card:5444-0XXX-XX68-8737 MCC5912 HUN-BUDAORS MEDICINA PATIKA 5.237,00 HUF Kártyatranzakció"/>
    <n v="-5237"/>
    <x v="7"/>
    <x v="5"/>
    <x v="0"/>
  </r>
  <r>
    <x v="484"/>
    <s v="HUN-MARTONVASAR TESCO 44089 Vásárlás(2022.08.04) Card:5444-0XXX-XX68-8737 MCC5311 HUN-MARTONVASAR TESCO 44089 1.144,00 HUF Kártyatranzakció"/>
    <n v="-1144"/>
    <x v="3"/>
    <x v="4"/>
    <x v="0"/>
  </r>
  <r>
    <x v="485"/>
    <s v="OTPMOBL GENERALI.HU BUDAPEST 35.611,00 HUF Vásárlás"/>
    <n v="-35611"/>
    <x v="0"/>
    <x v="47"/>
    <x v="0"/>
  </r>
  <r>
    <x v="485"/>
    <s v="OTPMOBL EON.HU/UGYINTE BUDAPEST 5.545,00 HUF Vásárlás"/>
    <n v="-5545"/>
    <x v="0"/>
    <x v="11"/>
    <x v="0"/>
  </r>
  <r>
    <x v="485"/>
    <s v="Cr Forgalmi kedvezmény"/>
    <n v="1672"/>
    <x v="1"/>
    <x v="1"/>
    <x v="0"/>
  </r>
  <r>
    <x v="485"/>
    <s v="HUN-Budapest Express One - Softpos Vásárlás(2022.08.03) Card:5444-0XXX-XX68-8737 MCC4215 HUN-Budapest Express One - Softpos 7.840,00 HUF Kártyatranzakció"/>
    <n v="-7840"/>
    <x v="3"/>
    <x v="8"/>
    <x v="0"/>
  </r>
  <r>
    <x v="486"/>
    <s v="MVM NEXT ENERGIAK BUDAPEST 10.916,00 HUF Vásárlás"/>
    <n v="-10916"/>
    <x v="0"/>
    <x v="22"/>
    <x v="0"/>
  </r>
  <r>
    <x v="486"/>
    <s v="FESTIPAY KERESKEDO 3 BUDAPEST 799,00 HUF Vásárlás"/>
    <n v="-799"/>
    <x v="6"/>
    <x v="40"/>
    <x v="0"/>
  </r>
  <r>
    <x v="486"/>
    <s v="CATCH BUDAPEST 2.350,00 HUF Vásárlás"/>
    <n v="-2350"/>
    <x v="2"/>
    <x v="2"/>
    <x v="0"/>
  </r>
  <r>
    <x v="486"/>
    <s v="OTPMOBL VIMPAY.MAV-STA BUDAPEST 504,00 HUF Vásárlás"/>
    <n v="-504"/>
    <x v="5"/>
    <x v="28"/>
    <x v="0"/>
  </r>
  <r>
    <x v="486"/>
    <s v="TELEKOMSZAML 503047956 BUDAPEST 6.479,00 HUF Vásárlás 16,65 USD"/>
    <n v="-6479"/>
    <x v="0"/>
    <x v="7"/>
    <x v="0"/>
  </r>
  <r>
    <x v="486"/>
    <s v="HUN-Budapest sin-say.com/hu/hu/ Áru vissza/befizetés(2022.08.01) Card:5444-0XXX-XX68-8737 MCC5611 HUN-Budapest sin-say.com/hu/hu/ 14.480,00 HUF Kártyatranzakció"/>
    <n v="14480"/>
    <x v="3"/>
    <x v="30"/>
    <x v="0"/>
  </r>
  <r>
    <x v="486"/>
    <s v="HUN-BUDAPEST OTPMOBL*JEGY.MAV.HU Vásárlás(2022.08.02) Card:5444-0XXX-XX68-8737 MCC4112 HUN-BUDAPEST OTPMOBL*JEGY.MAV.HU 293,00 HUF Kártyatranzakció"/>
    <n v="-293"/>
    <x v="5"/>
    <x v="28"/>
    <x v="0"/>
  </r>
  <r>
    <x v="486"/>
    <s v="HUN-BUDAPEST MINI BOUTIQUE MAMMUT Vásárlás(2022.08.02) Card:5444-0XXX-XX68-8737 MCC5399 HUN-BUDAPEST MINI BOUTIQUE MAMMUT 4.650,00 HUF Kártyatranzakció"/>
    <n v="-4650"/>
    <x v="3"/>
    <x v="30"/>
    <x v="0"/>
  </r>
  <r>
    <x v="486"/>
    <s v="10700529-62328528-51100005 Réka BR-2022-37 Kimenő azonnali megbízás"/>
    <n v="-5000"/>
    <x v="7"/>
    <x v="13"/>
    <x v="0"/>
  </r>
  <r>
    <x v="487"/>
    <s v="IKEA BUDAORS ETTEREM Budaors 3.225,00 HUF Vásárlás"/>
    <n v="-3225"/>
    <x v="2"/>
    <x v="2"/>
    <x v="0"/>
  </r>
  <r>
    <x v="487"/>
    <s v="IKEA BUDAORS UGYFE Budaors 2.085,00 HUF Vásárlás"/>
    <n v="-2085"/>
    <x v="0"/>
    <x v="6"/>
    <x v="0"/>
  </r>
  <r>
    <x v="487"/>
    <s v="HUN-MARTONVASAR VIANNI U:ZLET Vásárlás(2022.08.01) Card:5444-0XXX-XX68-8737 MCC5399 HUN-MARTONVASAR VIANNI U:ZLET 495,00 HUF Kártyatranzakció"/>
    <n v="-495"/>
    <x v="3"/>
    <x v="4"/>
    <x v="0"/>
  </r>
  <r>
    <x v="487"/>
    <s v="HUN-BUDAPEST OTPMOBL*WISETREENATURA Vásárlás(2022.08.01) Card:5444-0XXX-XX68-8737 MCC5977 HUN-BUDAPEST OTPMOBL*WISETREENATURA 5.790,00 HUF Kártyatranzakció"/>
    <n v="-5790"/>
    <x v="7"/>
    <x v="14"/>
    <x v="0"/>
  </r>
  <r>
    <x v="487"/>
    <s v="10700691-61570722-51100005 Barabás Anna 2022-39 Kimenő azonnali megbízás"/>
    <n v="-15000"/>
    <x v="7"/>
    <x v="17"/>
    <x v="0"/>
  </r>
  <r>
    <x v="487"/>
    <s v="22222222-21300099-00000000 Péter Mátyás gyógytorna Kimenő azonnali megbízás"/>
    <n v="-24000"/>
    <x v="7"/>
    <x v="13"/>
    <x v="0"/>
  </r>
  <r>
    <x v="488"/>
    <s v="BURGER KING ASTORIA BUDAPEST 2.320,00 HUF Vásárlás"/>
    <n v="-2320"/>
    <x v="2"/>
    <x v="2"/>
    <x v="0"/>
  </r>
  <r>
    <x v="488"/>
    <s v="AULA E'TTEREM BUDAPEST 1.900,00 HUF Vásárlás"/>
    <n v="-1900"/>
    <x v="2"/>
    <x v="2"/>
    <x v="0"/>
  </r>
  <r>
    <x v="488"/>
    <s v="OTPMOBL VIMPAY.MAV-STA BUDAPEST 584,00 HUF Vásárlás"/>
    <n v="-584"/>
    <x v="5"/>
    <x v="28"/>
    <x v="0"/>
  </r>
  <r>
    <x v="488"/>
    <s v="SIMPLE MOBILJEGY BUDAPEST 350,00 HUF Vásárlás"/>
    <n v="-350"/>
    <x v="5"/>
    <x v="28"/>
    <x v="0"/>
  </r>
  <r>
    <x v="488"/>
    <s v="KISKIFLI KAVEZO BUDAPEST 850,00 HUF Vásárlás"/>
    <n v="-850"/>
    <x v="2"/>
    <x v="2"/>
    <x v="0"/>
  </r>
  <r>
    <x v="488"/>
    <s v="10032000-00282637-00000000 OKTATÁSI HIVATAL MUNKABÉR UTALÁS Bejövő Forint Átutalás"/>
    <n v="299250"/>
    <x v="4"/>
    <x v="20"/>
    <x v="0"/>
  </r>
  <r>
    <x v="489"/>
    <s v="Esküvői ruha"/>
    <n v="180000"/>
    <x v="8"/>
    <x v="51"/>
    <x v="2"/>
  </r>
  <r>
    <x v="489"/>
    <s v="LIDL ARUHAZ 0306.SZ. AGARD 12.462,00 HUF Vásárlás"/>
    <n v="-12462"/>
    <x v="3"/>
    <x v="4"/>
    <x v="0"/>
  </r>
  <r>
    <x v="489"/>
    <s v="ALDI 5.SZ. GARDONY 9.109,00 HUF Vásárlás"/>
    <n v="-9109"/>
    <x v="3"/>
    <x v="4"/>
    <x v="0"/>
  </r>
  <r>
    <x v="489"/>
    <s v="CSASZI2020 KFT. GARDONY 7.853,00 HUF Vásárlás"/>
    <n v="-7853"/>
    <x v="3"/>
    <x v="4"/>
    <x v="0"/>
  </r>
  <r>
    <x v="489"/>
    <s v="TŐKE KORREKCIÓ"/>
    <n v="-83332.86"/>
    <x v="1"/>
    <x v="39"/>
    <x v="1"/>
  </r>
  <r>
    <x v="489"/>
    <s v="TŐKE KORREKCIÓ"/>
    <n v="83332.86"/>
    <x v="1"/>
    <x v="39"/>
    <x v="0"/>
  </r>
  <r>
    <x v="489"/>
    <s v="BABAVÁRÓ KEZ.DÍJ JÓVÁÍRÁS 2022. 06-07. HÓ"/>
    <n v="8333.34"/>
    <x v="1"/>
    <x v="1"/>
    <x v="0"/>
  </r>
  <r>
    <x v="489"/>
    <s v="HUN-BUDAPEST BARIONP*BARION.COM/GUE Vásárlás(2022.07.29) Card:5444-0XXX-XX68-8737 MCC7299 HUN-BUDAPEST BARIONP*BARION.COM/GUE 3.498,00 HUF Kártyatranzakció"/>
    <n v="-3498"/>
    <x v="7"/>
    <x v="15"/>
    <x v="0"/>
  </r>
  <r>
    <x v="490"/>
    <s v="KISKIFLI KAVEZO BUDAPEST 1.300,00 HUF Vásárlás"/>
    <n v="-1300"/>
    <x v="2"/>
    <x v="19"/>
    <x v="0"/>
  </r>
  <r>
    <x v="490"/>
    <s v="Havi zárlati díj"/>
    <n v="-1941"/>
    <x v="1"/>
    <x v="1"/>
    <x v="0"/>
  </r>
  <r>
    <x v="491"/>
    <s v="HUN-MARTONVASAR MARTON KLINIK Vásárlás(2022.07.27) Card:5444-0XXX-XX68-8737 MCC8099 HUN-MARTONVASAR MARTON KLINIK 40.800,00 HUF Kártyatranzakció"/>
    <n v="-40800"/>
    <x v="7"/>
    <x v="17"/>
    <x v="0"/>
  </r>
  <r>
    <x v="492"/>
    <s v="Babavaro"/>
    <n v="41666.43"/>
    <x v="1"/>
    <x v="39"/>
    <x v="1"/>
  </r>
  <r>
    <x v="492"/>
    <s v="Babavaro"/>
    <n v="-41666.43"/>
    <x v="1"/>
    <x v="39"/>
    <x v="0"/>
  </r>
  <r>
    <x v="492"/>
    <s v="Kemal Pasa Torok Et Budapest 2.300,00 HUF Vásárlás"/>
    <n v="-2300"/>
    <x v="2"/>
    <x v="2"/>
    <x v="0"/>
  </r>
  <r>
    <x v="492"/>
    <s v="ADVANCE KANTIN BUDAPEST 1.950,00 HUF Vásárlás"/>
    <n v="-1950"/>
    <x v="2"/>
    <x v="2"/>
    <x v="0"/>
  </r>
  <r>
    <x v="492"/>
    <s v="NETFLIX.COM 408-724-9160 3.490,00 HUF Vásárlás 8,77 USD"/>
    <n v="-3490"/>
    <x v="0"/>
    <x v="7"/>
    <x v="0"/>
  </r>
  <r>
    <x v="493"/>
    <s v="SIMPLE PARKOL S BUDAPEST 825,00 HUF Vásárlás"/>
    <n v="-825"/>
    <x v="5"/>
    <x v="9"/>
    <x v="0"/>
  </r>
  <r>
    <x v="493"/>
    <s v="SIMPLE PARKOL S BUDAPEST 194,00 HUF Vásárlás"/>
    <n v="-194"/>
    <x v="5"/>
    <x v="9"/>
    <x v="0"/>
  </r>
  <r>
    <x v="493"/>
    <s v="KISKIFLI KAVEZO BUDAPEST 1.300,00 HUF Vásárlás"/>
    <n v="-1300"/>
    <x v="2"/>
    <x v="19"/>
    <x v="0"/>
  </r>
  <r>
    <x v="493"/>
    <s v="HUN-BUDAORS MEDICINA PATIKA Vásárlás(2022.07.25) Card:5444-0XXX-XX68-8737 MCC5912 HUN-BUDAORS MEDICINA PATIKA 16.366,00 HUF Kártyatranzakció"/>
    <n v="-16366"/>
    <x v="7"/>
    <x v="5"/>
    <x v="0"/>
  </r>
  <r>
    <x v="493"/>
    <s v="babakocsi"/>
    <n v="-75000"/>
    <x v="8"/>
    <x v="43"/>
    <x v="2"/>
  </r>
  <r>
    <x v="493"/>
    <s v="HUN-BUDAPEST OTP ATM készpénzfelvétel(2022.07.25) Card:5444-0XXX-XX68-8737 MCC6011 HUN-BUDAPEST OTP 50.000,00 HUF Kártyatranzakció"/>
    <n v="50000"/>
    <x v="8"/>
    <x v="43"/>
    <x v="2"/>
  </r>
  <r>
    <x v="493"/>
    <s v="HUN-BUDAPEST OTP ATM készpénzfelvétel(2022.07.25) Card:5444-0XXX-XX68-8737 MCC6011 HUN-BUDAPEST OTP 50.000,00 HUF Kártyatranzakció"/>
    <n v="-50000"/>
    <x v="8"/>
    <x v="43"/>
    <x v="0"/>
  </r>
  <r>
    <x v="494"/>
    <s v="OTP BUDAPEST 29.000,00 HUF Kp felvét"/>
    <n v="-884"/>
    <x v="6"/>
    <x v="12"/>
    <x v="0"/>
  </r>
  <r>
    <x v="494"/>
    <s v="OTP BUDAPEST 29.000,00 HUF Kp felvét"/>
    <n v="-29000"/>
    <x v="6"/>
    <x v="12"/>
    <x v="0"/>
  </r>
  <r>
    <x v="495"/>
    <s v="IKEA BUDAORS UGYFE Budaors 94.990,00 HUF Vásárlás"/>
    <n v="-94990"/>
    <x v="0"/>
    <x v="35"/>
    <x v="0"/>
  </r>
  <r>
    <x v="495"/>
    <s v="LIDL ARUHAZ 0306.SZ. AGARD 9.571,00 HUF Vásárlás"/>
    <n v="-9571"/>
    <x v="3"/>
    <x v="4"/>
    <x v="0"/>
  </r>
  <r>
    <x v="495"/>
    <s v="LIDL ARUHAZ 0306.SZ. AGARD 12.296,00 HUF Vásárlás"/>
    <n v="-12296"/>
    <x v="3"/>
    <x v="4"/>
    <x v="0"/>
  </r>
  <r>
    <x v="495"/>
    <s v="ALDI 5.SZ. GARDONY 9.507,00 HUF Vásárlás"/>
    <n v="-9507"/>
    <x v="3"/>
    <x v="4"/>
    <x v="0"/>
  </r>
  <r>
    <x v="495"/>
    <s v="TESCO 41520 BUDAORS 8.656,00 HUF Vásárlás"/>
    <n v="-8656"/>
    <x v="3"/>
    <x v="4"/>
    <x v="0"/>
  </r>
  <r>
    <x v="495"/>
    <s v="SIMPLE PARKOL S BUDAPEST 298,00 HUF Vásárlás"/>
    <n v="-298"/>
    <x v="5"/>
    <x v="9"/>
    <x v="0"/>
  </r>
  <r>
    <x v="495"/>
    <s v="OMV 2087 M7 Kajaszo b 18.524,00 HUF Vásárlás"/>
    <n v="-18524"/>
    <x v="5"/>
    <x v="16"/>
    <x v="0"/>
  </r>
  <r>
    <x v="495"/>
    <s v="KO'FAGYI MINDSZENTKAL 2.020,00 HUF Vásárlás"/>
    <n v="-2020"/>
    <x v="2"/>
    <x v="19"/>
    <x v="0"/>
  </r>
  <r>
    <x v="495"/>
    <s v="Babaváró kez.díj 25JLY22"/>
    <n v="-4166.67"/>
    <x v="1"/>
    <x v="39"/>
    <x v="0"/>
  </r>
  <r>
    <x v="495"/>
    <s v="PL:P/25JLY22 Tőkefizetés Hitel /22-13488/"/>
    <n v="41666.43"/>
    <x v="1"/>
    <x v="39"/>
    <x v="1"/>
  </r>
  <r>
    <x v="495"/>
    <s v="PL:P/25JLY22 Tőkefizetés Hitel /22-13488/"/>
    <n v="-41666.43"/>
    <x v="1"/>
    <x v="39"/>
    <x v="0"/>
  </r>
  <r>
    <x v="496"/>
    <s v="Kittenberger Kálmán Nonprofit Kft."/>
    <n v="-9800"/>
    <x v="6"/>
    <x v="52"/>
    <x v="4"/>
  </r>
  <r>
    <x v="496"/>
    <s v="Pizza Dellarosso"/>
    <n v="-2690"/>
    <x v="2"/>
    <x v="2"/>
    <x v="4"/>
  </r>
  <r>
    <x v="497"/>
    <s v="Balatonakali Község Önkormányzata"/>
    <n v="-2000"/>
    <x v="6"/>
    <x v="52"/>
    <x v="4"/>
  </r>
  <r>
    <x v="497"/>
    <s v="Vagodeszka Balaton Abrahamhegy 8.400,00 HUF Vásárlás"/>
    <n v="-8400"/>
    <x v="2"/>
    <x v="10"/>
    <x v="0"/>
  </r>
  <r>
    <x v="497"/>
    <s v="ABRAHAMHEGY STRAND ABRAHAMHEGY 1.600,00 HUF Vásárlás"/>
    <n v="-1600"/>
    <x v="6"/>
    <x v="52"/>
    <x v="0"/>
  </r>
  <r>
    <x v="497"/>
    <s v="CBA FE'K PRIMA BALATONAKALI 3.137,00 HUF Vásárlás"/>
    <n v="-3137"/>
    <x v="3"/>
    <x v="4"/>
    <x v="0"/>
  </r>
  <r>
    <x v="498"/>
    <s v="JAGUAR LAND ROVER HUNGARY KFT."/>
    <n v="13636"/>
    <x v="4"/>
    <x v="20"/>
    <x v="4"/>
  </r>
  <r>
    <x v="498"/>
    <s v="JAGUAR LAND ROVER HUNGARY KFT."/>
    <n v="7670"/>
    <x v="4"/>
    <x v="20"/>
    <x v="4"/>
  </r>
  <r>
    <x v="498"/>
    <s v="Balatonakali Község Önkormányzata"/>
    <n v="-2000"/>
    <x v="6"/>
    <x v="52"/>
    <x v="4"/>
  </r>
  <r>
    <x v="498"/>
    <s v="KAROLINA KAVEHAZ BALATONFURED 7.378,00 HUF Vásárlás"/>
    <n v="-7378"/>
    <x v="2"/>
    <x v="19"/>
    <x v="0"/>
  </r>
  <r>
    <x v="498"/>
    <s v="SIMPLE MATRICA BUDAPEST 5.725,00 HUF Vásárlás"/>
    <n v="-5725"/>
    <x v="5"/>
    <x v="37"/>
    <x v="0"/>
  </r>
  <r>
    <x v="498"/>
    <s v="SumUp Lelkem kisvend Dorgicse 15.000,00 HUF Vásárlás 38,29 USD"/>
    <n v="-15000"/>
    <x v="2"/>
    <x v="10"/>
    <x v="0"/>
  </r>
  <r>
    <x v="499"/>
    <s v="Vitorlás Büfé"/>
    <n v="-3500"/>
    <x v="2"/>
    <x v="2"/>
    <x v="4"/>
  </r>
  <r>
    <x v="499"/>
    <s v="Zánka Községi Strand"/>
    <n v="-2000"/>
    <x v="6"/>
    <x v="52"/>
    <x v="4"/>
  </r>
  <r>
    <x v="499"/>
    <s v="VIANNI U ZLET MARTONVASAR 1.071,00 HUF Vásárlás"/>
    <n v="-1071"/>
    <x v="3"/>
    <x v="4"/>
    <x v="0"/>
  </r>
  <r>
    <x v="499"/>
    <s v="Neked Föztem gasztroko Zanka 12.465,00 HUF Vásárlás"/>
    <n v="-12465"/>
    <x v="2"/>
    <x v="10"/>
    <x v="0"/>
  </r>
  <r>
    <x v="499"/>
    <s v="DM 316.SZ. GARDONY 1.956,00 HUF Vásárlás"/>
    <n v="-1956"/>
    <x v="3"/>
    <x v="4"/>
    <x v="0"/>
  </r>
  <r>
    <x v="499"/>
    <s v="MERX A'RUHA'Z GARDONY 5.590,00 HUF Vásárlás"/>
    <n v="-5590"/>
    <x v="3"/>
    <x v="4"/>
    <x v="0"/>
  </r>
  <r>
    <x v="499"/>
    <s v="ALDI 5.SZ. GARDONY 4.198,00 HUF Vásárlás"/>
    <n v="-4198"/>
    <x v="3"/>
    <x v="4"/>
    <x v="0"/>
  </r>
  <r>
    <x v="499"/>
    <s v="ALDI 5.SZ. GARDONY 449,00 HUF Vásárlás"/>
    <n v="-449"/>
    <x v="3"/>
    <x v="4"/>
    <x v="0"/>
  </r>
  <r>
    <x v="499"/>
    <s v="czuprikgergely _"/>
    <n v="3413"/>
    <x v="8"/>
    <x v="29"/>
    <x v="0"/>
  </r>
  <r>
    <x v="499"/>
    <s v="HUN-MARTONVASAR MARTON KLINIK Vásárlás(2022.07.18) Card:5444-0XXX-XX68-8737 MCC8099 HUN-MARTONVASAR MARTON KLINIK 34.489,00 HUF Kártyatranzakció"/>
    <n v="-34489"/>
    <x v="7"/>
    <x v="17"/>
    <x v="0"/>
  </r>
  <r>
    <x v="500"/>
    <s v="LIDL ARUHAZ 0349.SZ. BUDAORS 11.751,00 HUF Vásárlás"/>
    <n v="-11751"/>
    <x v="3"/>
    <x v="4"/>
    <x v="0"/>
  </r>
  <r>
    <x v="500"/>
    <s v="ALDI 156.SZ. BUDAORS 28.828,00 HUF Vásárlás"/>
    <n v="-28828"/>
    <x v="3"/>
    <x v="4"/>
    <x v="0"/>
  </r>
  <r>
    <x v="500"/>
    <s v="MOUNTEX PRESSZO BUDAORS 1.700,00 HUF Vásárlás"/>
    <n v="-1700"/>
    <x v="2"/>
    <x v="19"/>
    <x v="0"/>
  </r>
  <r>
    <x v="500"/>
    <s v="MOL Nyrt. Kisker.,6330 BUDAORS 19.656,00 HUF Vásárlás"/>
    <n v="-19656"/>
    <x v="5"/>
    <x v="16"/>
    <x v="0"/>
  </r>
  <r>
    <x v="500"/>
    <s v="HUN-BUDAPEST OTPMOBL*JEGY.MAV.HU Vásárlás(2022.07.14) Card:5444-0XXX-XX68-8737 MCC4112 HUN-BUDAPEST OTPMOBL*JEGY.MAV.HU 586,00 HUF Kártyatranzakció"/>
    <n v="-586"/>
    <x v="5"/>
    <x v="28"/>
    <x v="0"/>
  </r>
  <r>
    <x v="500"/>
    <s v="HUN-BUDAORS DM 311.SZ. Vásárlás(2022.07.16) Card:5444-0XXX-XX68-8737 MCC5977 HUN-BUDAORS DM 311.SZ. 5.844,00 HUF Kártyatranzakció"/>
    <n v="-5844"/>
    <x v="3"/>
    <x v="4"/>
    <x v="0"/>
  </r>
  <r>
    <x v="500"/>
    <s v="HUN-BUDAORS MEDICINA PATIKA Vásárlás(2022.07.16) Card:5444-0XXX-XX68-8737 MCC5912 HUN-BUDAORS MEDICINA PATIKA 21.831,00 HUF Kártyatranzakció"/>
    <n v="-21831"/>
    <x v="7"/>
    <x v="5"/>
    <x v="0"/>
  </r>
  <r>
    <x v="501"/>
    <s v="MVM NEXT ENERGIAK BUDAPEST 10.881,00 HUF Vásárlás"/>
    <n v="-10881"/>
    <x v="0"/>
    <x v="22"/>
    <x v="0"/>
  </r>
  <r>
    <x v="501"/>
    <s v="TESCO 44089 MARTONVASAR 849,00 HUF Vásárlás"/>
    <n v="-849"/>
    <x v="3"/>
    <x v="4"/>
    <x v="0"/>
  </r>
  <r>
    <x v="501"/>
    <s v="OTPMOBL DIJNET.HU BUDAPEST 6.944,00 HUF Vásárlás"/>
    <n v="-6944"/>
    <x v="0"/>
    <x v="23"/>
    <x v="0"/>
  </r>
  <r>
    <x v="501"/>
    <s v="HUN-MARTONVASAR VIANNI U:ZLET Vásárlás(2022.07.13) Card:5444-0XXX-XX68-8737 MCC5399 HUN-MARTONVASAR VIANNI U:ZLET 1.315,00 HUF Kártyatranzakció"/>
    <n v="-1315"/>
    <x v="3"/>
    <x v="4"/>
    <x v="0"/>
  </r>
  <r>
    <x v="502"/>
    <s v="SIMPLE PARKOL S BUDAPEST 200,00 HUF Vásárlás"/>
    <n v="-200"/>
    <x v="5"/>
    <x v="9"/>
    <x v="0"/>
  </r>
  <r>
    <x v="502"/>
    <s v="MARTON MARKET MARTONVASAR 649,00 HUF Vásárlás"/>
    <n v="-649"/>
    <x v="3"/>
    <x v="4"/>
    <x v="0"/>
  </r>
  <r>
    <x v="502"/>
    <s v="10700529-62328528-51100005 Réka BR-2022-28 Kimenő azonnali megbízás"/>
    <n v="-5000"/>
    <x v="7"/>
    <x v="13"/>
    <x v="0"/>
  </r>
  <r>
    <x v="503"/>
    <s v="Foodpanda.hu"/>
    <n v="-10960"/>
    <x v="2"/>
    <x v="2"/>
    <x v="4"/>
  </r>
  <r>
    <x v="503"/>
    <s v="KISKIFLI KAVEZO BUDAPEST 1.200,00 HUF Vásárlás"/>
    <n v="-1200"/>
    <x v="2"/>
    <x v="19"/>
    <x v="0"/>
  </r>
  <r>
    <x v="503"/>
    <s v="DM 311.SZ. BUDAORS 899,00 HUF Vásárlás"/>
    <n v="-899"/>
    <x v="3"/>
    <x v="4"/>
    <x v="0"/>
  </r>
  <r>
    <x v="503"/>
    <s v="ALDI 156.SZ. BUDAORS 2.565,00 HUF Vásárlás"/>
    <n v="-2565"/>
    <x v="3"/>
    <x v="4"/>
    <x v="0"/>
  </r>
  <r>
    <x v="503"/>
    <s v="Vásárlás(2022.07.12) Card:5444-0XXX-XX68-8737 MCC7011 NLD-Amsterdam Hotel on Booking.com 330,00 EUR 330,00 EUR/HUF .002395"/>
    <n v="-137768.22"/>
    <x v="6"/>
    <x v="52"/>
    <x v="0"/>
  </r>
  <r>
    <x v="504"/>
    <s v="Kemal Pasa"/>
    <n v="-2100"/>
    <x v="2"/>
    <x v="2"/>
    <x v="4"/>
  </r>
  <r>
    <x v="504"/>
    <s v="HUN-GARDONY DM 316.SZ. Vásárlás(2022.07.10) Card:5444-0XXX-XX68-8737 MCC5977 HUN-GARDONY DM 316.SZ. 1.398,00 HUF Kártyatranzakció"/>
    <n v="-1398"/>
    <x v="3"/>
    <x v="4"/>
    <x v="0"/>
  </r>
  <r>
    <x v="504"/>
    <s v="10700615-53713177-51100005 Szitkey Szilvia EV. Karsai Adrienn Kimenő azonnali megbízás"/>
    <n v="-17000"/>
    <x v="8"/>
    <x v="32"/>
    <x v="0"/>
  </r>
  <r>
    <x v="504"/>
    <s v="HUN-Budapest sin-say.com/hu/hu/ Vásárlás(2022.07.07) Card:5444-0XXX-XX68-8737 MCC5611 HUN-Budapest sin-say.com/hu/hu/ 23.340,00 HUF Kártyatranzakció"/>
    <n v="-23340"/>
    <x v="3"/>
    <x v="30"/>
    <x v="0"/>
  </r>
  <r>
    <x v="505"/>
    <s v="Pizza &amp; Wurlitzer"/>
    <n v="-9955"/>
    <x v="2"/>
    <x v="10"/>
    <x v="4"/>
  </r>
  <r>
    <x v="505"/>
    <s v="TESCO 44089 O NKISZOLG MARTONVASAR 2.288,00 HUF Vásárlás"/>
    <n v="-2288"/>
    <x v="3"/>
    <x v="4"/>
    <x v="0"/>
  </r>
  <r>
    <x v="505"/>
    <s v="DECATHLON BUDAO RS BUDAORS 7.980,00 HUF Vásárlás"/>
    <n v="-7980"/>
    <x v="3"/>
    <x v="30"/>
    <x v="0"/>
  </r>
  <r>
    <x v="505"/>
    <s v="AUCHAN BUDAORS BUDAORS 7.151,00 HUF Vásárlás"/>
    <n v="-7151"/>
    <x v="3"/>
    <x v="4"/>
    <x v="0"/>
  </r>
  <r>
    <x v="505"/>
    <s v="MEDICINA PATIKA BUDAORS 2.699,00 HUF Vásárlás"/>
    <n v="-2699"/>
    <x v="7"/>
    <x v="5"/>
    <x v="0"/>
  </r>
  <r>
    <x v="505"/>
    <s v="TESCO 41520 BUDAORS 778,00 HUF Vásárlás"/>
    <n v="-778"/>
    <x v="3"/>
    <x v="4"/>
    <x v="0"/>
  </r>
  <r>
    <x v="505"/>
    <s v="PRAKTIKER 330. BUDAPEST 18.991,00 HUF Vásárlás"/>
    <n v="-18991"/>
    <x v="0"/>
    <x v="6"/>
    <x v="0"/>
  </r>
  <r>
    <x v="505"/>
    <s v="PRAKTIKER 330. BUDAPEST 2.848,00 HUF Vásárlás"/>
    <n v="-2848"/>
    <x v="0"/>
    <x v="6"/>
    <x v="0"/>
  </r>
  <r>
    <x v="505"/>
    <s v="TESCO 44089 MARTONVASAR 907,00 HUF Vásárlás"/>
    <n v="-907"/>
    <x v="3"/>
    <x v="4"/>
    <x v="0"/>
  </r>
  <r>
    <x v="505"/>
    <s v="Revolut 7644 Dublin 1.000.000,00 HUF Vásárlás 2.488,00 USD"/>
    <n v="1000000"/>
    <x v="1"/>
    <x v="53"/>
    <x v="6"/>
  </r>
  <r>
    <x v="505"/>
    <s v="Revolut 7644 Dublin 1.000.000,00 HUF Vásárlás 2.488,00 USD"/>
    <n v="-1000000"/>
    <x v="1"/>
    <x v="53"/>
    <x v="0"/>
  </r>
  <r>
    <x v="505"/>
    <s v="HUN-BUDAPEST KELENFO:LD FORNETTI Vásárlás(2022.07.07) Card:5444-0XXX-XX68-8737 MCC5814 HUN-BUDAPEST KELENFO:LD FORNETTI 489,00 HUF Kártyatranzakció"/>
    <n v="-489"/>
    <x v="2"/>
    <x v="2"/>
    <x v="0"/>
  </r>
  <r>
    <x v="505"/>
    <s v="HUN-BUDAPEST OTPMOBL*JEGY.MAV.HU Vásárlás(2022.07.07) Card:5444-0XXX-XX68-8737 MCC4112 HUN-BUDAPEST OTPMOBL*JEGY.MAV.HU 504,00 HUF Kártyatranzakció"/>
    <n v="-504"/>
    <x v="5"/>
    <x v="28"/>
    <x v="0"/>
  </r>
  <r>
    <x v="505"/>
    <s v="HUN-MARTONVASAR MARTON MARKET Vásárlás(2022.07.08) Card:5444-0XXX-XX68-8737 MCC5411 HUN-MARTONVASAR MARTON MARKET 966,00 HUF Kártyatranzakció"/>
    <n v="-966"/>
    <x v="3"/>
    <x v="4"/>
    <x v="0"/>
  </r>
  <r>
    <x v="505"/>
    <s v="HUN-MARTONVASAR TESCO 44089 O:NKISZ Vásárlás(2022.07.08) Card:5444-0XXX-XX68-8737 MCC5311 HUN-MARTONVASAR TESCO 44089 O:NKISZ OLG 1.334,00 HUF Kártyatranzakció"/>
    <n v="-1334"/>
    <x v="3"/>
    <x v="4"/>
    <x v="0"/>
  </r>
  <r>
    <x v="505"/>
    <s v="HUN-MARTONVASAR TESCO 44089 Vásárlás(2022.07.08) Card:5444-0XXX-XX68-8737 MCC5311 HUN-MARTONVASAR TESCO 44089 2.792,00 HUF Kártyatranzakció"/>
    <n v="-2792"/>
    <x v="3"/>
    <x v="4"/>
    <x v="0"/>
  </r>
  <r>
    <x v="505"/>
    <s v="HUN-MARTONVASAR MARTON MARKET Vásárlás(2022.07.09) Card:5444-0XXX-XX68-8737 MCC5411 HUN-MARTONVASAR MARTON MARKET 3.545,00 HUF Kártyatranzakció"/>
    <n v="-3545"/>
    <x v="3"/>
    <x v="4"/>
    <x v="0"/>
  </r>
  <r>
    <x v="505"/>
    <s v="HUN-BUDAPEST DM 080 Vásárlás(2022.07.07) Card:5444-0XXX-XX68-8737 MCC5977 HUN-BUDAPEST DM 080 5.798,00 HUF Kártyatranzakció"/>
    <n v="-5798"/>
    <x v="3"/>
    <x v="4"/>
    <x v="0"/>
  </r>
  <r>
    <x v="505"/>
    <s v="HUN-BUDAPEST JYSK H889 Vásárlás(2022.07.07) Card:5444-0XXX-XX68-8737 MCC5712 HUN-BUDAPEST JYSK H889 11.000,00 HUF Kártyatranzakció"/>
    <n v="-11000"/>
    <x v="0"/>
    <x v="0"/>
    <x v="0"/>
  </r>
  <r>
    <x v="506"/>
    <s v="PL:P/10JLY22 Tőkefizetés Hitel /21-41194/"/>
    <n v="-212242.18"/>
    <x v="0"/>
    <x v="21"/>
    <x v="0"/>
  </r>
  <r>
    <x v="506"/>
    <s v="PL:I/10JLY22 Kamatfizetés  Hitel /21-41194/"/>
    <n v="-49562.61"/>
    <x v="0"/>
    <x v="21"/>
    <x v="0"/>
  </r>
  <r>
    <x v="506"/>
    <s v="PL:P/10JLY22 Tőkefizetés Hitel /21-41194/"/>
    <n v="212242.18"/>
    <x v="0"/>
    <x v="21"/>
    <x v="1"/>
  </r>
  <r>
    <x v="507"/>
    <s v="JAGUAR LAND ROVER HUNGARY KFT. Munkaber utalasMunkabér"/>
    <n v="1599697"/>
    <x v="4"/>
    <x v="20"/>
    <x v="0"/>
  </r>
  <r>
    <x v="507"/>
    <s v="HUN-BICSKE GLS D120 DEPO' Vásárlás(2022.07.06) Card:5444-0XXX-XX68-8737 MCC4214 HUN-BICSKE GLS D120 DEPO' 19.300,00 HUF Kártyatranzakció"/>
    <n v="-19300"/>
    <x v="3"/>
    <x v="30"/>
    <x v="0"/>
  </r>
  <r>
    <x v="508"/>
    <s v="KFC TESCO M7 BUDAORS BUDAORS 3.960,00 HUF Vásárlás"/>
    <n v="-3960"/>
    <x v="3"/>
    <x v="4"/>
    <x v="0"/>
  </r>
  <r>
    <x v="508"/>
    <s v="ALDI 156.SZ. BUDAORS 1.049,00 HUF Vásárlás"/>
    <n v="-1049"/>
    <x v="3"/>
    <x v="4"/>
    <x v="0"/>
  </r>
  <r>
    <x v="508"/>
    <s v="Cr Forgalmi kedvezmény"/>
    <n v="1672"/>
    <x v="1"/>
    <x v="1"/>
    <x v="0"/>
  </r>
  <r>
    <x v="508"/>
    <s v="HUN-BUDAPEST OTPMOBL*JEGY.MAV.HU Vásárlás(2022.07.05) Card:5444-0XXX-XX68-8737 MCC4112 HUN-BUDAPEST OTPMOBL*JEGY.MAV.HU 293,00 HUF Kártyatranzakció"/>
    <n v="-293"/>
    <x v="5"/>
    <x v="28"/>
    <x v="0"/>
  </r>
  <r>
    <x v="508"/>
    <s v="HUN-Budapest Free] Pékség (Fény) Vásárlás(2022.07.05) Card:5444-0XXX-XX68-8737 MCC5462 HUN-Budapest Free] Pékség (Fény) 845,00 HUF Kártyatranzakció"/>
    <n v="-845"/>
    <x v="2"/>
    <x v="19"/>
    <x v="0"/>
  </r>
  <r>
    <x v="508"/>
    <s v="10700529-62328528-51100005 Réka BR-2022-24 Kimenő azonnali megbízás"/>
    <n v="-5000"/>
    <x v="7"/>
    <x v="13"/>
    <x v="0"/>
  </r>
  <r>
    <x v="509"/>
    <s v="OMV 2072 Budapest M1_ 21.226,00 HUF Vásárlás"/>
    <n v="-21226"/>
    <x v="5"/>
    <x v="16"/>
    <x v="0"/>
  </r>
  <r>
    <x v="510"/>
    <s v="LIDL ARUHAZ 0306.SZ. AGARD 5.933,00 HUF Vásárlás"/>
    <n v="-5933"/>
    <x v="3"/>
    <x v="4"/>
    <x v="0"/>
  </r>
  <r>
    <x v="510"/>
    <s v="ALDI 5.SZ. GARDONY 8.916,00 HUF Vásárlás"/>
    <n v="-8916"/>
    <x v="3"/>
    <x v="4"/>
    <x v="0"/>
  </r>
  <r>
    <x v="511"/>
    <s v="DPD KOZPONT BUDAPEST 5.890,00 HUF Vásárlás"/>
    <n v="-5890"/>
    <x v="3"/>
    <x v="8"/>
    <x v="0"/>
  </r>
  <r>
    <x v="511"/>
    <s v="ALDI 156.SZ. BUDAORS 9.370,00 HUF Vásárlás"/>
    <n v="-9370"/>
    <x v="3"/>
    <x v="4"/>
    <x v="0"/>
  </r>
  <r>
    <x v="511"/>
    <s v="TESCO 41760 SALGOTARJAN 24.691,00 HUF Vásárlás"/>
    <n v="-24691"/>
    <x v="3"/>
    <x v="4"/>
    <x v="0"/>
  </r>
  <r>
    <x v="511"/>
    <s v="10032000-00282637-00000000 OKTATÁSI HIVATAL MUNKABÉR UTALÁS Bejövő Forint Átutalás"/>
    <n v="299249"/>
    <x v="4"/>
    <x v="20"/>
    <x v="0"/>
  </r>
  <r>
    <x v="511"/>
    <s v="HUN-SZIGETSZENTMI MCD M0 19 Vásárlás(2022.06.30) Card:5444-0XXX-XX68-8737 MCC5812 HUN-SZIGETSZENTMI MCD M0 19 1.030,00 HUF Kártyatranzakció"/>
    <n v="-1030"/>
    <x v="2"/>
    <x v="2"/>
    <x v="0"/>
  </r>
  <r>
    <x v="511"/>
    <s v="HUN-SALGOTARJAN DM 151 Vásárlás(2022.07.01) Card:5444-0XXX-XX68-8737 MCC5977 HUN-SALGOTARJAN DM 151 5.000,00 HUF Kártyatranzakció"/>
    <n v="-5000"/>
    <x v="3"/>
    <x v="4"/>
    <x v="0"/>
  </r>
  <r>
    <x v="511"/>
    <s v="HUN-Agard LIDL 0306 Agard Vásárlás(2022.07.03) Card:5444-0XXX-XX68-8737 MCC5411 HUN-Agard LIDL 0306 Agard 5.296,00 HUF Kártyatranzakció"/>
    <n v="-5296"/>
    <x v="3"/>
    <x v="4"/>
    <x v="0"/>
  </r>
  <r>
    <x v="511"/>
    <s v="HUN-SALGOTARJAN DM 151 Vásárlás(2022.07.01) Card:5444-0XXX-XX68-8737 MCC5977 HUN-SALGOTARJAN DM 151 7.196,00 HUF Kártyatranzakció"/>
    <n v="-7196"/>
    <x v="3"/>
    <x v="4"/>
    <x v="0"/>
  </r>
  <r>
    <x v="511"/>
    <s v="Orvos"/>
    <n v="-23000"/>
    <x v="7"/>
    <x v="17"/>
    <x v="0"/>
  </r>
  <r>
    <x v="511"/>
    <s v="Skoda javitas"/>
    <n v="-93000"/>
    <x v="5"/>
    <x v="36"/>
    <x v="2"/>
  </r>
  <r>
    <x v="512"/>
    <s v="OMV 1773 M0 Szigetszt 16.686,00 HUF Vásárlás"/>
    <n v="-16686"/>
    <x v="5"/>
    <x v="16"/>
    <x v="0"/>
  </r>
  <r>
    <x v="513"/>
    <s v="HUN-MARTONVASAR OTP ATM készpénzfelvétel(2022.06.30) Card:5444-0XXX-XX68-8737 MCC6011 HUN-MARTONVASAR OTP 100.000,00 HUF Kártyatranzakció"/>
    <n v="100000"/>
    <x v="8"/>
    <x v="43"/>
    <x v="2"/>
  </r>
  <r>
    <x v="513"/>
    <s v="HUN-MARTONVASAR OTP ATM készpénzfelvétel(2022.06.30) Card:5444-0XXX-XX68-8737 MCC6011 HUN-MARTONVASAR OTP 100.000,00 HUF Kártyatranzakció"/>
    <n v="-100000"/>
    <x v="8"/>
    <x v="43"/>
    <x v="0"/>
  </r>
  <r>
    <x v="513"/>
    <s v="penzugy"/>
    <n v="-7.36"/>
    <x v="1"/>
    <x v="39"/>
    <x v="0"/>
  </r>
  <r>
    <x v="513"/>
    <s v="WHITE HOUSE BUDAPEST 655,00 HUF Vásárlás"/>
    <n v="-655"/>
    <x v="2"/>
    <x v="2"/>
    <x v="0"/>
  </r>
  <r>
    <x v="513"/>
    <s v="OTPMOBL EON.HU BUDAPEST 5.546,00 HUF Vásárlás"/>
    <n v="-5546"/>
    <x v="0"/>
    <x v="11"/>
    <x v="0"/>
  </r>
  <r>
    <x v="513"/>
    <s v="Kemal Pasa Torok Et Budapest 1.250,00 HUF Vásárlás"/>
    <n v="-1250"/>
    <x v="2"/>
    <x v="2"/>
    <x v="0"/>
  </r>
  <r>
    <x v="513"/>
    <s v="TELEKOMSZAML 493582087 BUDAPEST 6.479,00 HUF Vásárlás 17,13 USD"/>
    <n v="-6479"/>
    <x v="0"/>
    <x v="7"/>
    <x v="0"/>
  </r>
  <r>
    <x v="513"/>
    <s v="penzugy"/>
    <n v="49.09"/>
    <x v="1"/>
    <x v="1"/>
    <x v="0"/>
  </r>
  <r>
    <x v="513"/>
    <s v="Int.Appl. to   30/06/22"/>
    <n v="55.08"/>
    <x v="1"/>
    <x v="1"/>
    <x v="0"/>
  </r>
  <r>
    <x v="513"/>
    <s v="CRT to         30/06/22"/>
    <n v="-8.26"/>
    <x v="1"/>
    <x v="1"/>
    <x v="0"/>
  </r>
  <r>
    <x v="513"/>
    <s v="Havi zárlati díj"/>
    <n v="-1941"/>
    <x v="1"/>
    <x v="1"/>
    <x v="0"/>
  </r>
  <r>
    <x v="514"/>
    <s v="TESCO 44089 MARTONVASAR 1.849,00 HUF Vásárlás"/>
    <n v="-1849"/>
    <x v="3"/>
    <x v="4"/>
    <x v="0"/>
  </r>
  <r>
    <x v="514"/>
    <s v="TESCO 41520 O NKISZOLG BUDAORS 2.573,00 HUF Vásárlás"/>
    <n v="-2573"/>
    <x v="3"/>
    <x v="4"/>
    <x v="0"/>
  </r>
  <r>
    <x v="514"/>
    <s v="Kemal Pasa Torok Et Budapest 2.050,00 HUF Vásárlás"/>
    <n v="-2050"/>
    <x v="2"/>
    <x v="2"/>
    <x v="0"/>
  </r>
  <r>
    <x v="515"/>
    <s v="ATM UHB CAATM17 BUDAPEST 29.000,00 HUF Kp felvét"/>
    <n v="-884"/>
    <x v="1"/>
    <x v="1"/>
    <x v="0"/>
  </r>
  <r>
    <x v="515"/>
    <s v="SIMPLE PARKOL S BUDAPEST 745,00 HUF Vásárlás"/>
    <n v="-745"/>
    <x v="5"/>
    <x v="9"/>
    <x v="0"/>
  </r>
  <r>
    <x v="515"/>
    <s v="ALDI 156.SZ. BUDAORS 3.441,00 HUF Vásárlás"/>
    <n v="-3441"/>
    <x v="3"/>
    <x v="4"/>
    <x v="0"/>
  </r>
  <r>
    <x v="515"/>
    <s v="ATM UHB CAATM17 BUDAPEST 29.000,00 HUF Kp felvét"/>
    <n v="29000"/>
    <x v="8"/>
    <x v="43"/>
    <x v="2"/>
  </r>
  <r>
    <x v="515"/>
    <s v="ATM UHB CAATM17 BUDAPEST 29.000,00 HUF Kp felvét"/>
    <n v="-29000"/>
    <x v="8"/>
    <x v="43"/>
    <x v="0"/>
  </r>
  <r>
    <x v="515"/>
    <s v="MOL Nyrt. Kisker.,6330 BUDAORS 23.462,00 HUF Vásárlás"/>
    <n v="-23462"/>
    <x v="5"/>
    <x v="16"/>
    <x v="0"/>
  </r>
  <r>
    <x v="515"/>
    <s v="NETFLIX.COM 408-724-9160 3.490,00 HUF Vásárlás 9,17 USD"/>
    <n v="-3490"/>
    <x v="0"/>
    <x v="7"/>
    <x v="0"/>
  </r>
  <r>
    <x v="515"/>
    <s v="HUN-GARDONY ALDI 5.SZ. Vásárlás(2022.06.26) Card:5444-0XXX-XX68-8737 MCC5411 HUN-GARDONY ALDI 5.SZ. 24.391,00 HUF Kártyatranzakció"/>
    <n v="-24391"/>
    <x v="3"/>
    <x v="4"/>
    <x v="0"/>
  </r>
  <r>
    <x v="516"/>
    <s v="LIDL ARUHAZ 0306.SZ. AGARD 549,00 HUF Vásárlás"/>
    <n v="-549"/>
    <x v="3"/>
    <x v="4"/>
    <x v="0"/>
  </r>
  <r>
    <x v="516"/>
    <s v="ALDI 5.SZ. GARDONY 2.223,00 HUF Vásárlás"/>
    <n v="-2223"/>
    <x v="3"/>
    <x v="4"/>
    <x v="0"/>
  </r>
  <r>
    <x v="516"/>
    <s v="TESCO 44089 O NKISZOLG MARTONVASAR 2.768,00 HUF Vásárlás"/>
    <n v="-2768"/>
    <x v="3"/>
    <x v="4"/>
    <x v="0"/>
  </r>
  <r>
    <x v="516"/>
    <s v="TESCO 44089 O NKISZOLG MARTONVASAR 3.299,00 HUF Vásárlás"/>
    <n v="-3299"/>
    <x v="3"/>
    <x v="4"/>
    <x v="0"/>
  </r>
  <r>
    <x v="516"/>
    <s v="ROSSMANN 213. BUDAPEST 658,00 HUF Vásárlás"/>
    <n v="-658"/>
    <x v="3"/>
    <x v="4"/>
    <x v="0"/>
  </r>
  <r>
    <x v="516"/>
    <s v="GELATI FAGYLALTOZO' BUDAPEST 1.560,00 HUF Vásárlás"/>
    <n v="-1560"/>
    <x v="2"/>
    <x v="19"/>
    <x v="0"/>
  </r>
  <r>
    <x v="516"/>
    <s v="KINCSES BUTIK BUDAPEST 7.000,00 HUF Vásárlás"/>
    <n v="-7000"/>
    <x v="3"/>
    <x v="30"/>
    <x v="0"/>
  </r>
  <r>
    <x v="516"/>
    <s v="ARTIZAN PEKSEG KAVEZO BUDAPEST 4.550,00 HUF Vásárlás"/>
    <n v="-4550"/>
    <x v="2"/>
    <x v="19"/>
    <x v="0"/>
  </r>
  <r>
    <x v="516"/>
    <s v="IMO Hungary kft Budaors 3.190,00 HUF Vásárlás 8,39 USD"/>
    <n v="-3190"/>
    <x v="5"/>
    <x v="18"/>
    <x v="0"/>
  </r>
  <r>
    <x v="516"/>
    <s v="HUN-Agard LIDL 0306 Agard Vásárlás(2022.06.26) Card:5444-0XXX-XX68-8737 MCC5411 HUN-Agard LIDL 0306 Agard 999,00 HUF Kártyatranzakció"/>
    <n v="-999"/>
    <x v="3"/>
    <x v="4"/>
    <x v="0"/>
  </r>
  <r>
    <x v="516"/>
    <s v="HUN-Agard LIDL 0306 Agard Vásárlás(2022.06.26) Card:5444-0XXX-XX68-8737 MCC5411 HUN-Agard LIDL 0306 Agard 1.899,00 HUF Kártyatranzakció"/>
    <n v="-1899"/>
    <x v="3"/>
    <x v="4"/>
    <x v="0"/>
  </r>
  <r>
    <x v="517"/>
    <s v="Bocanova Étterem"/>
    <n v="-9760"/>
    <x v="2"/>
    <x v="10"/>
    <x v="4"/>
  </r>
  <r>
    <x v="518"/>
    <s v="Drago Rosso Pizzéria, Étterem"/>
    <n v="-3340"/>
    <x v="2"/>
    <x v="2"/>
    <x v="4"/>
  </r>
  <r>
    <x v="518"/>
    <s v="Babaváró kez.díj 25JUN22"/>
    <n v="4166.67"/>
    <x v="1"/>
    <x v="39"/>
    <x v="1"/>
  </r>
  <r>
    <x v="518"/>
    <s v="PL:P/25JUN22 Tőkefizetés Hitel /22-13488/"/>
    <n v="41666.43"/>
    <x v="1"/>
    <x v="39"/>
    <x v="1"/>
  </r>
  <r>
    <x v="518"/>
    <s v="Babaváró kez.díj 25JUN22"/>
    <n v="-4166.67"/>
    <x v="1"/>
    <x v="39"/>
    <x v="0"/>
  </r>
  <r>
    <x v="518"/>
    <s v="PL:P/25JUN22 Tőkefizetés Hitel /22-13488/"/>
    <n v="-41666.43"/>
    <x v="1"/>
    <x v="39"/>
    <x v="0"/>
  </r>
  <r>
    <x v="519"/>
    <s v="DEU-HAMBURG WWW.ABOUTYOU.HU Áru vissza/befizetés(2022.06.22) Card:5444-0XXX-XX68-8737 MCC5311 DEU-HAMBURG WWW.ABOUTYOU.HU 18.370,00 HUF Kártyatranzakció"/>
    <n v="18370"/>
    <x v="3"/>
    <x v="30"/>
    <x v="0"/>
  </r>
  <r>
    <x v="519"/>
    <s v="HUN-MARTONVASAR TESCO 44089 Vásárlás(2022.06.22) Card:5444-0XXX-XX68-8737 MCC5311 HUN-MARTONVASAR TESCO 44089 4.070,00 HUF Kártyatranzakció"/>
    <n v="-4070"/>
    <x v="3"/>
    <x v="4"/>
    <x v="0"/>
  </r>
  <r>
    <x v="520"/>
    <s v="WHITE HOUSE BUDAPEST 820,00 HUF Vásárlás"/>
    <n v="-820"/>
    <x v="2"/>
    <x v="2"/>
    <x v="0"/>
  </r>
  <r>
    <x v="520"/>
    <s v="11600006-00000000-48392181 Mitruska Kitty Adri felkészítő Kimenő azonnali megbízás"/>
    <n v="-15000"/>
    <x v="7"/>
    <x v="13"/>
    <x v="0"/>
  </r>
  <r>
    <x v="520"/>
    <s v="HUN-BUDAPEST BABAMAMAAKADEMIA.HU Vásárlás(2022.06.21) Card:5444-0XXX-XX68-8737 MCC8299 HUN-BUDAPEST BABAMAMAAKADEMIA.HU 23.980,00 HUF Kártyatranzakció"/>
    <n v="-23980"/>
    <x v="3"/>
    <x v="30"/>
    <x v="0"/>
  </r>
  <r>
    <x v="521"/>
    <s v="SPAR PARTNER 6915900 ERD 534,00 HUF Vásárlás"/>
    <n v="-534"/>
    <x v="3"/>
    <x v="4"/>
    <x v="0"/>
  </r>
  <r>
    <x v="521"/>
    <s v="TESCO 41520 O NKISZOLG BUDAORS 299,00 HUF Vásárlás"/>
    <n v="-299"/>
    <x v="3"/>
    <x v="4"/>
    <x v="0"/>
  </r>
  <r>
    <x v="521"/>
    <s v="Kemal Pasa Torok Et Budapest 1.850,00 HUF Vásárlás"/>
    <n v="-1850"/>
    <x v="2"/>
    <x v="2"/>
    <x v="0"/>
  </r>
  <r>
    <x v="521"/>
    <s v="MOM PARKOLO'AUTOMATA BUDAPEST 440,00 HUF Vásárlás"/>
    <n v="-440"/>
    <x v="5"/>
    <x v="9"/>
    <x v="0"/>
  </r>
  <r>
    <x v="521"/>
    <s v="BIOHAIR SZALON ERD 3.790,00 HUF Vásárlás"/>
    <n v="-3790"/>
    <x v="7"/>
    <x v="25"/>
    <x v="0"/>
  </r>
  <r>
    <x v="521"/>
    <s v="HUN-BUDAORS VISION EXPRESS Vásárlás(2022.06.20) Card:5444-0XXX-XX68-8737 MCC8043 HUN-BUDAORS VISION EXPRESS 4.090,00 HUF Kártyatranzakció"/>
    <n v="-4090"/>
    <x v="7"/>
    <x v="27"/>
    <x v="0"/>
  </r>
  <r>
    <x v="522"/>
    <s v="JAGUAR LAND ROVER HUNGARY KFT."/>
    <n v="13636"/>
    <x v="4"/>
    <x v="20"/>
    <x v="4"/>
  </r>
  <r>
    <x v="522"/>
    <s v="JAGUAR LAND ROVER HUNGARY KFT."/>
    <n v="7670"/>
    <x v="4"/>
    <x v="20"/>
    <x v="4"/>
  </r>
  <r>
    <x v="522"/>
    <s v="OSMAN SHOARMA KFT. BUDAORS 390,00 HUF Vásárlás"/>
    <n v="-390"/>
    <x v="3"/>
    <x v="4"/>
    <x v="0"/>
  </r>
  <r>
    <x v="522"/>
    <s v="ISTENHEGYI NOGYOGYASZ BUDAPEST 33.000,00 HUF Vásárlás"/>
    <n v="-33000"/>
    <x v="7"/>
    <x v="17"/>
    <x v="0"/>
  </r>
  <r>
    <x v="522"/>
    <s v="Wok n'go Budaörs Budaörs 4.160,00 HUF Vásárlás"/>
    <n v="-4160"/>
    <x v="2"/>
    <x v="2"/>
    <x v="0"/>
  </r>
  <r>
    <x v="522"/>
    <s v="KFC MAGLO'D AUCHAN DT MAGLOD 1.490,00 HUF Vásárlás"/>
    <n v="-1490"/>
    <x v="2"/>
    <x v="2"/>
    <x v="0"/>
  </r>
  <r>
    <x v="522"/>
    <s v="KATEX KFT. BIATORBAGY 15.390,00 HUF Vásárlás"/>
    <n v="-15390"/>
    <x v="3"/>
    <x v="30"/>
    <x v="0"/>
  </r>
  <r>
    <x v="522"/>
    <s v="KARSAI ADRIENN ÁGNES Számlazárás"/>
    <n v="358"/>
    <x v="1"/>
    <x v="1"/>
    <x v="0"/>
  </r>
  <r>
    <x v="522"/>
    <s v="HUN-BUDAPEST OTPMOBL*PREVENCIOPATIK Vásárlás(2022.06.19) Card:5444-0XXX-XX68-8737 MCC5912 HUN-BUDAPEST OTPMOBL*PREVENCIOPATIK 7.309,00 HUF Kártyatranzakció"/>
    <n v="-7309"/>
    <x v="7"/>
    <x v="5"/>
    <x v="0"/>
  </r>
  <r>
    <x v="522"/>
    <s v="HUN-BUDAPEST OTPMOBL*VITAMINBOLT.NE Vásárlás(2022.06.19) Card:5444-0XXX-XX68-8737 MCC5499 HUN-BUDAPEST OTPMOBL*VITAMINBOLT.NE 14.533,00 HUF Kártyatranzakció"/>
    <n v="-14533"/>
    <x v="7"/>
    <x v="14"/>
    <x v="0"/>
  </r>
  <r>
    <x v="523"/>
    <s v="OMV 1934 Salgotarjan 20.458,00 HUF Vásárlás"/>
    <n v="-20458"/>
    <x v="5"/>
    <x v="16"/>
    <x v="0"/>
  </r>
  <r>
    <x v="523"/>
    <s v="OTPMOBL DIJNET.HU BUDAPEST 6.944,00 HUF Vásárlás"/>
    <n v="-6944"/>
    <x v="0"/>
    <x v="23"/>
    <x v="0"/>
  </r>
  <r>
    <x v="523"/>
    <s v="HUN-BUDAPEST OTPMOBL*JEGY.MAV.HU Vásárlás(2022.06.16) Card:5444-0XXX-XX68-8737 MCC4112 HUN-BUDAPEST OTPMOBL*JEGY.MAV.HU 252,00 HUF Kártyatranzakció"/>
    <n v="-252"/>
    <x v="5"/>
    <x v="28"/>
    <x v="0"/>
  </r>
  <r>
    <x v="523"/>
    <s v="HUN-BUDAPEST OTPMOBL*JEGY.MAV.HU Vásárlás(2022.06.16) Card:5444-0XXX-XX68-8737 MCC4112 HUN-BUDAPEST OTPMOBL*JEGY.MAV.HU 504,00 HUF Kártyatranzakció"/>
    <n v="-504"/>
    <x v="5"/>
    <x v="28"/>
    <x v="0"/>
  </r>
  <r>
    <x v="523"/>
    <s v="HUN-Salgotarjan Papirhaz Vásárlás(2022.06.17) Card:5444-0XXX-XX68-8737 MCC5943 HUN-Salgotarjan Papirhaz 890,00 HUF Kártyatranzakció"/>
    <n v="-890"/>
    <x v="3"/>
    <x v="4"/>
    <x v="0"/>
  </r>
  <r>
    <x v="523"/>
    <s v="HUN-SALGOTARJAN ST FERGE-TEG KFT. Vásárlás(2022.06.17) Card:5444-0XXX-XX68-8737 MCC5462 HUN-SALGOTARJAN ST FERGE-TEG KFT. 1.705,00 HUF Kártyatranzakció"/>
    <n v="-1705"/>
    <x v="3"/>
    <x v="4"/>
    <x v="0"/>
  </r>
  <r>
    <x v="523"/>
    <s v="HUN-SALGOTARJAN LIBRI Vásárlás(2022.06.17) Card:5444-0XXX-XX68-8737 MCC5942 HUN-SALGOTARJAN LIBRI 6.640,00 HUF Kártyatranzakció"/>
    <n v="-6640"/>
    <x v="3"/>
    <x v="24"/>
    <x v="0"/>
  </r>
  <r>
    <x v="523"/>
    <s v="HUN-BUDAPEST 527.VISION EXPRESS Vásárlás(2022.06.16) Card:5444-0XXX-XX68-8737 MCC8043 HUN-BUDAPEST 527.VISION EXPRESS 13.539,00 HUF Kártyatranzakció"/>
    <n v="-13539"/>
    <x v="7"/>
    <x v="27"/>
    <x v="0"/>
  </r>
  <r>
    <x v="523"/>
    <s v="HUN-BUDAPEST ALLEE GYO'GYSZERTA'R Vásárlás(2022.06.16) Card:5444-0XXX-XX68-8737 MCC5912 HUN-BUDAPEST ALLEE GYO'GYSZERTA'R 19.570,00 HUF Kártyatranzakció"/>
    <n v="-19570"/>
    <x v="7"/>
    <x v="5"/>
    <x v="0"/>
  </r>
  <r>
    <x v="524"/>
    <s v="KISKIFLI KAVEZO BUDAPEST 640,00 HUF Vásárlás"/>
    <n v="-640"/>
    <x v="2"/>
    <x v="19"/>
    <x v="0"/>
  </r>
  <r>
    <x v="524"/>
    <s v="Zsu-Ann Kft. Budapest 2.180,00 HUF Vásárlás"/>
    <n v="-2180"/>
    <x v="2"/>
    <x v="2"/>
    <x v="0"/>
  </r>
  <r>
    <x v="525"/>
    <s v="AUCHAN BUDAORS BUDAORS 12.441,00 HUF Vásárlás"/>
    <n v="-12441"/>
    <x v="3"/>
    <x v="4"/>
    <x v="0"/>
  </r>
  <r>
    <x v="525"/>
    <s v="VIANNI U ZLET MARTONVASAR 594,00 HUF Vásárlás"/>
    <n v="-594"/>
    <x v="3"/>
    <x v="4"/>
    <x v="0"/>
  </r>
  <r>
    <x v="525"/>
    <s v="TESCO 44089 MARTONVASAR 1.729,00 HUF Vásárlás"/>
    <n v="-1729"/>
    <x v="3"/>
    <x v="4"/>
    <x v="0"/>
  </r>
  <r>
    <x v="525"/>
    <s v="MARTON MARKET MARTONVASAR 2.026,00 HUF Vásárlás"/>
    <n v="-2026"/>
    <x v="3"/>
    <x v="4"/>
    <x v="0"/>
  </r>
  <r>
    <x v="525"/>
    <s v="Szilagyi Zsolt kösz!"/>
    <n v="-6500"/>
    <x v="6"/>
    <x v="40"/>
    <x v="0"/>
  </r>
  <r>
    <x v="525"/>
    <s v="HUN-BUDAPEST OTPMOBL*JEGY.MAV.HU Vásárlás(2022.06.14) Card:5444-0XXX-XX68-8737 MCC4112 HUN-BUDAPEST OTPMOBL*JEGY.MAV.HU 293,00 HUF Kártyatranzakció"/>
    <n v="-293"/>
    <x v="5"/>
    <x v="28"/>
    <x v="0"/>
  </r>
  <r>
    <x v="525"/>
    <s v="HUN-BUDAPEST FORNETTI Vásárlás(2022.06.14) Card:5444-0XXX-XX68-8737 MCC5462 HUN-BUDAPEST FORNETTI 349,00 HUF Kártyatranzakció"/>
    <n v="-349"/>
    <x v="2"/>
    <x v="2"/>
    <x v="0"/>
  </r>
  <r>
    <x v="525"/>
    <s v="HUN-Budapest Calzedonia Vásárlás(2022.06.14) Card:5444-0XXX-XX68-8737 MCC5651 HUN-Budapest Calzedonia 16.000,00 HUF Kártyatranzakció"/>
    <n v="-16000"/>
    <x v="3"/>
    <x v="30"/>
    <x v="0"/>
  </r>
  <r>
    <x v="526"/>
    <s v="Advance Kantin"/>
    <n v="-1750"/>
    <x v="2"/>
    <x v="2"/>
    <x v="4"/>
  </r>
  <r>
    <x v="526"/>
    <s v="ARRIBA TAQUERIA BUDAPEST 6.680,00 HUF Vásárlás"/>
    <n v="-6680"/>
    <x v="2"/>
    <x v="2"/>
    <x v="0"/>
  </r>
  <r>
    <x v="526"/>
    <s v="KISKIFLI KAVEZO BUDAPEST 1.100,00 HUF Vásárlás"/>
    <n v="-1100"/>
    <x v="2"/>
    <x v="19"/>
    <x v="0"/>
  </r>
  <r>
    <x v="526"/>
    <s v="TELEKOMFELT 490300796 BUDAPEST 5.000,00 HUF Vásárlás 13,08 USD"/>
    <n v="-5000"/>
    <x v="3"/>
    <x v="46"/>
    <x v="0"/>
  </r>
  <r>
    <x v="526"/>
    <s v="HUN-BUDAPEST RELAY DE'LI PU. 1467. Vásárlás(2022.06.13) Card:5444-0XXX-XX68-8737 MCC5994 HUN-BUDAPEST RELAY DE'LI PU. 1467. 249,00 HUF Kártyatranzakció"/>
    <n v="-249"/>
    <x v="3"/>
    <x v="4"/>
    <x v="0"/>
  </r>
  <r>
    <x v="526"/>
    <s v="HUN-Budapest Princess Kossuth ter Vásárlás(2022.06.13) Card:5444-0XXX-XX68-8737 MCC5462 HUN-Budapest Princess Kossuth ter 420,00 HUF Kártyatranzakció"/>
    <n v="-420"/>
    <x v="2"/>
    <x v="2"/>
    <x v="0"/>
  </r>
  <r>
    <x v="526"/>
    <s v="HUN-BUDAPEST OTPMOBL*JEGY.MAV.HU Vásárlás(2022.06.13) Card:5444-0XXX-XX68-8737 MCC4112 HUN-BUDAPEST OTPMOBL*JEGY.MAV.HU 586,00 HUF Kártyatranzakció"/>
    <n v="-586"/>
    <x v="5"/>
    <x v="28"/>
    <x v="0"/>
  </r>
  <r>
    <x v="527"/>
    <s v="TESCO 44089 O NKISZOLG MARTONVASAR 1.921,00 HUF Vásárlás"/>
    <n v="-1921"/>
    <x v="3"/>
    <x v="4"/>
    <x v="0"/>
  </r>
  <r>
    <x v="528"/>
    <s v="LIDL ARUHAZ 0306.SZ. AGARD 11.596,00 HUF Vásárlás"/>
    <n v="-11596"/>
    <x v="3"/>
    <x v="4"/>
    <x v="0"/>
  </r>
  <r>
    <x v="528"/>
    <s v="KI'NAI BU FE' BUDAPEST 1.000,00 HUF Vásárlás"/>
    <n v="-1000"/>
    <x v="2"/>
    <x v="2"/>
    <x v="0"/>
  </r>
  <r>
    <x v="528"/>
    <s v="ALDI 156.SZ. BUDAORS 856,00 HUF Vásárlás"/>
    <n v="-856"/>
    <x v="3"/>
    <x v="4"/>
    <x v="0"/>
  </r>
  <r>
    <x v="528"/>
    <s v="AUCHAN BUDAORS BUDAORS 2.468,00 HUF Vásárlás"/>
    <n v="-2468"/>
    <x v="3"/>
    <x v="4"/>
    <x v="0"/>
  </r>
  <r>
    <x v="528"/>
    <s v="PRAKTIKER 333. BUDAORS 3.719,00 HUF Vásárlás"/>
    <n v="-3719"/>
    <x v="0"/>
    <x v="6"/>
    <x v="0"/>
  </r>
  <r>
    <x v="528"/>
    <s v="LIDL ARUHAZ 0306.SZ. AGARD 8.396,00 HUF Vásárlás"/>
    <n v="-8396"/>
    <x v="3"/>
    <x v="4"/>
    <x v="0"/>
  </r>
  <r>
    <x v="528"/>
    <s v="ALDI 5.SZ. GARDONY 8.911,00 HUF Vásárlás"/>
    <n v="-8911"/>
    <x v="3"/>
    <x v="4"/>
    <x v="0"/>
  </r>
  <r>
    <x v="528"/>
    <s v="SIMPLE PARKOL S BUDAPEST 135,00 HUF Vásárlás"/>
    <n v="-135"/>
    <x v="5"/>
    <x v="9"/>
    <x v="0"/>
  </r>
  <r>
    <x v="528"/>
    <s v="KISKIFLI KAVEZO BUDAPEST 1.990,00 HUF Vásárlás"/>
    <n v="-1990"/>
    <x v="2"/>
    <x v="19"/>
    <x v="0"/>
  </r>
  <r>
    <x v="528"/>
    <s v="KISKIFLI KAVEZO BUDAPEST 1.100,00 HUF Vásárlás"/>
    <n v="-1100"/>
    <x v="2"/>
    <x v="19"/>
    <x v="0"/>
  </r>
  <r>
    <x v="528"/>
    <s v="WHITE HOUSE BUDAPEST 875,00 HUF Vásárlás"/>
    <n v="-875"/>
    <x v="2"/>
    <x v="2"/>
    <x v="0"/>
  </r>
  <r>
    <x v="528"/>
    <s v="HUN-MARTONVASAR MARTON MARKET Vásárlás(2022.06.10) Card:5444-0XXX-XX68-8737 MCC5411 HUN-MARTONVASAR MARTON MARKET 878,00 HUF Kártyatranzakció"/>
    <n v="-878"/>
    <x v="3"/>
    <x v="4"/>
    <x v="0"/>
  </r>
  <r>
    <x v="528"/>
    <s v="HUN-VELENCE DOLCE VENEZIA KFT. Vásárlás(2022.06.11) Card:5444-0XXX-XX68-8737 MCC5441 HUN-VELENCE DOLCE VENEZIA KFT. 2.100,00 HUF Kártyatranzakció"/>
    <n v="-2100"/>
    <x v="2"/>
    <x v="19"/>
    <x v="0"/>
  </r>
  <r>
    <x v="528"/>
    <s v="HUN-Budapest Nestle Hungaria, Kft Vásárlás(2022.06.09) Card:5444-0XXX-XX68-8737 MCC5499 HUN-Budapest Nestle Hungaria, Kft 5.850,00 HUF Kártyatranzakció"/>
    <n v="-5850"/>
    <x v="3"/>
    <x v="4"/>
    <x v="0"/>
  </r>
  <r>
    <x v="528"/>
    <s v="HUN-MARTONVASAR MARTON KLINIK Vásárlás(2022.06.09) Card:5444-0XXX-XX68-8737 MCC8099 HUN-MARTONVASAR MARTON KLINIK 7.900,00 HUF Kártyatranzakció"/>
    <n v="-7900"/>
    <x v="7"/>
    <x v="17"/>
    <x v="0"/>
  </r>
  <r>
    <x v="529"/>
    <s v="PL:P/10JUN22 Tőkefizetés Hitel /21-41194/"/>
    <n v="-210163"/>
    <x v="0"/>
    <x v="21"/>
    <x v="0"/>
  </r>
  <r>
    <x v="529"/>
    <s v="PL:I/10JUN22 Kamatfizetés  Hitel /21-41194/"/>
    <n v="-51641.79"/>
    <x v="0"/>
    <x v="21"/>
    <x v="0"/>
  </r>
  <r>
    <x v="529"/>
    <s v="OTPMOBL EON.HU/UGYINTE BUDAPEST 5.546,00 HUF Vásárlás"/>
    <n v="-5546"/>
    <x v="0"/>
    <x v="11"/>
    <x v="0"/>
  </r>
  <r>
    <x v="529"/>
    <s v="OMV 1772 Budapest Bud 28.117,00 HUF Vásárlás"/>
    <n v="-28117"/>
    <x v="5"/>
    <x v="16"/>
    <x v="0"/>
  </r>
  <r>
    <x v="529"/>
    <s v="TESCO 44089 O NKISZOLG MARTONVASAR 1.985,00 HUF Vásárlás"/>
    <n v="-1985"/>
    <x v="3"/>
    <x v="4"/>
    <x v="0"/>
  </r>
  <r>
    <x v="529"/>
    <s v="JAGUAR LAND ROVER HUNGARY KFT. Munkaber utalasMunkabér"/>
    <n v="739257"/>
    <x v="4"/>
    <x v="20"/>
    <x v="0"/>
  </r>
  <r>
    <x v="529"/>
    <s v="HUN-MARTONVASAR TESCO 44089 Vásárlás(2022.06.08) Card:5444-0XXX-XX68-8737 MCC5311 HUN-MARTONVASAR TESCO 44089 770,00 HUF Kártyatranzakció"/>
    <n v="-770"/>
    <x v="3"/>
    <x v="4"/>
    <x v="0"/>
  </r>
  <r>
    <x v="529"/>
    <s v="HUN-MARTONVASAR MARTON MARKET Vásárlás(2022.06.08) Card:5444-0XXX-XX68-8737 MCC5411 HUN-MARTONVASAR MARTON MARKET 996,00 HUF Kártyatranzakció"/>
    <n v="-996"/>
    <x v="3"/>
    <x v="4"/>
    <x v="0"/>
  </r>
  <r>
    <x v="529"/>
    <s v="HUN-Martonvasar MEDICZ PATIKA Vásárlás(2022.06.08) Card:5444-0XXX-XX68-8737 MCC5912 HUN-Martonvasar MEDICZ PATIKA 2.617,00 HUF Kártyatranzakció"/>
    <n v="-2617"/>
    <x v="7"/>
    <x v="5"/>
    <x v="0"/>
  </r>
  <r>
    <x v="529"/>
    <s v="HUN-MARTONVASAR POSTAKOCSI E'TTEREM Vásárlás(2022.06.08) Card:5444-0XXX-XX68-8737 MCC5812 HUN-MARTONVASAR POSTAKOCSI E'TTEREM 4.135,00 HUF Kártyatranzakció"/>
    <n v="-4135"/>
    <x v="2"/>
    <x v="2"/>
    <x v="0"/>
  </r>
  <r>
    <x v="529"/>
    <s v="PL:P/10JUN22 Tőkefizetés Hitel /21-41194/"/>
    <n v="210163"/>
    <x v="0"/>
    <x v="21"/>
    <x v="1"/>
  </r>
  <r>
    <x v="530"/>
    <s v="MVM NEXT ENERGIAK BUDAPEST 10.912,00 HUF Vásárlás"/>
    <n v="-10912"/>
    <x v="0"/>
    <x v="22"/>
    <x v="0"/>
  </r>
  <r>
    <x v="531"/>
    <s v="LIDL ARUHAZ 0306.SZ. AGARD 17.011,00 HUF Vásárlás"/>
    <n v="-17011"/>
    <x v="3"/>
    <x v="4"/>
    <x v="0"/>
  </r>
  <r>
    <x v="531"/>
    <s v="ALDI 5.SZ. GARDONY 2.199,00 HUF Vásárlás"/>
    <n v="-2199"/>
    <x v="3"/>
    <x v="4"/>
    <x v="0"/>
  </r>
  <r>
    <x v="531"/>
    <s v="TESCO 44089 MARTONVASAR 318,00 HUF Vásárlás"/>
    <n v="-318"/>
    <x v="3"/>
    <x v="4"/>
    <x v="0"/>
  </r>
  <r>
    <x v="531"/>
    <s v="GARDONYI PIAC TEJBOLT GARDONY 1.265,00 HUF Vásárlás"/>
    <n v="-1265"/>
    <x v="3"/>
    <x v="4"/>
    <x v="0"/>
  </r>
  <r>
    <x v="531"/>
    <s v="OMV 2087 M7 Kajaszo b 19.422,00 HUF Vásárlás"/>
    <n v="-19422"/>
    <x v="5"/>
    <x v="16"/>
    <x v="0"/>
  </r>
  <r>
    <x v="531"/>
    <s v="MERX A'RUHA'Z GARDONY 7.710,00 HUF Vásárlás"/>
    <n v="-7710"/>
    <x v="3"/>
    <x v="4"/>
    <x v="0"/>
  </r>
  <r>
    <x v="531"/>
    <s v="MCD BUDAO RS BUDAORS 1.480,00 HUF Vásárlás"/>
    <n v="-1480"/>
    <x v="2"/>
    <x v="2"/>
    <x v="0"/>
  </r>
  <r>
    <x v="531"/>
    <s v="EMAG BUDAO RS BUDAORS 22.990,00 HUF Vásárlás"/>
    <n v="-22990"/>
    <x v="3"/>
    <x v="31"/>
    <x v="0"/>
  </r>
  <r>
    <x v="531"/>
    <s v="PRAKTIKER 333. BUDAORS 3.544,00 HUF Vásárlás"/>
    <n v="-3544"/>
    <x v="0"/>
    <x v="6"/>
    <x v="0"/>
  </r>
  <r>
    <x v="531"/>
    <s v="SIMPLE MATRICA BUDAPEST 5.725,00 HUF Vásárlás"/>
    <n v="-5725"/>
    <x v="5"/>
    <x v="28"/>
    <x v="0"/>
  </r>
  <r>
    <x v="531"/>
    <s v="SIMPLE MOBILJEGY BUDAPEST 350,00 HUF Vásárlás"/>
    <n v="-350"/>
    <x v="5"/>
    <x v="28"/>
    <x v="0"/>
  </r>
  <r>
    <x v="531"/>
    <s v="TESCO 44089 O NKISZOLG MARTONVASAR 594,00 HUF Vásárlás"/>
    <n v="-594"/>
    <x v="3"/>
    <x v="4"/>
    <x v="0"/>
  </r>
  <r>
    <x v="531"/>
    <s v="OTPMOBL VIMPAY.MAV-STA BUDAPEST 419,00 HUF Vásárlás"/>
    <n v="-419"/>
    <x v="5"/>
    <x v="28"/>
    <x v="0"/>
  </r>
  <r>
    <x v="531"/>
    <s v="OTPMOBL VIMPAY.MAV-STA BUDAPEST 224,00 HUF Vásárlás"/>
    <n v="-224"/>
    <x v="5"/>
    <x v="28"/>
    <x v="0"/>
  </r>
  <r>
    <x v="531"/>
    <s v="OTPMOBL VIMPAY.MAV-STA BUDAPEST 224,00 HUF Vásárlás"/>
    <n v="-224"/>
    <x v="5"/>
    <x v="28"/>
    <x v="0"/>
  </r>
  <r>
    <x v="531"/>
    <s v="OTPMOBL VIMPAY.MAV-STA BUDAPEST 504,00 HUF Vásárlás"/>
    <n v="-504"/>
    <x v="5"/>
    <x v="28"/>
    <x v="0"/>
  </r>
  <r>
    <x v="531"/>
    <s v="OTPMOBL VIMPAY.MAV-STA BUDAPEST 504,00 HUF Vásárlás"/>
    <n v="-504"/>
    <x v="5"/>
    <x v="28"/>
    <x v="0"/>
  </r>
  <r>
    <x v="531"/>
    <s v="LIPO'TI PE'KSE'G E'S K BUDAPEST 869,00 HUF Vásárlás"/>
    <n v="-869"/>
    <x v="2"/>
    <x v="19"/>
    <x v="0"/>
  </r>
  <r>
    <x v="531"/>
    <s v="TELEKOMSZAML 487075507 BUDAPEST 6.044,00 HUF Vásárlás 16,33 USD"/>
    <n v="-6044"/>
    <x v="3"/>
    <x v="46"/>
    <x v="0"/>
  </r>
  <r>
    <x v="531"/>
    <s v="HUN-GARDONY ALDI 5.SZ. Vásárlás(2022.06.04) Card:5444-0XXX-XX68-8737 MCC5411 HUN-GARDONY ALDI 5.SZ. 5.525,00 HUF Kártyatranzakció"/>
    <n v="-5525"/>
    <x v="3"/>
    <x v="4"/>
    <x v="0"/>
  </r>
  <r>
    <x v="531"/>
    <s v="DEU-HAMBURG WWW.ABOUTYOU.HU Vásárlás(2022.06.02) Card:5444-0XXX-XX68-8737 MCC5311 DEU-HAMBURG WWW.ABOUTYOU.HU 30.850,00 HUF Kártyatranzakció"/>
    <n v="-30850"/>
    <x v="3"/>
    <x v="30"/>
    <x v="0"/>
  </r>
  <r>
    <x v="532"/>
    <s v="Cr Forgalmi kedvezmény"/>
    <n v="1672"/>
    <x v="1"/>
    <x v="1"/>
    <x v="0"/>
  </r>
  <r>
    <x v="533"/>
    <s v="Zsu-Ann Kft. Budapest 2.180,00 HUF Vásárlás"/>
    <n v="-2180"/>
    <x v="2"/>
    <x v="2"/>
    <x v="0"/>
  </r>
  <r>
    <x v="533"/>
    <s v="Generali Ktgb 202282212766"/>
    <n v="-23879"/>
    <x v="5"/>
    <x v="41"/>
    <x v="0"/>
  </r>
  <r>
    <x v="533"/>
    <s v="10700529-62328528-51100005 Réka BR-2022-10 Kimenő azonnali megbízás"/>
    <n v="-5000"/>
    <x v="7"/>
    <x v="13"/>
    <x v="0"/>
  </r>
  <r>
    <x v="534"/>
    <s v="CATCH BUDAPEST 950,00 HUF Vásárlás"/>
    <n v="-950"/>
    <x v="2"/>
    <x v="2"/>
    <x v="0"/>
  </r>
  <r>
    <x v="534"/>
    <s v="ADVANCE KANTIN BUDAPEST 1.750,00 HUF Vásárlás"/>
    <n v="-1750"/>
    <x v="2"/>
    <x v="2"/>
    <x v="0"/>
  </r>
  <r>
    <x v="534"/>
    <s v="KELENFO LD FORNETTI BUDAPEST 565,00 HUF Vásárlás"/>
    <n v="-565"/>
    <x v="2"/>
    <x v="2"/>
    <x v="0"/>
  </r>
  <r>
    <x v="534"/>
    <s v="10032000-00282637-00000000 OKTATÁSI HIVATAL MUNKABÉR UTALÁS Bejövő Forint Átutalás"/>
    <n v="300834"/>
    <x v="4"/>
    <x v="20"/>
    <x v="0"/>
  </r>
  <r>
    <x v="534"/>
    <s v="HUN-BUDAPEST ROSSMANN 241. Vásárlás(2022.05.31) Card:5444-0XXX-XX68-8737 MCC5977 HUN-BUDAPEST ROSSMANN 241. 289,00 HUF Kártyatranzakció"/>
    <n v="-289"/>
    <x v="3"/>
    <x v="4"/>
    <x v="0"/>
  </r>
  <r>
    <x v="534"/>
    <s v="HUN-BUDAPEST OTPMOBL*JEGY.MAV.HU Vásárlás(2022.05.31) Card:5444-0XXX-XX68-8737 MCC4112 HUN-BUDAPEST OTPMOBL*JEGY.MAV.HU 293,00 HUF Kártyatranzakció"/>
    <n v="-293"/>
    <x v="5"/>
    <x v="28"/>
    <x v="0"/>
  </r>
  <r>
    <x v="534"/>
    <s v="HUN-BUDAPEST OTPMOBL*JEGY.MAV.HU Vásárlás(2022.05.31) Card:5444-0XXX-XX68-8737 MCC4112 HUN-BUDAPEST OTPMOBL*JEGY.MAV.HU 293,00 HUF Kártyatranzakció"/>
    <n v="-293"/>
    <x v="5"/>
    <x v="28"/>
    <x v="0"/>
  </r>
  <r>
    <x v="534"/>
    <s v="HUN-BUDAPEST FORNETTI Vásárlás(2022.05.31) Card:5444-0XXX-XX68-8737 MCC5462 HUN-BUDAPEST FORNETTI 475,00 HUF Kártyatranzakció"/>
    <n v="-475"/>
    <x v="2"/>
    <x v="2"/>
    <x v="0"/>
  </r>
  <r>
    <x v="534"/>
    <s v="HUN-MARTONVASAR TESCO 44089 Vásárlás(2022.05.31) Card:5444-0XXX-XX68-8737 MCC5311 HUN-MARTONVASAR TESCO 44089 1.289,00 HUF Kártyatranzakció"/>
    <n v="-1289"/>
    <x v="3"/>
    <x v="4"/>
    <x v="0"/>
  </r>
  <r>
    <x v="534"/>
    <s v="Kártya Tagsági díj Card:5444-0XXX-XX68-8737"/>
    <n v="-7156"/>
    <x v="1"/>
    <x v="1"/>
    <x v="0"/>
  </r>
  <r>
    <x v="534"/>
    <s v="HUN-BUDAPEST MAMMUT PATIKA Vásárlás(2022.05.31) Card:5444-0XXX-XX68-8737 MCC5912 HUN-BUDAPEST MAMMUT PATIKA 17.442,00 HUF Kártyatranzakció"/>
    <n v="-17442"/>
    <x v="7"/>
    <x v="5"/>
    <x v="0"/>
  </r>
  <r>
    <x v="535"/>
    <s v="OTPMOBL VIMPAY.MAV-STA BUDAPEST 504,00 HUF Vásárlás"/>
    <n v="-504"/>
    <x v="5"/>
    <x v="28"/>
    <x v="0"/>
  </r>
  <r>
    <x v="535"/>
    <s v="OTPMOBL VIMPAY.MAV-STA BUDAPEST 504,00 HUF Vásárlás"/>
    <n v="-504"/>
    <x v="5"/>
    <x v="28"/>
    <x v="0"/>
  </r>
  <r>
    <x v="535"/>
    <s v="Zsu-Ann Kft. Budapest 5.310,00 HUF Vásárlás"/>
    <n v="-5310"/>
    <x v="2"/>
    <x v="2"/>
    <x v="0"/>
  </r>
  <r>
    <x v="535"/>
    <s v="ASIAN.NOODLE E'TTEREM BUDAPEST 3.960,00 HUF Vásárlás"/>
    <n v="-3960"/>
    <x v="2"/>
    <x v="2"/>
    <x v="0"/>
  </r>
  <r>
    <x v="535"/>
    <s v="SPAR MAGYARORSZAG KFT. BUDAPEST 799,00 HUF Vásárlás"/>
    <n v="-799"/>
    <x v="3"/>
    <x v="4"/>
    <x v="0"/>
  </r>
  <r>
    <x v="535"/>
    <s v="BMW javitás"/>
    <n v="-437000"/>
    <x v="5"/>
    <x v="36"/>
    <x v="2"/>
  </r>
  <r>
    <x v="536"/>
    <s v="Havi zárlati díj"/>
    <n v="-1941"/>
    <x v="1"/>
    <x v="1"/>
    <x v="0"/>
  </r>
  <r>
    <x v="536"/>
    <s v="BARKACSBOLT MARTONVASAR 540,00 HUF Vásárlás"/>
    <n v="-540"/>
    <x v="0"/>
    <x v="6"/>
    <x v="0"/>
  </r>
  <r>
    <x v="537"/>
    <s v="HUN-BUDAPEST OTPMOBL*JEGY.MAV.HU Vásárlás(2022.05.26) Card:5444-0XXX-XX68-8737 MCC4112 HUN-BUDAPEST OTPMOBL*JEGY.MAV.HU 252,00 HUF Kártyatranzakció"/>
    <n v="-252"/>
    <x v="5"/>
    <x v="28"/>
    <x v="0"/>
  </r>
  <r>
    <x v="537"/>
    <s v="HUN-BUDAPEST OTPMOBL*JEGY.MAV.HU Vásárlás(2022.05.26) Card:5444-0XXX-XX68-8737 MCC4112 HUN-BUDAPEST OTPMOBL*JEGY.MAV.HU 252,00 HUF Kártyatranzakció"/>
    <n v="-252"/>
    <x v="5"/>
    <x v="28"/>
    <x v="0"/>
  </r>
  <r>
    <x v="537"/>
    <s v="HUN-BUDAPEST DM 233.SZ. Vásárlás(2022.05.26) Card:5444-0XXX-XX68-8737 MCC5977 HUN-BUDAPEST DM 233.SZ. 758,00 HUF Kártyatranzakció"/>
    <n v="-758"/>
    <x v="3"/>
    <x v="4"/>
    <x v="0"/>
  </r>
  <r>
    <x v="537"/>
    <s v="HUN-Budapest Szamos Vásárlás(2022.05.26) Card:5444-0XXX-XX68-8737 MCC5462 HUN-Budapest Szamos 1.350,00 HUF Kártyatranzakció"/>
    <n v="-1350"/>
    <x v="2"/>
    <x v="19"/>
    <x v="0"/>
  </r>
  <r>
    <x v="537"/>
    <s v="HUN-Budapest Allee Calzedonia Vásárlás(2022.05.26) Card:5444-0XXX-XX68-8737 MCC5699 HUN-Budapest Allee Calzedonia 4.995,00 HUF Kártyatranzakció"/>
    <n v="-4995"/>
    <x v="3"/>
    <x v="30"/>
    <x v="0"/>
  </r>
  <r>
    <x v="537"/>
    <s v="HUN-Budapest Padthai Allee Vásárlás(2022.05.26) Card:5444-0XXX-XX68-8737 MCC5812 HUN-Budapest Padthai Allee 6.600,00 HUF Kártyatranzakció"/>
    <n v="-6600"/>
    <x v="2"/>
    <x v="2"/>
    <x v="0"/>
  </r>
  <r>
    <x v="537"/>
    <s v="HUN-BUDAPEST C&amp;A ALLEE 530. Vásárlás(2022.05.26) Card:5444-0XXX-XX68-8737 MCC5691 HUN-BUDAPEST C&amp;A ALLEE 530. 9.995,00 HUF Kártyatranzakció"/>
    <n v="-9995"/>
    <x v="3"/>
    <x v="30"/>
    <x v="0"/>
  </r>
  <r>
    <x v="537"/>
    <s v="HUN-BUDAPEST RESERVED ALLEE Vásárlás(2022.05.26) Card:5444-0XXX-XX68-8737 MCC5651 HUN-BUDAPEST RESERVED ALLEE 13.070,00 HUF Kártyatranzakció"/>
    <n v="-13070"/>
    <x v="3"/>
    <x v="30"/>
    <x v="0"/>
  </r>
  <r>
    <x v="537"/>
    <s v="HUN-BUDAPEST H&amp;M HU0309 Vásárlás(2022.05.26) Card:5444-0XXX-XX68-8737 MCC5691 HUN-BUDAPEST H&amp;M HU0309 25.480,00 HUF Kártyatranzakció"/>
    <n v="-25480"/>
    <x v="3"/>
    <x v="30"/>
    <x v="0"/>
  </r>
  <r>
    <x v="537"/>
    <s v="HUN-Budapest Triumph International Vásárlás(2022.05.26) Card:5444-0XXX-XX68-8737 MCC5699 HUN-Budapest Triumph International 28.827,00 HUF Kártyatranzakció"/>
    <n v="-28827"/>
    <x v="3"/>
    <x v="30"/>
    <x v="0"/>
  </r>
  <r>
    <x v="537"/>
    <s v="TESCO 44089 MARTONVASAR 469,00 HUF Vásárlás"/>
    <n v="-469"/>
    <x v="3"/>
    <x v="4"/>
    <x v="0"/>
  </r>
  <r>
    <x v="537"/>
    <s v="SPAR MAGYARORSZAG KFT SALGOTARJAN 1.378,00 HUF Vásárlás"/>
    <n v="-1378"/>
    <x v="3"/>
    <x v="4"/>
    <x v="0"/>
  </r>
  <r>
    <x v="537"/>
    <s v="OMV 1934 Salgotarjan 14.160,00 HUF Vásárlás"/>
    <n v="-14160"/>
    <x v="5"/>
    <x v="16"/>
    <x v="0"/>
  </r>
  <r>
    <x v="537"/>
    <s v="IKEA BUDAORS ETTEREM Budaors 3.875,00 HUF Vásárlás"/>
    <n v="-3875"/>
    <x v="2"/>
    <x v="2"/>
    <x v="0"/>
  </r>
  <r>
    <x v="537"/>
    <s v="SPAR SALGOTARJAN 2.977,00 HUF Vásárlás"/>
    <n v="-2977"/>
    <x v="3"/>
    <x v="4"/>
    <x v="0"/>
  </r>
  <r>
    <x v="537"/>
    <s v="SPAR MAGYARORSZAG KFT SALGOTARJAN 352,00 HUF Vásárlás"/>
    <n v="-352"/>
    <x v="3"/>
    <x v="4"/>
    <x v="0"/>
  </r>
  <r>
    <x v="537"/>
    <s v="KFC SZIGETSZENTM.M0 DT SZIGETSZENTM 3.840,00 HUF Vásárlás"/>
    <n v="-3840"/>
    <x v="2"/>
    <x v="2"/>
    <x v="0"/>
  </r>
  <r>
    <x v="537"/>
    <s v="NETFLIX.COM 408-724-9160 3.490,00 HUF Vásárlás 9,54 USD"/>
    <n v="-3490"/>
    <x v="0"/>
    <x v="7"/>
    <x v="0"/>
  </r>
  <r>
    <x v="537"/>
    <s v="Czuprik Györgyné temetés"/>
    <n v="-216000"/>
    <x v="8"/>
    <x v="29"/>
    <x v="0"/>
  </r>
  <r>
    <x v="538"/>
    <s v="DM 311.SZ. BUDAORS 1.999,00 HUF Vásárlás"/>
    <n v="-1999"/>
    <x v="3"/>
    <x v="4"/>
    <x v="0"/>
  </r>
  <r>
    <x v="538"/>
    <s v="FNS E'TTEREM BUDAPEST 2.150,00 HUF Vásárlás"/>
    <n v="-2150"/>
    <x v="2"/>
    <x v="2"/>
    <x v="0"/>
  </r>
  <r>
    <x v="538"/>
    <s v="ALDI 156.SZ. BUDAORS 318,00 HUF Vásárlás"/>
    <n v="-318"/>
    <x v="3"/>
    <x v="4"/>
    <x v="0"/>
  </r>
  <r>
    <x v="539"/>
    <s v="DEU-HAMBURG WWW.ABOUTYOU.HU Áru vissza/befizetés(2022.05.24) Card:5444-0XXX-XX68-8737 MCC5311 DEU-HAMBURG WWW.ABOUTYOU.HU 9.190,00 HUF Kártyatranzakció"/>
    <n v="9190"/>
    <x v="3"/>
    <x v="30"/>
    <x v="0"/>
  </r>
  <r>
    <x v="539"/>
    <s v="HUN-BUDAPEST FORNETTI Vásárlás(2022.05.24) Card:5444-0XXX-XX68-8737 MCC5462 HUN-BUDAPEST FORNETTI 446,00 HUF Kártyatranzakció"/>
    <n v="-446"/>
    <x v="2"/>
    <x v="2"/>
    <x v="0"/>
  </r>
  <r>
    <x v="539"/>
    <s v="HUN-BUDAPEST OTPMOBL*JEGY.MAV.HU Vásárlás(2022.05.24) Card:5444-0XXX-XX68-8737 MCC4112 HUN-BUDAPEST OTPMOBL*JEGY.MAV.HU 586,00 HUF Kártyatranzakció"/>
    <n v="-586"/>
    <x v="5"/>
    <x v="28"/>
    <x v="0"/>
  </r>
  <r>
    <x v="539"/>
    <s v="POSTAKOCSI E'TTEREM MARTONVASAR 8.820,00 HUF Vásárlás"/>
    <n v="-8820"/>
    <x v="2"/>
    <x v="2"/>
    <x v="0"/>
  </r>
  <r>
    <x v="539"/>
    <s v="MCD E'RD STOP SHOP ERD 860,00 HUF Vásárlás"/>
    <n v="-860"/>
    <x v="2"/>
    <x v="2"/>
    <x v="0"/>
  </r>
  <r>
    <x v="539"/>
    <s v="IMO Hungary kft Budaors 4.590,00 HUF Vásárlás 12,86 USD"/>
    <n v="-4590"/>
    <x v="5"/>
    <x v="18"/>
    <x v="0"/>
  </r>
  <r>
    <x v="540"/>
    <s v="Babaváró kez.díj 25MAY22"/>
    <n v="4166.67"/>
    <x v="1"/>
    <x v="39"/>
    <x v="1"/>
  </r>
  <r>
    <x v="540"/>
    <s v="PL:P/25MAY22 Tőkefizetés Hitel /22-13488/"/>
    <n v="41666.43"/>
    <x v="1"/>
    <x v="39"/>
    <x v="1"/>
  </r>
  <r>
    <x v="540"/>
    <s v="Babaváró kez.díj 25MAY22"/>
    <n v="-4166.67"/>
    <x v="1"/>
    <x v="39"/>
    <x v="0"/>
  </r>
  <r>
    <x v="540"/>
    <s v="10700529-62328528-51100005 Réka BR-2022-5 Kimenő azonnali megbízás"/>
    <n v="-5000"/>
    <x v="7"/>
    <x v="13"/>
    <x v="0"/>
  </r>
  <r>
    <x v="540"/>
    <s v="PL:P/25MAY22 Tőkefizetés Hitel /22-13488/"/>
    <n v="-41666.43"/>
    <x v="1"/>
    <x v="39"/>
    <x v="0"/>
  </r>
  <r>
    <x v="540"/>
    <s v="MARTON MARKET MARTONVASAR 1.642,00 HUF Vásárlás"/>
    <n v="-1642"/>
    <x v="3"/>
    <x v="4"/>
    <x v="0"/>
  </r>
  <r>
    <x v="541"/>
    <s v="LIDL ARUHAZ 0306.SZ. AGARD 24.145,00 HUF Vásárlás"/>
    <n v="-24145"/>
    <x v="3"/>
    <x v="4"/>
    <x v="0"/>
  </r>
  <r>
    <x v="542"/>
    <s v="JAGUAR LAND ROVER HUNGARY KFT."/>
    <n v="13636"/>
    <x v="4"/>
    <x v="20"/>
    <x v="4"/>
  </r>
  <r>
    <x v="542"/>
    <s v="JAGUAR LAND ROVER HUNGARY KFT."/>
    <n v="7670"/>
    <x v="4"/>
    <x v="20"/>
    <x v="4"/>
  </r>
  <r>
    <x v="542"/>
    <s v="GBR-NORTHWICH MYPROTEIN.COM Vásárlás(2022.05.20) Card:5444-0XXX-XX68-8737 MCC5499 GBR-NORTHWICH MYPROTEIN.COM 11.635,00 HUF Kártyatranzakció"/>
    <n v="-11635"/>
    <x v="7"/>
    <x v="14"/>
    <x v="0"/>
  </r>
  <r>
    <x v="542"/>
    <s v="Fusion Befektetesi Budapest 2.560,00 HUF Vásárlás"/>
    <n v="-2560"/>
    <x v="2"/>
    <x v="2"/>
    <x v="0"/>
  </r>
  <r>
    <x v="542"/>
    <s v="BURGER KING BUDAO RS BUDAORS 2.190,00 HUF Vásárlás"/>
    <n v="-2190"/>
    <x v="2"/>
    <x v="2"/>
    <x v="0"/>
  </r>
  <r>
    <x v="542"/>
    <s v="MARTON MARKET MARTONVASAR 774,00 HUF Vásárlás"/>
    <n v="-774"/>
    <x v="3"/>
    <x v="4"/>
    <x v="0"/>
  </r>
  <r>
    <x v="542"/>
    <s v="OMV 1934 Salgotarjan 20.924,00 HUF Vásárlás"/>
    <n v="-20924"/>
    <x v="5"/>
    <x v="16"/>
    <x v="0"/>
  </r>
  <r>
    <x v="543"/>
    <s v="HUN-GARDONY CSASZI2020 KFT. Vásárlás(2022.05.17) Card:5444-0XXX-XX68-8737 MCC5411 HUN-GARDONY CSASZI2020 KFT. 1.652,00 HUF Kártyatranzakció"/>
    <n v="-1652"/>
    <x v="3"/>
    <x v="4"/>
    <x v="0"/>
  </r>
  <r>
    <x v="543"/>
    <s v="HUN-BUDAPEST ARRIBA TAQUERIA Vásárlás(2022.05.16) Card:5444-0XXX-XX68-8737 MCC5812 HUN-BUDAPEST ARRIBA TAQUERIA 4.784,00 HUF Kártyatranzakció"/>
    <n v="-4784"/>
    <x v="2"/>
    <x v="2"/>
    <x v="0"/>
  </r>
  <r>
    <x v="543"/>
    <s v="WHITE HOUSE BUDAPEST 820,00 HUF Vásárlás"/>
    <n v="-820"/>
    <x v="2"/>
    <x v="2"/>
    <x v="0"/>
  </r>
  <r>
    <x v="543"/>
    <s v="Kemal Pasa Torok Et Budapest 1.850,00 HUF Vásárlás"/>
    <n v="-1850"/>
    <x v="2"/>
    <x v="2"/>
    <x v="0"/>
  </r>
  <r>
    <x v="544"/>
    <s v="HUN-Budapest Stühmer Édességbolt Vásárlás(2022.05.16) Card:5444-0XXX-XX68-8737 MCC5462 HUN-Budapest Stühmer Édességbolt 2.400,00 HUF Kártyatranzakció"/>
    <n v="-2400"/>
    <x v="2"/>
    <x v="19"/>
    <x v="0"/>
  </r>
  <r>
    <x v="544"/>
    <s v="LIDL ARUHAZ 0306.SZ. AGARD 7.755,00 HUF Vásárlás"/>
    <n v="-7755"/>
    <x v="3"/>
    <x v="4"/>
    <x v="0"/>
  </r>
  <r>
    <x v="545"/>
    <s v="TELEKOMFELT 483382305 BUDAPEST 5.000,00 HUF Vásárlás 13,52 USD"/>
    <n v="-5000"/>
    <x v="3"/>
    <x v="46"/>
    <x v="0"/>
  </r>
  <r>
    <x v="546"/>
    <s v="OBI 010 BUDAORS BUDAORS 9.296,00 HUF Vásárlás"/>
    <n v="-9296"/>
    <x v="0"/>
    <x v="6"/>
    <x v="0"/>
  </r>
  <r>
    <x v="546"/>
    <s v="POSTAKOCSI E'TTEREM MARTONVASAR 3.650,00 HUF Vásárlás"/>
    <n v="-3650"/>
    <x v="2"/>
    <x v="2"/>
    <x v="0"/>
  </r>
  <r>
    <x v="546"/>
    <s v="MARTON FRUIT MARTONVASAR 2.276,00 HUF Vásárlás"/>
    <n v="-2276"/>
    <x v="3"/>
    <x v="4"/>
    <x v="0"/>
  </r>
  <r>
    <x v="546"/>
    <s v="ALDI 22.SZ. ERD 3.861,00 HUF Vásárlás"/>
    <n v="-3861"/>
    <x v="3"/>
    <x v="4"/>
    <x v="0"/>
  </r>
  <r>
    <x v="546"/>
    <s v="ALDI 156.SZ. BUDAORS 25.481,00 HUF Vásárlás"/>
    <n v="-25481"/>
    <x v="3"/>
    <x v="4"/>
    <x v="0"/>
  </r>
  <r>
    <x v="547"/>
    <s v="HUN-BUDAORS MCD BUDAO:RS Vásárlás(2022.05.11) Card:5444-0XXX-XX68-8737 MCC5812 HUN-BUDAORS MCD BUDAO:RS 1.090,00 HUF Kártyatranzakció"/>
    <n v="-1090"/>
    <x v="2"/>
    <x v="2"/>
    <x v="0"/>
  </r>
  <r>
    <x v="547"/>
    <s v="HUN-BUDAPEST OTPMOBL*BOOKLINE.HU Vásárlás(2022.05.11) Card:5444-0XXX-XX68-8737 MCC5942 HUN-BUDAPEST OTPMOBL*BOOKLINE.HU 4.621,00 HUF Kártyatranzakció"/>
    <n v="-4621"/>
    <x v="3"/>
    <x v="24"/>
    <x v="0"/>
  </r>
  <r>
    <x v="547"/>
    <s v="HUN-BUDAORS HA'DA HASZNA'LTRUHA U: Vásárlás(2022.05.11) Card:5444-0XXX-XX68-8737 MCC5691 HUN-BUDAORS HA'DA HASZNA'LTRUHA U: 6.798,00 HUF Kártyatranzakció"/>
    <n v="-6798"/>
    <x v="3"/>
    <x v="30"/>
    <x v="0"/>
  </r>
  <r>
    <x v="547"/>
    <s v="HUN-Budaörs Deichmann Budaörs 079 Vásárlás(2022.05.11) Card:5444-0XXX-XX68-8737 MCC5661 HUN-Budaörs Deichmann Budaörs 079 13.270,00 HUF Kártyatranzakció"/>
    <n v="-13270"/>
    <x v="3"/>
    <x v="30"/>
    <x v="0"/>
  </r>
  <r>
    <x v="547"/>
    <s v="DEU-HAMBURG WWW.ABOUTYOU.HU Vásárlás(2022.05.11) Card:5444-0XXX-XX68-8737 MCC5311 DEU-HAMBURG WWW.ABOUTYOU.HU 40.520,00 HUF Kártyatranzakció"/>
    <n v="-40520"/>
    <x v="3"/>
    <x v="30"/>
    <x v="0"/>
  </r>
  <r>
    <x v="547"/>
    <s v="KISKIFLI KAVEZO BUDAPEST 750,00 HUF Vásárlás"/>
    <n v="-750"/>
    <x v="2"/>
    <x v="19"/>
    <x v="0"/>
  </r>
  <r>
    <x v="547"/>
    <s v="SHELL TO LTO'A'LL.546 BUDAORS 20.631,00 HUF Vásárlás"/>
    <n v="-20631"/>
    <x v="5"/>
    <x v="16"/>
    <x v="0"/>
  </r>
  <r>
    <x v="547"/>
    <s v="TESCO 41520 O NKISZOLG BUDAORS 912,00 HUF Vásárlás"/>
    <n v="-912"/>
    <x v="3"/>
    <x v="4"/>
    <x v="0"/>
  </r>
  <r>
    <x v="548"/>
    <s v="Burger King Budaörs"/>
    <n v="-3230"/>
    <x v="2"/>
    <x v="2"/>
    <x v="4"/>
  </r>
  <r>
    <x v="548"/>
    <s v="HUN-MARTONVASAR MARTON MARKET Vásárlás(2022.05.10) Card:5444-0XXX-XX68-8737 MCC5411 HUN-MARTONVASAR MARTON MARKET 2.734,00 HUF Kártyatranzakció"/>
    <n v="-2734"/>
    <x v="3"/>
    <x v="4"/>
    <x v="0"/>
  </r>
  <r>
    <x v="548"/>
    <s v="OTPMOBL DIJNET.HU BUDAPEST 6.944,00 HUF Vásárlás"/>
    <n v="-6944"/>
    <x v="0"/>
    <x v="23"/>
    <x v="0"/>
  </r>
  <r>
    <x v="548"/>
    <s v="KORMA'NYABLAK MARTONVA MARTONVASAR 7.500,00 HUF Vásárlás"/>
    <n v="-7500"/>
    <x v="8"/>
    <x v="29"/>
    <x v="0"/>
  </r>
  <r>
    <x v="548"/>
    <s v="VIANNI U ZLET MARTONVASAR 675,00 HUF Vásárlás"/>
    <n v="-675"/>
    <x v="3"/>
    <x v="4"/>
    <x v="0"/>
  </r>
  <r>
    <x v="549"/>
    <s v="MVM NEXT ENERGIAK BUDAPEST 10.882,00 HUF Vásárlás"/>
    <n v="-10882"/>
    <x v="0"/>
    <x v="22"/>
    <x v="0"/>
  </r>
  <r>
    <x v="549"/>
    <s v="TESCO 44089 MARTONVASAR 4.025,00 HUF Vásárlás"/>
    <n v="-4025"/>
    <x v="3"/>
    <x v="4"/>
    <x v="0"/>
  </r>
  <r>
    <x v="549"/>
    <s v="HELLOPAY KERESKEDO' BUDAPEST 2.270,00 HUF Vásárlás"/>
    <n v="-2270"/>
    <x v="2"/>
    <x v="2"/>
    <x v="0"/>
  </r>
  <r>
    <x v="550"/>
    <s v="PL:P/10MAY22 Tőkefizetés Hitel /21-41194/"/>
    <n v="-211413.08"/>
    <x v="0"/>
    <x v="21"/>
    <x v="0"/>
  </r>
  <r>
    <x v="550"/>
    <s v="PL:I/10MAY22 Kamatfizetés  Hitel /21-41194/"/>
    <n v="-50391.71"/>
    <x v="0"/>
    <x v="21"/>
    <x v="0"/>
  </r>
  <r>
    <x v="550"/>
    <s v="KISKIFLI KAVEZO BUDAPEST 1.100,00 HUF Vásárlás"/>
    <n v="-1100"/>
    <x v="2"/>
    <x v="19"/>
    <x v="0"/>
  </r>
  <r>
    <x v="550"/>
    <s v="Cafe Frei Budapest- No Budapest 1.215,00 HUF Vásárlás 3,36 USD"/>
    <n v="-1215"/>
    <x v="2"/>
    <x v="19"/>
    <x v="0"/>
  </r>
  <r>
    <x v="550"/>
    <s v="JAGUAR LAND ROVER HUNGARY KFT. Munkaber utalasMunkabér"/>
    <n v="692194"/>
    <x v="4"/>
    <x v="20"/>
    <x v="0"/>
  </r>
  <r>
    <x v="550"/>
    <s v="PL:P/10MAY22 Tőkefizetés Hitel /21-41194/"/>
    <n v="211413.08"/>
    <x v="0"/>
    <x v="21"/>
    <x v="1"/>
  </r>
  <r>
    <x v="551"/>
    <s v="HUN-MARTONVASAR POSTAKOCSI E'TTEREM Vásárlás(2022.05.05) Card:5444-0XXX-XX68-8737 MCC5812 HUN-MARTONVASAR POSTAKOCSI E'TTEREM 3.650,00 HUF Kártyatranzakció"/>
    <n v="-3650"/>
    <x v="2"/>
    <x v="2"/>
    <x v="0"/>
  </r>
  <r>
    <x v="551"/>
    <s v="MAGYAR ALLAMKINCSTAR BUDAPEST 10.019.273,00 HUF Vásárlás"/>
    <n v="10019273"/>
    <x v="1"/>
    <x v="26"/>
    <x v="3"/>
  </r>
  <r>
    <x v="551"/>
    <s v="MAGYAR ALLAMKINCSTAR BUDAPEST 10.019.273,00 HUF Vásárlás"/>
    <n v="-10019273"/>
    <x v="1"/>
    <x v="26"/>
    <x v="0"/>
  </r>
  <r>
    <x v="551"/>
    <s v="KFC AUCHAN BUDAORS 3.810,00 HUF Vásárlás"/>
    <n v="-3810"/>
    <x v="2"/>
    <x v="2"/>
    <x v="0"/>
  </r>
  <r>
    <x v="551"/>
    <s v="AUCHAN BUDAORS BUDAORS 18.376,00 HUF Vásárlás"/>
    <n v="-18376"/>
    <x v="3"/>
    <x v="4"/>
    <x v="0"/>
  </r>
  <r>
    <x v="551"/>
    <s v="OBI 010 BUDAORS 17.714,00 HUF Vásárlás"/>
    <n v="-17714"/>
    <x v="0"/>
    <x v="6"/>
    <x v="0"/>
  </r>
  <r>
    <x v="552"/>
    <s v="Advance Kantin"/>
    <n v="-3090"/>
    <x v="2"/>
    <x v="2"/>
    <x v="4"/>
  </r>
  <r>
    <x v="552"/>
    <s v="Cr Forgalmi kedvezmény"/>
    <n v="1550"/>
    <x v="1"/>
    <x v="1"/>
    <x v="0"/>
  </r>
  <r>
    <x v="552"/>
    <s v="HUN-SZEKESFEHERVA DAMNICZKI CUKRA'S Vásárlás(2022.05.04) Card:5444-0XXX-XX68-8737 MCC5441 HUN-SZEKESFEHERVA DAMNICZKI CUKRA'S ZDA 1.772,00 HUF Kártyatranzakció"/>
    <n v="-1772"/>
    <x v="2"/>
    <x v="19"/>
    <x v="0"/>
  </r>
  <r>
    <x v="552"/>
    <s v="HUN-SZEKESFEHERVA DM 313.SZ. Vásárlás(2022.05.04) Card:5444-0XXX-XX68-8737 MCC5977 HUN-SZEKESFEHERVA DM 313.SZ. 1.948,00 HUF Kártyatranzakció"/>
    <n v="-1948"/>
    <x v="3"/>
    <x v="4"/>
    <x v="0"/>
  </r>
  <r>
    <x v="552"/>
    <s v="HUN-MARTONVASAR MARTON KLINIK Vásárlás(2022.05.04) Card:5444-0XXX-XX68-8737 MCC8099 HUN-MARTONVASAR MARTON KLINIK 10.650,00 HUF Kártyatranzakció"/>
    <n v="-10650"/>
    <x v="7"/>
    <x v="17"/>
    <x v="0"/>
  </r>
  <r>
    <x v="552"/>
    <s v="HUN-Székesfehérvá RUB-INT Rendelö Vásárlás(2022.05.04) Card:5444-0XXX-XX68-8737 MCC8011 HUN-Székesfehérvá RUB-INT Rendelö 48.000,00 HUF Kártyatranzakció"/>
    <n v="-48000"/>
    <x v="7"/>
    <x v="17"/>
    <x v="0"/>
  </r>
  <r>
    <x v="552"/>
    <s v="New York Bagel Kft Budapest 1.150,00 HUF Vásárlás 3,20 USD"/>
    <n v="-1150"/>
    <x v="2"/>
    <x v="2"/>
    <x v="0"/>
  </r>
  <r>
    <x v="553"/>
    <s v="KFC SZE'KESF. BUDAI DT SZEKESFEHERV 3.830,00 HUF Vásárlás"/>
    <n v="-3830"/>
    <x v="2"/>
    <x v="2"/>
    <x v="0"/>
  </r>
  <r>
    <x v="553"/>
    <s v="SPAR MAGYARORSZAG KFT SZEKESFEHERV 3.498,00 HUF Vásárlás"/>
    <n v="-3498"/>
    <x v="3"/>
    <x v="4"/>
    <x v="0"/>
  </r>
  <r>
    <x v="553"/>
    <s v="VIZ-, GAZ SZERELVENYB MARTONVASAR 7.366,00 HUF Vásárlás"/>
    <n v="-7366"/>
    <x v="0"/>
    <x v="6"/>
    <x v="0"/>
  </r>
  <r>
    <x v="553"/>
    <s v="Gazda-SAGI Bolt Martonvasar 7.650,00 HUF Vásárlás 21,10 USD"/>
    <n v="-7650"/>
    <x v="0"/>
    <x v="6"/>
    <x v="0"/>
  </r>
  <r>
    <x v="554"/>
    <s v="Burger King Étterem Oktogon"/>
    <n v="-4810"/>
    <x v="2"/>
    <x v="2"/>
    <x v="4"/>
  </r>
  <r>
    <x v="554"/>
    <s v="HUN-MARTONVASAR TESCO 44089 O:NKISZ Vásárlás(2022.05.02) Card:5444-0XXX-XX68-8737 MCC5311 HUN-MARTONVASAR TESCO 44089 O:NKISZ OLG 1.031,00 HUF Kártyatranzakció"/>
    <n v="-1031"/>
    <x v="3"/>
    <x v="4"/>
    <x v="0"/>
  </r>
  <r>
    <x v="554"/>
    <s v="HUN-BUDAPEST OTPMOBL*VITAMINVILAG.H Vásárlás(2022.05.02) Card:5444-0XXX-XX68-8737 MCC5499 HUN-BUDAPEST OTPMOBL*VITAMINVILAG.H 9.180,00 HUF Kártyatranzakció"/>
    <n v="-9180"/>
    <x v="7"/>
    <x v="14"/>
    <x v="0"/>
  </r>
  <r>
    <x v="555"/>
    <s v="10032000-00282637-00000000 OKTATÁSI HIVATAL MUNKABÉR UTALÁS Bejövő Forint Átutalás"/>
    <n v="297804"/>
    <x v="4"/>
    <x v="20"/>
    <x v="0"/>
  </r>
  <r>
    <x v="556"/>
    <s v="TESCO 44089 MARTONVASAR 1.382,00 HUF Vásárlás"/>
    <n v="-1382"/>
    <x v="3"/>
    <x v="4"/>
    <x v="0"/>
  </r>
  <r>
    <x v="556"/>
    <s v="TESCO 44089 O NKISZOLG MARTONVASAR 378,00 HUF Vásárlás"/>
    <n v="-378"/>
    <x v="3"/>
    <x v="4"/>
    <x v="0"/>
  </r>
  <r>
    <x v="556"/>
    <s v="PM-ABACUS FIZETO'AUT 4 BUDAPEST 700,00 HUF Vásárlás"/>
    <n v="-700"/>
    <x v="5"/>
    <x v="9"/>
    <x v="0"/>
  </r>
  <r>
    <x v="556"/>
    <s v="ALDI 156.SZ. BUDAORS 10.560,00 HUF Vásárlás"/>
    <n v="-10560"/>
    <x v="3"/>
    <x v="4"/>
    <x v="0"/>
  </r>
  <r>
    <x v="556"/>
    <s v="PRAKTIKER 333. BUDAORS 7.397,00 HUF Vásárlás"/>
    <n v="-7397"/>
    <x v="0"/>
    <x v="6"/>
    <x v="0"/>
  </r>
  <r>
    <x v="556"/>
    <s v="Szamos Budapest 1.400,00 HUF Vásárlás"/>
    <n v="-1400"/>
    <x v="2"/>
    <x v="19"/>
    <x v="0"/>
  </r>
  <r>
    <x v="556"/>
    <s v="TESCO 44089 MARTONVASAR 1.896,00 HUF Vásárlás"/>
    <n v="-1896"/>
    <x v="3"/>
    <x v="4"/>
    <x v="0"/>
  </r>
  <r>
    <x v="557"/>
    <s v="Padthai Wokbar"/>
    <n v="-6620"/>
    <x v="2"/>
    <x v="2"/>
    <x v="4"/>
  </r>
  <r>
    <x v="558"/>
    <s v="Havi zárlati díj"/>
    <n v="-1799"/>
    <x v="1"/>
    <x v="1"/>
    <x v="0"/>
  </r>
  <r>
    <x v="559"/>
    <s v="Istambul étterem"/>
    <n v="-1050"/>
    <x v="2"/>
    <x v="2"/>
    <x v="4"/>
  </r>
  <r>
    <x v="559"/>
    <s v="HUN-BUDAORS POSTA7933 Vásárlás(2022.04.27) Card:5444-0XXX-XX68-8737 MCC9402 HUN-BUDAORS POSTA7933 9.455,00 HUF Kártyatranzakció"/>
    <n v="-9455"/>
    <x v="2"/>
    <x v="10"/>
    <x v="0"/>
  </r>
  <r>
    <x v="559"/>
    <s v="OMV 1772 Budapest Bud 19.162,00 HUF Vásárlás"/>
    <n v="-19162"/>
    <x v="5"/>
    <x v="16"/>
    <x v="0"/>
  </r>
  <r>
    <x v="559"/>
    <s v="KISKIFLI KAVEZO BUDAPEST 1.240,00 HUF Vásárlás"/>
    <n v="-1240"/>
    <x v="2"/>
    <x v="19"/>
    <x v="0"/>
  </r>
  <r>
    <x v="559"/>
    <s v="OBI 036 FO'T FOT 11.893,00 HUF Vásárlás"/>
    <n v="-11893"/>
    <x v="0"/>
    <x v="6"/>
    <x v="0"/>
  </r>
  <r>
    <x v="560"/>
    <s v="NETFLIX.COM 408-724-9160 3.490,00 HUF Vásárlás 9,78 USD"/>
    <n v="-3490"/>
    <x v="0"/>
    <x v="7"/>
    <x v="0"/>
  </r>
  <r>
    <x v="561"/>
    <s v="HUN-MARTONVASAR TESCO 44089 O:NKISZ Vásárlás(2022.04.25) Card:5444-0XXX-XX68-8737 MCC5311 HUN-MARTONVASAR TESCO 44089 O:NKISZ OLG 899,00 HUF Kártyatranzakció"/>
    <n v="-899"/>
    <x v="3"/>
    <x v="4"/>
    <x v="0"/>
  </r>
  <r>
    <x v="561"/>
    <s v="11773054-00693288-00000000 Csató Enikő Kimenő azonnali megbízás"/>
    <n v="-10000"/>
    <x v="3"/>
    <x v="8"/>
    <x v="0"/>
  </r>
  <r>
    <x v="561"/>
    <s v="MCD E'RD STOP SHOP ERD 170,00 HUF Vásárlás"/>
    <n v="-170"/>
    <x v="2"/>
    <x v="2"/>
    <x v="0"/>
  </r>
  <r>
    <x v="561"/>
    <s v="SPAR PARTNER 6915900 ERD 3.554,00 HUF Vásárlás"/>
    <n v="-3554"/>
    <x v="3"/>
    <x v="4"/>
    <x v="0"/>
  </r>
  <r>
    <x v="562"/>
    <s v="McDONALD'S ÉRD STOP-SHOP93."/>
    <n v="-6490"/>
    <x v="2"/>
    <x v="2"/>
    <x v="4"/>
  </r>
  <r>
    <x v="562"/>
    <s v="HUN-BUDAORS DM 311.SZ. Vásárlás(2022.04.24) Card:5444-0XXX-XX68-8737 MCC5977 HUN-BUDAORS DM 311.SZ. 23.167,00 HUF Kártyatranzakció"/>
    <n v="-23167"/>
    <x v="3"/>
    <x v="4"/>
    <x v="0"/>
  </r>
  <r>
    <x v="562"/>
    <s v="ALDI 156.SZ. BUDAORS 10.340,00 HUF Vásárlás"/>
    <n v="-10340"/>
    <x v="3"/>
    <x v="4"/>
    <x v="0"/>
  </r>
  <r>
    <x v="562"/>
    <s v="TESCO 44089 MARTONVASAR 694,00 HUF Vásárlás"/>
    <n v="-694"/>
    <x v="3"/>
    <x v="4"/>
    <x v="0"/>
  </r>
  <r>
    <x v="563"/>
    <s v="HUN-MARTONVASAR POSTAKOCSI E'TTEREM Vásárlás(2022.04.21) Card:5444-0XXX-XX68-8737 MCC5812 HUN-MARTONVASAR POSTAKOCSI E'TTEREM 3.640,00 HUF Kártyatranzakció"/>
    <n v="-3640"/>
    <x v="2"/>
    <x v="2"/>
    <x v="0"/>
  </r>
  <r>
    <x v="563"/>
    <s v="HUN-MARTONVASAR POSTAKOCSI E'TTEREM Vásárlás(2022.04.23) Card:5444-0XXX-XX68-8737 MCC5812 HUN-MARTONVASAR POSTAKOCSI E'TTEREM 6.850,00 HUF Kártyatranzakció"/>
    <n v="-6850"/>
    <x v="2"/>
    <x v="2"/>
    <x v="0"/>
  </r>
  <r>
    <x v="563"/>
    <s v="TESCO 44089 O NKISZOLG MARTONVASAR 534,00 HUF Vásárlás"/>
    <n v="-534"/>
    <x v="3"/>
    <x v="4"/>
    <x v="0"/>
  </r>
  <r>
    <x v="563"/>
    <s v="22/13488 Folyósítás"/>
    <n v="10000000"/>
    <x v="1"/>
    <x v="39"/>
    <x v="0"/>
  </r>
  <r>
    <x v="563"/>
    <s v="22/13488 Folyósítás"/>
    <n v="-10000000"/>
    <x v="1"/>
    <x v="39"/>
    <x v="1"/>
  </r>
  <r>
    <x v="563"/>
    <s v="BP. GARDEN KFT. BUDAPEST 810,00 HUF Vásárlás"/>
    <n v="-810"/>
    <x v="6"/>
    <x v="40"/>
    <x v="0"/>
  </r>
  <r>
    <x v="563"/>
    <s v="BAUHAUS SZIGETSZENTMIK SZIGETSZENTM 144.770,00 HUF Vásárlás"/>
    <n v="-144770"/>
    <x v="0"/>
    <x v="6"/>
    <x v="0"/>
  </r>
  <r>
    <x v="563"/>
    <s v="BAUHAUS SZIGETSZENTMIK SZIGETSZENTM 14.060,00 HUF Vásárlás"/>
    <n v="-14060"/>
    <x v="0"/>
    <x v="6"/>
    <x v="0"/>
  </r>
  <r>
    <x v="563"/>
    <s v="POSTAKOCSI E'TTEREM MARTONVASAR 4.230,00 HUF Vásárlás"/>
    <n v="-4230"/>
    <x v="2"/>
    <x v="2"/>
    <x v="0"/>
  </r>
  <r>
    <x v="564"/>
    <s v="HUN-MARTONVASAR POSTAKOCSI E'TTEREM Vásárlás(2022.04.20) Card:5444-0XXX-XX68-8737 MCC5812 HUN-MARTONVASAR POSTAKOCSI E'TTEREM 5.680,00 HUF Kártyatranzakció"/>
    <n v="-5680"/>
    <x v="2"/>
    <x v="2"/>
    <x v="0"/>
  </r>
  <r>
    <x v="564"/>
    <s v="TESCO 44089 MARTONVASAR 1.123,00 HUF Vásárlás"/>
    <n v="-1123"/>
    <x v="3"/>
    <x v="4"/>
    <x v="0"/>
  </r>
  <r>
    <x v="565"/>
    <s v="JAGUAR LAND ROVER HUNGARY KFT."/>
    <n v="13636"/>
    <x v="4"/>
    <x v="20"/>
    <x v="4"/>
  </r>
  <r>
    <x v="565"/>
    <s v="JAGUAR LAND ROVER HUNGARY KFT."/>
    <n v="7670"/>
    <x v="4"/>
    <x v="20"/>
    <x v="4"/>
  </r>
  <r>
    <x v="565"/>
    <s v="OMV 2087 M7 Kajaszo b 20.117,00 HUF Vásárlás"/>
    <n v="-20117"/>
    <x v="5"/>
    <x v="16"/>
    <x v="0"/>
  </r>
  <r>
    <x v="566"/>
    <s v="VIZ-, GAZ SZERELVENYB MARTONVASAR 1.365,00 HUF Vásárlás"/>
    <n v="-1365"/>
    <x v="0"/>
    <x v="6"/>
    <x v="0"/>
  </r>
  <r>
    <x v="567"/>
    <s v="HUN-MARTONVASAR MARTON KLINIK Vásárlás(2022.04.13) Card:5444-0XXX-XX68-8737 MCC8099 HUN-MARTONVASAR MARTON KLINIK 14.900,00 HUF Kártyatranzakció"/>
    <n v="-14900"/>
    <x v="7"/>
    <x v="17"/>
    <x v="0"/>
  </r>
  <r>
    <x v="567"/>
    <s v="TESCO 44089 MARTONVASAR 7.129,00 HUF Vásárlás"/>
    <n v="-7129"/>
    <x v="3"/>
    <x v="4"/>
    <x v="0"/>
  </r>
  <r>
    <x v="567"/>
    <s v="OTPMOBL DIJNET.HU BUDAPEST 6.944,00 HUF Vásárlás"/>
    <n v="-6944"/>
    <x v="0"/>
    <x v="23"/>
    <x v="0"/>
  </r>
  <r>
    <x v="567"/>
    <s v="ALDI 3.SZ. BUDAORS 15.271,00 HUF Vásárlás"/>
    <n v="-15271"/>
    <x v="3"/>
    <x v="4"/>
    <x v="0"/>
  </r>
  <r>
    <x v="567"/>
    <s v="OBI 010 BUDAORS 37.877,00 HUF Vásárlás"/>
    <n v="-37877"/>
    <x v="0"/>
    <x v="6"/>
    <x v="0"/>
  </r>
  <r>
    <x v="567"/>
    <s v="TELEKOMSZAML 475873398 BUDAPEST 6.479,00 HUF Vásárlás 18,68 USD"/>
    <n v="-6479"/>
    <x v="0"/>
    <x v="7"/>
    <x v="0"/>
  </r>
  <r>
    <x v="568"/>
    <s v="Nemzeti Adó- és Vámhivatal 22KB64761182 CZUPRIK GERGELY 246 2 MARTONVÁSÁR PIPACS UTCA 6. 3. AJTÓ"/>
    <n v="5002"/>
    <x v="4"/>
    <x v="20"/>
    <x v="0"/>
  </r>
  <r>
    <x v="569"/>
    <s v="LIDL ARUHAZ 0349.SZ. BUDAORS 5.260,00 HUF Vásárlás"/>
    <n v="-5260"/>
    <x v="3"/>
    <x v="4"/>
    <x v="0"/>
  </r>
  <r>
    <x v="570"/>
    <s v="IKEA BUDAORS ETTEREM Budaors 2.880,00 HUF Vásárlás"/>
    <n v="-2880"/>
    <x v="2"/>
    <x v="2"/>
    <x v="0"/>
  </r>
  <r>
    <x v="570"/>
    <s v="IKEA BUDAORS ETTEREM Budaors 1.540,00 HUF Vásárlás"/>
    <n v="-1540"/>
    <x v="2"/>
    <x v="2"/>
    <x v="0"/>
  </r>
  <r>
    <x v="570"/>
    <s v="PRAKTIKER 330. BUDAPEST 10.079,00 HUF Vásárlás"/>
    <n v="-10079"/>
    <x v="0"/>
    <x v="6"/>
    <x v="0"/>
  </r>
  <r>
    <x v="571"/>
    <s v="TESCO 44089 O NKISZOLG MARTONVASAR 399,00 HUF Vásárlás"/>
    <n v="-399"/>
    <x v="3"/>
    <x v="4"/>
    <x v="0"/>
  </r>
  <r>
    <x v="571"/>
    <s v="OMV 1773 M0 Szigetszt 18.507,00 HUF Vásárlás"/>
    <n v="-18507"/>
    <x v="5"/>
    <x v="16"/>
    <x v="0"/>
  </r>
  <r>
    <x v="571"/>
    <s v="MARTON MARKET MARTONVASAR 898,00 HUF Vásárlás"/>
    <n v="-898"/>
    <x v="3"/>
    <x v="4"/>
    <x v="0"/>
  </r>
  <r>
    <x v="571"/>
    <s v="MVM NEXT ENERGIAK BUDAPEST 11.008,00 HUF Vásárlás"/>
    <n v="-11008"/>
    <x v="0"/>
    <x v="22"/>
    <x v="0"/>
  </r>
  <r>
    <x v="572"/>
    <s v="PL:P/10APR22 Tőkefizetés Hitel /21-41194/"/>
    <n v="-209308"/>
    <x v="0"/>
    <x v="21"/>
    <x v="0"/>
  </r>
  <r>
    <x v="572"/>
    <s v="PL:I/10APR22 Kamatfizetés  Hitel /21-41194/"/>
    <n v="-52496.79"/>
    <x v="0"/>
    <x v="21"/>
    <x v="0"/>
  </r>
  <r>
    <x v="572"/>
    <s v="PL:P/10APR22 Tőkefizetés Hitel /21-41194/"/>
    <n v="209308"/>
    <x v="0"/>
    <x v="21"/>
    <x v="1"/>
  </r>
  <r>
    <x v="573"/>
    <s v="Super Wok"/>
    <n v="-1380"/>
    <x v="2"/>
    <x v="2"/>
    <x v="4"/>
  </r>
  <r>
    <x v="573"/>
    <s v="IKEA BUDAORS ETTEREM Budaors 6.060,00 HUF Vásárlás"/>
    <n v="-6060"/>
    <x v="2"/>
    <x v="2"/>
    <x v="0"/>
  </r>
  <r>
    <x v="573"/>
    <s v="IKEA BUDAORS ETTEREM Budaors 1.150,00 HUF Vásárlás"/>
    <n v="-1150"/>
    <x v="2"/>
    <x v="2"/>
    <x v="0"/>
  </r>
  <r>
    <x v="573"/>
    <s v="KISKIFLI KAVEZO BUDAPEST 1.040,00 HUF Vásárlás"/>
    <n v="-1040"/>
    <x v="2"/>
    <x v="19"/>
    <x v="0"/>
  </r>
  <r>
    <x v="573"/>
    <s v="TELEKOMFELT 473110072 BUDAPEST 5.000,00 HUF Vásárlás 14,46 USD"/>
    <n v="-5000"/>
    <x v="3"/>
    <x v="46"/>
    <x v="0"/>
  </r>
  <r>
    <x v="573"/>
    <s v="Mazsa Nordik Kft. Budapest 229,00 HUF Vásárlás 0,66 USD"/>
    <n v="-229"/>
    <x v="3"/>
    <x v="4"/>
    <x v="0"/>
  </r>
  <r>
    <x v="573"/>
    <s v="JAGUAR LAND ROVER HUNGARY KFT. Munkaber utalasMunkabér"/>
    <n v="732328"/>
    <x v="4"/>
    <x v="20"/>
    <x v="0"/>
  </r>
  <r>
    <x v="574"/>
    <s v="Cr Forgalmi kedvezmény"/>
    <n v="1550"/>
    <x v="1"/>
    <x v="1"/>
    <x v="0"/>
  </r>
  <r>
    <x v="574"/>
    <s v="ALDI 5.SZ. GARDONY 7.311,00 HUF Vásárlás"/>
    <n v="-7311"/>
    <x v="3"/>
    <x v="4"/>
    <x v="0"/>
  </r>
  <r>
    <x v="574"/>
    <s v="TESCO 44089 MARTONVASAR 4.040,00 HUF Vásárlás"/>
    <n v="-4040"/>
    <x v="3"/>
    <x v="4"/>
    <x v="0"/>
  </r>
  <r>
    <x v="575"/>
    <s v="HUN-MARTONVASAR NEMZETI DOHA'NYBOLT Vásárlás(2022.04.04) Card:5444-0XXX-XX68-8737 MCC5993 HUN-MARTONVASAR NEMZETI DOHA'NYBOLT 598,00 HUF Kártyatranzakció"/>
    <n v="-598"/>
    <x v="3"/>
    <x v="4"/>
    <x v="0"/>
  </r>
  <r>
    <x v="576"/>
    <s v="TESCO 44089 O NKISZOLG MARTONVASAR 843,00 HUF Vásárlás"/>
    <n v="-843"/>
    <x v="3"/>
    <x v="4"/>
    <x v="0"/>
  </r>
  <r>
    <x v="576"/>
    <s v="MARTON MARKET MARTONVASAR 999,00 HUF Vásárlás"/>
    <n v="-999"/>
    <x v="3"/>
    <x v="4"/>
    <x v="0"/>
  </r>
  <r>
    <x v="577"/>
    <s v="10032000-00282637-00000000 OKTATÁSI HIVATAL MUNKABÉR UTALÁS Bejövő Forint Átutalás"/>
    <n v="302575"/>
    <x v="4"/>
    <x v="20"/>
    <x v="0"/>
  </r>
  <r>
    <x v="577"/>
    <s v="HUN-MARTONVASAR POSTAKOCSI E'TTEREM Vásárlás(2022.04.02) Card:5444-0XXX-XX68-8737 MCC5812 HUN-MARTONVASAR POSTAKOCSI E'TTEREM 10.230,00 HUF Kártyatranzakció"/>
    <n v="-10230"/>
    <x v="2"/>
    <x v="10"/>
    <x v="0"/>
  </r>
  <r>
    <x v="577"/>
    <s v="ALDI 156.SZ. BUDAORS 8.349,00 HUF Vásárlás"/>
    <n v="-8349"/>
    <x v="3"/>
    <x v="4"/>
    <x v="0"/>
  </r>
  <r>
    <x v="577"/>
    <s v="MARTON MARKET MARTONVASAR 1.805,00 HUF Vásárlás"/>
    <n v="-1805"/>
    <x v="3"/>
    <x v="4"/>
    <x v="0"/>
  </r>
  <r>
    <x v="578"/>
    <s v="HUN-BUDAPEST OTPMOBL*VITAMINVILAG.H Vásárlás(2022.03.30) Card:5444-0XXX-XX68-8737 MCC5499 HUN-BUDAPEST OTPMOBL*VITAMINVILAG.H 8.880,00 HUF Kártyatranzakció"/>
    <n v="-8880"/>
    <x v="7"/>
    <x v="14"/>
    <x v="0"/>
  </r>
  <r>
    <x v="579"/>
    <s v="Kamatadó"/>
    <n v="-3.3"/>
    <x v="1"/>
    <x v="34"/>
    <x v="0"/>
  </r>
  <r>
    <x v="579"/>
    <s v="Kamat"/>
    <n v="21.97"/>
    <x v="1"/>
    <x v="34"/>
    <x v="0"/>
  </r>
  <r>
    <x v="579"/>
    <s v="Int.Appl. to   31/03/22"/>
    <n v="27.37"/>
    <x v="1"/>
    <x v="34"/>
    <x v="0"/>
  </r>
  <r>
    <x v="579"/>
    <s v="CRT to         31/03/22"/>
    <n v="-4.11"/>
    <x v="1"/>
    <x v="34"/>
    <x v="0"/>
  </r>
  <r>
    <x v="579"/>
    <s v="Havi zárlati díj"/>
    <n v="-1799"/>
    <x v="1"/>
    <x v="1"/>
    <x v="0"/>
  </r>
  <r>
    <x v="580"/>
    <s v="Joe Falat Catering"/>
    <n v="-1400"/>
    <x v="2"/>
    <x v="2"/>
    <x v="4"/>
  </r>
  <r>
    <x v="580"/>
    <s v="VIANNI U ZLET MARTONVASAR 1.807,00 HUF Vásárlás"/>
    <n v="-1807"/>
    <x v="3"/>
    <x v="4"/>
    <x v="0"/>
  </r>
  <r>
    <x v="580"/>
    <s v="TESCO 44089 O NKISZOLG MARTONVASAR 4.082,00 HUF Vásárlás"/>
    <n v="-4082"/>
    <x v="3"/>
    <x v="4"/>
    <x v="0"/>
  </r>
  <r>
    <x v="580"/>
    <s v="TESCO 44089 O NKISZOLG MARTONVASAR 500,00 HUF Vásárlás"/>
    <n v="-500"/>
    <x v="3"/>
    <x v="4"/>
    <x v="0"/>
  </r>
  <r>
    <x v="580"/>
    <s v="GLS D120 DEPO' BICSKE 13.150,00 HUF Vásárlás"/>
    <n v="-13150"/>
    <x v="3"/>
    <x v="4"/>
    <x v="0"/>
  </r>
  <r>
    <x v="580"/>
    <s v="KISKIFLI KAVEZO BUDAPEST 690,00 HUF Vásárlás"/>
    <n v="-690"/>
    <x v="2"/>
    <x v="19"/>
    <x v="0"/>
  </r>
  <r>
    <x v="580"/>
    <s v="Grammosz Kt. BUDAPEST 990,00 HUF Vásárlás"/>
    <n v="-990"/>
    <x v="2"/>
    <x v="2"/>
    <x v="0"/>
  </r>
  <r>
    <x v="580"/>
    <s v="Tamp and Pull Espresso Budapest 550,00 HUF Vásárlás"/>
    <n v="-550"/>
    <x v="2"/>
    <x v="19"/>
    <x v="0"/>
  </r>
  <r>
    <x v="580"/>
    <s v="HUN-BUDAPEST OTPMOBL*VITAMINVILAG.H Vásárlás(2022.03.28) Card:5444-0XXX-XX68-8737 MCC5499 HUN-BUDAPEST OTPMOBL*VITAMINVILAG.H 6.380,00 HUF Kártyatranzakció"/>
    <n v="-6380"/>
    <x v="7"/>
    <x v="14"/>
    <x v="0"/>
  </r>
  <r>
    <x v="581"/>
    <s v="MARTON MARKET MARTONVASAR 1.298,00 HUF Vásárlás"/>
    <n v="-1298"/>
    <x v="3"/>
    <x v="4"/>
    <x v="0"/>
  </r>
  <r>
    <x v="581"/>
    <s v="MARTON MARKET MARTONVASAR 249,00 HUF Vásárlás"/>
    <n v="-249"/>
    <x v="3"/>
    <x v="4"/>
    <x v="0"/>
  </r>
  <r>
    <x v="582"/>
    <s v="ALDI 22.SZ. ERD 9.781,00 HUF Vásárlás"/>
    <n v="-9781"/>
    <x v="3"/>
    <x v="4"/>
    <x v="0"/>
  </r>
  <r>
    <x v="582"/>
    <s v="TESCO 44089 MARTONVASAR 3.490,00 HUF Vásárlás"/>
    <n v="-3490"/>
    <x v="3"/>
    <x v="4"/>
    <x v="0"/>
  </r>
  <r>
    <x v="582"/>
    <s v="SHELL TO LTO'A'LLOMA'S ERD 20.991,00 HUF Vásárlás"/>
    <n v="-20991"/>
    <x v="5"/>
    <x v="16"/>
    <x v="0"/>
  </r>
  <r>
    <x v="582"/>
    <s v="VIANNI U ZLET MARTONVASAR 792,00 HUF Vásárlás"/>
    <n v="-792"/>
    <x v="3"/>
    <x v="4"/>
    <x v="0"/>
  </r>
  <r>
    <x v="582"/>
    <s v="AUCHAN SOLYMAR SOLYMAR 5.676,00 HUF Vásárlás"/>
    <n v="-5676"/>
    <x v="3"/>
    <x v="4"/>
    <x v="0"/>
  </r>
  <r>
    <x v="582"/>
    <s v="AUCHAN BUDAORS BUDAORS 6.935,00 HUF Vásárlás"/>
    <n v="-6935"/>
    <x v="3"/>
    <x v="4"/>
    <x v="0"/>
  </r>
  <r>
    <x v="582"/>
    <s v="NETFLIX.COM 408-724-9160 3.490,00 HUF Vásárlás 10,25 USD"/>
    <n v="-3490"/>
    <x v="0"/>
    <x v="7"/>
    <x v="0"/>
  </r>
  <r>
    <x v="582"/>
    <s v="10032000-00282637-00000000 OKTATÁSI HIVATAL MUNKABÉR UTALÁS Bejövő Forint Átutalás"/>
    <n v="21414"/>
    <x v="4"/>
    <x v="20"/>
    <x v="0"/>
  </r>
  <r>
    <x v="582"/>
    <s v="HUN-Budapest Delivery Hero Hungary Vásárlás(2022.03.25) Card:5444-0XXX-XX68-8737 MCC5499 HUN-Budapest Delivery Hero Hungary 4.169,00 HUF Kártyatranzakció"/>
    <n v="-4169"/>
    <x v="2"/>
    <x v="2"/>
    <x v="0"/>
  </r>
  <r>
    <x v="583"/>
    <s v="KFC Auchan Budaörs"/>
    <n v="-1790"/>
    <x v="2"/>
    <x v="2"/>
    <x v="4"/>
  </r>
  <r>
    <x v="584"/>
    <s v="PIPECON Kft Budapest 1.000,00 HUF Vásárlás 2,94 USD"/>
    <n v="-1000"/>
    <x v="3"/>
    <x v="8"/>
    <x v="0"/>
  </r>
  <r>
    <x v="584"/>
    <s v="HUN-BUDAPEST OTPMOBL*HERBAFERM.HU Vásárlás(2022.03.24) Card:5444-0XXX-XX68-8737 MCC5499 HUN-BUDAPEST OTPMOBL*HERBAFERM.HU 7.240,00 HUF Kártyatranzakció"/>
    <n v="-7240"/>
    <x v="7"/>
    <x v="14"/>
    <x v="0"/>
  </r>
  <r>
    <x v="585"/>
    <s v="CATCH"/>
    <n v="-2940"/>
    <x v="2"/>
    <x v="2"/>
    <x v="4"/>
  </r>
  <r>
    <x v="586"/>
    <s v="HUN-MARTONVASAR MARTON MARKET Vásárlás(2022.03.22) Card:5444-0XXX-XX68-8737 MCC5411 HUN-MARTONVASAR MARTON MARKET 998,00 HUF Kártyatranzakció"/>
    <n v="-998"/>
    <x v="3"/>
    <x v="4"/>
    <x v="0"/>
  </r>
  <r>
    <x v="586"/>
    <s v="HUN-MARTONVASAR MARTON MARKET Vásárlás(2022.03.22) Card:5444-0XXX-XX68-8737 MCC5411 HUN-MARTONVASAR MARTON MARKET 1.115,00 HUF Kártyatranzakció"/>
    <n v="-1115"/>
    <x v="3"/>
    <x v="4"/>
    <x v="0"/>
  </r>
  <r>
    <x v="586"/>
    <s v="HUN-MARTONVASAR TESCO 44089 O:NKISZ Vásárlás(2022.03.22) Card:5444-0XXX-XX68-8737 MCC5311 HUN-MARTONVASAR TESCO 44089 O:NKISZ OLG 3.378,00 HUF Kártyatranzakció"/>
    <n v="-3378"/>
    <x v="3"/>
    <x v="4"/>
    <x v="0"/>
  </r>
  <r>
    <x v="586"/>
    <s v="HUN-MARTONVASAR POSTAKOCSI E'TTEREM Vásárlás(2022.03.22) Card:5444-0XXX-XX68-8737 MCC5812 HUN-MARTONVASAR POSTAKOCSI E'TTEREM 6.530,00 HUF Kártyatranzakció"/>
    <n v="-6530"/>
    <x v="2"/>
    <x v="2"/>
    <x v="0"/>
  </r>
  <r>
    <x v="587"/>
    <s v="HUN-BUDAPEST COOP SARKI KO:ZE'RT Vásárlás(2022.03.21) Card:5444-0XXX-XX68-8737 MCC5411 HUN-BUDAPEST COOP SARKI KO:ZE'RT 557,00 HUF Kártyatranzakció"/>
    <n v="-557"/>
    <x v="3"/>
    <x v="4"/>
    <x v="0"/>
  </r>
  <r>
    <x v="588"/>
    <s v="Falatozz.hu"/>
    <n v="-6330"/>
    <x v="2"/>
    <x v="2"/>
    <x v="4"/>
  </r>
  <r>
    <x v="588"/>
    <s v="OTPMOBL DIJNET.HU BUDAPEST 6.944,00 HUF Vásárlás"/>
    <n v="-6944"/>
    <x v="0"/>
    <x v="23"/>
    <x v="0"/>
  </r>
  <r>
    <x v="588"/>
    <s v="BKK AUTOMATA - B35 BUDAPEST 350,00 HUF Vásárlás"/>
    <n v="-350"/>
    <x v="5"/>
    <x v="28"/>
    <x v="0"/>
  </r>
  <r>
    <x v="588"/>
    <s v="VIZ-, GAZ SZERELVENYB MARTONVASAR 4.872,00 HUF Vásárlás"/>
    <n v="-4872"/>
    <x v="0"/>
    <x v="6"/>
    <x v="0"/>
  </r>
  <r>
    <x v="588"/>
    <s v="OTPMOBL EON.HU/UGYINTE BUDAPEST 5.546,00 HUF Vásárlás"/>
    <n v="-5546"/>
    <x v="0"/>
    <x v="11"/>
    <x v="0"/>
  </r>
  <r>
    <x v="588"/>
    <s v="BARKACSBOLT MARTONVASAR 1.260,00 HUF Vásárlás"/>
    <n v="-1260"/>
    <x v="0"/>
    <x v="6"/>
    <x v="0"/>
  </r>
  <r>
    <x v="588"/>
    <s v="Gazda-SAGI Bolt Martonvasar 11.190,00 HUF Vásárlás 33,13 USD"/>
    <n v="-11190"/>
    <x v="0"/>
    <x v="6"/>
    <x v="0"/>
  </r>
  <r>
    <x v="589"/>
    <s v="JAGUAR LAND ROVER HUNGARY KFT."/>
    <n v="7670"/>
    <x v="4"/>
    <x v="20"/>
    <x v="4"/>
  </r>
  <r>
    <x v="589"/>
    <s v="JAGUAR LAND ROVER HUNGARY KFT."/>
    <n v="13636"/>
    <x v="4"/>
    <x v="20"/>
    <x v="4"/>
  </r>
  <r>
    <x v="589"/>
    <s v="CATCH BUDAPEST 2.100,00 HUF Vásárlás"/>
    <n v="-2100"/>
    <x v="2"/>
    <x v="2"/>
    <x v="0"/>
  </r>
  <r>
    <x v="589"/>
    <s v="OTPMOBL VIMPAY.MAV-STA BUDAPEST 584,00 HUF Vásárlás"/>
    <n v="-584"/>
    <x v="5"/>
    <x v="28"/>
    <x v="0"/>
  </r>
  <r>
    <x v="589"/>
    <s v="Anker Klub Budapest 6.458,00 HUF Vásárlás"/>
    <n v="-6458"/>
    <x v="6"/>
    <x v="40"/>
    <x v="0"/>
  </r>
  <r>
    <x v="589"/>
    <s v="GLE'DA VENDE'GLO' BUDAPEST 14.000,00 HUF Vásárlás"/>
    <n v="-14000"/>
    <x v="2"/>
    <x v="10"/>
    <x v="0"/>
  </r>
  <r>
    <x v="589"/>
    <s v="TELEKOMSZAML 469030747 BUDAPEST 6.479,00 HUF Vásárlás 19,18 USD"/>
    <n v="-6479"/>
    <x v="3"/>
    <x v="46"/>
    <x v="0"/>
  </r>
  <r>
    <x v="589"/>
    <s v="HUN-SALGOTARJAN SPAR Vásárlás(2022.03.19) Card:5444-0XXX-XX68-8737 MCC5411 HUN-SALGOTARJAN SPAR 4.870,00 HUF Kártyatranzakció"/>
    <n v="-4870"/>
    <x v="3"/>
    <x v="4"/>
    <x v="0"/>
  </r>
  <r>
    <x v="589"/>
    <s v="HUN-BUDAPEST MAMMUT SYNLAB Vásárlás(2022.03.17) Card:5444-0XXX-XX68-8737 MCC8099 HUN-BUDAPEST MAMMUT SYNLAB 5.688,00 HUF Kártyatranzakció"/>
    <n v="-5688"/>
    <x v="7"/>
    <x v="17"/>
    <x v="0"/>
  </r>
  <r>
    <x v="590"/>
    <s v="PRAKTIKER 333. BUDAORS 1.999,00 HUF Vásárlás"/>
    <n v="-1999"/>
    <x v="0"/>
    <x v="6"/>
    <x v="0"/>
  </r>
  <r>
    <x v="590"/>
    <s v="HUN-BUDAORS MEDICINA PATIKA Vásárlás(2022.03.16) Card:5444-0XXX-XX68-8737 MCC5912 HUN-BUDAORS MEDICINA PATIKA 138,00 HUF Kártyatranzakció"/>
    <n v="-138"/>
    <x v="7"/>
    <x v="5"/>
    <x v="0"/>
  </r>
  <r>
    <x v="591"/>
    <s v="ZSU-ANN Étkezde"/>
    <n v="-2070"/>
    <x v="2"/>
    <x v="2"/>
    <x v="4"/>
  </r>
  <r>
    <x v="591"/>
    <s v="OMV 1772 Budapest Bud 20.770,00 HUF Vásárlás"/>
    <n v="-20770"/>
    <x v="5"/>
    <x v="16"/>
    <x v="0"/>
  </r>
  <r>
    <x v="592"/>
    <s v="LIDL ARUHAZ 0349.SZ. BUDAORS 22.931,00 HUF Vásárlás"/>
    <n v="-22931"/>
    <x v="3"/>
    <x v="4"/>
    <x v="0"/>
  </r>
  <r>
    <x v="592"/>
    <s v="TESCO 44089 MARTONVASAR 199,00 HUF Vásárlás"/>
    <n v="-199"/>
    <x v="3"/>
    <x v="4"/>
    <x v="0"/>
  </r>
  <r>
    <x v="592"/>
    <s v="BAUHAUS SZIGETSZENTMIK SZIGETSZENTM 14.080,00 HUF Vásárlás"/>
    <n v="-14080"/>
    <x v="0"/>
    <x v="6"/>
    <x v="0"/>
  </r>
  <r>
    <x v="592"/>
    <s v="SIMPLE PARKOL S BUDAPEST 403,00 HUF Vásárlás"/>
    <n v="-403"/>
    <x v="5"/>
    <x v="9"/>
    <x v="0"/>
  </r>
  <r>
    <x v="592"/>
    <s v="DM 407 BUDAPEST 1.568,00 HUF Vásárlás"/>
    <n v="-1568"/>
    <x v="3"/>
    <x v="4"/>
    <x v="0"/>
  </r>
  <r>
    <x v="592"/>
    <s v="OBI 010 BUDAORS 19.084,00 HUF Vásárlás"/>
    <n v="-19084"/>
    <x v="0"/>
    <x v="6"/>
    <x v="0"/>
  </r>
  <r>
    <x v="592"/>
    <s v="DECATHLON BUDAO RS BUDAORS 5.160,00 HUF Vásárlás"/>
    <n v="-5160"/>
    <x v="3"/>
    <x v="30"/>
    <x v="0"/>
  </r>
  <r>
    <x v="592"/>
    <s v="PRAKTIKER 333. BUDAORS 22.759,00 HUF Vásárlás"/>
    <n v="-22759"/>
    <x v="0"/>
    <x v="6"/>
    <x v="0"/>
  </r>
  <r>
    <x v="592"/>
    <s v="HUN-BUDAORS DM 311.SZ. Vásárlás(2022.03.12) Card:5444-0XXX-XX68-8737 MCC5977 HUN-BUDAORS DM 311.SZ. 19.777,00 HUF Kártyatranzakció"/>
    <n v="-19777"/>
    <x v="3"/>
    <x v="4"/>
    <x v="0"/>
  </r>
  <r>
    <x v="593"/>
    <s v="Burger King Étterem Oktogon"/>
    <n v="-6610"/>
    <x v="2"/>
    <x v="2"/>
    <x v="4"/>
  </r>
  <r>
    <x v="594"/>
    <s v="11709002-21135853-00000000 wtn T3NZ0103532 Kimenő azonnali megbízás"/>
    <n v="-16200"/>
    <x v="7"/>
    <x v="14"/>
    <x v="0"/>
  </r>
  <r>
    <x v="595"/>
    <s v="CATCH"/>
    <n v="-2300"/>
    <x v="2"/>
    <x v="2"/>
    <x v="4"/>
  </r>
  <r>
    <x v="595"/>
    <s v="Padthai Budapest 6.170,00 HUF Vásárlás"/>
    <n v="-6170"/>
    <x v="2"/>
    <x v="2"/>
    <x v="0"/>
  </r>
  <r>
    <x v="595"/>
    <s v="Mazsa Nordik Kft. Budapest 949,00 HUF Vásárlás 2,72 USD"/>
    <n v="-949"/>
    <x v="3"/>
    <x v="4"/>
    <x v="0"/>
  </r>
  <r>
    <x v="595"/>
    <s v="HUN-MARTONVASAR MARTON MARKET Vásárlás(2022.03.09) Card:5444-0XXX-XX68-8737 MCC5411 HUN-MARTONVASAR MARTON MARKET 903,00 HUF Kártyatranzakció"/>
    <n v="-903"/>
    <x v="3"/>
    <x v="4"/>
    <x v="0"/>
  </r>
  <r>
    <x v="595"/>
    <s v="HUN-BUDAPEST PHILLIPPOS GYROS BAR Vásárlás(2022.03.09) Card:5444-0XXX-XX68-8737 MCC5814 HUN-BUDAPEST PHILLIPPOS GYROS BAR 2.150,00 HUF Kártyatranzakció"/>
    <n v="-2150"/>
    <x v="2"/>
    <x v="2"/>
    <x v="0"/>
  </r>
  <r>
    <x v="595"/>
    <s v="CATCH"/>
    <n v="-2300"/>
    <x v="2"/>
    <x v="2"/>
    <x v="4"/>
  </r>
  <r>
    <x v="596"/>
    <s v="PL:P/10MAR22 Tőkefizetés Hitel /21-41194/"/>
    <n v="-213995.53"/>
    <x v="0"/>
    <x v="21"/>
    <x v="0"/>
  </r>
  <r>
    <x v="596"/>
    <s v="PL:I/10MAR22 Kamatfizetés  Hitel /21-41194/"/>
    <n v="-47809.26"/>
    <x v="0"/>
    <x v="21"/>
    <x v="0"/>
  </r>
  <r>
    <x v="596"/>
    <s v="JAGUAR LAND ROVER HUNGARY KFT. Munkaber utalasMunkabér"/>
    <n v="730024"/>
    <x v="4"/>
    <x v="20"/>
    <x v="0"/>
  </r>
  <r>
    <x v="596"/>
    <s v="PL:P/10MAR22 Tőkefizetés Hitel /21-41194/"/>
    <n v="213995.53"/>
    <x v="0"/>
    <x v="21"/>
    <x v="1"/>
  </r>
  <r>
    <x v="597"/>
    <s v="Kiskifli Kávézó"/>
    <n v="-1180"/>
    <x v="2"/>
    <x v="19"/>
    <x v="4"/>
  </r>
  <r>
    <x v="597"/>
    <s v="ZSU_ANN KÁVÉZÓ"/>
    <n v="-4140"/>
    <x v="2"/>
    <x v="2"/>
    <x v="4"/>
  </r>
  <r>
    <x v="597"/>
    <s v="ALDI 156.SZ. BUDAORS 5.551,00 HUF Vásárlás"/>
    <n v="-5551"/>
    <x v="3"/>
    <x v="4"/>
    <x v="0"/>
  </r>
  <r>
    <x v="597"/>
    <s v="OTPMOBL EON.HU/UGYINTE BUDAPEST 5.546,00 HUF Vásárlás"/>
    <n v="-5546"/>
    <x v="0"/>
    <x v="11"/>
    <x v="0"/>
  </r>
  <r>
    <x v="597"/>
    <s v="HUN-BUDAPEST COOP SARKI KO:ZE'RT Vásárlás(2022.03.07) Card:5444-0XXX-XX68-8737 MCC5411 HUN-BUDAPEST COOP SARKI KO:ZE'RT 278,00 HUF Kártyatranzakció"/>
    <n v="-278"/>
    <x v="3"/>
    <x v="4"/>
    <x v="0"/>
  </r>
  <r>
    <x v="597"/>
    <s v="HUN-MARTONVASAR MARTON MARKET Vásárlás(2022.03.07) Card:5444-0XXX-XX68-8737 MCC5411 HUN-MARTONVASAR MARTON MARKET 3.054,00 HUF Kártyatranzakció"/>
    <n v="-3054"/>
    <x v="3"/>
    <x v="4"/>
    <x v="0"/>
  </r>
  <r>
    <x v="597"/>
    <s v="HUN-BUDAPEST DM 148 Vásárlás(2022.03.07) Card:5444-0XXX-XX68-8737 MCC5977 HUN-BUDAPEST DM 148 3.098,00 HUF Kártyatranzakció"/>
    <n v="-3098"/>
    <x v="3"/>
    <x v="4"/>
    <x v="0"/>
  </r>
  <r>
    <x v="597"/>
    <s v="HUN-BUDAPEST MA'V BP. DE'LI BELF.PE Vásárlás(2022.03.07) Card:5444-0XXX-XX68-8737 MCC4112 HUN-BUDAPEST MA'V BP. DE'LI BELF.PE 24.900,00 HUF Kártyatranzakció"/>
    <n v="-24900"/>
    <x v="5"/>
    <x v="16"/>
    <x v="0"/>
  </r>
  <r>
    <x v="597"/>
    <s v="Kiskifli Kávézó"/>
    <n v="-1180"/>
    <x v="2"/>
    <x v="19"/>
    <x v="4"/>
  </r>
  <r>
    <x v="597"/>
    <s v="ZSU_ANN KÁVÉZÓ"/>
    <n v="-4140"/>
    <x v="2"/>
    <x v="2"/>
    <x v="4"/>
  </r>
  <r>
    <x v="598"/>
    <s v="MVM NEXT ENERGIAK BUDAPEST 10.881,00 HUF Vásárlás"/>
    <n v="-10881"/>
    <x v="0"/>
    <x v="22"/>
    <x v="0"/>
  </r>
  <r>
    <x v="598"/>
    <s v="HUN-BUDAPEST OTPMOBL*VIMPAY.MAV-STA Vásárlás(2022.03.06) Card:5444-0XXX-XX68-8737 MCC4112 HUN-BUDAPEST OTPMOBL*VIMPAY.MAV-STA 293,00 HUF Kártyatranzakció"/>
    <n v="-293"/>
    <x v="5"/>
    <x v="28"/>
    <x v="0"/>
  </r>
  <r>
    <x v="599"/>
    <s v="OMV 1772 Budapest Bud 17.276,00 HUF Vásárlás"/>
    <n v="-17276"/>
    <x v="5"/>
    <x v="16"/>
    <x v="0"/>
  </r>
  <r>
    <x v="599"/>
    <s v="NAV Belfoldi Gépjárműadó 8439602758"/>
    <n v="-29250"/>
    <x v="5"/>
    <x v="33"/>
    <x v="0"/>
  </r>
  <r>
    <x v="599"/>
    <s v="Martonvásár Város Önkormányzata azon 8325"/>
    <n v="-14250"/>
    <x v="0"/>
    <x v="0"/>
    <x v="0"/>
  </r>
  <r>
    <x v="599"/>
    <s v="HUN-BUDAPEST COOP SARKI KO:ZE'RT Vásárlás(2022.03.03) Card:5444-0XXX-XX68-8737 MCC5411 HUN-BUDAPEST COOP SARKI KO:ZE'RT 470,00 HUF Kártyatranzakció"/>
    <n v="-470"/>
    <x v="3"/>
    <x v="4"/>
    <x v="0"/>
  </r>
  <r>
    <x v="599"/>
    <s v="HUN-BUDAPEST DAIGA SUSHI Vásárlás(2022.03.03) Card:5444-0XXX-XX68-8737 MCC5812 HUN-BUDAPEST DAIGA SUSHI 1.380,00 HUF Kártyatranzakció"/>
    <n v="-1380"/>
    <x v="2"/>
    <x v="2"/>
    <x v="0"/>
  </r>
  <r>
    <x v="599"/>
    <s v="10300002-10479831-49020011 Belnatur I6V103718 Kimenő azonnali megbízás"/>
    <n v="-11000"/>
    <x v="7"/>
    <x v="15"/>
    <x v="0"/>
  </r>
  <r>
    <x v="599"/>
    <s v="HUN-BUDAPEST Dr. Bogdan and Dr. Gye Vásárlás(2022.03.03) Card:5444-0XXX-XX68-8737 MCC8021 HUN-BUDAPEST Dr. Bogdan and Dr. Gye 50.000,00 HUF Kártyatranzakció"/>
    <n v="-50000"/>
    <x v="7"/>
    <x v="17"/>
    <x v="0"/>
  </r>
  <r>
    <x v="600"/>
    <s v="Panificio Il Basilico"/>
    <n v="-1300"/>
    <x v="2"/>
    <x v="10"/>
    <x v="4"/>
  </r>
  <r>
    <x v="600"/>
    <s v="Panificio Il Basilico"/>
    <n v="-3630"/>
    <x v="2"/>
    <x v="10"/>
    <x v="4"/>
  </r>
  <r>
    <x v="600"/>
    <s v="Panificio Il Basilico"/>
    <n v="-1300"/>
    <x v="2"/>
    <x v="10"/>
    <x v="4"/>
  </r>
  <r>
    <x v="600"/>
    <s v="Panificio Il Basilico"/>
    <n v="-3630"/>
    <x v="2"/>
    <x v="10"/>
    <x v="4"/>
  </r>
  <r>
    <x v="601"/>
    <s v="Cr Forgalmi kedvezmény"/>
    <n v="1550"/>
    <x v="1"/>
    <x v="1"/>
    <x v="0"/>
  </r>
  <r>
    <x v="602"/>
    <s v="ALDI 156.SZ. BUDAORS 9.156,00 HUF Vásárlás"/>
    <n v="-9156"/>
    <x v="3"/>
    <x v="4"/>
    <x v="0"/>
  </r>
  <r>
    <x v="602"/>
    <s v="PRAKTIKER 333. BUDAORS 851,00 HUF Vásárlás"/>
    <n v="-851"/>
    <x v="0"/>
    <x v="6"/>
    <x v="0"/>
  </r>
  <r>
    <x v="602"/>
    <s v="10032000-00282637-00000000 OKTATÁSI HIVATAL MUNKABÉR UTALÁS Bejövő Forint Átutalás"/>
    <n v="21414"/>
    <x v="4"/>
    <x v="20"/>
    <x v="0"/>
  </r>
  <r>
    <x v="602"/>
    <s v="HUN-BUDAPEST COOP SARKI KO:ZE'RT Vásárlás(2022.03.02) Card:5444-0XXX-XX68-8737 MCC5411 HUN-BUDAPEST COOP SARKI KO:ZE'RT 218,00 HUF Kártyatranzakció"/>
    <n v="-218"/>
    <x v="3"/>
    <x v="4"/>
    <x v="0"/>
  </r>
  <r>
    <x v="603"/>
    <s v="ZSU-ANN Étkezde"/>
    <n v="-1980"/>
    <x v="2"/>
    <x v="2"/>
    <x v="4"/>
  </r>
  <r>
    <x v="603"/>
    <s v="KISKIFLI KAVEZO BUDAPEST 650,00 HUF Vásárlás"/>
    <n v="-650"/>
    <x v="2"/>
    <x v="19"/>
    <x v="0"/>
  </r>
  <r>
    <x v="603"/>
    <s v="HUN-MARTONVASAR MARTON MARKET Vásárlás(2022.03.01) Card:5444-0XXX-XX68-8737 MCC5411 HUN-MARTONVASAR MARTON MARKET 568,00 HUF Kártyatranzakció"/>
    <n v="-568"/>
    <x v="3"/>
    <x v="4"/>
    <x v="0"/>
  </r>
  <r>
    <x v="603"/>
    <s v="HUN-Martonvasar MEDICZ PATIKA Vásárlás(2022.03.01) Card:5444-0XXX-XX68-8737 MCC5912 HUN-Martonvasar MEDICZ PATIKA 4.850,00 HUF Kártyatranzakció"/>
    <n v="-4850"/>
    <x v="7"/>
    <x v="5"/>
    <x v="0"/>
  </r>
  <r>
    <x v="603"/>
    <s v="ZSU-ANN Étkezde"/>
    <n v="-1980"/>
    <x v="2"/>
    <x v="2"/>
    <x v="4"/>
  </r>
  <r>
    <x v="604"/>
    <s v="MARTON MARKET MARTONVASAR 1.945,00 HUF Vásárlás"/>
    <n v="-1945"/>
    <x v="3"/>
    <x v="4"/>
    <x v="0"/>
  </r>
  <r>
    <x v="604"/>
    <s v="10032000-00282637-00000000 OKTATÁSI HIVATAL MUNKABÉR UTALÁS Bejövő Forint Átutalás"/>
    <n v="313501"/>
    <x v="4"/>
    <x v="20"/>
    <x v="0"/>
  </r>
  <r>
    <x v="605"/>
    <s v="NETFLIX.COM 408-724-9160 3.490,00 HUF Vásárlás 10,71 USD"/>
    <n v="-3490"/>
    <x v="0"/>
    <x v="7"/>
    <x v="0"/>
  </r>
  <r>
    <x v="606"/>
    <s v="VIANNI U ZLET MARTONVASAR 249,00 HUF Vásárlás"/>
    <n v="-249"/>
    <x v="3"/>
    <x v="4"/>
    <x v="0"/>
  </r>
  <r>
    <x v="606"/>
    <s v="OBI 010 BUDAORS 10.122,00 HUF Vásárlás"/>
    <n v="-10122"/>
    <x v="0"/>
    <x v="0"/>
    <x v="0"/>
  </r>
  <r>
    <x v="606"/>
    <s v="OTPMOBL EON.HU/UGYINTE BUDAPEST 5.546,00 HUF Vásárlás"/>
    <n v="-5546"/>
    <x v="0"/>
    <x v="11"/>
    <x v="0"/>
  </r>
  <r>
    <x v="606"/>
    <s v="LIDL ARUHAZ 0349.SZ. BUDAORS 23.442,00 HUF Vásárlás"/>
    <n v="-23442"/>
    <x v="3"/>
    <x v="4"/>
    <x v="0"/>
  </r>
  <r>
    <x v="606"/>
    <s v="OBI 010 BUDAORS BUDAORS 26.958,00 HUF Vásárlás"/>
    <n v="-26958"/>
    <x v="0"/>
    <x v="0"/>
    <x v="0"/>
  </r>
  <r>
    <x v="606"/>
    <s v="VIANNI U ZLET MARTONVASAR 699,00 HUF Vásárlás"/>
    <n v="-699"/>
    <x v="3"/>
    <x v="4"/>
    <x v="0"/>
  </r>
  <r>
    <x v="606"/>
    <s v="OBI 010 BUDAORS 12.590,00 HUF Vásárlás"/>
    <n v="-12590"/>
    <x v="0"/>
    <x v="0"/>
    <x v="0"/>
  </r>
  <r>
    <x v="606"/>
    <s v="TELEKOMSZAML 462298075 BUDAPEST 6.486,00 HUF Vásárlás 19,90 USD"/>
    <n v="-6486"/>
    <x v="0"/>
    <x v="7"/>
    <x v="0"/>
  </r>
  <r>
    <x v="606"/>
    <s v="Gazda-SAGI Bolt Martonvasar 13.485,00 HUF Vásárlás 41,38 USD"/>
    <n v="-13485"/>
    <x v="0"/>
    <x v="0"/>
    <x v="0"/>
  </r>
  <r>
    <x v="606"/>
    <s v="HUN-MARTONVASAR TESCO 44089 Vásárlás(2022.02.24) Card:5444-0XXX-XX68-8737 MCC5311 HUN-MARTONVASAR TESCO 44089 1.144,00 HUF Kártyatranzakció"/>
    <n v="-1144"/>
    <x v="3"/>
    <x v="4"/>
    <x v="0"/>
  </r>
  <r>
    <x v="606"/>
    <s v="Havi zárlati díj"/>
    <n v="-1799"/>
    <x v="1"/>
    <x v="1"/>
    <x v="0"/>
  </r>
  <r>
    <x v="606"/>
    <s v="HUN-MARTONVASAR MARTON MARKET Vásárlás(2022.02.24) Card:5444-0XXX-XX68-8737 MCC5411 HUN-MARTONVASAR MARTON MARKET 2.414,00 HUF Kártyatranzakció"/>
    <n v="-2414"/>
    <x v="3"/>
    <x v="4"/>
    <x v="0"/>
  </r>
  <r>
    <x v="607"/>
    <s v="M.PETROL E'RD AUTOMATA ERD 19.014,00 HUF Vásárlás"/>
    <n v="-19014"/>
    <x v="5"/>
    <x v="16"/>
    <x v="0"/>
  </r>
  <r>
    <x v="607"/>
    <s v="BAUHAUS SZIGETSZENTMIK SZIGETSZENTM 5.265,00 HUF Vásárlás"/>
    <n v="-5265"/>
    <x v="0"/>
    <x v="0"/>
    <x v="0"/>
  </r>
  <r>
    <x v="608"/>
    <s v="Burger King Étterem Oktogon"/>
    <n v="-5190"/>
    <x v="2"/>
    <x v="2"/>
    <x v="4"/>
  </r>
  <r>
    <x v="608"/>
    <s v="Burger King Étterem Oktogon"/>
    <n v="-5190"/>
    <x v="2"/>
    <x v="2"/>
    <x v="4"/>
  </r>
  <r>
    <x v="608"/>
    <s v="HUN-MARTONVASAR TESCO 44089 Vásárlás(2022.02.22) Card:5444-0XXX-XX68-8737 MCC5311 HUN-MARTONVASAR TESCO 44089 1.613,00 HUF Kártyatranzakció"/>
    <n v="-1613"/>
    <x v="3"/>
    <x v="4"/>
    <x v="0"/>
  </r>
  <r>
    <x v="609"/>
    <s v="VIZ-, GAZ SZERELVENYB MARTONVASAR 9.581,00 HUF Vásárlás"/>
    <n v="-9581"/>
    <x v="0"/>
    <x v="6"/>
    <x v="0"/>
  </r>
  <r>
    <x v="609"/>
    <s v="TESCO 44089 O NKISZOLG MARTONVASAR 295,00 HUF Vásárlás"/>
    <n v="-295"/>
    <x v="3"/>
    <x v="4"/>
    <x v="0"/>
  </r>
  <r>
    <x v="609"/>
    <s v="POSTA5324 MARTONVASAR 1.077,00 HUF Vásárlás"/>
    <n v="-1077"/>
    <x v="3"/>
    <x v="31"/>
    <x v="0"/>
  </r>
  <r>
    <x v="610"/>
    <s v="ALDI 156.SZ. BUDAORS 2.331,00 HUF Vásárlás"/>
    <n v="-2331"/>
    <x v="3"/>
    <x v="4"/>
    <x v="0"/>
  </r>
  <r>
    <x v="610"/>
    <s v="jokonyvek.hu +3616130468 6.440,00 HUF Vásárlás 20,47 USD"/>
    <n v="-6440"/>
    <x v="3"/>
    <x v="24"/>
    <x v="0"/>
  </r>
  <r>
    <x v="611"/>
    <s v="Drago Rosso Pizzéria, Étterem"/>
    <n v="-4650"/>
    <x v="2"/>
    <x v="2"/>
    <x v="4"/>
  </r>
  <r>
    <x v="611"/>
    <s v="JAGUAR LAND ROVER HUNGARY KFT."/>
    <n v="13636"/>
    <x v="4"/>
    <x v="20"/>
    <x v="4"/>
  </r>
  <r>
    <x v="611"/>
    <s v="JAGUAR LAND ROVER HUNGARY KFT."/>
    <n v="7670"/>
    <x v="4"/>
    <x v="20"/>
    <x v="4"/>
  </r>
  <r>
    <x v="611"/>
    <s v="JAGUAR LAND ROVER HUNGARY KFT."/>
    <n v="13636"/>
    <x v="4"/>
    <x v="20"/>
    <x v="4"/>
  </r>
  <r>
    <x v="611"/>
    <s v="JAGUAR LAND ROVER HUNGARY KFT."/>
    <n v="7670"/>
    <x v="4"/>
    <x v="20"/>
    <x v="4"/>
  </r>
  <r>
    <x v="611"/>
    <s v="Drago Rosso Pizzéria, Étterem"/>
    <n v="-4650"/>
    <x v="2"/>
    <x v="2"/>
    <x v="4"/>
  </r>
  <r>
    <x v="611"/>
    <s v="TESCO 44089 O NKISZOLG MARTONVASAR 1.924,00 HUF Vásárlás"/>
    <n v="-1924"/>
    <x v="3"/>
    <x v="4"/>
    <x v="0"/>
  </r>
  <r>
    <x v="611"/>
    <s v="SPAR SALGOTARJAN 705,00 HUF Vásárlás"/>
    <n v="-705"/>
    <x v="3"/>
    <x v="4"/>
    <x v="0"/>
  </r>
  <r>
    <x v="611"/>
    <s v="SPAR SALGOTARJAN 12.270,00 HUF Vásárlás"/>
    <n v="-12270"/>
    <x v="3"/>
    <x v="4"/>
    <x v="0"/>
  </r>
  <r>
    <x v="611"/>
    <s v="HUN-BUDAPEST BUDAI PEKSEG Vásárlás(2022.02.17) Card:5444-0XXX-XX68-8737 MCC5462 HUN-BUDAPEST BUDAI PEKSEG 450,00 HUF Kártyatranzakció"/>
    <n v="-450"/>
    <x v="2"/>
    <x v="19"/>
    <x v="0"/>
  </r>
  <r>
    <x v="611"/>
    <s v="HUN-Budapest Delivery Hero Hungary Vásárlás(2022.02.18) Card:5444-0XXX-XX68-8737 MCC5499 HUN-Budapest Delivery Hero Hungary 3.399,00 HUF Kártyatranzakció"/>
    <n v="-3399"/>
    <x v="2"/>
    <x v="2"/>
    <x v="0"/>
  </r>
  <r>
    <x v="611"/>
    <s v="HUN-Salgotarjan LIDL 0314 Salgotarj Vásárlás(2022.02.18) Card:5444-0XXX-XX68-8737 MCC5411 HUN-Salgotarjan LIDL 0314 Salgotarj 4.327,00 HUF Kártyatranzakció"/>
    <n v="-4327"/>
    <x v="3"/>
    <x v="4"/>
    <x v="0"/>
  </r>
  <r>
    <x v="611"/>
    <s v="11717009-20195933-00000000 ProVitamix Kft 75846 Kimenő azonnali megbízás"/>
    <n v="-11229"/>
    <x v="7"/>
    <x v="14"/>
    <x v="0"/>
  </r>
  <r>
    <x v="611"/>
    <s v="HUN-BUDAPEST Dr. Bogdan and Dr. Gye Vásárlás(2022.02.17) Card:5444-0XXX-XX68-8737 MCC8021 HUN-BUDAPEST Dr. Bogdan and Dr. Gye 70.000,00 HUF Kártyatranzakció"/>
    <n v="-70000"/>
    <x v="7"/>
    <x v="17"/>
    <x v="0"/>
  </r>
  <r>
    <x v="612"/>
    <s v="ZSU-ANN Étkezde"/>
    <n v="-2070"/>
    <x v="2"/>
    <x v="2"/>
    <x v="4"/>
  </r>
  <r>
    <x v="612"/>
    <s v="ZSU-ANN Étkezde"/>
    <n v="-2070"/>
    <x v="2"/>
    <x v="2"/>
    <x v="4"/>
  </r>
  <r>
    <x v="612"/>
    <s v="JAGUAR LAND ROVER HUNGARY KFT. Munkab.r utal.sMunkabér"/>
    <n v="28816"/>
    <x v="4"/>
    <x v="20"/>
    <x v="0"/>
  </r>
  <r>
    <x v="613"/>
    <s v="OTPMOBL DIJNET.HU BUDAPEST 6.944,00 HUF Vásárlás"/>
    <n v="-6944"/>
    <x v="0"/>
    <x v="38"/>
    <x v="0"/>
  </r>
  <r>
    <x v="614"/>
    <s v="HUN-BUDAPEST DM 148 Vásárlás(2022.02.14) Card:5444-0XXX-XX68-8737 MCC5977 HUN-BUDAPEST DM 148 5.630,00 HUF Kártyatranzakció"/>
    <n v="-5630"/>
    <x v="3"/>
    <x v="4"/>
    <x v="0"/>
  </r>
  <r>
    <x v="614"/>
    <s v="HUN-BUDAPEST DE'LI GYO'GYSZERTA'R Vásárlás(2022.02.14) Card:5444-0XXX-XX68-8737 MCC5912 HUN-BUDAPEST DE'LI GYO'GYSZERTA'R 5.947,00 HUF Kártyatranzakció"/>
    <n v="-5947"/>
    <x v="7"/>
    <x v="5"/>
    <x v="0"/>
  </r>
  <r>
    <x v="615"/>
    <s v="TESCO 44089 O NKISZOLG MARTONVASAR 2.158,00 HUF Vásárlás"/>
    <n v="-2158"/>
    <x v="3"/>
    <x v="4"/>
    <x v="0"/>
  </r>
  <r>
    <x v="615"/>
    <s v="HUN-BUDAPEST COOP SARKI KO:ZE'RT Vásárlás(2022.02.10) Card:5444-0XXX-XX68-8737 MCC5411 HUN-BUDAPEST COOP SARKI KO:ZE'RT 338,00 HUF Kártyatranzakció"/>
    <n v="-338"/>
    <x v="3"/>
    <x v="4"/>
    <x v="0"/>
  </r>
  <r>
    <x v="616"/>
    <s v="AQUA Webáruház - aqua. Budapest 7.100,00 HUF Vásárlás Víztiszító"/>
    <n v="-7100"/>
    <x v="3"/>
    <x v="31"/>
    <x v="0"/>
  </r>
  <r>
    <x v="616"/>
    <s v="OBI 010 BUDAORS 53.541,00 HUF Vásárlás"/>
    <n v="-53541"/>
    <x v="0"/>
    <x v="0"/>
    <x v="0"/>
  </r>
  <r>
    <x v="616"/>
    <s v="OMV 2087 M7 Kajaszo b 19.561,00 HUF Vásárlás"/>
    <n v="-19561"/>
    <x v="5"/>
    <x v="16"/>
    <x v="0"/>
  </r>
  <r>
    <x v="616"/>
    <s v="HUN-BUDAPEST COOP SARKI KO:ZE'RT Vásárlás(2022.02.09) Card:5444-0XXX-XX68-8737 MCC5411 HUN-BUDAPEST COOP SARKI KO:ZE'RT 477,00 HUF Kártyatranzakció"/>
    <n v="-477"/>
    <x v="3"/>
    <x v="4"/>
    <x v="0"/>
  </r>
  <r>
    <x v="616"/>
    <s v="HUN-BUDAPEST KELENFO:LD FORNETTI Vásárlás(2022.02.09) Card:5444-0XXX-XX68-8737 MCC5814 HUN-BUDAPEST KELENFO:LD FORNETTI 567,00 HUF Kártyatranzakció"/>
    <n v="-567"/>
    <x v="2"/>
    <x v="19"/>
    <x v="0"/>
  </r>
  <r>
    <x v="616"/>
    <s v="HUN-MARTONVASAR MARTON MARKET Vásárlás(2022.02.11) Card:5444-0XXX-XX68-8737 MCC5411 HUN-MARTONVASAR MARTON MARKET 2.992,00 HUF Kártyatranzakció"/>
    <n v="-2992"/>
    <x v="3"/>
    <x v="4"/>
    <x v="0"/>
  </r>
  <r>
    <x v="616"/>
    <s v="10102529-15474300-01001004 medinatural 109031 Kimenő azonnali megbízás"/>
    <n v="-5497"/>
    <x v="7"/>
    <x v="15"/>
    <x v="0"/>
  </r>
  <r>
    <x v="616"/>
    <s v="HUN-BUDAORS ALDI 3.SZ. Vásárlás(2022.02.11) Card:5444-0XXX-XX68-8737 MCC5411 HUN-BUDAORS ALDI 3.SZ. 11.318,00 HUF Kártyatranzakció"/>
    <n v="-11318"/>
    <x v="3"/>
    <x v="4"/>
    <x v="0"/>
  </r>
  <r>
    <x v="617"/>
    <s v="Burger King Étterem Oktogon"/>
    <n v="-710"/>
    <x v="2"/>
    <x v="2"/>
    <x v="4"/>
  </r>
  <r>
    <x v="617"/>
    <s v="Joe Falat Catering"/>
    <n v="-1400"/>
    <x v="2"/>
    <x v="2"/>
    <x v="4"/>
  </r>
  <r>
    <x v="617"/>
    <s v="Burger King Étterem Oktogon"/>
    <n v="-710"/>
    <x v="2"/>
    <x v="2"/>
    <x v="4"/>
  </r>
  <r>
    <x v="617"/>
    <s v="Joe Falat Catering"/>
    <n v="-1400"/>
    <x v="2"/>
    <x v="2"/>
    <x v="4"/>
  </r>
  <r>
    <x v="617"/>
    <s v="KISKIFLI KAVEZO BUDAPEST 1.100,00 HUF Vásárlás"/>
    <n v="-1100"/>
    <x v="2"/>
    <x v="19"/>
    <x v="0"/>
  </r>
  <r>
    <x v="617"/>
    <s v="Cafe Frei Budapest- No Budapest 1.280,00 HUF Vásárlás 4,14 USD"/>
    <n v="-1280"/>
    <x v="2"/>
    <x v="19"/>
    <x v="0"/>
  </r>
  <r>
    <x v="617"/>
    <s v="FODOR ORSOLYA Edénykék"/>
    <n v="3000"/>
    <x v="0"/>
    <x v="0"/>
    <x v="0"/>
  </r>
  <r>
    <x v="617"/>
    <s v="10700529-62328528-51100005 Réka Kimenő azonnali megbízás"/>
    <n v="-8000"/>
    <x v="7"/>
    <x v="13"/>
    <x v="0"/>
  </r>
  <r>
    <x v="618"/>
    <s v="PL:P/10FEB22 Tőkefizetés Hitel /21-41194/"/>
    <n v="-208449.5"/>
    <x v="0"/>
    <x v="21"/>
    <x v="0"/>
  </r>
  <r>
    <x v="618"/>
    <s v="PL:I/10FEB22 Kamatfizetés  Hitel /21-41194/"/>
    <n v="-53355.29"/>
    <x v="0"/>
    <x v="21"/>
    <x v="0"/>
  </r>
  <r>
    <x v="618"/>
    <s v="PL:P/10FEB22 Tőkefizetés Hitel /21-41194/"/>
    <n v="208449.5"/>
    <x v="0"/>
    <x v="21"/>
    <x v="1"/>
  </r>
  <r>
    <x v="618"/>
    <s v="JAGUAR LAND ROVER HUNGARY KFT. Munkaber utalasMunkabér"/>
    <n v="667410"/>
    <x v="4"/>
    <x v="20"/>
    <x v="0"/>
  </r>
  <r>
    <x v="619"/>
    <s v="HUN-BUDAPEST COOP SARKI KO:ZE'RT Vásárlás(2022.02.07) Card:5444-0XXX-XX68-8737 MCC5411 HUN-BUDAPEST COOP SARKI KO:ZE'RT 338,00 HUF Kártyatranzakció"/>
    <n v="-338"/>
    <x v="3"/>
    <x v="4"/>
    <x v="0"/>
  </r>
  <r>
    <x v="619"/>
    <s v="HUN-BUDAPEST MA'V BP. DE'LI BELF.PE Vásárlás(2022.02.03) Card:5444-0XXX-XX68-8737 MCC4112 HUN-BUDAPEST MA'V BP. DE'LI BELF.PE 24.900,00 HUF Kártyatranzakció"/>
    <n v="-24900"/>
    <x v="5"/>
    <x v="16"/>
    <x v="0"/>
  </r>
  <r>
    <x v="620"/>
    <s v="MVM NEXT ENERGIAK BUDAPEST 10.996,00 HUF Vásárlás"/>
    <n v="-10996"/>
    <x v="0"/>
    <x v="22"/>
    <x v="0"/>
  </r>
  <r>
    <x v="620"/>
    <s v="HUN-BUDAORS ALDI 156.SZ. Vásárlás(2022.02.06) Card:5444-0XXX-XX68-8737 MCC5411 HUN-BUDAORS ALDI 156.SZ. 1.528,00 HUF Kártyatranzakció"/>
    <n v="-1528"/>
    <x v="3"/>
    <x v="4"/>
    <x v="0"/>
  </r>
  <r>
    <x v="620"/>
    <s v="HUN-ERD ALDI 22.SZ. Vásárlás(2022.02.06) Card:5444-0XXX-XX68-8737 MCC5411 HUN-ERD ALDI 22.SZ. 5.523,00 HUF Kártyatranzakció"/>
    <n v="-5523"/>
    <x v="3"/>
    <x v="4"/>
    <x v="0"/>
  </r>
  <r>
    <x v="621"/>
    <s v="OMV 1773 M0 Szigetszt 17.728,00 HUF Vásárlás"/>
    <n v="-17728"/>
    <x v="5"/>
    <x v="16"/>
    <x v="0"/>
  </r>
  <r>
    <x v="621"/>
    <s v="PORSCHE M5 ETKEZDE BUDAPEST 350,00 HUF Vásárlás"/>
    <n v="-350"/>
    <x v="2"/>
    <x v="19"/>
    <x v="0"/>
  </r>
  <r>
    <x v="621"/>
    <s v="HUN-Budaors LIDL 0349 Budaors Vásárlás(2022.02.06) Card:5444-0XXX-XX68-8737 MCC5411 HUN-Budaors LIDL 0349 Budaors 5.509,00 HUF Kártyatranzakció"/>
    <n v="-5509"/>
    <x v="3"/>
    <x v="4"/>
    <x v="0"/>
  </r>
  <r>
    <x v="621"/>
    <s v="HUN-BUDAPEST Dr. Bogdan and Dr. Gye Vásárlás(2022.02.03) Card:5444-0XXX-XX68-8737 MCC8021 HUN-BUDAPEST Dr. Bogdan and Dr. Gye 13.000,00 HUF Kártyatranzakció"/>
    <n v="-13000"/>
    <x v="7"/>
    <x v="17"/>
    <x v="0"/>
  </r>
  <r>
    <x v="622"/>
    <s v="Cr Forgalmi kedvezmény"/>
    <n v="1550"/>
    <x v="1"/>
    <x v="1"/>
    <x v="0"/>
  </r>
  <r>
    <x v="623"/>
    <s v="Postakocsi Italiano Kft."/>
    <n v="-2600"/>
    <x v="2"/>
    <x v="2"/>
    <x v="4"/>
  </r>
  <r>
    <x v="623"/>
    <s v="Postakocsi Italiano Kft."/>
    <n v="-2600"/>
    <x v="2"/>
    <x v="2"/>
    <x v="4"/>
  </r>
  <r>
    <x v="623"/>
    <s v="TESCO 44089 O NKISZOLG MARTONVASAR 1.228,00 HUF Vásárlás"/>
    <n v="-1228"/>
    <x v="3"/>
    <x v="4"/>
    <x v="0"/>
  </r>
  <r>
    <x v="623"/>
    <s v="10032000-00282637-00000000 OKTATÁSI HIVATAL MUNKABÉR UTALÁS Bejövő Forint Átutalás"/>
    <n v="300696"/>
    <x v="4"/>
    <x v="20"/>
    <x v="0"/>
  </r>
  <r>
    <x v="624"/>
    <s v="PRAKTIKER 333. BUDAORS 9.306,00 HUF Vásárlás"/>
    <n v="-9306"/>
    <x v="0"/>
    <x v="0"/>
    <x v="0"/>
  </r>
  <r>
    <x v="624"/>
    <s v="Nhkv 16252513"/>
    <n v="-4567"/>
    <x v="0"/>
    <x v="38"/>
    <x v="0"/>
  </r>
  <r>
    <x v="625"/>
    <s v="Havi zárlati díj"/>
    <n v="-1799"/>
    <x v="1"/>
    <x v="1"/>
    <x v="0"/>
  </r>
  <r>
    <x v="625"/>
    <s v="IKEA BUDAORS UGYFE Budaors 10.480,00 HUF Vásárlás"/>
    <n v="-10480"/>
    <x v="0"/>
    <x v="6"/>
    <x v="0"/>
  </r>
  <r>
    <x v="625"/>
    <s v="IKEA BUDAORS ETTEREM Budaors 3.705,00 HUF Vásárlás"/>
    <n v="-3705"/>
    <x v="2"/>
    <x v="2"/>
    <x v="0"/>
  </r>
  <r>
    <x v="625"/>
    <s v="LIDL ARUHAZ 0306.SZ. AGARD 17.839,00 HUF Vásárlás"/>
    <n v="-17839"/>
    <x v="3"/>
    <x v="4"/>
    <x v="0"/>
  </r>
  <r>
    <x v="625"/>
    <s v="ALDI 5.SZ. GARDONY 32.510,00 HUF Vásárlás Dzseki"/>
    <n v="-14000"/>
    <x v="3"/>
    <x v="30"/>
    <x v="0"/>
  </r>
  <r>
    <x v="625"/>
    <s v="ALDI 5.SZ. GARDONY 32.510,00 HUF Vásárlás"/>
    <n v="-18510"/>
    <x v="3"/>
    <x v="4"/>
    <x v="0"/>
  </r>
  <r>
    <x v="625"/>
    <s v="HELLOPAY KERESKEDO' BUDAPEST 1.980,00 HUF Vásárlás"/>
    <n v="-1980"/>
    <x v="2"/>
    <x v="2"/>
    <x v="0"/>
  </r>
  <r>
    <x v="625"/>
    <s v="CATCH BUDAPEST 850,00 HUF Vásárlás"/>
    <n v="-850"/>
    <x v="2"/>
    <x v="19"/>
    <x v="0"/>
  </r>
  <r>
    <x v="625"/>
    <s v="ALDI 156.SZ. BUDAORS 6.903,00 HUF Vásárlás"/>
    <n v="-6903"/>
    <x v="3"/>
    <x v="4"/>
    <x v="0"/>
  </r>
  <r>
    <x v="625"/>
    <s v="PRAKTIKER 333. BUDAORS 4.696,00 HUF Vásárlás"/>
    <n v="-4696"/>
    <x v="0"/>
    <x v="6"/>
    <x v="0"/>
  </r>
  <r>
    <x v="625"/>
    <s v="SumUp Dr. Kelemen Ha Rackeresztur 405,00 HUF Vásárlás 1,26 USD"/>
    <n v="-405"/>
    <x v="2"/>
    <x v="2"/>
    <x v="0"/>
  </r>
  <r>
    <x v="626"/>
    <s v="HUN-Martonvasar MEDICZ PATIKA Vásárlás(2022.01.26) MCC5912 HUN-Martonvasar MEDICZ PATIKA 8.860,00 HUF Kártyatranzakció"/>
    <n v="-8860"/>
    <x v="7"/>
    <x v="5"/>
    <x v="0"/>
  </r>
  <r>
    <x v="626"/>
    <s v="PRAKTIKER 333. BUDAORS TRAN IDEJE 20220130 112503 TRAN ÖSSZEG 9,306.00 HUF"/>
    <n v="-9306"/>
    <x v="0"/>
    <x v="6"/>
    <x v="0"/>
  </r>
  <r>
    <x v="626"/>
    <s v="NETFLIX.COM 408-724-9160 3.490,00 HUF Vásárlás 10,89 USD"/>
    <n v="-3490"/>
    <x v="0"/>
    <x v="7"/>
    <x v="0"/>
  </r>
  <r>
    <x v="626"/>
    <s v="Bullet coffee and bake Budapest 1.000,00 HUF Vásárlás 3,14 USD"/>
    <n v="-1000"/>
    <x v="2"/>
    <x v="19"/>
    <x v="0"/>
  </r>
  <r>
    <x v="627"/>
    <s v="HUN-Martonvasar MEDICZ PATIKA Vásárlás(2022.01.25) MCC5912 HUN-Martonvasar MEDICZ PATIKA 703,00 HUF Kártyatranzakció"/>
    <n v="-703"/>
    <x v="7"/>
    <x v="5"/>
    <x v="0"/>
  </r>
  <r>
    <x v="627"/>
    <s v="HUN-MARTONVASAR TESCO 44089 Vásárlás(2022.01.25) MCC5311 HUN-MARTONVASAR TESCO 44089 857,00 HUF Kártyatranzakció"/>
    <n v="-857"/>
    <x v="3"/>
    <x v="4"/>
    <x v="0"/>
  </r>
  <r>
    <x v="627"/>
    <s v="22222222-21300099-00000000 Péter Mátyás Adri cranio Kimenő azonnali megbízás"/>
    <n v="-14200"/>
    <x v="7"/>
    <x v="13"/>
    <x v="0"/>
  </r>
  <r>
    <x v="627"/>
    <s v="OMV 2087 M7 Kajaszo b 25.553,00 HUF Vásárlás"/>
    <n v="-25553"/>
    <x v="5"/>
    <x v="16"/>
    <x v="0"/>
  </r>
  <r>
    <x v="627"/>
    <s v="Fejér Víz Zrt. 100011559146"/>
    <n v="-13888"/>
    <x v="0"/>
    <x v="23"/>
    <x v="0"/>
  </r>
  <r>
    <x v="628"/>
    <s v="HUN-BUDAPEST OTPMOBL*STYLEHUB.COM Vásárlás(2022.01.24) MCC5641 HUN-BUDAPEST OTPMOBL*STYLEHUB.COM 21.220,00 HUF Kártyatranzakció"/>
    <n v="-21220"/>
    <x v="7"/>
    <x v="15"/>
    <x v="0"/>
  </r>
  <r>
    <x v="629"/>
    <s v="HUN-BUDAORS SZENT JOBB GYO'GYSZERT Vásárlás(2022.01.21) MCC5912 HUN-BUDAORS SZENT JOBB GYO'GYSZERT 3.828,00 HUF Kártyatranzakció"/>
    <n v="-3828"/>
    <x v="7"/>
    <x v="5"/>
    <x v="0"/>
  </r>
  <r>
    <x v="629"/>
    <s v="BARKACSBOLT MARTONVASAR 400,00 HUF Vásárlás"/>
    <n v="-400"/>
    <x v="0"/>
    <x v="6"/>
    <x v="0"/>
  </r>
  <r>
    <x v="629"/>
    <s v="PORSCHE M5 ETKEZDE BUDAPEST 300,00 HUF Vásárlás"/>
    <n v="-300"/>
    <x v="2"/>
    <x v="2"/>
    <x v="0"/>
  </r>
  <r>
    <x v="629"/>
    <s v="TESCO 44089 O NKISZOLG MARTONVASAR 385,00 HUF Vásárlás"/>
    <n v="-385"/>
    <x v="3"/>
    <x v="4"/>
    <x v="0"/>
  </r>
  <r>
    <x v="629"/>
    <s v="ALDI 3.SZ. BUDAORS 8.074,00 HUF Vásárlás"/>
    <n v="-8074"/>
    <x v="3"/>
    <x v="4"/>
    <x v="0"/>
  </r>
  <r>
    <x v="629"/>
    <s v="VIANNI U ZLET MARTONVASAR 792,00 HUF Vásárlás"/>
    <n v="-792"/>
    <x v="3"/>
    <x v="4"/>
    <x v="0"/>
  </r>
  <r>
    <x v="629"/>
    <s v="AUCHAN BUDAORS BUDAORS 5.497,00 HUF Vásárlás"/>
    <n v="-5497"/>
    <x v="3"/>
    <x v="4"/>
    <x v="0"/>
  </r>
  <r>
    <x v="629"/>
    <s v="PRAKTIKER 333. BUDAORS 8.978,00 HUF Vásárlás"/>
    <n v="-8978"/>
    <x v="0"/>
    <x v="6"/>
    <x v="0"/>
  </r>
  <r>
    <x v="629"/>
    <s v="OBI 010 BUDAORS 53.376,00 HUF Vásárlás"/>
    <n v="-53376"/>
    <x v="0"/>
    <x v="0"/>
    <x v="0"/>
  </r>
  <r>
    <x v="629"/>
    <s v="MARTON MARKET MARTONVASAR 774,00 HUF Vásárlás"/>
    <n v="-774"/>
    <x v="3"/>
    <x v="4"/>
    <x v="0"/>
  </r>
  <r>
    <x v="630"/>
    <s v="Burger King Budaörs"/>
    <n v="-1720"/>
    <x v="2"/>
    <x v="2"/>
    <x v="4"/>
  </r>
  <r>
    <x v="630"/>
    <s v="Burger King Budaörs"/>
    <n v="-1720"/>
    <x v="2"/>
    <x v="2"/>
    <x v="4"/>
  </r>
  <r>
    <x v="631"/>
    <s v="HUN-BUDAPEST LIPOTI PEKSEG-ETELE T Vásárlás(2022.01.19) MCC5462 HUN-BUDAPEST LIPOTI PEKSEG-ETELE T 495,00 HUF Kártyatranzakció"/>
    <n v="-495"/>
    <x v="2"/>
    <x v="19"/>
    <x v="0"/>
  </r>
  <r>
    <x v="631"/>
    <s v="22222222-21300099-00000000 Péter Mátyás Adri cranio Kimenő azonnali megbízás"/>
    <n v="-12000"/>
    <x v="7"/>
    <x v="13"/>
    <x v="0"/>
  </r>
  <r>
    <x v="631"/>
    <s v="KISKIFLI KAVEZO BUDAPEST 1.100,00 HUF Vásárlás"/>
    <n v="-1100"/>
    <x v="2"/>
    <x v="19"/>
    <x v="0"/>
  </r>
  <r>
    <x v="632"/>
    <s v="GYURIVILL KFT. MARTONVASAR 634,00 HUF Vásárlás"/>
    <n v="-634"/>
    <x v="0"/>
    <x v="6"/>
    <x v="0"/>
  </r>
  <r>
    <x v="632"/>
    <s v="Értékpapír - - -"/>
    <n v="-929"/>
    <x v="1"/>
    <x v="1"/>
    <x v="0"/>
  </r>
  <r>
    <x v="633"/>
    <s v="10032000-00282637-00000000 TECHNIKAI-TÖRZS-FELETTES SZERVEZ MUNKABÉR UTALÁS Bejövő Forint Átutalás"/>
    <n v="37010"/>
    <x v="4"/>
    <x v="20"/>
    <x v="0"/>
  </r>
  <r>
    <x v="633"/>
    <s v="HUN-BUDAPEST BRENDON WEBARUHAZ Vásárlás(2022.01.17) MCC5331 HUN-BUDAPEST BRENDON WEBARUHAZ 4.940,00 HUF Kártyatranzakció"/>
    <n v="-4940"/>
    <x v="3"/>
    <x v="3"/>
    <x v="0"/>
  </r>
  <r>
    <x v="633"/>
    <s v="HUN-BUDAPEST OTPMOBL*HERBAFERM.HU Vásárlás(2022.01.17) MCC5499 HUN-BUDAPEST OTPMOBL*HERBAFERM.HU 7.240,00 HUF Kártyatranzakció"/>
    <n v="-7240"/>
    <x v="7"/>
    <x v="14"/>
    <x v="0"/>
  </r>
  <r>
    <x v="633"/>
    <s v="HUN-BUDAPEST OTPMOBL*VITAMINBOLT.NE Vásárlás(2022.01.17) MCC5499 HUN-BUDAPEST OTPMOBL*VITAMINBOLT.NE 12.243,00 HUF Kártyatranzakció"/>
    <n v="-12243"/>
    <x v="7"/>
    <x v="14"/>
    <x v="0"/>
  </r>
  <r>
    <x v="633"/>
    <s v="TELEKOMSZAML 452968276 BUDAPEST 6.479,00 HUF Vásárlás 20,78 USD"/>
    <n v="-6479"/>
    <x v="0"/>
    <x v="7"/>
    <x v="0"/>
  </r>
  <r>
    <x v="634"/>
    <s v="MARTON MARKET MARTONVASAR 1.373,00 HUF Vásárlás"/>
    <n v="-1373"/>
    <x v="3"/>
    <x v="4"/>
    <x v="0"/>
  </r>
  <r>
    <x v="635"/>
    <s v="HUN-BUDAPEST COOP SARKI KO:ZE'RT Vásárlás(2022.01.13) MCC5411 HUN-BUDAPEST COOP SARKI KO:ZE'RT 417,00 HUF Kártyatranzakció"/>
    <n v="-417"/>
    <x v="3"/>
    <x v="4"/>
    <x v="0"/>
  </r>
  <r>
    <x v="635"/>
    <s v="HUN-BUDAPEST OTPMOBL*UNIPATIKA.HU Vásárlás(2022.01.14) MCC5912 HUN-BUDAPEST OTPMOBL*UNIPATIKA.HU 13.888,00 HUF Kártyatranzakció"/>
    <n v="-13888"/>
    <x v="7"/>
    <x v="5"/>
    <x v="0"/>
  </r>
  <r>
    <x v="635"/>
    <s v="CZE-Brno Notino, s.r.o. Vásárlás(2022.01.14) MCC5977 CZE-Brno Notino, s.r.o. 27.050,00 HUF Kártyatranzakció"/>
    <n v="-27050"/>
    <x v="7"/>
    <x v="15"/>
    <x v="0"/>
  </r>
  <r>
    <x v="635"/>
    <s v="MARTON MARKET MARTONVASAR 549,00 HUF Vásárlás"/>
    <n v="-549"/>
    <x v="3"/>
    <x v="4"/>
    <x v="0"/>
  </r>
  <r>
    <x v="635"/>
    <s v="SPAR SALGOTARJAN 9.990,00 HUF Vásárlás"/>
    <n v="-9990"/>
    <x v="3"/>
    <x v="4"/>
    <x v="0"/>
  </r>
  <r>
    <x v="635"/>
    <s v="LIDL ARUHAZ 0314.SZ. SALGOTARJAN 16.149,00 HUF Vásárlás"/>
    <n v="-16149"/>
    <x v="3"/>
    <x v="4"/>
    <x v="0"/>
  </r>
  <r>
    <x v="635"/>
    <s v="OMV 1934 Salgotarjan 17.454,00 HUF Vásárlás"/>
    <n v="-17454"/>
    <x v="5"/>
    <x v="16"/>
    <x v="0"/>
  </r>
  <r>
    <x v="636"/>
    <s v="Keszegsütő Salgótarján"/>
    <n v="-7395"/>
    <x v="2"/>
    <x v="10"/>
    <x v="4"/>
  </r>
  <r>
    <x v="636"/>
    <s v="Keszegsütő Salgótarján"/>
    <n v="-7395"/>
    <x v="2"/>
    <x v="10"/>
    <x v="4"/>
  </r>
  <r>
    <x v="637"/>
    <s v="Drago Rosso Pizzéria, Étterem"/>
    <n v="-2700"/>
    <x v="2"/>
    <x v="2"/>
    <x v="4"/>
  </r>
  <r>
    <x v="637"/>
    <s v="Drago Rosso Pizzéria, Étterem"/>
    <n v="-2700"/>
    <x v="2"/>
    <x v="2"/>
    <x v="4"/>
  </r>
  <r>
    <x v="638"/>
    <s v="10700529-62328528-51100005 Réka Kimenő azonnali megbízás"/>
    <n v="-8000"/>
    <x v="7"/>
    <x v="13"/>
    <x v="0"/>
  </r>
  <r>
    <x v="638"/>
    <s v="PHILLIPPOS GYROS BAR BUDAPEST 2.380,00 HUF Vásárlás"/>
    <n v="-2380"/>
    <x v="2"/>
    <x v="2"/>
    <x v="0"/>
  </r>
  <r>
    <x v="639"/>
    <s v="ZSU_ANN KÁVÉZÓ"/>
    <n v="-2070"/>
    <x v="2"/>
    <x v="2"/>
    <x v="4"/>
  </r>
  <r>
    <x v="639"/>
    <s v="ZSU_ANN KÁVÉZÓ"/>
    <n v="-2070"/>
    <x v="2"/>
    <x v="2"/>
    <x v="4"/>
  </r>
  <r>
    <x v="639"/>
    <s v="HUN-BUDAPEST COOP SARKI KO:ZE'RT Vásárlás(2022.01.10) MCC5411 HUN-BUDAPEST COOP SARKI KO:ZE'RT 218,00 HUF Kártyatranzakció"/>
    <n v="-218"/>
    <x v="3"/>
    <x v="4"/>
    <x v="0"/>
  </r>
  <r>
    <x v="639"/>
    <s v="ALDI 156.SZ. BUDAORS 2.971,00 HUF Vásárlás"/>
    <n v="-2971"/>
    <x v="3"/>
    <x v="4"/>
    <x v="0"/>
  </r>
  <r>
    <x v="639"/>
    <s v="KISKIFLI KAVEZO BUDAPEST 650,00 HUF Vásárlás"/>
    <n v="-650"/>
    <x v="2"/>
    <x v="19"/>
    <x v="0"/>
  </r>
  <r>
    <x v="640"/>
    <s v="IMO Hungary kft Budaors 3.440,00 HUF Vásárlás 10,83 USD"/>
    <n v="-3440"/>
    <x v="5"/>
    <x v="18"/>
    <x v="0"/>
  </r>
  <r>
    <x v="640"/>
    <s v="Autó olaj csere váltóolajcsere"/>
    <n v="-70000"/>
    <x v="5"/>
    <x v="36"/>
    <x v="2"/>
  </r>
  <r>
    <x v="641"/>
    <s v="PL:P/10JAN22 Tőkefizetés Hitel /21-41194/"/>
    <n v="-208026.74"/>
    <x v="0"/>
    <x v="21"/>
    <x v="0"/>
  </r>
  <r>
    <x v="641"/>
    <s v="PL:I/10JAN22 Kamatfizetés  Hitel /21-41194/"/>
    <n v="-53778.05"/>
    <x v="0"/>
    <x v="21"/>
    <x v="0"/>
  </r>
  <r>
    <x v="641"/>
    <s v="PL:P/10JAN22 Tőkefizetés Hitel /21-41194/"/>
    <n v="208026.74"/>
    <x v="0"/>
    <x v="21"/>
    <x v="1"/>
  </r>
  <r>
    <x v="641"/>
    <s v="HUN-BUDAPEST COOP SARKI KO:ZE'RT Vásárlás(2022.01.06) MCC5411 HUN-BUDAPEST COOP SARKI KO:ZE'RT 457,00 HUF Kártyatranzakció"/>
    <n v="-457"/>
    <x v="3"/>
    <x v="4"/>
    <x v="0"/>
  </r>
  <r>
    <x v="641"/>
    <s v="HUN-BUDAPEST PHILLIPPOS GYROS BAR Vásárlás(2022.01.06) MCC5814 HUN-BUDAPEST PHILLIPPOS GYROS BAR 1.190,00 HUF Kártyatranzakció"/>
    <n v="-1190"/>
    <x v="2"/>
    <x v="2"/>
    <x v="0"/>
  </r>
  <r>
    <x v="641"/>
    <s v="HUN-Budaors LIDL 0349 Budaors Vásárlás(2022.01.08) MCC5411 HUN-Budaors LIDL 0349 Budaors 1.972,00 HUF Kártyatranzakció"/>
    <n v="-1972"/>
    <x v="3"/>
    <x v="4"/>
    <x v="0"/>
  </r>
  <r>
    <x v="641"/>
    <s v="HUN-BUDAPEST BUDAI PEKSEG Vásárlás(2022.01.06) MCC5812 HUN-BUDAPEST BUDAI PEKSEG 2.030,00 HUF Kártyatranzakció"/>
    <n v="-2030"/>
    <x v="2"/>
    <x v="19"/>
    <x v="0"/>
  </r>
  <r>
    <x v="641"/>
    <s v="HUN-BUDAORS ALDI 156.SZ. Vásárlás(2022.01.08) MCC5411 HUN-BUDAORS ALDI 156.SZ. 4.140,00 HUF Kártyatranzakció"/>
    <n v="-4140"/>
    <x v="3"/>
    <x v="4"/>
    <x v="0"/>
  </r>
  <r>
    <x v="641"/>
    <s v="HUN-BUDAORS PRAKTIKER 333. Vásárlás(2022.01.08) MCC5200 HUN-BUDAORS PRAKTIKER 333. 10.568,00 HUF Kártyatranzakció"/>
    <n v="-10568"/>
    <x v="0"/>
    <x v="6"/>
    <x v="0"/>
  </r>
  <r>
    <x v="641"/>
    <s v="ALDI 156.SZ. BUDAORS 5.814,00 HUF Vásárlás"/>
    <n v="-5814"/>
    <x v="3"/>
    <x v="4"/>
    <x v="0"/>
  </r>
  <r>
    <x v="641"/>
    <s v="OTPMOBL ANRODISZLEC.HU BUDAPEST 13.050,00 HUF Vásárlás"/>
    <n v="-13050"/>
    <x v="0"/>
    <x v="6"/>
    <x v="0"/>
  </r>
  <r>
    <x v="641"/>
    <s v="HELLOPAY KERESKEDO' BUDAPEST 3.080,00 HUF Vásárlás"/>
    <n v="-3080"/>
    <x v="2"/>
    <x v="2"/>
    <x v="0"/>
  </r>
  <r>
    <x v="641"/>
    <s v="JAGUAR LAND ROVER HUNGARY KFT. Munkaber utalasMunkabér"/>
    <n v="696600"/>
    <x v="4"/>
    <x v="20"/>
    <x v="0"/>
  </r>
  <r>
    <x v="642"/>
    <s v="KISKIFLI KAVEZO BUDAPEST 650,00 HUF Vásárlás"/>
    <n v="-650"/>
    <x v="2"/>
    <x v="19"/>
    <x v="0"/>
  </r>
  <r>
    <x v="642"/>
    <s v="OTPMOBL VIMPAY.MAV-STA BUDAPEST 419,00 HUF Vásárlás"/>
    <n v="-419"/>
    <x v="5"/>
    <x v="28"/>
    <x v="0"/>
  </r>
  <r>
    <x v="643"/>
    <s v="Cr Forgalmi kedvezmény"/>
    <n v="1550"/>
    <x v="1"/>
    <x v="1"/>
    <x v="0"/>
  </r>
  <r>
    <x v="643"/>
    <s v="OTPMOBL ANRODISZLEC.HU BUDAPEST 13.200,00 HUF Vásárlás"/>
    <n v="-13200"/>
    <x v="0"/>
    <x v="6"/>
    <x v="0"/>
  </r>
  <r>
    <x v="643"/>
    <s v="CSASZI2020 KFT. GARDONY 2.611,00 HUF Vásárlás"/>
    <n v="-2611"/>
    <x v="3"/>
    <x v="4"/>
    <x v="0"/>
  </r>
  <r>
    <x v="643"/>
    <s v="LIDL ARUHAZ 0306.SZ. AGARD 2.730,00 HUF Vásárlás"/>
    <n v="-2730"/>
    <x v="3"/>
    <x v="4"/>
    <x v="0"/>
  </r>
  <r>
    <x v="643"/>
    <s v="OMV 2026 Erd jobb 20.074,00 HUF Vásárlás"/>
    <n v="-20074"/>
    <x v="5"/>
    <x v="16"/>
    <x v="0"/>
  </r>
  <r>
    <x v="644"/>
    <s v="HUN-BUDAPEST COOP SARKI KO:ZE'RT Vásárlás(2022.01.03) MCC5411 HUN-BUDAPEST COOP SARKI KO:ZE'RT 627,00 HUF Kártyatranzakció"/>
    <n v="-627"/>
    <x v="3"/>
    <x v="4"/>
    <x v="0"/>
  </r>
  <r>
    <x v="644"/>
    <s v="POL-Warszawa MODESSA POLSKA SP.  Z. Vásárlás(2022.01.04) MCC5631 POL-Warszawa MODESSA POLSKA SP.  Z. 7.095,00 HUF Kártyatranzakció"/>
    <n v="-7095"/>
    <x v="3"/>
    <x v="30"/>
    <x v="0"/>
  </r>
  <r>
    <x v="644"/>
    <s v="HUN-BUDAPEST MA'V BP. DE'LI BELF.PE Vásárlás(2022.01.03) MCC4112 HUN-BUDAPEST MA'V BP. DE'LI BELF.PE 24.900,00 HUF Kártyatranzakció"/>
    <n v="-24900"/>
    <x v="5"/>
    <x v="28"/>
    <x v="0"/>
  </r>
  <r>
    <x v="644"/>
    <s v="OTPMOBL EON.HU/UGYINTE BUDAPEST 5.546,00 HUF Vásárlás"/>
    <n v="-5546"/>
    <x v="0"/>
    <x v="11"/>
    <x v="0"/>
  </r>
  <r>
    <x v="644"/>
    <s v="SPAR 5360 ERD 4.581,00 HUF Vásárlás"/>
    <n v="-4581"/>
    <x v="3"/>
    <x v="4"/>
    <x v="0"/>
  </r>
  <r>
    <x v="644"/>
    <s v="Desingcourse"/>
    <n v="-26040"/>
    <x v="8"/>
    <x v="32"/>
    <x v="6"/>
  </r>
  <r>
    <x v="644"/>
    <s v="Vásárlás, táska"/>
    <n v="-13711.3"/>
    <x v="3"/>
    <x v="30"/>
    <x v="6"/>
  </r>
  <r>
    <x v="644"/>
    <s v="Réka"/>
    <n v="-8000"/>
    <x v="7"/>
    <x v="13"/>
    <x v="2"/>
  </r>
  <r>
    <x v="644"/>
    <s v="Eszter"/>
    <n v="-12000"/>
    <x v="7"/>
    <x v="13"/>
    <x v="2"/>
  </r>
  <r>
    <x v="644"/>
    <s v="Masszázs"/>
    <n v="-16000"/>
    <x v="7"/>
    <x v="13"/>
    <x v="2"/>
  </r>
  <r>
    <x v="645"/>
    <s v="HUN-BUDAPEST OTPMOBL*JEGY.MAV.HU Vásárlás(2022.01.02) MCC4112 HUN-BUDAPEST OTPMOBL*JEGY.MAV.HU 293,00 HUF Kártyatranzakció"/>
    <n v="-293"/>
    <x v="5"/>
    <x v="28"/>
    <x v="0"/>
  </r>
  <r>
    <x v="645"/>
    <s v="MVM NEXT ENERGIAK BUDAPEST 11.171,00 HUF Vásárlás"/>
    <n v="-11171"/>
    <x v="0"/>
    <x v="22"/>
    <x v="0"/>
  </r>
  <r>
    <x v="645"/>
    <s v="TESCO 44089 O NKISZOLG MARTONVASAR 3.869,00 HUF Vásárlás"/>
    <n v="-3869"/>
    <x v="3"/>
    <x v="4"/>
    <x v="0"/>
  </r>
  <r>
    <x v="645"/>
    <s v="TELEKOMSZAML 447603527 BUDAPEST 7.976,00 HUF Vásárlás 24,50 USD"/>
    <n v="-7976"/>
    <x v="0"/>
    <x v="7"/>
    <x v="0"/>
  </r>
  <r>
    <x v="645"/>
    <s v="TELEKOMFELT 447604920 BUDAPEST 5.000,00 HUF Vásárlás 15,36 USD"/>
    <n v="-5000"/>
    <x v="0"/>
    <x v="7"/>
    <x v="0"/>
  </r>
  <r>
    <x v="646"/>
    <s v="HUN-Martonvasar MEDICZ PATIKA Vásárlás(2021.12.30) MCC5912 HUN-Martonvasar MEDICZ PATIKA 357,00 HUF Kártyatranzakció"/>
    <n v="-357"/>
    <x v="7"/>
    <x v="5"/>
    <x v="0"/>
  </r>
  <r>
    <x v="646"/>
    <s v="HUN-MARTONVASAR MARTON MARKET Vásárlás(2021.12.31) MCC5411 HUN-MARTONVASAR MARTON MARKET 868,00 HUF Kártyatranzakció"/>
    <n v="-868"/>
    <x v="3"/>
    <x v="4"/>
    <x v="0"/>
  </r>
  <r>
    <x v="646"/>
    <s v="HUN-GARDONY ALDI 5.SZ. Vásárlás(2021.12.30) MCC5411 HUN-GARDONY ALDI 5.SZ. 8.839,00 HUF Kártyatranzakció"/>
    <n v="-8839"/>
    <x v="3"/>
    <x v="4"/>
    <x v="0"/>
  </r>
  <r>
    <x v="646"/>
    <s v="TESCO 44089 O NKISZOLG MARTONVASAR 1.319,00 HUF Vásárlás"/>
    <n v="-1319"/>
    <x v="3"/>
    <x v="4"/>
    <x v="0"/>
  </r>
  <r>
    <x v="646"/>
    <s v="Paris Attila HBO okt- márc"/>
    <n v="-3780"/>
    <x v="0"/>
    <x v="7"/>
    <x v="0"/>
  </r>
  <r>
    <x v="647"/>
    <s v="0028 2637 0000 0000 Oktatási Hivatal 1091 XXXX XXXX 0114 09160004 KARSAI ADRIENN ÁGNES 2462 MARTONVÁSÁR PIPACS utca 6 3 MUNKABÉR UTALÁS"/>
    <n v="256537"/>
    <x v="4"/>
    <x v="20"/>
    <x v="0"/>
  </r>
  <r>
    <x v="648"/>
    <s v="10918001-00000083-47290003 KARSAINÉ GASSER MÁRIA ."/>
    <n v="123000"/>
    <x v="8"/>
    <x v="29"/>
    <x v="0"/>
  </r>
  <r>
    <x v="648"/>
    <s v="Int.Appl. to   31/12/21"/>
    <n v="11.55"/>
    <x v="1"/>
    <x v="1"/>
    <x v="0"/>
  </r>
  <r>
    <x v="648"/>
    <s v="CRT to         31/12/21"/>
    <n v="-1.73"/>
    <x v="1"/>
    <x v="1"/>
    <x v="0"/>
  </r>
  <r>
    <x v="648"/>
    <s v="Marton Market"/>
    <n v="-868"/>
    <x v="3"/>
    <x v="4"/>
    <x v="0"/>
  </r>
  <r>
    <x v="648"/>
    <s v="Havi zárlati díj"/>
    <n v="-1799"/>
    <x v="1"/>
    <x v="1"/>
    <x v="0"/>
  </r>
  <r>
    <x v="648"/>
    <s v="HUN-Agard LIDL 0306 Agard Vásárlás(2021.12.30) MCC5411 HUN-Agard LIDL 0306 Agard 8.803,00 HUF"/>
    <n v="-8803"/>
    <x v="3"/>
    <x v="4"/>
    <x v="0"/>
  </r>
  <r>
    <x v="648"/>
    <s v="TESCO 44089 O NKISZOLG MARTONVASAR TRAN IDEJE 20211231 112432 TRAN ÖSSZEG 1,319.00 HUF"/>
    <n v="-1319"/>
    <x v="3"/>
    <x v="4"/>
    <x v="0"/>
  </r>
  <r>
    <x v="649"/>
    <s v="Burger King ÉRD"/>
    <n v="-7140"/>
    <x v="2"/>
    <x v="2"/>
    <x v="4"/>
  </r>
  <r>
    <x v="649"/>
    <s v="10918001-00000083-47290003 KARSAINÉ GASSER MÁRIA ."/>
    <n v="-350000"/>
    <x v="8"/>
    <x v="29"/>
    <x v="2"/>
  </r>
  <r>
    <x v="649"/>
    <s v="10918001-00000083-47290003 KARSAINÉ GASSER MÁRIA ."/>
    <n v="300000"/>
    <x v="8"/>
    <x v="29"/>
    <x v="0"/>
  </r>
  <r>
    <x v="649"/>
    <s v="Medicz Patika"/>
    <n v="-357"/>
    <x v="7"/>
    <x v="5"/>
    <x v="0"/>
  </r>
  <r>
    <x v="649"/>
    <s v="Aldi"/>
    <n v="-8839"/>
    <x v="3"/>
    <x v="4"/>
    <x v="0"/>
  </r>
  <r>
    <x v="650"/>
    <s v="10918001-00000097-08110006 GENERALI EGÉSZSÉG ÉS ÖNSEGÉLYEZŐ PÉ 9518507, 2021/00430, 2020/00726, 20 20/109, 20-47753"/>
    <n v="-99690"/>
    <x v="1"/>
    <x v="50"/>
    <x v="8"/>
  </r>
  <r>
    <x v="650"/>
    <s v="10918001-00000097-08110006 GENERALI EGÉSZSÉG ÉS ÖNSEGÉLYEZŐ PÉ 9518507, 2021/00430, 2020/00726, 20 20/109, 20-47753"/>
    <n v="99690"/>
    <x v="1"/>
    <x v="50"/>
    <x v="0"/>
  </r>
  <r>
    <x v="650"/>
    <s v="NETFLIX.COM 408-724-9160 3.490,00 HUF Vásárlás 10,67 USD"/>
    <n v="-3490"/>
    <x v="0"/>
    <x v="7"/>
    <x v="0"/>
  </r>
  <r>
    <x v="650"/>
    <s v="GENERALI EGÉSZSÉG ÉS ÖNSEGÉLYEZŐ PÉ 2021-5028, 55187,, A18177796202112 81867000277, 72763"/>
    <n v="-334680"/>
    <x v="1"/>
    <x v="50"/>
    <x v="8"/>
  </r>
  <r>
    <x v="650"/>
    <s v="GENERALI EGÉSZSÉG ÉS ÖNSEGÉLYEZŐ PÉ 2021-5028, 55187,, A18177796202112 81867000277, 72763"/>
    <n v="334680"/>
    <x v="1"/>
    <x v="50"/>
    <x v="0"/>
  </r>
  <r>
    <x v="651"/>
    <s v="HUN-GARDONY MERX A'RUHA'Z Vásárlás(2021.12.22) MCC5691 HUN-GARDONY MERX A'RUHA'Z 1.580,00 HUF"/>
    <n v="-1580"/>
    <x v="3"/>
    <x v="8"/>
    <x v="0"/>
  </r>
  <r>
    <x v="651"/>
    <s v="HUN-GARDONY CSASZI2020 KFT. Vásárlás(2021.12.22) MCC5411 HUN-GARDONY CSASZI2020 KFT. 1.637,00 HUF"/>
    <n v="-1637"/>
    <x v="3"/>
    <x v="4"/>
    <x v="0"/>
  </r>
  <r>
    <x v="651"/>
    <s v="HUN-GARDONY CSASZI2020 KFT. Vásárlás(2021.12.22) MCC5411 HUN-GARDONY CSASZI2020 KFT. 3.756,00 HUF"/>
    <n v="-3756"/>
    <x v="3"/>
    <x v="4"/>
    <x v="0"/>
  </r>
  <r>
    <x v="651"/>
    <s v="HUN-GARDONY ALDI 5.SZ. Vásárlás(2021.12.22) MCC5411 HUN-GARDONY ALDI 5.SZ. 7.050,00 HUF"/>
    <n v="-7050"/>
    <x v="3"/>
    <x v="4"/>
    <x v="0"/>
  </r>
  <r>
    <x v="651"/>
    <s v="HUN-Agard LIDL 0306 Agard Vásárlás(2021.12.22) MCC5411 HUN-Agard LIDL 0306 Agard 12.662,00 HUF"/>
    <n v="-12662"/>
    <x v="3"/>
    <x v="4"/>
    <x v="0"/>
  </r>
  <r>
    <x v="651"/>
    <s v="HUN-BUDAORS OBI 010 Vásárlás(2021.12.22) MCC5200 HUN-BUDAORS OBI 010 15.196,00 HUF"/>
    <n v="-15196"/>
    <x v="3"/>
    <x v="8"/>
    <x v="0"/>
  </r>
  <r>
    <x v="651"/>
    <s v="OMV 2026 Erd jobb 12.617,00 HUF Vásárlás"/>
    <n v="-12617"/>
    <x v="5"/>
    <x v="16"/>
    <x v="0"/>
  </r>
  <r>
    <x v="651"/>
    <s v="VIANNI U ZLET MARTONVASAR 1.628,00 HUF Vásárlás"/>
    <n v="-1628"/>
    <x v="3"/>
    <x v="4"/>
    <x v="0"/>
  </r>
  <r>
    <x v="651"/>
    <s v="MARTON MARKET MARTONVASAR 2.915,00 HUF Vásárlás"/>
    <n v="-2915"/>
    <x v="3"/>
    <x v="4"/>
    <x v="0"/>
  </r>
  <r>
    <x v="651"/>
    <s v="ORIGO GE'PKO LCSO NZO' GARDONY 5.000,00 HUF Vásárlás"/>
    <n v="-5000"/>
    <x v="0"/>
    <x v="6"/>
    <x v="0"/>
  </r>
  <r>
    <x v="651"/>
    <s v="Mátyás Áron Adri karácsonyi felső"/>
    <n v="-4000"/>
    <x v="3"/>
    <x v="30"/>
    <x v="0"/>
  </r>
  <r>
    <x v="652"/>
    <s v="HUN-MARTONVASAR POSTAKOCSI E'TTEREM Vásárlás(2021.12.21) MCC5812 HUN-MARTONVASAR POSTAKOCSI E'TTEREM 6.530,00 HUF"/>
    <n v="-6530"/>
    <x v="2"/>
    <x v="2"/>
    <x v="0"/>
  </r>
  <r>
    <x v="653"/>
    <s v="POSTA5324 MARTONVASAR 420,00 HUF Vásárlás"/>
    <n v="-420"/>
    <x v="1"/>
    <x v="50"/>
    <x v="0"/>
  </r>
  <r>
    <x v="654"/>
    <s v="JAGUAR LAND ROVER HUNGARY KFT."/>
    <n v="19275"/>
    <x v="4"/>
    <x v="20"/>
    <x v="4"/>
  </r>
  <r>
    <x v="654"/>
    <s v="0028 2637 0000 0000 Oktatási Hivatal 1091 XXXX XXXX 0114 09160004 KARSAI ADRIENN ÁGNES 2462 MARTONVÁSÁR PIPACS utca 6 3 MUNKABÉR UTALÁS"/>
    <n v="8464"/>
    <x v="4"/>
    <x v="20"/>
    <x v="0"/>
  </r>
  <r>
    <x v="654"/>
    <s v="IKEA BUDAORS UGYFE Budaors 85,00 HUF Vásárlás"/>
    <n v="-85"/>
    <x v="0"/>
    <x v="0"/>
    <x v="0"/>
  </r>
  <r>
    <x v="654"/>
    <s v="MANNA ABC AGORA BUDAPEST 598,00 HUF Vásárlás"/>
    <n v="-598"/>
    <x v="3"/>
    <x v="4"/>
    <x v="0"/>
  </r>
  <r>
    <x v="654"/>
    <s v="NAV Belfoldi Gépjárműadó 8439602758 Czuprik Gergely"/>
    <n v="-10000"/>
    <x v="5"/>
    <x v="41"/>
    <x v="0"/>
  </r>
  <r>
    <x v="654"/>
    <s v="Vásárlás vegyes"/>
    <n v="-47000"/>
    <x v="3"/>
    <x v="4"/>
    <x v="0"/>
  </r>
  <r>
    <x v="654"/>
    <s v="Navigátor díj 2022/01"/>
    <n v="-100"/>
    <x v="1"/>
    <x v="1"/>
    <x v="8"/>
  </r>
  <r>
    <x v="655"/>
    <s v="HUN-BICSKE GLS D120 DEPO' Vásárlás(2021.12.17) MCC4214 HUN-BICSKE GLS D120 DEPO' 15.880,00 HUF"/>
    <n v="-15880"/>
    <x v="3"/>
    <x v="8"/>
    <x v="0"/>
  </r>
  <r>
    <x v="655"/>
    <s v="LIDL ARUHAZ 0314.SZ. SALGOTARJAN 8.797,00 HUF Vásárlás"/>
    <n v="-8797"/>
    <x v="3"/>
    <x v="4"/>
    <x v="0"/>
  </r>
  <r>
    <x v="655"/>
    <s v="OMV 2026 Erd jobb 29.584,00 HUF Vásárlás"/>
    <n v="-29584"/>
    <x v="5"/>
    <x v="16"/>
    <x v="0"/>
  </r>
  <r>
    <x v="655"/>
    <s v="MARTON MARKET MARTONVASAR 1.638,00 HUF Vásárlás"/>
    <n v="-1638"/>
    <x v="3"/>
    <x v="4"/>
    <x v="0"/>
  </r>
  <r>
    <x v="655"/>
    <s v="MARTON MARKET MARTONVASAR 1.078,00 HUF Vásárlás"/>
    <n v="-1078"/>
    <x v="3"/>
    <x v="4"/>
    <x v="0"/>
  </r>
  <r>
    <x v="655"/>
    <s v="GLS D120 DEPO' BICSKE 14.580,00 HUF Vásárlás"/>
    <n v="-14580"/>
    <x v="3"/>
    <x v="4"/>
    <x v="0"/>
  </r>
  <r>
    <x v="655"/>
    <s v="DM 289.SZ. ERD 899,00 HUF Vásárlás"/>
    <n v="-899"/>
    <x v="3"/>
    <x v="4"/>
    <x v="0"/>
  </r>
  <r>
    <x v="655"/>
    <s v="ALDI 22.SZ. ERD 3.878,00 HUF Vásárlás"/>
    <n v="-3878"/>
    <x v="3"/>
    <x v="4"/>
    <x v="0"/>
  </r>
  <r>
    <x v="655"/>
    <s v="VIANNI U ZLET MARTONVASAR 712,00 HUF Vásárlás"/>
    <n v="-712"/>
    <x v="3"/>
    <x v="4"/>
    <x v="0"/>
  </r>
  <r>
    <x v="655"/>
    <s v="TESCO 41970 O NKISZOLG ERD 2.427,00 HUF Vásárlás"/>
    <n v="-2427"/>
    <x v="3"/>
    <x v="4"/>
    <x v="0"/>
  </r>
  <r>
    <x v="655"/>
    <s v="2021.12. havi Egyéni befizetés Adri"/>
    <n v="481700"/>
    <x v="1"/>
    <x v="50"/>
    <x v="8"/>
  </r>
  <r>
    <x v="655"/>
    <s v="2021.12. havi Egyéni befizetés Gergő"/>
    <n v="481700"/>
    <x v="1"/>
    <x v="50"/>
    <x v="8"/>
  </r>
  <r>
    <x v="656"/>
    <s v="Generali Egészség-és Önsegélyező Karsai Adrienn Ágnes 73323"/>
    <n v="-500000"/>
    <x v="1"/>
    <x v="50"/>
    <x v="0"/>
  </r>
  <r>
    <x v="656"/>
    <s v="Generali Egészség-és Önsegélyező Czuprik Gergely 72763"/>
    <n v="-500000"/>
    <x v="1"/>
    <x v="50"/>
    <x v="0"/>
  </r>
  <r>
    <x v="657"/>
    <s v="Karacsonyfa"/>
    <n v="-14000"/>
    <x v="3"/>
    <x v="8"/>
    <x v="2"/>
  </r>
  <r>
    <x v="657"/>
    <s v="MARTON MARKET MARTONVASAR 2.233,00 HUF Vásárlás"/>
    <n v="-2233"/>
    <x v="3"/>
    <x v="4"/>
    <x v="0"/>
  </r>
  <r>
    <x v="657"/>
    <s v="MEDICZ PATIKA Martonvasar 5.700,00 HUF Vásárlás 17,54 USD"/>
    <n v="-5700"/>
    <x v="7"/>
    <x v="5"/>
    <x v="0"/>
  </r>
  <r>
    <x v="658"/>
    <s v="LIDL ARUHAZ 0306.SZ. AGARD 8.627,00 HUF Vásárlás"/>
    <n v="-8627"/>
    <x v="3"/>
    <x v="4"/>
    <x v="0"/>
  </r>
  <r>
    <x v="658"/>
    <s v="CSASZI2020 KFT. GARDONY 499,00 HUF Vásárlás"/>
    <n v="-499"/>
    <x v="3"/>
    <x v="4"/>
    <x v="0"/>
  </r>
  <r>
    <x v="658"/>
    <s v="Medicz Gyogyszertar Martonvasar 4.069,00 HUF Vásárlás 12,57 USD"/>
    <n v="-4069"/>
    <x v="7"/>
    <x v="5"/>
    <x v="0"/>
  </r>
  <r>
    <x v="659"/>
    <s v="OMV 2087 M7 Kajaszo b 20.660,00 HUF Vásárlás"/>
    <n v="-20660"/>
    <x v="5"/>
    <x v="16"/>
    <x v="0"/>
  </r>
  <r>
    <x v="660"/>
    <s v="PL:P/10DEC21 Tőkefizetés Hitel /21-41194/"/>
    <n v="-209350"/>
    <x v="0"/>
    <x v="21"/>
    <x v="0"/>
  </r>
  <r>
    <x v="660"/>
    <s v="PL:I/10DEC21 Kamatfizetés  Hitel /21-41194/"/>
    <n v="-52455"/>
    <x v="0"/>
    <x v="21"/>
    <x v="0"/>
  </r>
  <r>
    <x v="660"/>
    <s v="PL:P/10DEC21 Tőkefizetés Hitel /21-41194/"/>
    <n v="209350"/>
    <x v="0"/>
    <x v="21"/>
    <x v="1"/>
  </r>
  <r>
    <x v="660"/>
    <s v="HUN-MARTONVASAR POSTAKOCSI E'TTEREM Vásárlás(2021.12.07) MCC5812 HUN-MARTONVASAR POSTAKOCSI E'TTEREM 2.650,00 HUF"/>
    <n v="-2650"/>
    <x v="2"/>
    <x v="2"/>
    <x v="0"/>
  </r>
  <r>
    <x v="660"/>
    <s v="TESCO 44089 MARTONVASAR 345,00 HUF Vásárlás"/>
    <n v="-345"/>
    <x v="3"/>
    <x v="4"/>
    <x v="0"/>
  </r>
  <r>
    <x v="660"/>
    <s v="MVM NEXT ENERGIAK BUDAPEST 11.128,00 HUF Vásárlás"/>
    <n v="-11128"/>
    <x v="0"/>
    <x v="22"/>
    <x v="0"/>
  </r>
  <r>
    <x v="660"/>
    <s v="EXTREME DIGITAL BUDAO BUDAORS 58.290,00 HUF Vásárlás"/>
    <n v="-58290"/>
    <x v="3"/>
    <x v="31"/>
    <x v="0"/>
  </r>
  <r>
    <x v="660"/>
    <s v="TESCO 44089 MARTONVASAR 1.753,00 HUF Vásárlás"/>
    <n v="-1753"/>
    <x v="3"/>
    <x v="4"/>
    <x v="0"/>
  </r>
  <r>
    <x v="660"/>
    <s v="JAGUAR LAND ROVER HUNGARY KFT. Munkaber utalasMunkabér"/>
    <n v="705816"/>
    <x v="4"/>
    <x v="20"/>
    <x v="0"/>
  </r>
  <r>
    <x v="661"/>
    <s v="NÉMETH BARNABÁS Márk ajándék"/>
    <n v="2768"/>
    <x v="3"/>
    <x v="8"/>
    <x v="0"/>
  </r>
  <r>
    <x v="662"/>
    <s v="HUN-GARDONY ALDI 5.SZ. Vásárlás(2021.12.06) MCC5411 HUN-GARDONY ALDI 5.SZ. 6.433,00 HUF"/>
    <n v="-6433"/>
    <x v="3"/>
    <x v="4"/>
    <x v="0"/>
  </r>
  <r>
    <x v="662"/>
    <s v="MEDICZ PATIKA Martonvasar 4.590,00 HUF Vásárlás 14,20 USD"/>
    <n v="-4590"/>
    <x v="7"/>
    <x v="5"/>
    <x v="0"/>
  </r>
  <r>
    <x v="662"/>
    <s v="PETRIK TAMÁS"/>
    <n v="2767"/>
    <x v="3"/>
    <x v="8"/>
    <x v="0"/>
  </r>
  <r>
    <x v="662"/>
    <s v="Dániel Vass kossszepen..."/>
    <n v="2770"/>
    <x v="3"/>
    <x v="8"/>
    <x v="0"/>
  </r>
  <r>
    <x v="663"/>
    <s v="HUN-SALGOTARJAN KEVAIMPEX ZRT. Vásárlás(2021.12.05) MCC5947 HUN-SALGOTARJAN KEVAIMPEX ZRT. 899,00 HUF"/>
    <n v="-899"/>
    <x v="3"/>
    <x v="8"/>
    <x v="0"/>
  </r>
  <r>
    <x v="663"/>
    <s v="HUN-Erd PEPCO 3546 Stop Shop Vásárlás(2021.12.05) MCC5331 HUN-Erd PEPCO 3546 Stop Shop 1.490,00 HUF"/>
    <n v="-1490"/>
    <x v="3"/>
    <x v="8"/>
    <x v="0"/>
  </r>
  <r>
    <x v="663"/>
    <s v="HUN-SALGOTARJAN KELETI DIVATCENTRUM Vásárlás(2021.12.05) MCC5691 HUN-SALGOTARJAN KELETI DIVATCENTRUM 2.780,00 HUF"/>
    <n v="-2780"/>
    <x v="3"/>
    <x v="8"/>
    <x v="0"/>
  </r>
  <r>
    <x v="664"/>
    <s v="LIDL ARUHAZ 0306.SZ. AGARD 10.267,00 HUF Vásárlás"/>
    <n v="-10267"/>
    <x v="3"/>
    <x v="4"/>
    <x v="0"/>
  </r>
  <r>
    <x v="664"/>
    <s v="LIDL ARUHAZ 0306.SZ. AGARD 33.020,00 HUF Vásárlás"/>
    <n v="-33020"/>
    <x v="3"/>
    <x v="4"/>
    <x v="0"/>
  </r>
  <r>
    <x v="664"/>
    <s v="BIOHAIR SZT.ISTVA'N BUDAPEST 3.290,00 HUF Vásárlás"/>
    <n v="-3290"/>
    <x v="7"/>
    <x v="15"/>
    <x v="0"/>
  </r>
  <r>
    <x v="664"/>
    <s v="JYSK H868 SALGOTARJAN 8.250,00 HUF Vásárlás"/>
    <n v="-8250"/>
    <x v="3"/>
    <x v="8"/>
    <x v="0"/>
  </r>
  <r>
    <x v="664"/>
    <s v="LIDL ARUHAZ 0314.SZ. SALGOTARJAN 12.848,00 HUF Vásárlás"/>
    <n v="-12848"/>
    <x v="3"/>
    <x v="4"/>
    <x v="0"/>
  </r>
  <r>
    <x v="664"/>
    <s v="TESCO 41760 SALGOTARJAN 17.428,00 HUF Vásárlás"/>
    <n v="-17428"/>
    <x v="3"/>
    <x v="4"/>
    <x v="0"/>
  </r>
  <r>
    <x v="664"/>
    <s v="Cafe Frei Budapest Budapest 4.075,00 HUF Vásárlás 12,63 USD"/>
    <n v="-4075"/>
    <x v="2"/>
    <x v="19"/>
    <x v="0"/>
  </r>
  <r>
    <x v="665"/>
    <s v="Cr Forgalmi kedvezmény"/>
    <n v="1550"/>
    <x v="1"/>
    <x v="1"/>
    <x v="0"/>
  </r>
  <r>
    <x v="666"/>
    <s v="0028 2637 0000 0000 Oktatási Hivatal 1091 XXXX XXXX 0114 09160004 KARSAI ADRIENN ÁGNES 2462 MARTONVÁSÁR PIPACS utca 6 3 MUNKABÉR UTALÁS"/>
    <n v="304576"/>
    <x v="4"/>
    <x v="20"/>
    <x v="0"/>
  </r>
  <r>
    <x v="667"/>
    <s v="KISKIFLI KAVEZO BUDAPEST 1.070,00 HUF Vásárlás"/>
    <n v="-1070"/>
    <x v="2"/>
    <x v="19"/>
    <x v="0"/>
  </r>
  <r>
    <x v="667"/>
    <s v="Zsu-Ann Kft. Budapest 2.830,00 HUF Vásárlás"/>
    <n v="-2830"/>
    <x v="2"/>
    <x v="2"/>
    <x v="0"/>
  </r>
  <r>
    <x v="668"/>
    <s v="IKEA BUDAORS UGYFE Budaors 43.470,00 HUF Vásárlás"/>
    <n v="-43470"/>
    <x v="0"/>
    <x v="0"/>
    <x v="0"/>
  </r>
  <r>
    <x v="668"/>
    <s v="IKEA BUDAORS ETTEREM Budaors 3.525,00 HUF Vásárlás"/>
    <n v="-3525"/>
    <x v="2"/>
    <x v="2"/>
    <x v="0"/>
  </r>
  <r>
    <x v="669"/>
    <s v="OTPMOBL ROLLET.HU BUDAPEST 500,00 HUF Vásárlás"/>
    <n v="-500"/>
    <x v="5"/>
    <x v="9"/>
    <x v="0"/>
  </r>
  <r>
    <x v="669"/>
    <s v="OTPMOBL ROLLET.HU BUDAPEST 1.000,00 HUF Vásárlás"/>
    <n v="-1000"/>
    <x v="5"/>
    <x v="9"/>
    <x v="0"/>
  </r>
  <r>
    <x v="669"/>
    <s v="Oktatási hivatal - Prémium"/>
    <n v="99750"/>
    <x v="4"/>
    <x v="20"/>
    <x v="0"/>
  </r>
  <r>
    <x v="669"/>
    <s v="Havi Zárlati Díj"/>
    <n v="-1799"/>
    <x v="1"/>
    <x v="1"/>
    <x v="0"/>
  </r>
  <r>
    <x v="670"/>
    <s v="PRAKTIKER 333. BUDAORS 15.029,00 HUF Vásárlás"/>
    <n v="-15029"/>
    <x v="0"/>
    <x v="0"/>
    <x v="0"/>
  </r>
  <r>
    <x v="670"/>
    <s v="MARTON MARKET MARTONVASAR 1.376,00 HUF Vásárlás"/>
    <n v="-1376"/>
    <x v="3"/>
    <x v="4"/>
    <x v="0"/>
  </r>
  <r>
    <x v="670"/>
    <s v="IKEA BUDAORS UGYFE Budaors 2.085,00 HUF Vásárlás"/>
    <n v="-2085"/>
    <x v="0"/>
    <x v="0"/>
    <x v="0"/>
  </r>
  <r>
    <x v="670"/>
    <s v="MOL TO LTO'A'LLOMA'S HATVAN 23.707,00 HUF Vásárlás"/>
    <n v="-23707"/>
    <x v="5"/>
    <x v="16"/>
    <x v="0"/>
  </r>
  <r>
    <x v="670"/>
    <s v="ALDI 156.SZ. BUDAORS 2.425,00 HUF Vásárlás"/>
    <n v="-2425"/>
    <x v="3"/>
    <x v="4"/>
    <x v="0"/>
  </r>
  <r>
    <x v="670"/>
    <s v="VIANNI U ZLET MARTONVASAR 890,00 HUF Vásárlás"/>
    <n v="-890"/>
    <x v="3"/>
    <x v="4"/>
    <x v="0"/>
  </r>
  <r>
    <x v="670"/>
    <s v="VIANNI U ZLET MARTONVASAR 899,00 HUF Vásárlás"/>
    <n v="-899"/>
    <x v="3"/>
    <x v="4"/>
    <x v="0"/>
  </r>
  <r>
    <x v="670"/>
    <s v="NETFLIX.COM 408-724-9160 3.990,00 HUF Vásárlás 12,20 USD"/>
    <n v="-3990"/>
    <x v="0"/>
    <x v="7"/>
    <x v="0"/>
  </r>
  <r>
    <x v="670"/>
    <s v="IMO Hungary kft Budaors 3.940,00 HUF Vásárlás 12,05 USD"/>
    <n v="-3940"/>
    <x v="5"/>
    <x v="33"/>
    <x v="0"/>
  </r>
  <r>
    <x v="670"/>
    <s v="Nhkv 16252513"/>
    <n v="-4567"/>
    <x v="0"/>
    <x v="38"/>
    <x v="0"/>
  </r>
  <r>
    <x v="670"/>
    <s v="Fejér Víz Zrt. 100011559145"/>
    <n v="-6944"/>
    <x v="0"/>
    <x v="23"/>
    <x v="0"/>
  </r>
  <r>
    <x v="671"/>
    <s v="MOL Nyrt. Kisker.,1104 BUDAPEST 20.828,00 HUF Vásárlás"/>
    <n v="-20828"/>
    <x v="5"/>
    <x v="16"/>
    <x v="0"/>
  </r>
  <r>
    <x v="672"/>
    <s v="KISKIFLI KAVEZO BUDAPEST 1.070,00 HUF Vásárlás"/>
    <n v="-1070"/>
    <x v="2"/>
    <x v="19"/>
    <x v="0"/>
  </r>
  <r>
    <x v="672"/>
    <s v="Zsu-Ann Kft. Budapest 2.880,00 HUF Vásárlás"/>
    <n v="-2880"/>
    <x v="2"/>
    <x v="2"/>
    <x v="0"/>
  </r>
  <r>
    <x v="672"/>
    <s v="Fejér Víz Zrt. 709854814"/>
    <n v="-12695"/>
    <x v="0"/>
    <x v="23"/>
    <x v="0"/>
  </r>
  <r>
    <x v="673"/>
    <s v="MEDICZ PATIKA Martonvasar 5.840,00 HUF Vásárlás 18,21 USD"/>
    <n v="-5840"/>
    <x v="7"/>
    <x v="5"/>
    <x v="0"/>
  </r>
  <r>
    <x v="674"/>
    <s v="JAGUAR LAND ROVER HUNGARY KFT."/>
    <n v="19275"/>
    <x v="4"/>
    <x v="20"/>
    <x v="4"/>
  </r>
  <r>
    <x v="674"/>
    <s v="IKEA BUDAORS UGYFE Budaors 24.990,00 HUF Vásárlás"/>
    <n v="-24990"/>
    <x v="0"/>
    <x v="35"/>
    <x v="0"/>
  </r>
  <r>
    <x v="674"/>
    <s v="DM 316.SZ. GARDONY 6.946,00 HUF Vásárlás"/>
    <n v="-6946"/>
    <x v="3"/>
    <x v="4"/>
    <x v="0"/>
  </r>
  <r>
    <x v="674"/>
    <s v="LIDL ARUHAZ 0306.SZ. AGARD 24.392,00 HUF Vásárlás"/>
    <n v="-24392"/>
    <x v="3"/>
    <x v="4"/>
    <x v="0"/>
  </r>
  <r>
    <x v="674"/>
    <s v="CZUPRIK GÁBOR"/>
    <n v="30000"/>
    <x v="8"/>
    <x v="29"/>
    <x v="0"/>
  </r>
  <r>
    <x v="675"/>
    <s v="OTPMOBL TELEKOM1095 BUDAPEST 5.000,00 HUF Vásárlás"/>
    <n v="-5000"/>
    <x v="3"/>
    <x v="46"/>
    <x v="0"/>
  </r>
  <r>
    <x v="675"/>
    <s v="OTPMOBL VIMPAY.MAV-STA BUDAPEST 584,00 HUF Vásárlás"/>
    <n v="-584"/>
    <x v="5"/>
    <x v="28"/>
    <x v="0"/>
  </r>
  <r>
    <x v="675"/>
    <s v="OTPMOBL VIMPAY.MAV-STA BUDAPEST 504,00 HUF Vásárlás"/>
    <n v="-504"/>
    <x v="5"/>
    <x v="28"/>
    <x v="0"/>
  </r>
  <r>
    <x v="675"/>
    <s v="PRESSZO BUDAPEST 6.900,00 HUF Vásárlás"/>
    <n v="-6900"/>
    <x v="6"/>
    <x v="40"/>
    <x v="0"/>
  </r>
  <r>
    <x v="675"/>
    <s v="A TABLE PE'KSE'G BUDAPEST 2.480,00 HUF Vásárlás"/>
    <n v="-2480"/>
    <x v="2"/>
    <x v="2"/>
    <x v="0"/>
  </r>
  <r>
    <x v="676"/>
    <s v="Navigátor díj 2021/12"/>
    <n v="-100"/>
    <x v="1"/>
    <x v="1"/>
    <x v="8"/>
  </r>
  <r>
    <x v="676"/>
    <s v="HELLOPAY KERESKEDO' BUDAPEST 2.380,00 HUF Vásárlás"/>
    <n v="-2380"/>
    <x v="2"/>
    <x v="2"/>
    <x v="0"/>
  </r>
  <r>
    <x v="676"/>
    <s v="BADASS COFFEE BUDAPEST 850,00 HUF Vásárlás"/>
    <n v="-850"/>
    <x v="2"/>
    <x v="19"/>
    <x v="0"/>
  </r>
  <r>
    <x v="676"/>
    <s v="OTPMOBL ROLLET.HU BUDAPEST 500,00 HUF Vásárlás"/>
    <n v="-500"/>
    <x v="5"/>
    <x v="9"/>
    <x v="0"/>
  </r>
  <r>
    <x v="676"/>
    <s v="KISKIFLI KAVEZO BUDAPEST 650,00 HUF Vásárlás"/>
    <n v="-650"/>
    <x v="2"/>
    <x v="19"/>
    <x v="0"/>
  </r>
  <r>
    <x v="676"/>
    <s v="OTPMOBL ROLLET.HU BUDAPEST 1.000,00 HUF Vásárlás"/>
    <n v="-1000"/>
    <x v="5"/>
    <x v="9"/>
    <x v="0"/>
  </r>
  <r>
    <x v="677"/>
    <s v="KISKIFLI KAVEZO BUDAPEST 650,00 HUF Vásárlás"/>
    <n v="-650"/>
    <x v="2"/>
    <x v="19"/>
    <x v="0"/>
  </r>
  <r>
    <x v="677"/>
    <s v="LIDL ARUHAZ 0306.SZ. AGARD 14.272,00 HUF Vásárlás"/>
    <n v="-14272"/>
    <x v="3"/>
    <x v="4"/>
    <x v="0"/>
  </r>
  <r>
    <x v="678"/>
    <s v="OTPMOBL ROLLET.HU BUDAPEST 500,00 HUF Vásárlás"/>
    <n v="-500"/>
    <x v="5"/>
    <x v="9"/>
    <x v="0"/>
  </r>
  <r>
    <x v="678"/>
    <s v="OTPMOBL ROLLET.HU BUDAPEST 1.000,00 HUF Vásárlás"/>
    <n v="-1000"/>
    <x v="5"/>
    <x v="9"/>
    <x v="0"/>
  </r>
  <r>
    <x v="679"/>
    <s v="POSTAKOCSI E'TTEREM MARTONVASAR 10.780,00 HUF Vásárlás"/>
    <n v="-10780"/>
    <x v="2"/>
    <x v="2"/>
    <x v="0"/>
  </r>
  <r>
    <x v="679"/>
    <s v="TESCO 44089 MARTONVASAR 1.923,00 HUF Vásárlás"/>
    <n v="-1923"/>
    <x v="3"/>
    <x v="4"/>
    <x v="0"/>
  </r>
  <r>
    <x v="679"/>
    <s v="AUCHAN BUDAORS BUDAORS 3.246,00 HUF Vásárlás"/>
    <n v="-3246"/>
    <x v="3"/>
    <x v="4"/>
    <x v="0"/>
  </r>
  <r>
    <x v="679"/>
    <s v="OMV 2026 Erd jobb 22.124,00 HUF Vásárlás"/>
    <n v="-22124"/>
    <x v="5"/>
    <x v="16"/>
    <x v="0"/>
  </r>
  <r>
    <x v="679"/>
    <s v="IKEA BUDAORS ETTEREM Budaors 2.375,00 HUF Vásárlás"/>
    <n v="-2375"/>
    <x v="2"/>
    <x v="2"/>
    <x v="0"/>
  </r>
  <r>
    <x v="679"/>
    <s v="ALFA-RADIA'L MARTONVASAR 155.060,00 HUF Vásárlás"/>
    <n v="-155060"/>
    <x v="5"/>
    <x v="36"/>
    <x v="0"/>
  </r>
  <r>
    <x v="679"/>
    <s v="LIDL ARUHAZ 0306.SZ. AGARD 10.147,00 HUF Vásárlás"/>
    <n v="-10147"/>
    <x v="3"/>
    <x v="4"/>
    <x v="0"/>
  </r>
  <r>
    <x v="679"/>
    <s v="CSASZI2020 KFT. GARDONY 1.594,00 HUF Vásárlás"/>
    <n v="-1594"/>
    <x v="3"/>
    <x v="4"/>
    <x v="0"/>
  </r>
  <r>
    <x v="679"/>
    <s v="ALDI 5.SZ. GARDONY 7.691,00 HUF Vásárlás"/>
    <n v="-7691"/>
    <x v="3"/>
    <x v="4"/>
    <x v="0"/>
  </r>
  <r>
    <x v="679"/>
    <s v="TESCO 44089 MARTONVASAR 1.429,00 HUF Vásárlás"/>
    <n v="-1429"/>
    <x v="3"/>
    <x v="4"/>
    <x v="0"/>
  </r>
  <r>
    <x v="680"/>
    <s v="ALDI 22.SZ. ERD 189,00 HUF Vásárlás"/>
    <n v="-189"/>
    <x v="3"/>
    <x v="4"/>
    <x v="0"/>
  </r>
  <r>
    <x v="680"/>
    <s v="ALDI 22.SZ. ERD 4.052,00 HUF Vásárlás"/>
    <n v="-4052"/>
    <x v="3"/>
    <x v="4"/>
    <x v="0"/>
  </r>
  <r>
    <x v="681"/>
    <s v="Tőkefizetés"/>
    <n v="-207180"/>
    <x v="0"/>
    <x v="21"/>
    <x v="0"/>
  </r>
  <r>
    <x v="681"/>
    <s v="Kamatfizetés"/>
    <n v="-54624"/>
    <x v="0"/>
    <x v="21"/>
    <x v="0"/>
  </r>
  <r>
    <x v="681"/>
    <s v="Tőkefizetés"/>
    <n v="207180"/>
    <x v="0"/>
    <x v="21"/>
    <x v="1"/>
  </r>
  <r>
    <x v="681"/>
    <s v="STAR PARK PARKOLO' BUDAPEST 1.500,00 HUF Vásárlás"/>
    <n v="-1500"/>
    <x v="5"/>
    <x v="9"/>
    <x v="0"/>
  </r>
  <r>
    <x v="681"/>
    <s v="KI'NAI BU FE' BUDAPEST 1.150,00 HUF Vásárlás"/>
    <n v="-1150"/>
    <x v="2"/>
    <x v="2"/>
    <x v="0"/>
  </r>
  <r>
    <x v="681"/>
    <s v="JAGUAR LAND ROVER HUNGARY KFT. Munkaber utalasMunkabér"/>
    <n v="670866"/>
    <x v="4"/>
    <x v="20"/>
    <x v="0"/>
  </r>
  <r>
    <x v="682"/>
    <s v="OTPMOBL ROLLET.HU BUDAPEST 500,00 HUF Vásárlás"/>
    <n v="-500"/>
    <x v="5"/>
    <x v="9"/>
    <x v="0"/>
  </r>
  <r>
    <x v="682"/>
    <s v="OTPMOBL ROLLET.HU BUDAPEST 1.000,00 HUF Vásárlás"/>
    <n v="-1000"/>
    <x v="5"/>
    <x v="9"/>
    <x v="0"/>
  </r>
  <r>
    <x v="682"/>
    <s v="Mazsa Nordik Kft. Budapest 769,00 HUF Vásárlás 2,47 USD"/>
    <n v="-769"/>
    <x v="3"/>
    <x v="4"/>
    <x v="0"/>
  </r>
  <r>
    <x v="683"/>
    <s v="POSTAKOCSI E'TTEREM MARTONVASAR 2.700,00 HUF Vásárlás"/>
    <n v="-2700"/>
    <x v="2"/>
    <x v="2"/>
    <x v="0"/>
  </r>
  <r>
    <x v="683"/>
    <s v="MOL TO LTO'A'LLOMA'S GARDONY 18.497,00 HUF Vásárlás"/>
    <n v="-18497"/>
    <x v="5"/>
    <x v="16"/>
    <x v="0"/>
  </r>
  <r>
    <x v="683"/>
    <s v="OTPMOBL EON.HU BUDAPEST 14.893,00 HUF Vásárlás"/>
    <n v="-14893"/>
    <x v="0"/>
    <x v="11"/>
    <x v="0"/>
  </r>
  <r>
    <x v="683"/>
    <s v="SPAR MAGYARORSZAG KFT SALGOTARJAN 2.936,00 HUF Vásárlás"/>
    <n v="-2936"/>
    <x v="3"/>
    <x v="4"/>
    <x v="0"/>
  </r>
  <r>
    <x v="683"/>
    <s v="Kazánellenőrzés"/>
    <n v="-13000"/>
    <x v="0"/>
    <x v="6"/>
    <x v="2"/>
  </r>
  <r>
    <x v="684"/>
    <s v="KANAHA KFT NYAREGYHAZA 12.447,00 HUF Vásárlás"/>
    <n v="-12447"/>
    <x v="3"/>
    <x v="8"/>
    <x v="0"/>
  </r>
  <r>
    <x v="684"/>
    <s v="MVM NEXT ENERGIAK BUDAPEST 11.175,00 HUF Vásárlás"/>
    <n v="-11175"/>
    <x v="0"/>
    <x v="22"/>
    <x v="0"/>
  </r>
  <r>
    <x v="684"/>
    <s v="CR Forgalmi kedvezmény"/>
    <n v="1550"/>
    <x v="1"/>
    <x v="1"/>
    <x v="0"/>
  </r>
  <r>
    <x v="685"/>
    <s v="HELLOPAY KERESKEDO' BUDAPEST 1.790,00 HUF Vásárlás"/>
    <n v="-1790"/>
    <x v="2"/>
    <x v="2"/>
    <x v="0"/>
  </r>
  <r>
    <x v="685"/>
    <s v="KFC AUCHAN BUDAORS 4.480,00 HUF Vásárlás"/>
    <n v="-4480"/>
    <x v="2"/>
    <x v="2"/>
    <x v="0"/>
  </r>
  <r>
    <x v="685"/>
    <s v="AUCHAN BUDAORS BUDAORS 26.099,00 HUF Vásárlás"/>
    <n v="-26099"/>
    <x v="3"/>
    <x v="4"/>
    <x v="0"/>
  </r>
  <r>
    <x v="685"/>
    <s v="Nemzeti Útdíjfizetési Szolgáltat 121014047447"/>
    <n v="-15460"/>
    <x v="5"/>
    <x v="33"/>
    <x v="0"/>
  </r>
  <r>
    <x v="685"/>
    <s v="Oktatási hivatal - fizetés"/>
    <n v="411091"/>
    <x v="4"/>
    <x v="20"/>
    <x v="0"/>
  </r>
  <r>
    <x v="686"/>
    <s v="KISKIFLI KAVEZO BUDAPEST 1.070,00 HUF Vásárlás"/>
    <n v="-1070"/>
    <x v="2"/>
    <x v="19"/>
    <x v="0"/>
  </r>
  <r>
    <x v="687"/>
    <s v="Fusion Befektetesi Budapest 6.510,00 HUF Vásárlás"/>
    <n v="-6510"/>
    <x v="2"/>
    <x v="2"/>
    <x v="0"/>
  </r>
  <r>
    <x v="687"/>
    <s v="MOL TO LTO'A'LL.45265 SOLT 17.385,00 HUF Vásárlás"/>
    <n v="-17385"/>
    <x v="5"/>
    <x v="16"/>
    <x v="0"/>
  </r>
  <r>
    <x v="687"/>
    <s v="OTPMOBL HU-GO.HU BUDAPEST 3.640,00 HUF Vásárlás"/>
    <n v="-3640"/>
    <x v="5"/>
    <x v="37"/>
    <x v="0"/>
  </r>
  <r>
    <x v="687"/>
    <s v="POSTAKOCSI E'TTEREM MARTONVASAR 9.030,00 HUF Vásárlás"/>
    <n v="-9030"/>
    <x v="2"/>
    <x v="2"/>
    <x v="0"/>
  </r>
  <r>
    <x v="688"/>
    <s v="Elszámolt kamatössz. Bruttó kamat: 3,02 HUF Levont adó : 0,45 HUF"/>
    <n v="2.57"/>
    <x v="1"/>
    <x v="34"/>
    <x v="0"/>
  </r>
  <r>
    <x v="689"/>
    <s v="BADASS COFFEE BUDAPEST 850,00 HUF Vásárlás"/>
    <n v="-850"/>
    <x v="2"/>
    <x v="19"/>
    <x v="0"/>
  </r>
  <r>
    <x v="689"/>
    <s v="OTPMOBL ROLLET.HU BUDAPEST 500,00 HUF Vásárlás"/>
    <n v="-500"/>
    <x v="5"/>
    <x v="9"/>
    <x v="0"/>
  </r>
  <r>
    <x v="689"/>
    <s v="OTPMOBL ROLLET.HU BUDAPEST 1.000,00 HUF Vásárlás"/>
    <n v="-1000"/>
    <x v="5"/>
    <x v="9"/>
    <x v="0"/>
  </r>
  <r>
    <x v="689"/>
    <s v="Fusion Befektetesi Budapest 2.670,00 HUF Vásárlás"/>
    <n v="-2670"/>
    <x v="2"/>
    <x v="2"/>
    <x v="0"/>
  </r>
  <r>
    <x v="689"/>
    <s v="Kemal Pasa Torok Et Budapest 1.900,00 HUF Vásárlás"/>
    <n v="-1900"/>
    <x v="2"/>
    <x v="2"/>
    <x v="0"/>
  </r>
  <r>
    <x v="689"/>
    <s v="OTPMOBL ROLLET.HU BUDAPEST 1.000,00 HUF Vásárlás"/>
    <n v="-1000"/>
    <x v="5"/>
    <x v="9"/>
    <x v="0"/>
  </r>
  <r>
    <x v="689"/>
    <s v="OTPMOBL ROLLET.HU BUDAPEST 500,00 HUF Vásárlás"/>
    <n v="-500"/>
    <x v="5"/>
    <x v="9"/>
    <x v="0"/>
  </r>
  <r>
    <x v="689"/>
    <s v="KERESKEDO' BUDAPEST 2.380,00 HUF Vásárlás"/>
    <n v="-2380"/>
    <x v="3"/>
    <x v="8"/>
    <x v="0"/>
  </r>
  <r>
    <x v="689"/>
    <s v="NETFLIX.COM 408-724-9160 3.990,00 HUF Vásárlás 12,70 USD"/>
    <n v="-3990"/>
    <x v="0"/>
    <x v="7"/>
    <x v="0"/>
  </r>
  <r>
    <x v="689"/>
    <s v="OTPMOBL JEGY.MAV.H 022S4189 2412881 - BANKKARTYA"/>
    <n v="-586"/>
    <x v="5"/>
    <x v="28"/>
    <x v="0"/>
  </r>
  <r>
    <x v="689"/>
    <s v="AUCHAN BUDAORS 00158870 0218897 - BANKKARTYA"/>
    <n v="-25633"/>
    <x v="3"/>
    <x v="4"/>
    <x v="0"/>
  </r>
  <r>
    <x v="690"/>
    <s v="Mazsa Nordik Kft. Budapest 699,00 HUF Vásárlás"/>
    <n v="-699"/>
    <x v="3"/>
    <x v="4"/>
    <x v="0"/>
  </r>
  <r>
    <x v="690"/>
    <s v="SumUp Kiss Soma Bene Zamardi 3.000,00 HUF Vásárlás 9,55 USD"/>
    <n v="-3000"/>
    <x v="3"/>
    <x v="8"/>
    <x v="0"/>
  </r>
  <r>
    <x v="691"/>
    <s v="ATK MARTONVASAR 2.300,00 HUF Vásárlás"/>
    <n v="-2300"/>
    <x v="3"/>
    <x v="4"/>
    <x v="0"/>
  </r>
  <r>
    <x v="691"/>
    <s v="ALDI 5.SZ. SIA03152 0833377 - BANKKARTYA"/>
    <n v="-13908"/>
    <x v="3"/>
    <x v="4"/>
    <x v="0"/>
  </r>
  <r>
    <x v="692"/>
    <s v="LIDL ARUHAZ 0306.SZ. AGARD 13.680,00 HUF Vásárlás"/>
    <n v="-13680"/>
    <x v="3"/>
    <x v="4"/>
    <x v="0"/>
  </r>
  <r>
    <x v="692"/>
    <s v="SHELL TO LTO'A'LLOMA'S BUDAPEST 22.143,00 HUF Vásárlás"/>
    <n v="-22143"/>
    <x v="5"/>
    <x v="9"/>
    <x v="0"/>
  </r>
  <r>
    <x v="692"/>
    <s v="Jutalék SM305368382 MOBIL HAVI DÍJ (Kártyafigyelő DR) EM5KX8 +36 305368382 0GB Bank által megfizetett tranzakciós illeték: 0,22 HUF"/>
    <n v="-74"/>
    <x v="1"/>
    <x v="1"/>
    <x v="0"/>
  </r>
  <r>
    <x v="692"/>
    <s v="Jutalék SM305368382 MOBIL ÜZENET DÍJ (Kártyafigyelő DR) Küldött SMS, 33 Db EM5KX8 +36 305368382 0EB Bank által megfizetett tranzakciós illeték: 4,36 HUF"/>
    <n v="-1452"/>
    <x v="1"/>
    <x v="1"/>
    <x v="0"/>
  </r>
  <r>
    <x v="692"/>
    <s v="GLS D120 DEPO&quot; 00137465 1135389 - BANKKARTYA"/>
    <n v="-13080"/>
    <x v="3"/>
    <x v="4"/>
    <x v="0"/>
  </r>
  <r>
    <x v="692"/>
    <s v="OTPMOBL STYLEHUB.C 022P8017 0976627 - BANKKARTYA"/>
    <n v="-15230"/>
    <x v="7"/>
    <x v="15"/>
    <x v="0"/>
  </r>
  <r>
    <x v="692"/>
    <s v="CSIZ SAJTMuHELY KF 80016355 5914600 - BANKKARTYA"/>
    <n v="-7744"/>
    <x v="3"/>
    <x v="4"/>
    <x v="0"/>
  </r>
  <r>
    <x v="692"/>
    <s v="DM 316.SZ. 00059705 3205120 - BANKKARTYA"/>
    <n v="-2548"/>
    <x v="3"/>
    <x v="4"/>
    <x v="0"/>
  </r>
  <r>
    <x v="693"/>
    <s v="CZUPRIKGERGE Hivatkozási szám BCKOZP/39297072 Értékpapír számla egyenlegrendezés"/>
    <n v="-929"/>
    <x v="1"/>
    <x v="1"/>
    <x v="0"/>
  </r>
  <r>
    <x v="693"/>
    <s v="KISKIFLI KAVEZO BUDAPEST 1.070,00 HUF Vásárlás"/>
    <n v="-1070"/>
    <x v="2"/>
    <x v="19"/>
    <x v="0"/>
  </r>
  <r>
    <x v="693"/>
    <s v="TESCO 44089 00078396 2094083 - BANKKARTYA"/>
    <n v="-3507"/>
    <x v="3"/>
    <x v="4"/>
    <x v="0"/>
  </r>
  <r>
    <x v="694"/>
    <s v="JAGUAR LAND ROVER HUNGARY KFT."/>
    <n v="19275"/>
    <x v="4"/>
    <x v="20"/>
    <x v="4"/>
  </r>
  <r>
    <x v="694"/>
    <s v="OTPMOBL ROLLET.HU BUDAPEST 1.000,00 HUF Vásárlás"/>
    <n v="-1000"/>
    <x v="5"/>
    <x v="9"/>
    <x v="0"/>
  </r>
  <r>
    <x v="694"/>
    <s v="OTPMOBL ROLLET.HU BUDAPEST 500,00 HUF Vásárlás"/>
    <n v="-500"/>
    <x v="5"/>
    <x v="9"/>
    <x v="0"/>
  </r>
  <r>
    <x v="694"/>
    <s v="TESCO 44089 MARTONVASAR 3.893,00 HUF Vásárlás"/>
    <n v="-3893"/>
    <x v="3"/>
    <x v="4"/>
    <x v="0"/>
  </r>
  <r>
    <x v="694"/>
    <s v="AUCHAN BUDAORS BUDAORS 7.453,00 HUF Vásárlás"/>
    <n v="-7453"/>
    <x v="3"/>
    <x v="4"/>
    <x v="0"/>
  </r>
  <r>
    <x v="694"/>
    <s v="OTPMOBL ROLLET.HU BUDAPEST 1.000,00 HUF Vásárlás"/>
    <n v="-1000"/>
    <x v="5"/>
    <x v="9"/>
    <x v="0"/>
  </r>
  <r>
    <x v="694"/>
    <s v="OTPMOBL ROLLET.HU BUDAPEST 500,00 HUF Vásárlás"/>
    <n v="-500"/>
    <x v="5"/>
    <x v="9"/>
    <x v="0"/>
  </r>
  <r>
    <x v="694"/>
    <s v="OTPMOBL ROLLET.HU BUDAPEST 1.000,00 HUF Vásárlás"/>
    <n v="-1000"/>
    <x v="5"/>
    <x v="9"/>
    <x v="0"/>
  </r>
  <r>
    <x v="694"/>
    <s v="OTPMOBL ROLLET.HU BUDAPEST 500,00 HUF Vásárlás"/>
    <n v="-500"/>
    <x v="5"/>
    <x v="9"/>
    <x v="0"/>
  </r>
  <r>
    <x v="694"/>
    <s v="OTPMOBL ROLLET.HU BUDAPEST 1.000,00 HUF Vásárlás"/>
    <n v="-1000"/>
    <x v="5"/>
    <x v="9"/>
    <x v="0"/>
  </r>
  <r>
    <x v="694"/>
    <s v="TESCO 44089 00078396 2100683 - BANKKARTYA"/>
    <n v="-1125"/>
    <x v="3"/>
    <x v="4"/>
    <x v="0"/>
  </r>
  <r>
    <x v="695"/>
    <s v="KISKIFLI KAVEZO BUDAPEST 1.200,00 HUF Vásárlás"/>
    <n v="-1200"/>
    <x v="2"/>
    <x v="19"/>
    <x v="0"/>
  </r>
  <r>
    <x v="695"/>
    <s v="Fusion Befektetesi Budapest 5.640,00 HUF Vásárlás"/>
    <n v="-5640"/>
    <x v="2"/>
    <x v="2"/>
    <x v="0"/>
  </r>
  <r>
    <x v="695"/>
    <s v="SIMPLE PARKOL S BUDAPEST 495,00 HUF Vásárlás"/>
    <n v="-495"/>
    <x v="5"/>
    <x v="9"/>
    <x v="0"/>
  </r>
  <r>
    <x v="696"/>
    <s v="Navigátor díj 2021/11"/>
    <n v="-100"/>
    <x v="1"/>
    <x v="1"/>
    <x v="8"/>
  </r>
  <r>
    <x v="696"/>
    <s v="Kocsis T Pizza"/>
    <n v="-1990"/>
    <x v="2"/>
    <x v="2"/>
    <x v="0"/>
  </r>
  <r>
    <x v="696"/>
    <s v="AMZ South sun AMAZON.CO.UK 25,05 GBP Vásárlás 34,65- USD 318.6200"/>
    <n v="11040.18"/>
    <x v="3"/>
    <x v="8"/>
    <x v="0"/>
  </r>
  <r>
    <x v="696"/>
    <s v="LIDL ARUHAZ 0306.S HH330602 1057326 - BANKKARTYA"/>
    <n v="-14759"/>
    <x v="3"/>
    <x v="4"/>
    <x v="0"/>
  </r>
  <r>
    <x v="697"/>
    <s v="ALDI 5.SZ. GARDONY 12.141,00 HUF Vásárlás"/>
    <n v="-12141"/>
    <x v="3"/>
    <x v="4"/>
    <x v="0"/>
  </r>
  <r>
    <x v="697"/>
    <s v="Fusion Befektetesi Budapest 5.830,00 HUF Vásárlás"/>
    <n v="-5830"/>
    <x v="2"/>
    <x v="2"/>
    <x v="0"/>
  </r>
  <r>
    <x v="697"/>
    <s v="OBI 010 BUDAORS BUDAORS 24.042,00 HUF Vásárlás"/>
    <n v="-24042"/>
    <x v="0"/>
    <x v="6"/>
    <x v="0"/>
  </r>
  <r>
    <x v="697"/>
    <s v="PANIFICIO IL BASILICO SZENTENDRE 7.000,00 HUF Vásárlás"/>
    <n v="-7000"/>
    <x v="2"/>
    <x v="10"/>
    <x v="0"/>
  </r>
  <r>
    <x v="697"/>
    <s v="LIDL ARUHAZ 0306.SZ. AGARD 6.771,00 HUF Vásárlás"/>
    <n v="-6771"/>
    <x v="3"/>
    <x v="4"/>
    <x v="0"/>
  </r>
  <r>
    <x v="697"/>
    <s v="ALDI 5.SZ. GARDONY 2.026,00 HUF Vásárlás"/>
    <n v="-2026"/>
    <x v="3"/>
    <x v="4"/>
    <x v="0"/>
  </r>
  <r>
    <x v="697"/>
    <s v="MARTON MARKET 43226621 4533231 - BANKKARTYA"/>
    <n v="-2016"/>
    <x v="3"/>
    <x v="4"/>
    <x v="0"/>
  </r>
  <r>
    <x v="697"/>
    <s v="IKEA BUDAORS UGYFE 00182212 9042992 - BANKKARTYA"/>
    <n v="-49990"/>
    <x v="0"/>
    <x v="35"/>
    <x v="0"/>
  </r>
  <r>
    <x v="697"/>
    <s v="IKEA BUDAORS UGYFE 00182212 9043105 - BANKKARTYA"/>
    <n v="-40000"/>
    <x v="0"/>
    <x v="35"/>
    <x v="0"/>
  </r>
  <r>
    <x v="698"/>
    <s v="PRAKTIKER 333. BUDAORS 9.024,00 HUF Vásárlás"/>
    <n v="-9024"/>
    <x v="0"/>
    <x v="6"/>
    <x v="0"/>
  </r>
  <r>
    <x v="699"/>
    <s v="KISKIFLI KAVEZO BUDAPEST 650,00 HUF Vásárlás"/>
    <n v="-650"/>
    <x v="2"/>
    <x v="19"/>
    <x v="0"/>
  </r>
  <r>
    <x v="699"/>
    <s v="Kemal Pasa Torok Et Budapest 1.800,00 HUF Vásárlás"/>
    <n v="-1800"/>
    <x v="2"/>
    <x v="2"/>
    <x v="0"/>
  </r>
  <r>
    <x v="699"/>
    <s v="HUNGEXPO BUDAPEST 9.000,00 HUF Vásárlás"/>
    <n v="-9000"/>
    <x v="6"/>
    <x v="54"/>
    <x v="0"/>
  </r>
  <r>
    <x v="699"/>
    <s v="KERESKEDO' BUDAPEST 1.790,00 HUF Vásárlás"/>
    <n v="-1790"/>
    <x v="3"/>
    <x v="4"/>
    <x v="0"/>
  </r>
  <r>
    <x v="699"/>
    <s v="STAR PARK PARKOLO' BUDAPEST 1.500,00 HUF Vásárlás"/>
    <n v="-1500"/>
    <x v="5"/>
    <x v="9"/>
    <x v="0"/>
  </r>
  <r>
    <x v="699"/>
    <s v="OTPMOBL ROLLET.HU BUDAPEST 100,00 HUF Vásárlás"/>
    <n v="-100"/>
    <x v="5"/>
    <x v="9"/>
    <x v="0"/>
  </r>
  <r>
    <x v="699"/>
    <s v="127.SZ. MAXI MARTONVASAR 1.953,00 HUF Vásárlás"/>
    <n v="-1953"/>
    <x v="3"/>
    <x v="4"/>
    <x v="0"/>
  </r>
  <r>
    <x v="699"/>
    <s v="Zadori Kave Debrecen 1.250,00 HUF Vásárlás"/>
    <n v="-1250"/>
    <x v="2"/>
    <x v="19"/>
    <x v="0"/>
  </r>
  <r>
    <x v="699"/>
    <s v="PANIFICIO IL BASILICO SZENTENDRE 14.000,00 HUF Vásárlás"/>
    <n v="-14000"/>
    <x v="2"/>
    <x v="10"/>
    <x v="0"/>
  </r>
  <r>
    <x v="699"/>
    <s v="AMZNMktplace amazon.co.uk 25,05 GBP Vásárlás 34,31 USD 319.8500"/>
    <n v="-10974.05"/>
    <x v="3"/>
    <x v="8"/>
    <x v="0"/>
  </r>
  <r>
    <x v="699"/>
    <s v="VIANNI U ZLET 00102759 2607666 - BANKKARTYA"/>
    <n v="-356"/>
    <x v="3"/>
    <x v="4"/>
    <x v="0"/>
  </r>
  <r>
    <x v="700"/>
    <s v="Mazsa Nordik Kft. Budapest 679,00 HUF Vásárlás"/>
    <n v="-679"/>
    <x v="3"/>
    <x v="4"/>
    <x v="0"/>
  </r>
  <r>
    <x v="700"/>
    <s v="MVM NEXT ENERGIAK BUDAPEST 11.609,00 HUF Vásárlás"/>
    <n v="-11609"/>
    <x v="0"/>
    <x v="22"/>
    <x v="0"/>
  </r>
  <r>
    <x v="700"/>
    <s v="OMV 1772 Budapest Bud 20.398,00 HUF Vásárlás"/>
    <n v="-20398"/>
    <x v="5"/>
    <x v="16"/>
    <x v="0"/>
  </r>
  <r>
    <x v="700"/>
    <s v="Kemal Pasa Torok Et Budapest 1.450,00 HUF Vásárlás"/>
    <n v="-1450"/>
    <x v="2"/>
    <x v="2"/>
    <x v="0"/>
  </r>
  <r>
    <x v="700"/>
    <s v="MARTON MARKET 43226621 3774370 - BANKKARTYA"/>
    <n v="-1994"/>
    <x v="3"/>
    <x v="4"/>
    <x v="0"/>
  </r>
  <r>
    <x v="700"/>
    <s v="OTPMOBL JEGY.MAV.H 022S4189 1147113 - BANKKARTYA"/>
    <n v="-586"/>
    <x v="5"/>
    <x v="28"/>
    <x v="0"/>
  </r>
  <r>
    <x v="700"/>
    <s v="FOODOO TRIO DELI 1 80016079 5006283 - BANKKARTYA"/>
    <n v="-311"/>
    <x v="2"/>
    <x v="2"/>
    <x v="0"/>
  </r>
  <r>
    <x v="700"/>
    <s v="TESCO 44089 00078397 2208011 - BANKKARTYA"/>
    <n v="-849"/>
    <x v="3"/>
    <x v="4"/>
    <x v="0"/>
  </r>
  <r>
    <x v="701"/>
    <s v="Fusion Befektetesi Budapest 6.250,00 HUF Vásárlás"/>
    <n v="-6250"/>
    <x v="2"/>
    <x v="2"/>
    <x v="0"/>
  </r>
  <r>
    <x v="701"/>
    <s v="SUMUP LETA-TESZT 12345678 3210835 - BANKKARTYA"/>
    <n v="-1500"/>
    <x v="3"/>
    <x v="8"/>
    <x v="0"/>
  </r>
  <r>
    <x v="701"/>
    <s v="IKEA SOROKSAR UGYF 00507208 5039911 - BANKKARTYA"/>
    <n v="-49490"/>
    <x v="0"/>
    <x v="35"/>
    <x v="0"/>
  </r>
  <r>
    <x v="702"/>
    <s v="OTPMOBL ROLLET.HU BUDAPEST 100,00 HUF Vásárlás"/>
    <n v="100"/>
    <x v="5"/>
    <x v="9"/>
    <x v="0"/>
  </r>
  <r>
    <x v="702"/>
    <s v="BARIONP BARION.COM 02202681 2635962 - BANKKARTYA"/>
    <n v="-33214"/>
    <x v="7"/>
    <x v="5"/>
    <x v="0"/>
  </r>
  <r>
    <x v="702"/>
    <s v="OLCSO ARUK BOLTJA P5AP7840 0596306 - BANKKARTYA"/>
    <n v="-2200"/>
    <x v="3"/>
    <x v="8"/>
    <x v="0"/>
  </r>
  <r>
    <x v="702"/>
    <s v="DM 149 SALGO&quot;TARJA 00049662 1527880 - BANKKARTYA"/>
    <n v="-12300"/>
    <x v="3"/>
    <x v="4"/>
    <x v="0"/>
  </r>
  <r>
    <x v="702"/>
    <s v="KERESKEDO' 06011756 0478265 - BANKKARTYA"/>
    <n v="-9600"/>
    <x v="3"/>
    <x v="4"/>
    <x v="0"/>
  </r>
  <r>
    <x v="702"/>
    <s v="E&quot;LELMISZER BOLT 00125792 0389696 - BANKKARTYA"/>
    <n v="-980"/>
    <x v="3"/>
    <x v="4"/>
    <x v="0"/>
  </r>
  <r>
    <x v="702"/>
    <s v="LIDL ARUHAZ 0136.S HH313609 2449837 - BANKKARTYA"/>
    <n v="-14324"/>
    <x v="3"/>
    <x v="4"/>
    <x v="0"/>
  </r>
  <r>
    <x v="702"/>
    <s v="VALTOZO CIMEN, VAS 22287614 0024565 - BANKKARTYA"/>
    <n v="-5300"/>
    <x v="3"/>
    <x v="4"/>
    <x v="0"/>
  </r>
  <r>
    <x v="703"/>
    <s v="KISKIFLI KAVEZO BUDAPEST 1.040,00 HUF Vásárlás"/>
    <n v="-1040"/>
    <x v="2"/>
    <x v="19"/>
    <x v="0"/>
  </r>
  <r>
    <x v="703"/>
    <s v="Cafe Frei Budapest- No Budapest 1.125,00 HUF Vásárlás"/>
    <n v="-1125"/>
    <x v="2"/>
    <x v="19"/>
    <x v="0"/>
  </r>
  <r>
    <x v="703"/>
    <s v="STAR PARK PARKOLO' BUDAPEST 1.500,00 HUF Vásárlás"/>
    <n v="-1500"/>
    <x v="5"/>
    <x v="9"/>
    <x v="0"/>
  </r>
  <r>
    <x v="703"/>
    <s v="KI'NAI BU FE' BUDAPEST 1.150,00 HUF Vásárlás"/>
    <n v="-1150"/>
    <x v="2"/>
    <x v="2"/>
    <x v="0"/>
  </r>
  <r>
    <x v="703"/>
    <s v="OMV 2026 Erd jobb 16.632,00 HUF Vásárlás"/>
    <n v="-16632"/>
    <x v="5"/>
    <x v="16"/>
    <x v="0"/>
  </r>
  <r>
    <x v="703"/>
    <s v="JAGUAR LAND ROVER HUNGARY KFT. Munkaber utalasMunkabér"/>
    <n v="705816"/>
    <x v="4"/>
    <x v="20"/>
    <x v="0"/>
  </r>
  <r>
    <x v="703"/>
    <s v="MARTON MARKET 43226621 0331615 - BANKKARTYA"/>
    <n v="-1922"/>
    <x v="3"/>
    <x v="4"/>
    <x v="0"/>
  </r>
  <r>
    <x v="703"/>
    <s v="VIANNI U ZLET 00102759 2356969 - BANKKARTYA"/>
    <n v="-623"/>
    <x v="3"/>
    <x v="4"/>
    <x v="0"/>
  </r>
  <r>
    <x v="704"/>
    <s v="Mazsa Nordik Kft. Budapest 759,00 HUF Vásárlás"/>
    <n v="-759"/>
    <x v="3"/>
    <x v="4"/>
    <x v="0"/>
  </r>
  <r>
    <x v="704"/>
    <s v="VIANNI U ZLET 00102759 1081644 - BANKKARTYA"/>
    <n v="-1305"/>
    <x v="3"/>
    <x v="4"/>
    <x v="0"/>
  </r>
  <r>
    <x v="705"/>
    <s v="VEL-VET MARTONVASAR 9.000,00 HUF Vásárlás"/>
    <n v="-9000"/>
    <x v="8"/>
    <x v="29"/>
    <x v="0"/>
  </r>
  <r>
    <x v="705"/>
    <s v="Oktatási Hivatal MUNKABÉR UTALÁS KARSAI ADRIENN ÁGNES 2462 MARTONVÁSÁR PIPACS utca 6 3 JÓVÁIRÁS"/>
    <n v="265999"/>
    <x v="4"/>
    <x v="20"/>
    <x v="0"/>
  </r>
  <r>
    <x v="706"/>
    <s v="STAR PARK PARKOLO' BUDAPEST 1.500,00 HUF Vásárlás"/>
    <n v="-1500"/>
    <x v="5"/>
    <x v="9"/>
    <x v="0"/>
  </r>
  <r>
    <x v="706"/>
    <s v="Jutalék SNKFHH0060770083 HS-Havi számlavezetési díj ONLHSFHH0LAKSAG H05s Bank által megfizetett tranzakciós illeték: 3,60 HUF"/>
    <n v="-1199"/>
    <x v="1"/>
    <x v="1"/>
    <x v="0"/>
  </r>
  <r>
    <x v="706"/>
    <s v="MARTON MARKET 43226621 1227520 - BANKKARTYA"/>
    <n v="-1313"/>
    <x v="3"/>
    <x v="4"/>
    <x v="0"/>
  </r>
  <r>
    <x v="706"/>
    <s v="POSTAKOCSI E&quot;TTERE 00121290 1808892 - BANKKARTYA"/>
    <n v="-5490"/>
    <x v="2"/>
    <x v="2"/>
    <x v="0"/>
  </r>
  <r>
    <x v="706"/>
    <s v="LIDL ARUHAZ 0306.S HH330607 2458180 - BANKKARTYA"/>
    <n v="-14701"/>
    <x v="3"/>
    <x v="4"/>
    <x v="0"/>
  </r>
  <r>
    <x v="706"/>
    <s v="ALDI 5.SZ. SIA00377 2693104 - BANKKARTYA"/>
    <n v="-18635"/>
    <x v="3"/>
    <x v="4"/>
    <x v="0"/>
  </r>
  <r>
    <x v="706"/>
    <s v="DM 316.SZ. 00059705 2796322 - BANKKARTYA"/>
    <n v="-3686"/>
    <x v="3"/>
    <x v="4"/>
    <x v="0"/>
  </r>
  <r>
    <x v="707"/>
    <s v="Kemal Pasa Torok Et Budapest 2.050,00 HUF Vásárlás"/>
    <n v="-2050"/>
    <x v="2"/>
    <x v="2"/>
    <x v="0"/>
  </r>
  <r>
    <x v="707"/>
    <s v="Mazsa Nordik Kft. Budapest 979,00 HUF Vásárlás"/>
    <n v="-979"/>
    <x v="2"/>
    <x v="2"/>
    <x v="0"/>
  </r>
  <r>
    <x v="708"/>
    <s v="HOZAM 2021. III. NEGYEDÉV"/>
    <n v="1193"/>
    <x v="1"/>
    <x v="34"/>
    <x v="8"/>
  </r>
  <r>
    <x v="708"/>
    <s v="Tagdíjhiány miatti hozam zárolás"/>
    <n v="-2430"/>
    <x v="1"/>
    <x v="34"/>
    <x v="8"/>
  </r>
  <r>
    <x v="708"/>
    <s v="Elszámolt kamatössz. Bruttó kamat: 2,15 HUF Levont adó : 0,32 HUF"/>
    <n v="1.83"/>
    <x v="1"/>
    <x v="34"/>
    <x v="0"/>
  </r>
  <r>
    <x v="708"/>
    <s v="Int.Appl. to   30/09/21"/>
    <n v="10.44"/>
    <x v="1"/>
    <x v="1"/>
    <x v="0"/>
  </r>
  <r>
    <x v="708"/>
    <s v="CRT to         30/09/21"/>
    <n v="-1.57"/>
    <x v="1"/>
    <x v="1"/>
    <x v="0"/>
  </r>
  <r>
    <x v="708"/>
    <s v="Int.Appl. to   30/09/21"/>
    <n v="-2.57"/>
    <x v="1"/>
    <x v="1"/>
    <x v="0"/>
  </r>
  <r>
    <x v="708"/>
    <s v="Havi zárlati díj"/>
    <n v="-1799"/>
    <x v="1"/>
    <x v="1"/>
    <x v="0"/>
  </r>
  <r>
    <x v="708"/>
    <s v="Kamatadó"/>
    <n v="-2.08"/>
    <x v="1"/>
    <x v="34"/>
    <x v="0"/>
  </r>
  <r>
    <x v="708"/>
    <s v="STAR PARK PARKOLO' BUDAPEST 1.500,00 HUF Vásárlás"/>
    <n v="-1500"/>
    <x v="5"/>
    <x v="9"/>
    <x v="0"/>
  </r>
  <r>
    <x v="708"/>
    <s v="Kamat"/>
    <n v="13.86"/>
    <x v="1"/>
    <x v="34"/>
    <x v="0"/>
  </r>
  <r>
    <x v="709"/>
    <s v="MARTON MARKET 43226621 3179893 - BANKKARTYA"/>
    <n v="-1375"/>
    <x v="3"/>
    <x v="4"/>
    <x v="0"/>
  </r>
  <r>
    <x v="709"/>
    <s v="OMV 1772 Budapest Bud 20.168,00 HUF Vásárlás"/>
    <n v="-20168"/>
    <x v="5"/>
    <x v="16"/>
    <x v="0"/>
  </r>
  <r>
    <x v="709"/>
    <s v="Mazsa Nordik Kft. Budapest 879,00 HUF Vásárlás"/>
    <n v="-879"/>
    <x v="3"/>
    <x v="4"/>
    <x v="0"/>
  </r>
  <r>
    <x v="710"/>
    <s v="PANIFICIO IL BASIL 36000510 0572821 - BANKKARTYA"/>
    <n v="-3960"/>
    <x v="2"/>
    <x v="10"/>
    <x v="0"/>
  </r>
  <r>
    <x v="710"/>
    <s v="NETFLIX.COM 408-724-9160 3.990,00 HUF Vásárlás 13,07 USD"/>
    <n v="-3990"/>
    <x v="0"/>
    <x v="7"/>
    <x v="0"/>
  </r>
  <r>
    <x v="711"/>
    <s v="Jutalék SM305368382 MOBIL HAVI DÍJ (Kártyafigyelő DR) EM5KX8 +36 305368382 0Fh Bank által megfizetett tranzakciós illeték: 0,22 HUF"/>
    <n v="-74"/>
    <x v="1"/>
    <x v="1"/>
    <x v="0"/>
  </r>
  <r>
    <x v="711"/>
    <s v="Jutalék SM305368382 MOBIL ÜZENET DÍJ (Kártyafigyelő DR) Küldött SMS, 37 Db EM5KX8 +36 305368382 0FF Bank által megfizetett tranzakciós illeték: 4,88 HUF"/>
    <n v="-1628"/>
    <x v="1"/>
    <x v="1"/>
    <x v="0"/>
  </r>
  <r>
    <x v="711"/>
    <s v="VIANNI U ZLET 00102759 0496648 - BANKKARTYA"/>
    <n v="-1055"/>
    <x v="3"/>
    <x v="4"/>
    <x v="0"/>
  </r>
  <r>
    <x v="711"/>
    <s v="OTPMOBL JEGY.MAV.H 022S4189 1898861 - BANKKARTYA"/>
    <n v="-504"/>
    <x v="5"/>
    <x v="28"/>
    <x v="0"/>
  </r>
  <r>
    <x v="711"/>
    <s v="POSTAKOCSI E&quot;TTERE 00121290 2557654 - BANKKARTYA"/>
    <n v="-9030"/>
    <x v="2"/>
    <x v="2"/>
    <x v="0"/>
  </r>
  <r>
    <x v="711"/>
    <s v="MERX A&quot;RUHA&quot;Z 00126999 0931706 - BANKKARTYA"/>
    <n v="-7630"/>
    <x v="3"/>
    <x v="4"/>
    <x v="0"/>
  </r>
  <r>
    <x v="711"/>
    <s v="LIDL ARUHAZ 0306.S HH330605 0852548 - BANKKARTYA"/>
    <n v="-9863"/>
    <x v="3"/>
    <x v="4"/>
    <x v="0"/>
  </r>
  <r>
    <x v="711"/>
    <s v="ALDI 5.SZ. SIA00376 1635903 - BANKKARTYA"/>
    <n v="-9239"/>
    <x v="3"/>
    <x v="4"/>
    <x v="0"/>
  </r>
  <r>
    <x v="711"/>
    <s v="DM 316.SZ. 00059705 1713938 - BANKKARTYA"/>
    <n v="-8660"/>
    <x v="3"/>
    <x v="4"/>
    <x v="0"/>
  </r>
  <r>
    <x v="711"/>
    <s v="OTPMOBL GENERALI.HU BUDAPEST 2.459,00 HUF Vásárlás"/>
    <n v="-2459"/>
    <x v="5"/>
    <x v="41"/>
    <x v="0"/>
  </r>
  <r>
    <x v="712"/>
    <s v="KIMENŐ ÁTUTALÁS SPETES0134808804 10700268-64485010-54000007 KARSAI ADRIENN ÁGNES Átutaló azonosító: 64485010 Kedvezményezett azonosító: 64485010"/>
    <n v="-190000"/>
    <x v="1"/>
    <x v="26"/>
    <x v="3"/>
  </r>
  <r>
    <x v="712"/>
    <s v="KIMENŐ ÁTUTALÁS SPETES0134808804 10700268-64485010-54000007 KARSAI ADRIENN ÁGNES Átutaló azonosító: 64485010 Kedvezményezett azonosító: 64485010"/>
    <n v="190000"/>
    <x v="1"/>
    <x v="26"/>
    <x v="0"/>
  </r>
  <r>
    <x v="712"/>
    <s v="OTPMOBL 128 BUDAPEST 4.279,00 HUF Vásárlás"/>
    <n v="-4279"/>
    <x v="3"/>
    <x v="8"/>
    <x v="0"/>
  </r>
  <r>
    <x v="712"/>
    <s v="Minya Gergely Adri és Gergő esküvői fotózás"/>
    <n v="-190000"/>
    <x v="8"/>
    <x v="51"/>
    <x v="0"/>
  </r>
  <r>
    <x v="713"/>
    <s v="MARTON KLINIK 80005817 2030100 - BANKKARTYA"/>
    <n v="-7200"/>
    <x v="7"/>
    <x v="17"/>
    <x v="0"/>
  </r>
  <r>
    <x v="713"/>
    <s v="STAR PARK PARKOLO' BUDAPEST 1.500,00 HUF Vásárlás"/>
    <n v="-1500"/>
    <x v="5"/>
    <x v="9"/>
    <x v="0"/>
  </r>
  <r>
    <x v="713"/>
    <s v="JOEFALAT CATERING BUDAPEST 2.150,00 HUF Vásárlás"/>
    <n v="-2150"/>
    <x v="2"/>
    <x v="2"/>
    <x v="0"/>
  </r>
  <r>
    <x v="714"/>
    <s v="Mazsa Nordik Kft. Budapest 709,00 HUF Vásárlás"/>
    <n v="-709"/>
    <x v="3"/>
    <x v="4"/>
    <x v="0"/>
  </r>
  <r>
    <x v="714"/>
    <s v="VEL-VET MARTONVASAR 19.595,00 HUF Vásárlás"/>
    <n v="-19595"/>
    <x v="8"/>
    <x v="29"/>
    <x v="0"/>
  </r>
  <r>
    <x v="715"/>
    <s v="JAGUAR LAND ROVER HUNGARY KFT."/>
    <n v="19275"/>
    <x v="4"/>
    <x v="20"/>
    <x v="4"/>
  </r>
  <r>
    <x v="715"/>
    <s v="Fressnapf Erd Erd 3.439,00 HUF Vásárlás"/>
    <n v="-3439"/>
    <x v="3"/>
    <x v="8"/>
    <x v="0"/>
  </r>
  <r>
    <x v="715"/>
    <s v="KOZPONTI GYOGYSZERTAR ERD 2.964,00 HUF Vásárlás"/>
    <n v="-2964"/>
    <x v="7"/>
    <x v="5"/>
    <x v="0"/>
  </r>
  <r>
    <x v="716"/>
    <s v="Navigátor díj 2021/10"/>
    <n v="-100"/>
    <x v="1"/>
    <x v="1"/>
    <x v="8"/>
  </r>
  <r>
    <x v="716"/>
    <s v="MARTON MARKET 43226621 5535515 - BANKKARTYA"/>
    <n v="-1147"/>
    <x v="3"/>
    <x v="4"/>
    <x v="0"/>
  </r>
  <r>
    <x v="716"/>
    <s v="LEL KI FOZDE 22287963 0020448 - BANKKARTYA"/>
    <n v="-4235"/>
    <x v="2"/>
    <x v="2"/>
    <x v="0"/>
  </r>
  <r>
    <x v="716"/>
    <s v="TESCO 44089 00078395 2022155 - BANKKARTYA"/>
    <n v="-675"/>
    <x v="3"/>
    <x v="4"/>
    <x v="0"/>
  </r>
  <r>
    <x v="716"/>
    <s v="PATIKAPLUS GYO'GYSZERT SZEKESFEHERV 6.790,00 HUF Vásárlás"/>
    <n v="-6790"/>
    <x v="7"/>
    <x v="5"/>
    <x v="0"/>
  </r>
  <r>
    <x v="716"/>
    <s v="PATIKAPLUS GYO'GYSZERT SZEKESFEHERV 3.190,00 HUF Vásárlás"/>
    <n v="-3190"/>
    <x v="7"/>
    <x v="5"/>
    <x v="0"/>
  </r>
  <r>
    <x v="716"/>
    <s v="AVIA BENZINKU'T MARTONVASAR 26.341,00 HUF Vásárlás"/>
    <n v="-26341"/>
    <x v="5"/>
    <x v="16"/>
    <x v="0"/>
  </r>
  <r>
    <x v="716"/>
    <s v="MVM NEXT ENERGIAK BUDAPEST 3.272,00 HUF Vásárlás"/>
    <n v="-3272"/>
    <x v="0"/>
    <x v="22"/>
    <x v="0"/>
  </r>
  <r>
    <x v="716"/>
    <s v="MARTON MARKET MARTONVASAR 1.173,00 HUF Vásárlás"/>
    <n v="-1173"/>
    <x v="3"/>
    <x v="4"/>
    <x v="0"/>
  </r>
  <r>
    <x v="716"/>
    <s v="VIZ-, GAZ SZERELVENYB MARTONVASAR 8.382,00 HUF Vásárlás"/>
    <n v="-8382"/>
    <x v="0"/>
    <x v="6"/>
    <x v="0"/>
  </r>
  <r>
    <x v="716"/>
    <s v="POSTAKOCSI E'TTEREM MARTONVASAR 2.940,00 HUF Vásárlás"/>
    <n v="-2940"/>
    <x v="2"/>
    <x v="10"/>
    <x v="0"/>
  </r>
  <r>
    <x v="716"/>
    <s v="MCD NYIREGYHA'ZA 1. NYIREGYHAZA 2.660,00 HUF Vásárlás"/>
    <n v="-2660"/>
    <x v="2"/>
    <x v="2"/>
    <x v="0"/>
  </r>
  <r>
    <x v="716"/>
    <s v="OTPMOBL HU-GO.HU BUDAPEST 3.640,00 HUF Vásárlás"/>
    <n v="-3640"/>
    <x v="5"/>
    <x v="37"/>
    <x v="0"/>
  </r>
  <r>
    <x v="716"/>
    <s v="OMV 1725 Nyiregyhaza 13.663,00 HUF Vásárlás"/>
    <n v="-13663"/>
    <x v="5"/>
    <x v="16"/>
    <x v="0"/>
  </r>
  <r>
    <x v="716"/>
    <s v="TELEKOMSZAML 421364505 BUDAPEST 2.599,00 HUF Vásárlás 8,75 USD"/>
    <n v="-2599"/>
    <x v="0"/>
    <x v="7"/>
    <x v="0"/>
  </r>
  <r>
    <x v="716"/>
    <s v="Allianz AHB956494331"/>
    <n v="-43440"/>
    <x v="5"/>
    <x v="41"/>
    <x v="0"/>
  </r>
  <r>
    <x v="717"/>
    <s v="OTPMOBL VIMPAY.MAV-STA BUDAPEST 504,00 HUF Vásárlás"/>
    <n v="-504"/>
    <x v="5"/>
    <x v="28"/>
    <x v="0"/>
  </r>
  <r>
    <x v="717"/>
    <s v="OTPMOBL VIMPAY.MAV-STA BUDAPEST 504,00 HUF Vásárlás"/>
    <n v="-504"/>
    <x v="5"/>
    <x v="28"/>
    <x v="0"/>
  </r>
  <r>
    <x v="717"/>
    <s v="OKOSGAZDI.HU ERD 36.850,00 HUF Vásárlás"/>
    <n v="-36850"/>
    <x v="3"/>
    <x v="8"/>
    <x v="0"/>
  </r>
  <r>
    <x v="717"/>
    <s v="LIPOTI PEKSEG-ETELE T BUDAPEST 315,00 HUF Vásárlás"/>
    <n v="-315"/>
    <x v="2"/>
    <x v="19"/>
    <x v="0"/>
  </r>
  <r>
    <x v="717"/>
    <s v="JOEFALAT CATERING BUDAPEST 1.600,00 HUF Vásárlás"/>
    <n v="-1600"/>
    <x v="2"/>
    <x v="2"/>
    <x v="0"/>
  </r>
  <r>
    <x v="717"/>
    <s v="OBI 010 BUDAORS BUDAORS 58.090,00 HUF Vásárlás"/>
    <n v="-58090"/>
    <x v="0"/>
    <x v="6"/>
    <x v="0"/>
  </r>
  <r>
    <x v="717"/>
    <s v="OMV 1702 Budapest Nag 25.772,00 HUF Vásárlás"/>
    <n v="-25772"/>
    <x v="5"/>
    <x v="16"/>
    <x v="0"/>
  </r>
  <r>
    <x v="718"/>
    <s v="MARTON MARKET 43226621 0234382 - BANKKARTYA"/>
    <n v="-3125"/>
    <x v="3"/>
    <x v="4"/>
    <x v="0"/>
  </r>
  <r>
    <x v="718"/>
    <s v="LIDL ARUHAZ 0306.S HH330604 2455779 - BANKKARTYA"/>
    <n v="-6043"/>
    <x v="3"/>
    <x v="4"/>
    <x v="0"/>
  </r>
  <r>
    <x v="718"/>
    <s v="ALDI 5.SZ. SIA00376 2692507 - BANKKARTYA"/>
    <n v="-3541"/>
    <x v="3"/>
    <x v="4"/>
    <x v="0"/>
  </r>
  <r>
    <x v="718"/>
    <s v="DM 316.SZ. 00059705 2795509 - BANKKARTYA"/>
    <n v="-2667"/>
    <x v="3"/>
    <x v="4"/>
    <x v="0"/>
  </r>
  <r>
    <x v="718"/>
    <s v="KISKIFLI KAVEZO BUDAPEST 1.040,00 HUF Vásárlás"/>
    <n v="-1040"/>
    <x v="2"/>
    <x v="19"/>
    <x v="0"/>
  </r>
  <r>
    <x v="719"/>
    <s v="Baj-Natur Bt. 17735257 8947815 - BANKKARTYA"/>
    <n v="-20077"/>
    <x v="7"/>
    <x v="15"/>
    <x v="0"/>
  </r>
  <r>
    <x v="719"/>
    <s v="OTPMOBL SKINSMART. 022P6518 0495081 - BANKKARTYA"/>
    <n v="-15570"/>
    <x v="7"/>
    <x v="15"/>
    <x v="0"/>
  </r>
  <r>
    <x v="719"/>
    <s v="BARIONP BARION.COM 02202681 0501192 - BANKKARTYA"/>
    <n v="-18791"/>
    <x v="7"/>
    <x v="15"/>
    <x v="0"/>
  </r>
  <r>
    <x v="719"/>
    <s v="BAKERS PIZZA BUDAPEST 900,00 HUF Vásárlás"/>
    <n v="-900"/>
    <x v="2"/>
    <x v="2"/>
    <x v="0"/>
  </r>
  <r>
    <x v="719"/>
    <s v="LIPO'TI PE'KSE'G E'S K BUDAPEST 630,00 HUF Vásárlás"/>
    <n v="-630"/>
    <x v="2"/>
    <x v="19"/>
    <x v="0"/>
  </r>
  <r>
    <x v="719"/>
    <s v="BKK AUTOMATA - A25 BUDAPEST 3.000,00 HUF Vásárlás"/>
    <n v="-3000"/>
    <x v="5"/>
    <x v="28"/>
    <x v="0"/>
  </r>
  <r>
    <x v="719"/>
    <s v="OTPMOBL VIMPAY.MAV-STA BUDAPEST 504,00 HUF Vásárlás"/>
    <n v="-504"/>
    <x v="5"/>
    <x v="28"/>
    <x v="0"/>
  </r>
  <r>
    <x v="719"/>
    <s v="OTPMOBL VIMPAY.MAV-STA BUDAPEST 504,00 HUF Vásárlás"/>
    <n v="-504"/>
    <x v="5"/>
    <x v="28"/>
    <x v="0"/>
  </r>
  <r>
    <x v="719"/>
    <s v="VIZ-, GAZ SZERELVENYB MARTONVASAR 6.516,00 HUF Vásárlás"/>
    <n v="-6516"/>
    <x v="0"/>
    <x v="6"/>
    <x v="0"/>
  </r>
  <r>
    <x v="720"/>
    <s v="AURO'RA VENDE'GHA'Z HEVIZ 6.360,00 HUF Vásárlás"/>
    <n v="-6360"/>
    <x v="6"/>
    <x v="52"/>
    <x v="0"/>
  </r>
  <r>
    <x v="720"/>
    <s v="KIS-BALATON LATOGATOK KESZTHELY-FE 13.400,00 HUF Vásárlás"/>
    <n v="-13400"/>
    <x v="6"/>
    <x v="52"/>
    <x v="0"/>
  </r>
  <r>
    <x v="720"/>
    <s v="Czuprik Gábor nyaralás"/>
    <n v="-22500"/>
    <x v="6"/>
    <x v="52"/>
    <x v="0"/>
  </r>
  <r>
    <x v="721"/>
    <s v="DM 165. 00027430 1581181 - BANKKARTYA"/>
    <n v="-2616"/>
    <x v="3"/>
    <x v="4"/>
    <x v="0"/>
  </r>
  <r>
    <x v="721"/>
    <s v="Lady Hamilton Kave S00S2764 0096864 - BANKKARTYA"/>
    <n v="-8000"/>
    <x v="2"/>
    <x v="19"/>
    <x v="0"/>
  </r>
  <r>
    <x v="721"/>
    <s v="TO'FU RDO' HEVIZ 6.400,00 HUF Vásárlás"/>
    <n v="-6400"/>
    <x v="6"/>
    <x v="52"/>
    <x v="0"/>
  </r>
  <r>
    <x v="721"/>
    <s v="SIMPLE MATRICA BUDAPEST 3.860,00 HUF Vásárlás"/>
    <n v="-3860"/>
    <x v="5"/>
    <x v="37"/>
    <x v="0"/>
  </r>
  <r>
    <x v="721"/>
    <s v="SO RSAROK HEVIZ 11.000,00 HUF Vásárlás"/>
    <n v="-11000"/>
    <x v="6"/>
    <x v="52"/>
    <x v="0"/>
  </r>
  <r>
    <x v="721"/>
    <s v="SIMPLE PARKOL S BUDAPEST 817,00 HUF Vásárlás"/>
    <n v="-817"/>
    <x v="5"/>
    <x v="9"/>
    <x v="0"/>
  </r>
  <r>
    <x v="721"/>
    <s v="AMAZON HA'Z LA'TOGATO' KESZTHELY 10.600,00 HUF Vásárlás"/>
    <n v="-10600"/>
    <x v="6"/>
    <x v="52"/>
    <x v="0"/>
  </r>
  <r>
    <x v="721"/>
    <s v="295. SZUPER1 HEVIZ 587,00 HUF Vásárlás"/>
    <n v="-587"/>
    <x v="3"/>
    <x v="4"/>
    <x v="0"/>
  </r>
  <r>
    <x v="721"/>
    <s v="Faló Büfé Hévíz 2.200,00 HUF Vásárlás"/>
    <n v="-2200"/>
    <x v="2"/>
    <x v="2"/>
    <x v="0"/>
  </r>
  <r>
    <x v="721"/>
    <s v="MOL TO LTO'A'LL. 17100 ERD 10.379,00 HUF Vásárlás"/>
    <n v="-10379"/>
    <x v="5"/>
    <x v="16"/>
    <x v="0"/>
  </r>
  <r>
    <x v="721"/>
    <s v="Gasztro Malom - Fricsk Veszprém 9.000,00 HUF Vásárlás"/>
    <n v="-9000"/>
    <x v="2"/>
    <x v="10"/>
    <x v="0"/>
  </r>
  <r>
    <x v="721"/>
    <s v="Folly Arborétum Nonpro Badacsonyörs 3.500,00 HUF Vásárlás"/>
    <n v="-3500"/>
    <x v="3"/>
    <x v="4"/>
    <x v="0"/>
  </r>
  <r>
    <x v="721"/>
    <s v="Folly Arborétum Nonpro Badacsonyörs 3.600,00 HUF Vásárlás"/>
    <n v="-3600"/>
    <x v="6"/>
    <x v="52"/>
    <x v="0"/>
  </r>
  <r>
    <x v="721"/>
    <s v="Matula Etterem Keszthely 900,00 HUF Vásárlás"/>
    <n v="-900"/>
    <x v="2"/>
    <x v="10"/>
    <x v="0"/>
  </r>
  <r>
    <x v="722"/>
    <s v="Aurora Üdülőház"/>
    <n v="-76548"/>
    <x v="6"/>
    <x v="52"/>
    <x v="4"/>
  </r>
  <r>
    <x v="722"/>
    <s v="Aurora Üdülőház"/>
    <n v="-43452"/>
    <x v="6"/>
    <x v="52"/>
    <x v="4"/>
  </r>
  <r>
    <x v="722"/>
    <s v="Folly Arborétum és Borászati Nonprofit Kft."/>
    <n v="-17000"/>
    <x v="2"/>
    <x v="10"/>
    <x v="4"/>
  </r>
  <r>
    <x v="723"/>
    <s v="PL:P/10SEP21 Tőkefizetés Hitel /21-41194/"/>
    <n v="-206337.15"/>
    <x v="0"/>
    <x v="21"/>
    <x v="0"/>
  </r>
  <r>
    <x v="723"/>
    <s v="PL:I/10SEP21 Kamatfizetés  Hitel /21-41194/"/>
    <n v="-55467.64"/>
    <x v="0"/>
    <x v="21"/>
    <x v="0"/>
  </r>
  <r>
    <x v="723"/>
    <s v="PL:P/10SEP21 Tőkefizetés Hitel /21-41194/"/>
    <n v="206337.15"/>
    <x v="0"/>
    <x v="21"/>
    <x v="1"/>
  </r>
  <r>
    <x v="723"/>
    <s v="FOODOO TRIO DELI 2 80016081 5834494 - BANKKARTYA"/>
    <n v="-305"/>
    <x v="2"/>
    <x v="2"/>
    <x v="0"/>
  </r>
  <r>
    <x v="723"/>
    <s v="OTPMOBL VIMPAY.MAV-STA BUDAPEST 504,00 HUF Vásárlás"/>
    <n v="-504"/>
    <x v="5"/>
    <x v="28"/>
    <x v="0"/>
  </r>
  <r>
    <x v="723"/>
    <s v="MARTON MARKET MARTONVASAR 1.496,00 HUF Vásárlás"/>
    <n v="-1496"/>
    <x v="3"/>
    <x v="4"/>
    <x v="0"/>
  </r>
  <r>
    <x v="723"/>
    <s v="JOEFALAT CATERING BUDAPEST 1.500,00 HUF Vásárlás"/>
    <n v="-1500"/>
    <x v="2"/>
    <x v="2"/>
    <x v="0"/>
  </r>
  <r>
    <x v="723"/>
    <s v="LIPO'TI PE'KSE'G E'S K BUDAPEST 948,00 HUF Vásárlás"/>
    <n v="-948"/>
    <x v="2"/>
    <x v="19"/>
    <x v="0"/>
  </r>
  <r>
    <x v="723"/>
    <s v="BKK AUTOMATA - A46 BUDAPEST 3.000,00 HUF Vásárlás"/>
    <n v="-3000"/>
    <x v="5"/>
    <x v="28"/>
    <x v="0"/>
  </r>
  <r>
    <x v="723"/>
    <s v="OTPMOBL VIMPAY.MAV-STA BUDAPEST 504,00 HUF Vásárlás"/>
    <n v="-504"/>
    <x v="5"/>
    <x v="28"/>
    <x v="0"/>
  </r>
  <r>
    <x v="723"/>
    <s v="Czuprik Györgyné kastély"/>
    <n v="-3180"/>
    <x v="6"/>
    <x v="52"/>
    <x v="0"/>
  </r>
  <r>
    <x v="723"/>
    <s v="JAGUAR LAND ROVER HUNGARY KFT. Munkaber utalasMunkabér"/>
    <n v="818682"/>
    <x v="4"/>
    <x v="20"/>
    <x v="0"/>
  </r>
  <r>
    <x v="724"/>
    <s v="OTPMOBL JEGY.MAV.H 022S4189 0572136 - BANKKARTYA"/>
    <n v="-586"/>
    <x v="5"/>
    <x v="28"/>
    <x v="0"/>
  </r>
  <r>
    <x v="724"/>
    <s v="KERESKEDO' BUDAPEST 2.080,00 HUF Vásárlás"/>
    <n v="-2080"/>
    <x v="3"/>
    <x v="8"/>
    <x v="0"/>
  </r>
  <r>
    <x v="724"/>
    <s v="OTPMOBL VIMPAY.MAV-STA BUDAPEST 584,00 HUF Vásárlás"/>
    <n v="-584"/>
    <x v="5"/>
    <x v="28"/>
    <x v="0"/>
  </r>
  <r>
    <x v="724"/>
    <s v="OTPMOBL VIMPAY.MAV-STA BUDAPEST 504,00 HUF Vásárlás"/>
    <n v="-504"/>
    <x v="5"/>
    <x v="28"/>
    <x v="0"/>
  </r>
  <r>
    <x v="725"/>
    <s v="ALDI 5.SZ. SIA00377 0426600 - BANKKARTYA"/>
    <n v="-23070"/>
    <x v="3"/>
    <x v="4"/>
    <x v="0"/>
  </r>
  <r>
    <x v="725"/>
    <s v="CSASZI2020 KFT. S6921508 0265101 - BANKKARTYA"/>
    <n v="-2516"/>
    <x v="3"/>
    <x v="4"/>
    <x v="0"/>
  </r>
  <r>
    <x v="725"/>
    <s v="Lipoti Pekseg Budapest 690,00 HUF Vásárlás"/>
    <n v="-690"/>
    <x v="2"/>
    <x v="19"/>
    <x v="0"/>
  </r>
  <r>
    <x v="725"/>
    <s v="OTPMOBL VIMPAY.MAV-STA BUDAPEST 419,00 HUF Vásárlás"/>
    <n v="-419"/>
    <x v="5"/>
    <x v="28"/>
    <x v="0"/>
  </r>
  <r>
    <x v="726"/>
    <s v="TELEKOMFELT 417467098 BUDAPEST 5.000,00 HUF Vásárlás 17,05 USD"/>
    <n v="-5000"/>
    <x v="3"/>
    <x v="46"/>
    <x v="0"/>
  </r>
  <r>
    <x v="727"/>
    <s v="OTPMOBL ORSEGIMAGO 022S3978 0790752 - BANKKARTYA"/>
    <n v="-6000"/>
    <x v="3"/>
    <x v="4"/>
    <x v="0"/>
  </r>
  <r>
    <x v="727"/>
    <s v="OBI 037 SOROKSA&quot;R SIA00275 0721602 - BANKKARTYA"/>
    <n v="-17990"/>
    <x v="0"/>
    <x v="6"/>
    <x v="0"/>
  </r>
  <r>
    <x v="727"/>
    <s v="IKEA BUDAORS UGYFE Budaors 117.400,00 HUF Vásárlás"/>
    <n v="-117400"/>
    <x v="0"/>
    <x v="35"/>
    <x v="0"/>
  </r>
  <r>
    <x v="727"/>
    <s v="OMV 2026 Erd jobb 24.083,00 HUF Vásárlás"/>
    <n v="-24083"/>
    <x v="5"/>
    <x v="16"/>
    <x v="0"/>
  </r>
  <r>
    <x v="727"/>
    <s v="MCD ME'TA BUDAPEST 5.700,00 HUF Vásárlás"/>
    <n v="-5700"/>
    <x v="2"/>
    <x v="2"/>
    <x v="0"/>
  </r>
  <r>
    <x v="727"/>
    <s v="SZATMARI KFT. SALGOTARJAN 8.690,00 HUF Vásárlás"/>
    <n v="-8690"/>
    <x v="0"/>
    <x v="6"/>
    <x v="0"/>
  </r>
  <r>
    <x v="727"/>
    <s v="Welt Auto NFU597 vételár + átírási költségek"/>
    <n v="-4489500"/>
    <x v="5"/>
    <x v="42"/>
    <x v="0"/>
  </r>
  <r>
    <x v="727"/>
    <s v="Értékpapír f könyvi szlák. - - UB KÜLÖNBÖZET BANKI UTALÁS - -"/>
    <n v="-618693"/>
    <x v="1"/>
    <x v="26"/>
    <x v="3"/>
  </r>
  <r>
    <x v="727"/>
    <s v="Értékpapír f könyvi szlák. - - UB KÜLÖNBÖZET BANKI UTALÁS - -"/>
    <n v="-578850"/>
    <x v="1"/>
    <x v="26"/>
    <x v="3"/>
  </r>
  <r>
    <x v="727"/>
    <s v="Értékpapír f könyvi szlák. - - UB KÜLÖNBÖZET BANKI UTALÁS - -"/>
    <n v="618693"/>
    <x v="1"/>
    <x v="26"/>
    <x v="0"/>
  </r>
  <r>
    <x v="727"/>
    <s v="Értékpapír f könyvi szlák. - - UB KÜLÖNBÖZET BANKI UTALÁS - -"/>
    <n v="578850"/>
    <x v="1"/>
    <x v="26"/>
    <x v="0"/>
  </r>
  <r>
    <x v="727"/>
    <s v="Értékpapír f könyvi szlák. - - UB KÜLÖNBÖZET BANKI UTALÁS - -"/>
    <n v="-3552850"/>
    <x v="1"/>
    <x v="26"/>
    <x v="3"/>
  </r>
  <r>
    <x v="727"/>
    <s v="Értékpapír f könyvi szlák. - - UB KÜLÖNBÖZET BANKI UTALÁS - -"/>
    <n v="3552850"/>
    <x v="1"/>
    <x v="26"/>
    <x v="0"/>
  </r>
  <r>
    <x v="728"/>
    <s v="Cr Forgalmi kedvezmény"/>
    <n v="1550"/>
    <x v="1"/>
    <x v="1"/>
    <x v="0"/>
  </r>
  <r>
    <x v="729"/>
    <s v="Oktatási Hivatal MUNKABÉR UTALÁS KARSAI ADRIENN ÁGNES 2462 MARTONVÁSÁR PIPACS utca 6 3 JÓVÁIRÁS"/>
    <n v="265999"/>
    <x v="4"/>
    <x v="20"/>
    <x v="0"/>
  </r>
  <r>
    <x v="729"/>
    <s v="Jutalék AR1701546 C8 4796 8501 0011 1523 CA-Főkártya éves tagsági díja DI CABTX0LAKSAG H00Y Bank által megfizetett tranzakciós illeték: 13,83 HUF"/>
    <n v="-4609"/>
    <x v="1"/>
    <x v="1"/>
    <x v="0"/>
  </r>
  <r>
    <x v="729"/>
    <s v="MCD M3-FO'TI U'T BUDAPEST 4.990,00 HUF Vásárlás"/>
    <n v="-4990"/>
    <x v="2"/>
    <x v="2"/>
    <x v="0"/>
  </r>
  <r>
    <x v="729"/>
    <s v="KI'NAI BU FE' BUDAPEST 1.250,00 HUF Vásárlás"/>
    <n v="-1250"/>
    <x v="2"/>
    <x v="2"/>
    <x v="0"/>
  </r>
  <r>
    <x v="729"/>
    <s v="OTPMOBL VIMPAY.MAV-STA BUDAPEST 504,00 HUF Vásárlás"/>
    <n v="-504"/>
    <x v="5"/>
    <x v="28"/>
    <x v="0"/>
  </r>
  <r>
    <x v="729"/>
    <s v="OTPMOBL VIMPAY.MAV-STA BUDAPEST 504,00 HUF Vásárlás"/>
    <n v="-504"/>
    <x v="5"/>
    <x v="28"/>
    <x v="0"/>
  </r>
  <r>
    <x v="729"/>
    <s v="Czuprik Györgyné - - -"/>
    <n v="-5000"/>
    <x v="3"/>
    <x v="8"/>
    <x v="0"/>
  </r>
  <r>
    <x v="730"/>
    <s v="Jutalék SNKFHH0060498825 HS-Havi számlavezetési díj ONLHSFHH0LAKSAG H05t Bank által megfizetett tranzakciós illeték: 3,60 HUF"/>
    <n v="-1199"/>
    <x v="1"/>
    <x v="1"/>
    <x v="0"/>
  </r>
  <r>
    <x v="730"/>
    <s v="Lipoti Pekseg Budapest 590,00 HUF Vásárlás"/>
    <n v="-590"/>
    <x v="2"/>
    <x v="19"/>
    <x v="0"/>
  </r>
  <r>
    <x v="731"/>
    <s v="MARTON MARKET 43226621 0286028 - BANKKARTYA"/>
    <n v="-3186"/>
    <x v="3"/>
    <x v="4"/>
    <x v="0"/>
  </r>
  <r>
    <x v="731"/>
    <s v="FUR ELISE CUKRASZD 80019466 0286029 - BANKKARTYA"/>
    <n v="-630"/>
    <x v="2"/>
    <x v="19"/>
    <x v="0"/>
  </r>
  <r>
    <x v="731"/>
    <s v="SIMPLE PARKOL S BUDAPEST 2.596,00 HUF Vásárlás"/>
    <n v="-2596"/>
    <x v="5"/>
    <x v="9"/>
    <x v="0"/>
  </r>
  <r>
    <x v="731"/>
    <s v="KISKIFLI KAVEZO BUDAPEST 650,00 HUF Vásárlás"/>
    <n v="-650"/>
    <x v="2"/>
    <x v="19"/>
    <x v="0"/>
  </r>
  <r>
    <x v="731"/>
    <s v="KERESKEDO' BUDAPEST 2.480,00 HUF Vásárlás"/>
    <n v="-2480"/>
    <x v="0"/>
    <x v="6"/>
    <x v="0"/>
  </r>
  <r>
    <x v="731"/>
    <s v="Fusion Befektetesi Budapest 5.480,00 HUF Vásárlás"/>
    <n v="-5480"/>
    <x v="2"/>
    <x v="2"/>
    <x v="0"/>
  </r>
  <r>
    <x v="732"/>
    <s v="Elszámolt kamatössz. Bruttó kamat: 6,25 HUF Levont adó : 0,94 HUF"/>
    <n v="5.31"/>
    <x v="1"/>
    <x v="34"/>
    <x v="0"/>
  </r>
  <r>
    <x v="732"/>
    <s v="Havi zárlati díj"/>
    <n v="-1799"/>
    <x v="1"/>
    <x v="1"/>
    <x v="0"/>
  </r>
  <r>
    <x v="732"/>
    <s v="Autójavítás BMW"/>
    <n v="-64000"/>
    <x v="5"/>
    <x v="36"/>
    <x v="2"/>
  </r>
  <r>
    <x v="732"/>
    <s v="LUDWIG HOTEL MARTONVASAR 40.000,00 HUF Vásárlás"/>
    <n v="-40000"/>
    <x v="8"/>
    <x v="51"/>
    <x v="0"/>
  </r>
  <r>
    <x v="732"/>
    <s v="FUR ELISE BISTRO MARTONVASAR 175.210,00 HUF Vásárlás"/>
    <n v="-175210"/>
    <x v="8"/>
    <x v="51"/>
    <x v="0"/>
  </r>
  <r>
    <x v="732"/>
    <s v="PRAKTIKER 335. VECSES 28.050,00 HUF Vásárlás"/>
    <n v="-28050"/>
    <x v="0"/>
    <x v="6"/>
    <x v="0"/>
  </r>
  <r>
    <x v="732"/>
    <s v="OMV 2026 Erd jobb 26.593,00 HUF Vásárlás"/>
    <n v="-26593"/>
    <x v="5"/>
    <x v="16"/>
    <x v="0"/>
  </r>
  <r>
    <x v="732"/>
    <s v="Fressnapf Ferihegy Vecses 36.574,00 HUF Vásárlás"/>
    <n v="-36574"/>
    <x v="3"/>
    <x v="8"/>
    <x v="0"/>
  </r>
  <r>
    <x v="732"/>
    <s v="TESCO 44089 MARTONVASAR 2.278,00 HUF Vásárlás"/>
    <n v="-2278"/>
    <x v="3"/>
    <x v="4"/>
    <x v="0"/>
  </r>
  <r>
    <x v="732"/>
    <s v="Autójavítás BMW"/>
    <n v="-300000"/>
    <x v="5"/>
    <x v="36"/>
    <x v="2"/>
  </r>
  <r>
    <x v="733"/>
    <s v="OTP 84001188 4414967 Bank által megfizetett tranzakciós illeték: 300,00 HUF - BANKKARTYA"/>
    <n v="-50000"/>
    <x v="8"/>
    <x v="43"/>
    <x v="0"/>
  </r>
  <r>
    <x v="733"/>
    <s v="GOURMET SERVICE KF S6915719 1834056 - BANKKARTYA"/>
    <n v="-1166"/>
    <x v="3"/>
    <x v="4"/>
    <x v="0"/>
  </r>
  <r>
    <x v="733"/>
    <s v="IKEA BUDAORS UGYFE 00182205 7028679 - BANKKARTYA"/>
    <n v="-34085"/>
    <x v="0"/>
    <x v="35"/>
    <x v="0"/>
  </r>
  <r>
    <x v="733"/>
    <s v="MERX A&quot;RUHA&quot;Z 00127000 2544396 - BANKKARTYA"/>
    <n v="-11840"/>
    <x v="3"/>
    <x v="4"/>
    <x v="0"/>
  </r>
  <r>
    <x v="733"/>
    <s v="VIANNI U ZLET 00102759 2440075 - BANKKARTYA"/>
    <n v="-510"/>
    <x v="3"/>
    <x v="4"/>
    <x v="0"/>
  </r>
  <r>
    <x v="733"/>
    <s v="MARTON MARKET 43226621 3036454 - BANKKARTYA"/>
    <n v="-4087"/>
    <x v="3"/>
    <x v="4"/>
    <x v="0"/>
  </r>
  <r>
    <x v="733"/>
    <s v="VIANNI U ZLET 00102759 1146321 - BANKKARTYA"/>
    <n v="-1215"/>
    <x v="3"/>
    <x v="4"/>
    <x v="0"/>
  </r>
  <r>
    <x v="733"/>
    <s v="ATM készpénzfelvétel(2021.08.27) MCC6011 HUN-MARTONVASAR OTP 50.000,00 HUF Kártyatranzakció"/>
    <n v="50000"/>
    <x v="8"/>
    <x v="43"/>
    <x v="2"/>
  </r>
  <r>
    <x v="733"/>
    <s v="ATM készpénzfelvétel(2021.08.27) MCC6011 HUN-MARTONVASAR OTP 100.000,00 HUF Kártyatranzakció"/>
    <n v="100000"/>
    <x v="8"/>
    <x v="43"/>
    <x v="2"/>
  </r>
  <r>
    <x v="733"/>
    <s v="ATM készpénzfelvétel(2021.08.27) MCC6011 HUN-MARTONVASAR OTP 50.000,00 HUF Kártyatranzakció"/>
    <n v="-50000"/>
    <x v="8"/>
    <x v="43"/>
    <x v="0"/>
  </r>
  <r>
    <x v="733"/>
    <s v="ATM készpénzfelvétel(2021.08.27) MCC6011 HUN-MARTONVASAR OTP 100.000,00 HUF Kártyatranzakció"/>
    <n v="-100000"/>
    <x v="8"/>
    <x v="43"/>
    <x v="0"/>
  </r>
  <r>
    <x v="733"/>
    <s v="OTP MARTONVASAR 100.000,00 HUF Kp felvét"/>
    <n v="-784"/>
    <x v="1"/>
    <x v="1"/>
    <x v="0"/>
  </r>
  <r>
    <x v="733"/>
    <s v="OTP MARTONVASAR 100.000,00 HUF Kp felvét"/>
    <n v="-784"/>
    <x v="1"/>
    <x v="1"/>
    <x v="0"/>
  </r>
  <r>
    <x v="733"/>
    <s v="OTP BUDAPEST 100.000,00 HUF Kp felvét"/>
    <n v="-784"/>
    <x v="1"/>
    <x v="1"/>
    <x v="0"/>
  </r>
  <r>
    <x v="733"/>
    <s v="OTP BUDAPEST 100.000,00 HUF Kp felvét"/>
    <n v="-784"/>
    <x v="1"/>
    <x v="1"/>
    <x v="0"/>
  </r>
  <r>
    <x v="733"/>
    <s v="OTP BUDAPEST 100.000,00 HUF Kp felvét"/>
    <n v="-784"/>
    <x v="1"/>
    <x v="1"/>
    <x v="0"/>
  </r>
  <r>
    <x v="733"/>
    <s v="GLS D120 DEPO' BICSKE 13.270,00 HUF Vásárlás"/>
    <n v="-13270"/>
    <x v="3"/>
    <x v="8"/>
    <x v="0"/>
  </r>
  <r>
    <x v="733"/>
    <s v="OTPMOBL VIMPAY.MAV-STA BUDAPEST 419,00 HUF Vásárlás"/>
    <n v="-419"/>
    <x v="5"/>
    <x v="28"/>
    <x v="0"/>
  </r>
  <r>
    <x v="733"/>
    <s v="OTP MARTONVASAR 100.000,00 HUF Kp felvét"/>
    <n v="100000"/>
    <x v="8"/>
    <x v="43"/>
    <x v="2"/>
  </r>
  <r>
    <x v="733"/>
    <s v="OTP MARTONVASAR 100.000,00 HUF Kp felvét"/>
    <n v="100000"/>
    <x v="8"/>
    <x v="43"/>
    <x v="2"/>
  </r>
  <r>
    <x v="733"/>
    <s v="OTP BUDAPEST 100.000,00 HUF Kp felvét"/>
    <n v="100000"/>
    <x v="8"/>
    <x v="43"/>
    <x v="2"/>
  </r>
  <r>
    <x v="733"/>
    <s v="OTP BUDAPEST 100.000,00 HUF Kp felvét"/>
    <n v="100000"/>
    <x v="8"/>
    <x v="43"/>
    <x v="2"/>
  </r>
  <r>
    <x v="733"/>
    <s v="OTP BUDAPEST 100.000,00 HUF Kp felvét"/>
    <n v="100000"/>
    <x v="8"/>
    <x v="43"/>
    <x v="2"/>
  </r>
  <r>
    <x v="733"/>
    <s v="OTP MARTONVASAR 100.000,00 HUF Kp felvét"/>
    <n v="-100000"/>
    <x v="8"/>
    <x v="43"/>
    <x v="0"/>
  </r>
  <r>
    <x v="733"/>
    <s v="OTP MARTONVASAR 100.000,00 HUF Kp felvét"/>
    <n v="-100000"/>
    <x v="8"/>
    <x v="43"/>
    <x v="0"/>
  </r>
  <r>
    <x v="733"/>
    <s v="OTP BUDAPEST 100.000,00 HUF Kp felvét"/>
    <n v="-100000"/>
    <x v="8"/>
    <x v="43"/>
    <x v="0"/>
  </r>
  <r>
    <x v="733"/>
    <s v="OTP BUDAPEST 100.000,00 HUF Kp felvét"/>
    <n v="-100000"/>
    <x v="8"/>
    <x v="43"/>
    <x v="0"/>
  </r>
  <r>
    <x v="733"/>
    <s v="OTP BUDAPEST 100.000,00 HUF Kp felvét"/>
    <n v="-100000"/>
    <x v="8"/>
    <x v="43"/>
    <x v="0"/>
  </r>
  <r>
    <x v="733"/>
    <s v="NETFLIX.COM 408-724-9160 3.990,00 HUF Vásárlás 13,41 USD"/>
    <n v="-3990"/>
    <x v="0"/>
    <x v="7"/>
    <x v="0"/>
  </r>
  <r>
    <x v="733"/>
    <s v="Almássy Bálint 2021-000125"/>
    <n v="-40000"/>
    <x v="8"/>
    <x v="51"/>
    <x v="0"/>
  </r>
  <r>
    <x v="733"/>
    <s v="Czuprik Györgyné Gergő esküvő"/>
    <n v="-363684"/>
    <x v="8"/>
    <x v="51"/>
    <x v="0"/>
  </r>
  <r>
    <x v="733"/>
    <s v="Sike Lilla Adri esküvő smink"/>
    <n v="-20000"/>
    <x v="8"/>
    <x v="51"/>
    <x v="0"/>
  </r>
  <r>
    <x v="733"/>
    <s v="Értékpapír f könyvi szlák. - - UB KÜLÖNBÖZET BANKI UTALÁS - -"/>
    <n v="-1000700"/>
    <x v="1"/>
    <x v="26"/>
    <x v="3"/>
  </r>
  <r>
    <x v="733"/>
    <s v="Értékpapír f könyvi szlák. - - UB KÜLÖNBÖZET BANKI UTALÁS - -"/>
    <n v="1000700"/>
    <x v="1"/>
    <x v="26"/>
    <x v="0"/>
  </r>
  <r>
    <x v="734"/>
    <s v="Támogatás"/>
    <n v="1500000"/>
    <x v="8"/>
    <x v="51"/>
    <x v="2"/>
  </r>
  <r>
    <x v="734"/>
    <s v="Fűtőgomba"/>
    <n v="-32000"/>
    <x v="8"/>
    <x v="51"/>
    <x v="2"/>
  </r>
  <r>
    <x v="734"/>
    <s v="Templom"/>
    <n v="-30000"/>
    <x v="8"/>
    <x v="51"/>
    <x v="2"/>
  </r>
  <r>
    <x v="734"/>
    <s v="Ceremonia"/>
    <n v="-140000"/>
    <x v="8"/>
    <x v="51"/>
    <x v="2"/>
  </r>
  <r>
    <x v="734"/>
    <s v="DJ"/>
    <n v="-120000"/>
    <x v="8"/>
    <x v="51"/>
    <x v="2"/>
  </r>
  <r>
    <x v="735"/>
    <s v="BURGER KING KECSKEME'T KECSKEMET 2.640,00 HUF Vásárlás"/>
    <n v="-2640"/>
    <x v="2"/>
    <x v="2"/>
    <x v="0"/>
  </r>
  <r>
    <x v="736"/>
    <s v="BIJOU BRIGITTE 43216291 1032340 - BANKKARTYA"/>
    <n v="-8970"/>
    <x v="3"/>
    <x v="30"/>
    <x v="0"/>
  </r>
  <r>
    <x v="736"/>
    <s v="OTPMOBL JEGY.MAV.H 022S4189 0566810 - BANKKARTYA"/>
    <n v="-586"/>
    <x v="5"/>
    <x v="28"/>
    <x v="0"/>
  </r>
  <r>
    <x v="736"/>
    <s v="Free| Pekseg S00H3986 0647082 - BANKKARTYA"/>
    <n v="-1754"/>
    <x v="2"/>
    <x v="19"/>
    <x v="0"/>
  </r>
  <r>
    <x v="736"/>
    <s v="Banyai by Beans ka S00S1726 0707806 - BANKKARTYA"/>
    <n v="-12350"/>
    <x v="3"/>
    <x v="4"/>
    <x v="0"/>
  </r>
  <r>
    <x v="736"/>
    <s v="E&quot;TTEREM 07001485 1487228 - BANKKARTYA"/>
    <n v="-490"/>
    <x v="2"/>
    <x v="2"/>
    <x v="0"/>
  </r>
  <r>
    <x v="736"/>
    <s v="Phillipp Biatorbágy 21.990,00 HUF Vásárlás"/>
    <n v="-21990"/>
    <x v="8"/>
    <x v="51"/>
    <x v="0"/>
  </r>
  <r>
    <x v="736"/>
    <s v="KERESKEDO' BUDAPEST 2.580,00 HUF Vásárlás"/>
    <n v="-2580"/>
    <x v="0"/>
    <x v="6"/>
    <x v="0"/>
  </r>
  <r>
    <x v="736"/>
    <s v="LIPO'TI PE'KSE'G E'S K BUDAPEST 660,00 HUF Vásárlás"/>
    <n v="-660"/>
    <x v="2"/>
    <x v="19"/>
    <x v="0"/>
  </r>
  <r>
    <x v="736"/>
    <s v="OTPMOBL VIMPAY.MAV-STA BUDAPEST 504,00 HUF Vásárlás"/>
    <n v="-504"/>
    <x v="5"/>
    <x v="28"/>
    <x v="0"/>
  </r>
  <r>
    <x v="736"/>
    <s v="OTPMOBL VIMPAY.MAV-STA BUDAPEST 504,00 HUF Vásárlás"/>
    <n v="-504"/>
    <x v="5"/>
    <x v="28"/>
    <x v="0"/>
  </r>
  <r>
    <x v="736"/>
    <s v="OMV 2026 Erd jobb 16.825,00 HUF Vásárlás"/>
    <n v="-16825"/>
    <x v="5"/>
    <x v="16"/>
    <x v="0"/>
  </r>
  <r>
    <x v="737"/>
    <s v="Jutalék SM305368382 MOBIL HAVI DÍJ (Kártyafigyelő DR) EM5KX8 +36 305368382 05t Bank által megfizetett tranzakciós illeték: 0,22 HUF"/>
    <n v="-74"/>
    <x v="1"/>
    <x v="1"/>
    <x v="0"/>
  </r>
  <r>
    <x v="737"/>
    <s v="Jutalék SM305368382 MOBIL ÜZENET DÍJ (Kártyafigyelő DR) Küldött SMS, 66 Db EM5KX8 +36 305368382 06B Bank által megfizetett tranzakciós illeték: 8,71 HUF"/>
    <n v="-2904"/>
    <x v="1"/>
    <x v="1"/>
    <x v="0"/>
  </r>
  <r>
    <x v="737"/>
    <s v="COOP ABC 71-ES VEG 80004362 2470910 - BANKKARTYA"/>
    <n v="-490"/>
    <x v="3"/>
    <x v="4"/>
    <x v="0"/>
  </r>
  <r>
    <x v="737"/>
    <s v="FUR ELISE BISTRO 80017353 2470911 - BANKKARTYA"/>
    <n v="-8000"/>
    <x v="2"/>
    <x v="19"/>
    <x v="0"/>
  </r>
  <r>
    <x v="737"/>
    <s v="FUR ELISE CUKRASZD 80019466 2470912 - BANKKARTYA"/>
    <n v="-1220"/>
    <x v="2"/>
    <x v="19"/>
    <x v="0"/>
  </r>
  <r>
    <x v="737"/>
    <s v="ASTRATEX.HU 456028 2328972 - BANKKARTYA"/>
    <n v="-5780"/>
    <x v="3"/>
    <x v="30"/>
    <x v="0"/>
  </r>
  <r>
    <x v="737"/>
    <s v="www.vizklinika.hu EC009525 6598680 - BANKKARTYA"/>
    <n v="-21300"/>
    <x v="0"/>
    <x v="6"/>
    <x v="0"/>
  </r>
  <r>
    <x v="737"/>
    <s v="OTPMOBL JEGY.MAV.H 022S4189 1741552 - BANKKARTYA"/>
    <n v="-1172"/>
    <x v="5"/>
    <x v="28"/>
    <x v="0"/>
  </r>
  <r>
    <x v="737"/>
    <s v="DM 148 00049436 2603961 - BANKKARTYA"/>
    <n v="-7351"/>
    <x v="3"/>
    <x v="4"/>
    <x v="0"/>
  </r>
  <r>
    <x v="737"/>
    <s v="www.vizklinika.hu 06 20 941 88 1.990,00 HUF Vásárlás"/>
    <n v="-1990"/>
    <x v="0"/>
    <x v="6"/>
    <x v="0"/>
  </r>
  <r>
    <x v="737"/>
    <s v="VIANNI U ZLET MARTONVASAR 1.194,00 HUF Vásárlás"/>
    <n v="-1194"/>
    <x v="3"/>
    <x v="8"/>
    <x v="0"/>
  </r>
  <r>
    <x v="738"/>
    <s v="TESCO 44089 00078395 0644932 - BANKKARTYA"/>
    <n v="-5560"/>
    <x v="3"/>
    <x v="4"/>
    <x v="0"/>
  </r>
  <r>
    <x v="738"/>
    <s v="OBI 010 BUDAORS SIA00040 1854535 - BANKKARTYA"/>
    <n v="-29314"/>
    <x v="0"/>
    <x v="6"/>
    <x v="0"/>
  </r>
  <r>
    <x v="738"/>
    <s v="1140916 21/41194                Ért ékbecslési díj jóváírása Bejövő Forint Átutalás"/>
    <n v="36500"/>
    <x v="0"/>
    <x v="55"/>
    <x v="0"/>
  </r>
  <r>
    <x v="738"/>
    <s v="LIPOTI PEKSEG-ETELE T BUDAPEST 630,00 HUF Vásárlás"/>
    <n v="-630"/>
    <x v="2"/>
    <x v="19"/>
    <x v="0"/>
  </r>
  <r>
    <x v="739"/>
    <s v="JAGUAR LAND ROVER HUNGARY KFT."/>
    <n v="19275"/>
    <x v="4"/>
    <x v="20"/>
    <x v="4"/>
  </r>
  <r>
    <x v="739"/>
    <s v="XV. sz. Pekaru Szak Budapest 620,00 HUF Vásárlás"/>
    <n v="-620"/>
    <x v="2"/>
    <x v="19"/>
    <x v="0"/>
  </r>
  <r>
    <x v="739"/>
    <s v="Sütizz Kft. Budapest 660,00 HUF Vásárlás"/>
    <n v="-660"/>
    <x v="2"/>
    <x v="19"/>
    <x v="0"/>
  </r>
  <r>
    <x v="739"/>
    <s v="Sütizz Kft. Budapest 39.850,00 HUF Vásárlás"/>
    <n v="-39850"/>
    <x v="8"/>
    <x v="51"/>
    <x v="0"/>
  </r>
  <r>
    <x v="739"/>
    <s v="DRAGO ROSSO PIZZERIA MARTONVASAR 1.950,00 HUF Vásárlás"/>
    <n v="-1950"/>
    <x v="2"/>
    <x v="2"/>
    <x v="0"/>
  </r>
  <r>
    <x v="739"/>
    <s v="OTPMOBL VIMPAY.MAV-STA BUDAPEST 584,00 HUF Vásárlás"/>
    <n v="-584"/>
    <x v="5"/>
    <x v="28"/>
    <x v="0"/>
  </r>
  <r>
    <x v="739"/>
    <s v="MCD BUDAO RS BUDAORS 2.690,00 HUF Vásárlás"/>
    <n v="-2690"/>
    <x v="2"/>
    <x v="2"/>
    <x v="0"/>
  </r>
  <r>
    <x v="739"/>
    <s v="PRAKTIKER 333. BUDAORS 7.027,00 HUF Vásárlás"/>
    <n v="-7027"/>
    <x v="0"/>
    <x v="6"/>
    <x v="0"/>
  </r>
  <r>
    <x v="739"/>
    <s v="PRAKTIKER 333. BUDAORS 16.990,00 HUF Vásárlás"/>
    <n v="-16990"/>
    <x v="0"/>
    <x v="6"/>
    <x v="0"/>
  </r>
  <r>
    <x v="739"/>
    <s v="OBI 010 BUDAORS 17.595,00 HUF Vásárlás"/>
    <n v="-17595"/>
    <x v="0"/>
    <x v="6"/>
    <x v="0"/>
  </r>
  <r>
    <x v="739"/>
    <s v="OTPMOBL VIMPAY.MAV-STA BUDAPEST 504,00 HUF Vásárlás"/>
    <n v="-504"/>
    <x v="5"/>
    <x v="28"/>
    <x v="0"/>
  </r>
  <r>
    <x v="739"/>
    <s v="BIOHAIR SZALON SUGA'R BUDAPEST 2.790,00 HUF Vásárlás"/>
    <n v="-2790"/>
    <x v="7"/>
    <x v="15"/>
    <x v="0"/>
  </r>
  <r>
    <x v="739"/>
    <s v="OTPMOBL VIMPAY.MAV-STA BUDAPEST 504,00 HUF Vásárlás"/>
    <n v="-504"/>
    <x v="5"/>
    <x v="28"/>
    <x v="0"/>
  </r>
  <r>
    <x v="739"/>
    <s v="BKK AUTOMATA F29 BUDAPEST 3.000,00 HUF Vásárlás"/>
    <n v="-3000"/>
    <x v="5"/>
    <x v="28"/>
    <x v="0"/>
  </r>
  <r>
    <x v="739"/>
    <s v="OTPMOBL VIMPAY.MAV-STA BUDAPEST 504,00 HUF Vásárlás"/>
    <n v="-504"/>
    <x v="5"/>
    <x v="28"/>
    <x v="0"/>
  </r>
  <r>
    <x v="740"/>
    <s v="LIDL ARUHAZ 0306.S HH330609 2361583 - BANKKARTYA"/>
    <n v="-2698"/>
    <x v="3"/>
    <x v="4"/>
    <x v="0"/>
  </r>
  <r>
    <x v="740"/>
    <s v="LIDL ARUHAZ 0306.S HH330607 0189107 - BANKKARTYA"/>
    <n v="-11740"/>
    <x v="3"/>
    <x v="4"/>
    <x v="0"/>
  </r>
  <r>
    <x v="740"/>
    <s v="ALDI 5.SZ. SIA00376 0255487 - BANKKARTYA"/>
    <n v="-2104"/>
    <x v="3"/>
    <x v="4"/>
    <x v="0"/>
  </r>
  <r>
    <x v="740"/>
    <s v="KISKIFLI KAVEZO BUDAPEST 1.040,00 HUF Vásárlás"/>
    <n v="-1040"/>
    <x v="2"/>
    <x v="19"/>
    <x v="0"/>
  </r>
  <r>
    <x v="741"/>
    <s v="Navigátor díj 2021/09"/>
    <n v="-100"/>
    <x v="1"/>
    <x v="1"/>
    <x v="8"/>
  </r>
  <r>
    <x v="741"/>
    <s v="KIMENŐ ÁTUTALÁS AZKIG38133522790 16200223-10029792-00000000 Bencsik Judit Közlemény: Menyasszonyi ruha második részlet Karsai Adri Átutaló azonosító: 64485010 Bank által megfizetett tranzakciós illeték: 468,49 HUF"/>
    <n v="-176163"/>
    <x v="8"/>
    <x v="51"/>
    <x v="0"/>
  </r>
  <r>
    <x v="741"/>
    <s v="BARIONP BARION.COM 02202681 2523054 - BANKKARTYA"/>
    <n v="-3320"/>
    <x v="7"/>
    <x v="15"/>
    <x v="0"/>
  </r>
  <r>
    <x v="741"/>
    <s v="BARIONP BARION.COM 02202681 2523040 - BANKKARTYA"/>
    <n v="-10147"/>
    <x v="7"/>
    <x v="5"/>
    <x v="0"/>
  </r>
  <r>
    <x v="741"/>
    <s v="LAVARD HB243479 3832700 - BANKKARTYA"/>
    <n v="-19990"/>
    <x v="8"/>
    <x v="51"/>
    <x v="0"/>
  </r>
  <r>
    <x v="741"/>
    <s v="Ropogo Biatorbagy S00S2465 8200062 - BANKKARTYA"/>
    <n v="-6330"/>
    <x v="2"/>
    <x v="2"/>
    <x v="0"/>
  </r>
  <r>
    <x v="741"/>
    <s v="BARIONP BARION.COM/GUE BUDAPEST 10.496,00 HUF Vásárlás"/>
    <n v="-10496"/>
    <x v="3"/>
    <x v="8"/>
    <x v="0"/>
  </r>
  <r>
    <x v="741"/>
    <s v="MARTON MARKET MARTONVASAR 918,00 HUF Vásárlás"/>
    <n v="-918"/>
    <x v="3"/>
    <x v="4"/>
    <x v="0"/>
  </r>
  <r>
    <x v="742"/>
    <s v="MOL TO LTO'A'LL. 17100 ERD 15.559,00 HUF Vásárlás"/>
    <n v="-15559"/>
    <x v="5"/>
    <x v="16"/>
    <x v="0"/>
  </r>
  <r>
    <x v="743"/>
    <s v="MARTON MARKET 43226621 2538333 - BANKKARTYA"/>
    <n v="-3322"/>
    <x v="3"/>
    <x v="4"/>
    <x v="0"/>
  </r>
  <r>
    <x v="743"/>
    <s v="VIANNI U ZLET 00102759 1198016 - BANKKARTYA"/>
    <n v="-870"/>
    <x v="3"/>
    <x v="4"/>
    <x v="0"/>
  </r>
  <r>
    <x v="743"/>
    <s v="MARTON MARKET 43226621 3342363 - BANKKARTYA"/>
    <n v="-399"/>
    <x v="3"/>
    <x v="4"/>
    <x v="0"/>
  </r>
  <r>
    <x v="743"/>
    <s v="OTPMOBL JEGY.MAV.H 022S4189 0681863 - BANKKARTYA"/>
    <n v="-674"/>
    <x v="5"/>
    <x v="28"/>
    <x v="0"/>
  </r>
  <r>
    <x v="743"/>
    <s v="IKEA BUDAORS ETTER 00182505 7025793 - BANKKARTYA"/>
    <n v="-1200"/>
    <x v="0"/>
    <x v="35"/>
    <x v="0"/>
  </r>
  <r>
    <x v="743"/>
    <s v="IKEA BUDAORS UGYFE 00182205 7024184 - BANKKARTYA"/>
    <n v="-175460"/>
    <x v="0"/>
    <x v="35"/>
    <x v="0"/>
  </r>
  <r>
    <x v="743"/>
    <s v="OTP 84000930 5137189 Bank által megfizetett tranzakciós illeték: 300,00 HUF - BANKKARTYA"/>
    <n v="-50000"/>
    <x v="8"/>
    <x v="43"/>
    <x v="0"/>
  </r>
  <r>
    <x v="743"/>
    <s v="OBI 010 BUDAORS SIA04327 0767882 - BANKKARTYA"/>
    <n v="-84492"/>
    <x v="0"/>
    <x v="6"/>
    <x v="0"/>
  </r>
  <r>
    <x v="743"/>
    <s v="TESCO 44089 00078396 2882131 - BANKKARTYA"/>
    <n v="-6145"/>
    <x v="3"/>
    <x v="4"/>
    <x v="0"/>
  </r>
  <r>
    <x v="743"/>
    <s v="PANIFICIO IL BASILICO SZENTENDRE 2.190,00 HUF Vásárlás"/>
    <n v="-2190"/>
    <x v="2"/>
    <x v="19"/>
    <x v="0"/>
  </r>
  <r>
    <x v="743"/>
    <s v="BURGER KING BUDAO RS BUDAORS 830,00 HUF Vásárlás"/>
    <n v="-830"/>
    <x v="2"/>
    <x v="2"/>
    <x v="0"/>
  </r>
  <r>
    <x v="743"/>
    <s v="BURGER KING BUDAO RS BUDAORS 4.490,00 HUF Vásárlás"/>
    <n v="-4490"/>
    <x v="2"/>
    <x v="2"/>
    <x v="0"/>
  </r>
  <r>
    <x v="743"/>
    <s v="TESCO 41400 BUDAPEST 368,00 HUF Vásárlás"/>
    <n v="-368"/>
    <x v="3"/>
    <x v="4"/>
    <x v="0"/>
  </r>
  <r>
    <x v="743"/>
    <s v="OBI 024 FOGARASI BUDAPEST 20.950,00 HUF Vásárlás"/>
    <n v="-20950"/>
    <x v="0"/>
    <x v="6"/>
    <x v="0"/>
  </r>
  <r>
    <x v="743"/>
    <s v="POSTAKOCSI E'TTEREM MARTONVASAR 4.330,00 HUF Vásárlás"/>
    <n v="-4330"/>
    <x v="2"/>
    <x v="10"/>
    <x v="0"/>
  </r>
  <r>
    <x v="743"/>
    <s v="POSTAKOCSI E'TTEREM MARTONVASAR 3.340,00 HUF Vásárlás"/>
    <n v="-3340"/>
    <x v="2"/>
    <x v="10"/>
    <x v="0"/>
  </r>
  <r>
    <x v="743"/>
    <s v="Nhkv Vevő azonosító 16252513"/>
    <n v="-351"/>
    <x v="0"/>
    <x v="38"/>
    <x v="0"/>
  </r>
  <r>
    <x v="744"/>
    <s v="FUR ELISE BISTRO 80017353 4638420 - BANKKARTYA"/>
    <n v="-2000"/>
    <x v="2"/>
    <x v="19"/>
    <x v="0"/>
  </r>
  <r>
    <x v="744"/>
    <s v="POSTAKOCSI E&quot;TTERE 00121291 1843340 - BANKKARTYA"/>
    <n v="-5050"/>
    <x v="2"/>
    <x v="2"/>
    <x v="0"/>
  </r>
  <r>
    <x v="744"/>
    <s v="BRUCK SANDORNE EV. 22270340 0028388 - BANKKARTYA"/>
    <n v="-8700"/>
    <x v="7"/>
    <x v="15"/>
    <x v="0"/>
  </r>
  <r>
    <x v="745"/>
    <s v="VIANNI U ZLET 00102759 2554925 - BANKKARTYA"/>
    <n v="-425"/>
    <x v="3"/>
    <x v="4"/>
    <x v="0"/>
  </r>
  <r>
    <x v="745"/>
    <s v="KERESKEDO' BUDAPEST 2.280,00 HUF Vásárlás"/>
    <n v="-2280"/>
    <x v="0"/>
    <x v="6"/>
    <x v="0"/>
  </r>
  <r>
    <x v="745"/>
    <s v="OTPMOBL EON.HU/UGYINTE BUDAPEST 5.546,00 HUF Vásárlás"/>
    <n v="-5546"/>
    <x v="0"/>
    <x v="11"/>
    <x v="0"/>
  </r>
  <r>
    <x v="745"/>
    <s v="LIPO'TI PE'KSE'G E'S K BUDAPEST 955,00 HUF Vásárlás"/>
    <n v="-955"/>
    <x v="2"/>
    <x v="19"/>
    <x v="0"/>
  </r>
  <r>
    <x v="745"/>
    <s v="OTPMOBL VIMPAY.MAV-STA BUDAPEST 504,00 HUF Vásárlás"/>
    <n v="-504"/>
    <x v="5"/>
    <x v="28"/>
    <x v="0"/>
  </r>
  <r>
    <x v="745"/>
    <s v="OTPMOBL VIMPAY.MAV-STA BUDAPEST 504,00 HUF Vásárlás"/>
    <n v="-504"/>
    <x v="5"/>
    <x v="28"/>
    <x v="0"/>
  </r>
  <r>
    <x v="746"/>
    <s v="MARTON MARKET 43226621 2798054 - BANKKARTYA"/>
    <n v="-3148"/>
    <x v="3"/>
    <x v="4"/>
    <x v="0"/>
  </r>
  <r>
    <x v="746"/>
    <s v="VIANNI U ZLET 00102759 1081412 - BANKKARTYA"/>
    <n v="-850"/>
    <x v="3"/>
    <x v="4"/>
    <x v="0"/>
  </r>
  <r>
    <x v="746"/>
    <s v="9999KT Kft. 31962297 8008982 - BANKKARTYA"/>
    <n v="-259700"/>
    <x v="8"/>
    <x v="51"/>
    <x v="0"/>
  </r>
  <r>
    <x v="746"/>
    <s v="LIDL ARUHAZ 0349.S HH334902 2380574 - BANKKARTYA"/>
    <n v="-17813"/>
    <x v="3"/>
    <x v="4"/>
    <x v="0"/>
  </r>
  <r>
    <x v="747"/>
    <s v="PL:P/10AUG21 Tőkefizetés Hitel /21-41194/"/>
    <n v="-205918.68"/>
    <x v="0"/>
    <x v="21"/>
    <x v="0"/>
  </r>
  <r>
    <x v="747"/>
    <s v="PL:I/10AUG21 Kamatfizetés  Hitel /21-41194/"/>
    <n v="-55886.11"/>
    <x v="0"/>
    <x v="21"/>
    <x v="0"/>
  </r>
  <r>
    <x v="747"/>
    <s v="PL:P/10AUG21 Tőkefizetés Hitel /21-41194/"/>
    <n v="205918.68"/>
    <x v="0"/>
    <x v="21"/>
    <x v="1"/>
  </r>
  <r>
    <x v="747"/>
    <s v="OTPMOBL JEGY.MAV.H 022S4189 1819188 - BANKKARTYA"/>
    <n v="-584"/>
    <x v="5"/>
    <x v="28"/>
    <x v="0"/>
  </r>
  <r>
    <x v="747"/>
    <s v="JOEFALAT CATERING BUDAPEST 2.150,00 HUF Vásárlás"/>
    <n v="-2150"/>
    <x v="2"/>
    <x v="2"/>
    <x v="0"/>
  </r>
  <r>
    <x v="747"/>
    <s v="OTPMOBL VIMPAY.MAV-STA BUDAPEST 504,00 HUF Vásárlás"/>
    <n v="-504"/>
    <x v="5"/>
    <x v="28"/>
    <x v="0"/>
  </r>
  <r>
    <x v="747"/>
    <s v="Mazsa Nordik Kft. Budapest 794,00 HUF Vásárlás"/>
    <n v="-794"/>
    <x v="0"/>
    <x v="6"/>
    <x v="0"/>
  </r>
  <r>
    <x v="747"/>
    <s v="VIZ-, GAZ SZERELVENYB MARTONVASAR 2.606,00 HUF Vásárlás"/>
    <n v="-2606"/>
    <x v="0"/>
    <x v="6"/>
    <x v="0"/>
  </r>
  <r>
    <x v="747"/>
    <s v="JAGUAR LAND ROVER HUNGARY KFT. Munkaber utalasMunkabér"/>
    <n v="667410"/>
    <x v="4"/>
    <x v="20"/>
    <x v="0"/>
  </r>
  <r>
    <x v="748"/>
    <s v="MARTON MARKET 43226621 4235380 - BANKKARTYA"/>
    <n v="-4405"/>
    <x v="3"/>
    <x v="4"/>
    <x v="0"/>
  </r>
  <r>
    <x v="748"/>
    <s v="VIANNI U ZLET 00102759 1105492 - BANKKARTYA"/>
    <n v="-1315"/>
    <x v="3"/>
    <x v="4"/>
    <x v="0"/>
  </r>
  <r>
    <x v="748"/>
    <s v="CALZEDONIA SPA 00672291 0303983 - BANKKARTYA"/>
    <n v="-25585"/>
    <x v="3"/>
    <x v="30"/>
    <x v="0"/>
  </r>
  <r>
    <x v="748"/>
    <s v="MERX A&quot;RUHA&quot;Z 00127000 2626809 - BANKKARTYA"/>
    <n v="-16730"/>
    <x v="3"/>
    <x v="4"/>
    <x v="0"/>
  </r>
  <r>
    <x v="748"/>
    <s v="DM 316.SZ. 00059706 2838915 - BANKKARTYA"/>
    <n v="-12437"/>
    <x v="3"/>
    <x v="4"/>
    <x v="0"/>
  </r>
  <r>
    <x v="748"/>
    <s v="LIDL ARUHAZ 0306.S HH330609 2486082 - BANKKARTYA"/>
    <n v="-22584"/>
    <x v="3"/>
    <x v="4"/>
    <x v="0"/>
  </r>
  <r>
    <x v="748"/>
    <s v="LIDL ARUHAZ 0306.S HH330605 2485913 - BANKKARTYA"/>
    <n v="-4923"/>
    <x v="3"/>
    <x v="4"/>
    <x v="0"/>
  </r>
  <r>
    <x v="748"/>
    <s v="PRAKTIKER 333. 00084251 3407167 - BANKKARTYA"/>
    <n v="-17686"/>
    <x v="0"/>
    <x v="6"/>
    <x v="0"/>
  </r>
  <r>
    <x v="748"/>
    <s v="IKEA BUDAORS UGYFE 00182202 2025679 - BANKKARTYA"/>
    <n v="-63745"/>
    <x v="0"/>
    <x v="35"/>
    <x v="0"/>
  </r>
  <r>
    <x v="748"/>
    <s v="127.SZ. MAXI 12901753 4105368 - BANKKARTYA"/>
    <n v="-2305"/>
    <x v="3"/>
    <x v="4"/>
    <x v="0"/>
  </r>
  <r>
    <x v="748"/>
    <s v="VIANNI U ZLET 00102759 1000398 - BANKKARTYA"/>
    <n v="-1380"/>
    <x v="3"/>
    <x v="4"/>
    <x v="0"/>
  </r>
  <r>
    <x v="748"/>
    <s v="PRAKTIKER 333. BUDAORS 11.704,00 HUF Vásárlás"/>
    <n v="-11704"/>
    <x v="0"/>
    <x v="6"/>
    <x v="0"/>
  </r>
  <r>
    <x v="748"/>
    <s v="IKEA BUDAORS ETTEREM Budaors 1.340,00 HUF Vásárlás"/>
    <n v="-1340"/>
    <x v="2"/>
    <x v="2"/>
    <x v="0"/>
  </r>
  <r>
    <x v="748"/>
    <s v="PAYPAL BANGGOOD 35314369001 7.080,00 HUF Vásárlás 23,63 USD"/>
    <n v="-7080"/>
    <x v="3"/>
    <x v="8"/>
    <x v="0"/>
  </r>
  <r>
    <x v="748"/>
    <s v="JYSK H824 BUDAORS 35.000,00 HUF Vásárlás"/>
    <n v="35000"/>
    <x v="0"/>
    <x v="35"/>
    <x v="0"/>
  </r>
  <r>
    <x v="749"/>
    <s v="TESCO 44089 00078394 3235537 - BANKKARTYA"/>
    <n v="-151"/>
    <x v="3"/>
    <x v="4"/>
    <x v="0"/>
  </r>
  <r>
    <x v="749"/>
    <s v="BRUCK SANDORNE EV. 22270340 0027088 - BANKKARTYA"/>
    <n v="-5250"/>
    <x v="7"/>
    <x v="15"/>
    <x v="0"/>
  </r>
  <r>
    <x v="749"/>
    <s v="BRUCK SANDORNE EV. 22270340 0027087 - BANKKARTYA"/>
    <n v="-1500"/>
    <x v="7"/>
    <x v="15"/>
    <x v="0"/>
  </r>
  <r>
    <x v="750"/>
    <s v="Oktatási Hivatal MUNKABÉR UTALÁS KARSAI ADRIENN ÁGNES 2462 MARTONVÁSÁR PIPACS utca 6 3 JÓVÁIRÁS"/>
    <n v="266000"/>
    <x v="4"/>
    <x v="20"/>
    <x v="0"/>
  </r>
  <r>
    <x v="750"/>
    <s v="Cr Forgalmi kedvezmény"/>
    <n v="1550"/>
    <x v="1"/>
    <x v="1"/>
    <x v="0"/>
  </r>
  <r>
    <x v="750"/>
    <s v="POSTAKOCSI E'TTEREM MARTONVASAR 2.470,00 HUF Vásárlás"/>
    <n v="-2470"/>
    <x v="2"/>
    <x v="10"/>
    <x v="0"/>
  </r>
  <r>
    <x v="750"/>
    <s v="OTPMOBL VIMPAY.MAV-STA BUDAPEST 419,00 HUF Vásárlás"/>
    <n v="-419"/>
    <x v="5"/>
    <x v="28"/>
    <x v="0"/>
  </r>
  <r>
    <x v="751"/>
    <s v="BARIONP BARION.COM 02202681 1018846 - BANKKARTYA"/>
    <n v="-15390"/>
    <x v="7"/>
    <x v="15"/>
    <x v="0"/>
  </r>
  <r>
    <x v="751"/>
    <s v="OBI 010 SIA00039 2706252 - BANKKARTYA"/>
    <n v="-25262"/>
    <x v="0"/>
    <x v="6"/>
    <x v="0"/>
  </r>
  <r>
    <x v="751"/>
    <s v="ALDI 3.SZ. SIA00331 0248476 - BANKKARTYA"/>
    <n v="-5221"/>
    <x v="3"/>
    <x v="4"/>
    <x v="0"/>
  </r>
  <r>
    <x v="751"/>
    <s v="LIDL ARUHAZ 0280.S HH328004 0178877 - BANKKARTYA"/>
    <n v="-4610"/>
    <x v="3"/>
    <x v="4"/>
    <x v="0"/>
  </r>
  <r>
    <x v="751"/>
    <s v="BURGER KING E'RD ERD 3.480,00 HUF Vásárlás"/>
    <n v="-3480"/>
    <x v="2"/>
    <x v="2"/>
    <x v="0"/>
  </r>
  <r>
    <x v="752"/>
    <s v="FUR ELISE CUKRASZDA MARTONVASAR 2.800,00 HUF Vásárlás"/>
    <n v="-2800"/>
    <x v="2"/>
    <x v="10"/>
    <x v="0"/>
  </r>
  <r>
    <x v="752"/>
    <s v="FUR ELISE BISTRO MARTONVASAR 15.000,00 HUF Vásárlás"/>
    <n v="-15000"/>
    <x v="2"/>
    <x v="10"/>
    <x v="0"/>
  </r>
  <r>
    <x v="753"/>
    <s v="Jutalék SNKFHH0060322742 HS-Havi számlavezetési díj ONLHSFHH0LAKSAG H05s Bank által megfizetett tranzakciós illeték: 3,60 HUF"/>
    <n v="-1199"/>
    <x v="1"/>
    <x v="1"/>
    <x v="0"/>
  </r>
  <r>
    <x v="753"/>
    <s v="OTPMOBL STYLEHUB.C 022P8017 1588472 - BANKKARTYA"/>
    <n v="-15230"/>
    <x v="7"/>
    <x v="15"/>
    <x v="0"/>
  </r>
  <r>
    <x v="753"/>
    <s v="BARIONP BARION.COM 02202681 1682387 - BANKKARTYA"/>
    <n v="-6097"/>
    <x v="7"/>
    <x v="15"/>
    <x v="0"/>
  </r>
  <r>
    <x v="753"/>
    <s v="OTPMOBL SKINSMART. 022P6518 1674124 - BANKKARTYA"/>
    <n v="-5472"/>
    <x v="7"/>
    <x v="15"/>
    <x v="0"/>
  </r>
  <r>
    <x v="753"/>
    <s v="ALDI 57.SZ. SIA00539 2641671 - BANKKARTYA"/>
    <n v="-7424"/>
    <x v="3"/>
    <x v="4"/>
    <x v="0"/>
  </r>
  <r>
    <x v="753"/>
    <s v="KJO DÍJ 21/41194 Bejövő Forint Átutalás"/>
    <n v="50000"/>
    <x v="0"/>
    <x v="55"/>
    <x v="0"/>
  </r>
  <r>
    <x v="753"/>
    <s v="KFC AUCHAN BUDAORS 1.890,00 HUF Vásárlás"/>
    <n v="-1890"/>
    <x v="2"/>
    <x v="2"/>
    <x v="0"/>
  </r>
  <r>
    <x v="753"/>
    <s v="LIPO'TI PE'KSE'G E'S K BUDAPEST 295,00 HUF Vásárlás"/>
    <n v="-295"/>
    <x v="2"/>
    <x v="19"/>
    <x v="0"/>
  </r>
  <r>
    <x v="753"/>
    <s v="LIPO'TI PE'KSE'G E'S K BUDAPEST 510,00 HUF Vásárlás"/>
    <n v="-510"/>
    <x v="2"/>
    <x v="19"/>
    <x v="0"/>
  </r>
  <r>
    <x v="753"/>
    <s v="OTPMOBL VIMPAY.MAV-STA BUDAPEST 584,00 HUF Vásárlás"/>
    <n v="-584"/>
    <x v="5"/>
    <x v="28"/>
    <x v="0"/>
  </r>
  <r>
    <x v="754"/>
    <s v="Havi zárlati díj"/>
    <n v="-1799"/>
    <x v="1"/>
    <x v="1"/>
    <x v="0"/>
  </r>
  <r>
    <x v="755"/>
    <s v="Elszámolt kamatössz. Bruttó kamat: 12,04 HUF Levont adó : 1,81 HUF"/>
    <n v="10.23"/>
    <x v="1"/>
    <x v="34"/>
    <x v="0"/>
  </r>
  <r>
    <x v="755"/>
    <s v="IKEA HU ecom E3800103 1006949 - BANKKARTYA"/>
    <n v="-103960"/>
    <x v="0"/>
    <x v="35"/>
    <x v="0"/>
  </r>
  <r>
    <x v="755"/>
    <s v="Portech Hygienia Kft +3672516367 13.240,00 HUF Vásárlás"/>
    <n v="-13240"/>
    <x v="3"/>
    <x v="8"/>
    <x v="0"/>
  </r>
  <r>
    <x v="755"/>
    <s v="BKK AUTOMATA - A45 BUDAPEST 3.000,00 HUF Vásárlás"/>
    <n v="-3000"/>
    <x v="5"/>
    <x v="28"/>
    <x v="0"/>
  </r>
  <r>
    <x v="755"/>
    <s v="OTPMOBL VIMPAY.MAV-STA BUDAPEST 584,00 HUF Vásárlás"/>
    <n v="-584"/>
    <x v="5"/>
    <x v="28"/>
    <x v="0"/>
  </r>
  <r>
    <x v="755"/>
    <s v="OTPMOBL VIMPAY.MAV-STA BUDAPEST 584,00 HUF Vásárlás"/>
    <n v="-584"/>
    <x v="5"/>
    <x v="28"/>
    <x v="0"/>
  </r>
  <r>
    <x v="756"/>
    <s v="COOP SARKI KO ZE&quot;R 00130791 1187838 - BANKKARTYA"/>
    <n v="-357"/>
    <x v="3"/>
    <x v="4"/>
    <x v="0"/>
  </r>
  <r>
    <x v="756"/>
    <s v="PANIFICIO IL BASIL P5BP0733 0581250 - BANKKARTYA"/>
    <n v="-890"/>
    <x v="2"/>
    <x v="19"/>
    <x v="0"/>
  </r>
  <r>
    <x v="756"/>
    <s v="PHILLIPPOS GYROS B 22288947 0013963 - BANKKARTYA"/>
    <n v="-2150"/>
    <x v="2"/>
    <x v="2"/>
    <x v="0"/>
  </r>
  <r>
    <x v="756"/>
    <s v="Zsu-Ann Kft. Budapest 2.050,00 HUF Vásárlás"/>
    <n v="-2050"/>
    <x v="2"/>
    <x v="2"/>
    <x v="0"/>
  </r>
  <r>
    <x v="756"/>
    <s v="JYSK H824 BUDAORS 175.000,00 HUF Vásárlás"/>
    <n v="-175000"/>
    <x v="0"/>
    <x v="35"/>
    <x v="0"/>
  </r>
  <r>
    <x v="756"/>
    <s v="SumUp Kiskifli Kavez Budapest 1.190,00 HUF Vásárlás 3,90 USD"/>
    <n v="-1190"/>
    <x v="2"/>
    <x v="19"/>
    <x v="0"/>
  </r>
  <r>
    <x v="757"/>
    <s v="OTPMOBL JEGY.MAV.H 022S4189 1050278 - BANKKARTYA"/>
    <n v="-674"/>
    <x v="5"/>
    <x v="28"/>
    <x v="0"/>
  </r>
  <r>
    <x v="757"/>
    <s v="DM 148 00049436 1760715 - BANKKARTYA"/>
    <n v="-1965"/>
    <x v="3"/>
    <x v="4"/>
    <x v="0"/>
  </r>
  <r>
    <x v="757"/>
    <s v="Medicz Gyogyszerta TB002836 9080870 - BANKKARTYA"/>
    <n v="-790"/>
    <x v="7"/>
    <x v="5"/>
    <x v="0"/>
  </r>
  <r>
    <x v="757"/>
    <s v="JYSK H824 00056779 2525197 - BANKKARTYA"/>
    <n v="-15000"/>
    <x v="0"/>
    <x v="35"/>
    <x v="0"/>
  </r>
  <r>
    <x v="757"/>
    <s v="OTPMOBL JEGY.MAV.H 022S4189 0232567 - BANKKARTYA"/>
    <n v="-674"/>
    <x v="5"/>
    <x v="28"/>
    <x v="0"/>
  </r>
  <r>
    <x v="757"/>
    <s v="IKEA BUDAORS UGYFE Budaors 53.970,00 HUF Vásárlás"/>
    <n v="-53970"/>
    <x v="0"/>
    <x v="35"/>
    <x v="0"/>
  </r>
  <r>
    <x v="757"/>
    <s v="MOL TO LTO'A'LL. 17100 ERD 16.214,00 HUF Vásárlás"/>
    <n v="-16214"/>
    <x v="5"/>
    <x v="16"/>
    <x v="0"/>
  </r>
  <r>
    <x v="757"/>
    <s v="PRAKTIKER 333. BUDAORS 81.646,00 HUF Vásárlás"/>
    <n v="-81646"/>
    <x v="0"/>
    <x v="6"/>
    <x v="0"/>
  </r>
  <r>
    <x v="757"/>
    <s v="NETFLIX.COM 408-724-9160 3.990,00 HUF Vásárlás 13,07 USD"/>
    <n v="-3990"/>
    <x v="0"/>
    <x v="7"/>
    <x v="0"/>
  </r>
  <r>
    <x v="758"/>
    <s v="IKEA BUDAORS ETTEREM Budaors 1.240,00 HUF Vásárlás"/>
    <n v="-1240"/>
    <x v="2"/>
    <x v="2"/>
    <x v="0"/>
  </r>
  <r>
    <x v="758"/>
    <s v="IKEA BUDAORS BEVASAR Budaors 2.000,00 HUF Vásárlás"/>
    <n v="-2000"/>
    <x v="0"/>
    <x v="35"/>
    <x v="0"/>
  </r>
  <r>
    <x v="759"/>
    <s v="Jutalék SM305368382 MOBIL HAVI DÍJ (Kártyafigyelő DR) EM5KX8 +36 305368382 0FH Bank által megfizetett tranzakciós illeték: 0,22 HUF"/>
    <n v="-74"/>
    <x v="1"/>
    <x v="1"/>
    <x v="0"/>
  </r>
  <r>
    <x v="759"/>
    <s v="Jutalék SM305368382 MOBIL ÜZENET DÍJ (Kártyafigyelő DR) Küldött SMS, 40 Db EM5KX8 +36 305368382 0F1 Bank által megfizetett tranzakciós illeték: 5,28 HUF"/>
    <n v="-1760"/>
    <x v="1"/>
    <x v="1"/>
    <x v="0"/>
  </r>
  <r>
    <x v="759"/>
    <s v="CZUPRIKGERGE Hivatkozási szám BCKOZP/38671095 Értékpapír számla egyenlegrendezés"/>
    <n v="-929"/>
    <x v="1"/>
    <x v="1"/>
    <x v="0"/>
  </r>
  <r>
    <x v="759"/>
    <s v="JYSK H856 ERD 35.000,00 HUF Vásárlás"/>
    <n v="-35000"/>
    <x v="0"/>
    <x v="35"/>
    <x v="0"/>
  </r>
  <r>
    <x v="759"/>
    <s v="PRAKTIKER 333. BUDAORS 24.101,00 HUF Vásárlás"/>
    <n v="-24101"/>
    <x v="0"/>
    <x v="6"/>
    <x v="0"/>
  </r>
  <r>
    <x v="759"/>
    <s v="OTPMOBL JEGY.MAV.HU BUDAPEST 584,00 HUF Vásárlás"/>
    <n v="-584"/>
    <x v="5"/>
    <x v="28"/>
    <x v="0"/>
  </r>
  <r>
    <x v="760"/>
    <s v="OTPMOBL JEGY.MAV.H 022S4189 1095298 - BANKKARTYA"/>
    <n v="-586"/>
    <x v="5"/>
    <x v="28"/>
    <x v="0"/>
  </r>
  <r>
    <x v="760"/>
    <s v="Ujbuda Swiss Premi S00S1650 5587762 - BANKKARTYA"/>
    <n v="-3130"/>
    <x v="7"/>
    <x v="17"/>
    <x v="0"/>
  </r>
  <r>
    <x v="760"/>
    <s v="Kemal Pasa Torok Et Budapest 1.900,00 HUF Vásárlás"/>
    <n v="-1900"/>
    <x v="2"/>
    <x v="2"/>
    <x v="0"/>
  </r>
  <r>
    <x v="761"/>
    <s v="Generali Ktgb 202184097757"/>
    <n v="-35657"/>
    <x v="5"/>
    <x v="41"/>
    <x v="0"/>
  </r>
  <r>
    <x v="762"/>
    <s v="JAGUAR LAND ROVER HUNGARY KFT."/>
    <n v="19275"/>
    <x v="4"/>
    <x v="20"/>
    <x v="4"/>
  </r>
  <r>
    <x v="762"/>
    <s v="JAGUAR LAND ROVER HUNGARY KFT."/>
    <n v="14274"/>
    <x v="4"/>
    <x v="20"/>
    <x v="4"/>
  </r>
  <r>
    <x v="762"/>
    <s v="Navigátor díj 2021/08"/>
    <n v="-100"/>
    <x v="1"/>
    <x v="1"/>
    <x v="8"/>
  </r>
  <r>
    <x v="762"/>
    <s v="ALDI 5.SZ. SIA00375 2369058 - BANKKARTYA"/>
    <n v="-2208"/>
    <x v="3"/>
    <x v="4"/>
    <x v="0"/>
  </r>
  <r>
    <x v="762"/>
    <s v="DM 316.SZ. 00059705 2461631 - BANKKARTYA"/>
    <n v="-2947"/>
    <x v="3"/>
    <x v="4"/>
    <x v="0"/>
  </r>
  <r>
    <x v="762"/>
    <s v="CSASZI2020 KFT. S6921402 2311961 - BANKKARTYA"/>
    <n v="-1995"/>
    <x v="3"/>
    <x v="4"/>
    <x v="0"/>
  </r>
  <r>
    <x v="762"/>
    <s v="SIMPLE PARKOL S BUDAPEST 362,00 HUF Vásárlás"/>
    <n v="-362"/>
    <x v="5"/>
    <x v="9"/>
    <x v="0"/>
  </r>
  <r>
    <x v="762"/>
    <s v="SIMPLE PARKOL S BUDAPEST 893,00 HUF Vásárlás"/>
    <n v="-893"/>
    <x v="5"/>
    <x v="9"/>
    <x v="0"/>
  </r>
  <r>
    <x v="762"/>
    <s v="PRAKTIKER 333. BUDAORS 6.205,00 HUF Vásárlás"/>
    <n v="-6205"/>
    <x v="0"/>
    <x v="6"/>
    <x v="0"/>
  </r>
  <r>
    <x v="762"/>
    <s v="Diego Kft Budaors Budaors 1.999,00 HUF Vásárlás"/>
    <n v="-1999"/>
    <x v="0"/>
    <x v="6"/>
    <x v="0"/>
  </r>
  <r>
    <x v="762"/>
    <s v="GYURIVILL KFT. MARTONVASAR 1.458,00 HUF Vásárlás"/>
    <n v="-1458"/>
    <x v="0"/>
    <x v="6"/>
    <x v="0"/>
  </r>
  <r>
    <x v="762"/>
    <s v="MOL TO LTO'A'LLOMA'S GARDONY 15.972,00 HUF Vásárlás"/>
    <n v="-15972"/>
    <x v="5"/>
    <x v="16"/>
    <x v="0"/>
  </r>
  <r>
    <x v="763"/>
    <s v="PRAKTIKER 333. 00019116 1375942 - BANKKARTYA"/>
    <n v="-6103"/>
    <x v="0"/>
    <x v="6"/>
    <x v="0"/>
  </r>
  <r>
    <x v="763"/>
    <s v="OTP 84000930 6543763 Bank által megfizetett tranzakciós illeték: 600,00 HUF - BANKKARTYA"/>
    <n v="-100000"/>
    <x v="8"/>
    <x v="43"/>
    <x v="0"/>
  </r>
  <r>
    <x v="763"/>
    <s v="GYURIVILL KFT. MARTONVASAR 20.938,00 HUF Vásárlás"/>
    <n v="-20938"/>
    <x v="0"/>
    <x v="6"/>
    <x v="0"/>
  </r>
  <r>
    <x v="763"/>
    <s v="VIZ-, GAZ SZERELVENYB MARTONVASAR 8.488,00 HUF Vásárlás"/>
    <n v="-8488"/>
    <x v="0"/>
    <x v="6"/>
    <x v="0"/>
  </r>
  <r>
    <x v="764"/>
    <s v="IKEA BUDAORS BEVAS 00182106 0021777 - BANKKARTYA"/>
    <n v="-3735"/>
    <x v="0"/>
    <x v="35"/>
    <x v="0"/>
  </r>
  <r>
    <x v="764"/>
    <s v="PRAKTIKER 333. 00019116 1888516 - BANKKARTYA"/>
    <n v="-7065"/>
    <x v="0"/>
    <x v="6"/>
    <x v="0"/>
  </r>
  <r>
    <x v="764"/>
    <s v="IKEA BUDAORS UGYFE Budaors 232.760,00 HUF Vásárlás"/>
    <n v="-232760"/>
    <x v="0"/>
    <x v="35"/>
    <x v="0"/>
  </r>
  <r>
    <x v="764"/>
    <s v="AUCHAN BUDAORS BUDAORS 4.987,00 HUF Vásárlás"/>
    <n v="-4987"/>
    <x v="3"/>
    <x v="4"/>
    <x v="0"/>
  </r>
  <r>
    <x v="764"/>
    <s v="PRAKTIKER 333. BUDAORS 9.566,00 HUF Vásárlás"/>
    <n v="-9566"/>
    <x v="0"/>
    <x v="6"/>
    <x v="0"/>
  </r>
  <r>
    <x v="764"/>
    <s v="KI'NAI BU FE' BUDAPEST 1.100,00 HUF Vásárlás"/>
    <n v="-1100"/>
    <x v="2"/>
    <x v="2"/>
    <x v="0"/>
  </r>
  <r>
    <x v="764"/>
    <s v="OTPMOBL JEGY.MAV.HU BUDAPEST 584,00 HUF Vásárlás"/>
    <n v="-584"/>
    <x v="5"/>
    <x v="9"/>
    <x v="0"/>
  </r>
  <r>
    <x v="764"/>
    <s v="TELEKOMFELT 405311257 BUDAPEST 5.000,00 HUF Vásárlás 16,44 USD"/>
    <n v="-5000"/>
    <x v="3"/>
    <x v="46"/>
    <x v="0"/>
  </r>
  <r>
    <x v="765"/>
    <s v="MARTON MARKET 43226621 3036381 - BANKKARTYA"/>
    <n v="-987"/>
    <x v="3"/>
    <x v="4"/>
    <x v="0"/>
  </r>
  <r>
    <x v="765"/>
    <s v="COOP ABC 71-ES VEG 80004362 3036380 - BANKKARTYA"/>
    <n v="-485"/>
    <x v="3"/>
    <x v="4"/>
    <x v="0"/>
  </r>
  <r>
    <x v="766"/>
    <s v="COOP ABC 71-ES VEG 80004362 3136251 - BANKKARTYA"/>
    <n v="-270"/>
    <x v="3"/>
    <x v="4"/>
    <x v="0"/>
  </r>
  <r>
    <x v="766"/>
    <s v="Burkolás"/>
    <n v="-110000"/>
    <x v="0"/>
    <x v="6"/>
    <x v="0"/>
  </r>
  <r>
    <x v="766"/>
    <s v="Festés"/>
    <n v="-210000"/>
    <x v="0"/>
    <x v="6"/>
    <x v="0"/>
  </r>
  <r>
    <x v="766"/>
    <s v="OMV 2080 Budapest Ker 15.015,00 HUF Vásárlás"/>
    <n v="-15015"/>
    <x v="5"/>
    <x v="16"/>
    <x v="0"/>
  </r>
  <r>
    <x v="766"/>
    <s v="IKEA ORS VEZER UGYFE Budapest 30.295,00 HUF Vásárlás"/>
    <n v="-30295"/>
    <x v="0"/>
    <x v="35"/>
    <x v="0"/>
  </r>
  <r>
    <x v="766"/>
    <s v="BOHACS BARKACS ERD 1.644,00 HUF Vásárlás"/>
    <n v="-1644"/>
    <x v="0"/>
    <x v="6"/>
    <x v="0"/>
  </r>
  <r>
    <x v="767"/>
    <s v="MOL TO LTO'A&quot;LLOMA HU212792 0847177 - BANKKARTYA"/>
    <n v="-22822"/>
    <x v="5"/>
    <x v="16"/>
    <x v="0"/>
  </r>
  <r>
    <x v="768"/>
    <s v="KIMENŐ ÁTUTALÁS AZKIG38124139373 16200223-10029792-00000000 Bencsik Judit Közlemény: Csipke body Átutaló azonosító: 64485010 Bank által megfizetett tranzakciós illeték: 0,00 HUF"/>
    <n v="-12990"/>
    <x v="8"/>
    <x v="51"/>
    <x v="0"/>
  </r>
  <r>
    <x v="768"/>
    <s v="ALPHABED KFT. 43209026 4236218 - BANKKARTYA"/>
    <n v="-171990"/>
    <x v="0"/>
    <x v="35"/>
    <x v="0"/>
  </r>
  <r>
    <x v="768"/>
    <s v="ALPHABED KFT. 43209026 4236219 - BANKKARTYA"/>
    <n v="-13990"/>
    <x v="0"/>
    <x v="35"/>
    <x v="0"/>
  </r>
  <r>
    <x v="768"/>
    <s v="CSASZI2020 KFT. S6921403 1495063 - BANKKARTYA"/>
    <n v="-3197"/>
    <x v="3"/>
    <x v="4"/>
    <x v="0"/>
  </r>
  <r>
    <x v="768"/>
    <s v="MERX A&quot;RUHA&quot;Z 00127000 1454983 - BANKKARTYA"/>
    <n v="-2360"/>
    <x v="3"/>
    <x v="4"/>
    <x v="0"/>
  </r>
  <r>
    <x v="768"/>
    <s v="OTP MARTONVASAR 100.000,00 HUF Kp felvét"/>
    <n v="-784"/>
    <x v="1"/>
    <x v="1"/>
    <x v="0"/>
  </r>
  <r>
    <x v="768"/>
    <s v="OTP MARTONVASAR 100.000,00 HUF Kp felvét"/>
    <n v="-784"/>
    <x v="1"/>
    <x v="1"/>
    <x v="0"/>
  </r>
  <r>
    <x v="768"/>
    <s v="BURGER KING BUDAO RS BUDAORS 2.880,00 HUF Vásárlás"/>
    <n v="-2880"/>
    <x v="2"/>
    <x v="2"/>
    <x v="0"/>
  </r>
  <r>
    <x v="768"/>
    <s v="OBI 024 FOGARASI BUDAPEST 2.199,00 HUF Vásárlás"/>
    <n v="-2199"/>
    <x v="0"/>
    <x v="6"/>
    <x v="0"/>
  </r>
  <r>
    <x v="768"/>
    <s v="Templomvölgy Resort Mátrakereszt 85.000,00 HUF Vásárlás"/>
    <n v="-85000"/>
    <x v="2"/>
    <x v="10"/>
    <x v="0"/>
  </r>
  <r>
    <x v="768"/>
    <s v="LIDL ARUHAZ 0306.SZ. AGARD 14.997,00 HUF Vásárlás"/>
    <n v="-14997"/>
    <x v="3"/>
    <x v="4"/>
    <x v="0"/>
  </r>
  <r>
    <x v="768"/>
    <s v="TESCO 41760 O NKISZOLG SALGOTARJAN 4.502,00 HUF Vásárlás"/>
    <n v="-4502"/>
    <x v="3"/>
    <x v="4"/>
    <x v="0"/>
  </r>
  <r>
    <x v="768"/>
    <s v="OTP MARTONVASAR 100.000,00 HUF Kp felvét"/>
    <n v="100000"/>
    <x v="8"/>
    <x v="43"/>
    <x v="2"/>
  </r>
  <r>
    <x v="768"/>
    <s v="OTP MARTONVASAR 100.000,00 HUF Kp felvét"/>
    <n v="-100000"/>
    <x v="8"/>
    <x v="43"/>
    <x v="0"/>
  </r>
  <r>
    <x v="768"/>
    <s v="XIV. Bp Egressy u. 110. Társas Egressy út 110/a/2/5"/>
    <n v="-24820"/>
    <x v="0"/>
    <x v="56"/>
    <x v="0"/>
  </r>
  <r>
    <x v="769"/>
    <s v="PL:DI/10JLY21 Kamatfizetés - Hitel /21-41194/"/>
    <n v="-52280.56"/>
    <x v="0"/>
    <x v="21"/>
    <x v="0"/>
  </r>
  <r>
    <x v="770"/>
    <s v="OMV 2075 Budapest Fog 26.488,00 HUF Vásárlás"/>
    <n v="-26488"/>
    <x v="5"/>
    <x v="16"/>
    <x v="0"/>
  </r>
  <r>
    <x v="770"/>
    <s v="JAGUAR LAND ROVER HUNGARY KFT. Munkaber utalasMunkabér"/>
    <n v="1480477"/>
    <x v="4"/>
    <x v="20"/>
    <x v="0"/>
  </r>
  <r>
    <x v="771"/>
    <s v="IKEA BUDAORS ETTEREM Budaors 2.130,00 HUF Vásárlás"/>
    <n v="-2130"/>
    <x v="2"/>
    <x v="2"/>
    <x v="0"/>
  </r>
  <r>
    <x v="771"/>
    <s v="ALDI 5.SZ. GARDONY 937,00 HUF Vásárlás"/>
    <n v="-937"/>
    <x v="3"/>
    <x v="4"/>
    <x v="0"/>
  </r>
  <r>
    <x v="771"/>
    <s v="PRAKTIKER 333. BUDAORS 15.695,00 HUF Vásárlás"/>
    <n v="-15695"/>
    <x v="0"/>
    <x v="6"/>
    <x v="0"/>
  </r>
  <r>
    <x v="771"/>
    <s v="PRAKTIKER 333. BUDAORS 8.896,00 HUF Vásárlás"/>
    <n v="-8896"/>
    <x v="0"/>
    <x v="6"/>
    <x v="0"/>
  </r>
  <r>
    <x v="771"/>
    <s v="GLOBA'L FESTE'KA'RUHA' VELENCE 1.334,00 HUF Vásárlás"/>
    <n v="-1334"/>
    <x v="0"/>
    <x v="6"/>
    <x v="0"/>
  </r>
  <r>
    <x v="772"/>
    <s v="ROYALMOSAIC KFT BUDAPEST 24.265,00 HUF Vásárlás"/>
    <n v="-24265"/>
    <x v="0"/>
    <x v="6"/>
    <x v="0"/>
  </r>
  <r>
    <x v="772"/>
    <s v="GYURIVILL KFT. MARTONVASAR 3.005,00 HUF Vásárlás"/>
    <n v="-3005"/>
    <x v="0"/>
    <x v="6"/>
    <x v="0"/>
  </r>
  <r>
    <x v="773"/>
    <s v="ROSSMANN 237. 00097469 0492874 - BANKKARTYA"/>
    <n v="-5443"/>
    <x v="3"/>
    <x v="4"/>
    <x v="0"/>
  </r>
  <r>
    <x v="773"/>
    <s v="Értékpapír f könyvi szlák. - - UB KÜLÖNBÖZET BANKI UTALÁS - -"/>
    <n v="-202280"/>
    <x v="1"/>
    <x v="26"/>
    <x v="3"/>
  </r>
  <r>
    <x v="773"/>
    <s v="Értékpapír f könyvi szlák. - - UB KÜLÖNBÖZET BANKI UTALÁS - -"/>
    <n v="202280"/>
    <x v="1"/>
    <x v="26"/>
    <x v="0"/>
  </r>
  <r>
    <x v="774"/>
    <s v="Oktatási Hivatal MUNKABÉR UTALÁS KARSAI ADRIENN ÁGNES 2462 MARTONVÁSÁR PIPACS utca 6 3 JÓVÁIRÁS"/>
    <n v="258745"/>
    <x v="4"/>
    <x v="20"/>
    <x v="0"/>
  </r>
  <r>
    <x v="774"/>
    <s v="OTPMOBL JEGY.MAV.H 022S4189 0575397 - BANKKARTYA"/>
    <n v="-674"/>
    <x v="5"/>
    <x v="28"/>
    <x v="0"/>
  </r>
  <r>
    <x v="774"/>
    <s v="C&amp;A ALLEE 530. 00062810 2208744 - BANKKARTYA"/>
    <n v="-13055"/>
    <x v="3"/>
    <x v="30"/>
    <x v="0"/>
  </r>
  <r>
    <x v="774"/>
    <s v="DM 233.SZ. 00052685 2224098 - BANKKARTYA"/>
    <n v="-9290"/>
    <x v="3"/>
    <x v="4"/>
    <x v="0"/>
  </r>
  <r>
    <x v="774"/>
    <s v="PRAKTIKER 333. 00019120 3020629 - BANKKARTYA"/>
    <n v="-54483"/>
    <x v="0"/>
    <x v="6"/>
    <x v="0"/>
  </r>
  <r>
    <x v="774"/>
    <s v="PRAKTIKER 333. 00019120 3020634 - BANKKARTYA"/>
    <n v="-147871"/>
    <x v="0"/>
    <x v="6"/>
    <x v="0"/>
  </r>
  <r>
    <x v="774"/>
    <s v="PRAKTIKER 333. 00019118 3020464 - BANKKARTYA"/>
    <n v="-6001"/>
    <x v="0"/>
    <x v="6"/>
    <x v="0"/>
  </r>
  <r>
    <x v="774"/>
    <s v="MARTONCOLOR FESTE'K MARTONVASAR 3.250,00 HUF Vásárlás"/>
    <n v="-3250"/>
    <x v="0"/>
    <x v="6"/>
    <x v="0"/>
  </r>
  <r>
    <x v="774"/>
    <s v="OMV 1934 Salgotarjan 25.769,00 HUF Vásárlás"/>
    <n v="-25769"/>
    <x v="5"/>
    <x v="16"/>
    <x v="0"/>
  </r>
  <r>
    <x v="774"/>
    <s v="LOTTOZO 206 SZ SALGOTARJAN 5.000,00 HUF Vásárlás"/>
    <n v="-5000"/>
    <x v="3"/>
    <x v="8"/>
    <x v="0"/>
  </r>
  <r>
    <x v="774"/>
    <s v="KOMA UZLETHAZ MARTONVASAR 4.970,00 HUF Vásárlás"/>
    <n v="-4970"/>
    <x v="0"/>
    <x v="6"/>
    <x v="0"/>
  </r>
  <r>
    <x v="774"/>
    <s v="XIV. Bp Egressy u. 110. Társas Egressy út 110 a/2/5 közösköltség"/>
    <n v="-28747"/>
    <x v="0"/>
    <x v="56"/>
    <x v="0"/>
  </r>
  <r>
    <x v="775"/>
    <s v="Jutalék SNKFHH8006974672 HS-Számlavezetési díjkedvezmény ONLHSFHH8LAKSAG H03w"/>
    <n v="692"/>
    <x v="1"/>
    <x v="1"/>
    <x v="0"/>
  </r>
  <r>
    <x v="775"/>
    <s v="Jutalék SNKFHH0060049834 HS-Havi számlavezetési díj ONLHSFHH0LAKSAG H05t Bank által megfizetett tranzakciós illeték: 3,60 HUF"/>
    <n v="-1199"/>
    <x v="1"/>
    <x v="1"/>
    <x v="0"/>
  </r>
  <r>
    <x v="775"/>
    <s v="RESERVED ALLEE 56730505 1771513 - BANKKARTYA"/>
    <n v="-4595"/>
    <x v="3"/>
    <x v="30"/>
    <x v="0"/>
  </r>
  <r>
    <x v="776"/>
    <s v="BIJOBOLT.HU EGPE0149 0571753 - BANKKARTYA"/>
    <n v="-3219"/>
    <x v="7"/>
    <x v="5"/>
    <x v="0"/>
  </r>
  <r>
    <x v="776"/>
    <s v="BARIONP BARION.COM 02202681 1928758 - BANKKARTYA"/>
    <n v="-13399"/>
    <x v="7"/>
    <x v="5"/>
    <x v="0"/>
  </r>
  <r>
    <x v="776"/>
    <s v="BARIONP BIOEGESZSE 02204105 1974763 - BANKKARTYA"/>
    <n v="-6369"/>
    <x v="7"/>
    <x v="5"/>
    <x v="0"/>
  </r>
  <r>
    <x v="776"/>
    <s v="MYPROTEIN.COM WPGTID01 0209976 - BANKKARTYA"/>
    <n v="-11666"/>
    <x v="7"/>
    <x v="5"/>
    <x v="0"/>
  </r>
  <r>
    <x v="776"/>
    <s v="MERX A&quot;RUHA&quot;Z 00127000 1982131 - BANKKARTYA"/>
    <n v="-4250"/>
    <x v="3"/>
    <x v="4"/>
    <x v="0"/>
  </r>
  <r>
    <x v="776"/>
    <s v="LIDL ARUHAZ 0306.S HH330608 1060493 - BANKKARTYA"/>
    <n v="-5538"/>
    <x v="3"/>
    <x v="4"/>
    <x v="0"/>
  </r>
  <r>
    <x v="776"/>
    <s v="ALDI 5.SZ. SIA00376 1259780 - BANKKARTYA"/>
    <n v="-2946"/>
    <x v="3"/>
    <x v="4"/>
    <x v="0"/>
  </r>
  <r>
    <x v="776"/>
    <s v="CSASZI2020 KFT. S6921506 0965654 - BANKKARTYA"/>
    <n v="-2164"/>
    <x v="3"/>
    <x v="4"/>
    <x v="0"/>
  </r>
  <r>
    <x v="776"/>
    <s v="eBanking aláíró SMS díj 06. havi elszámolás"/>
    <n v="-72"/>
    <x v="1"/>
    <x v="1"/>
    <x v="0"/>
  </r>
  <r>
    <x v="776"/>
    <s v="MCD EGRESSY BUDAPEST 1.540,00 HUF Vásárlás"/>
    <n v="-1540"/>
    <x v="2"/>
    <x v="2"/>
    <x v="0"/>
  </r>
  <r>
    <x v="777"/>
    <s v="HOZAM 2021. II. NEGYEDÉV"/>
    <n v="621"/>
    <x v="1"/>
    <x v="34"/>
    <x v="8"/>
  </r>
  <r>
    <x v="777"/>
    <s v="Elszámolt kamatössz. Bruttó kamat: 5,25 HUF Levont adó : 0,79 HUF"/>
    <n v="4.46"/>
    <x v="1"/>
    <x v="34"/>
    <x v="0"/>
  </r>
  <r>
    <x v="777"/>
    <s v="KIMENŐ ÁTUTALÁS AZKIG38120372420 10300002-10479831-49020011 Belnatur Közlemény: RSCK02918 Átutaló azonosító: 64485010 Bank által megfizetett tranzakciós illeték: 0,00 HUF"/>
    <n v="-11523"/>
    <x v="7"/>
    <x v="15"/>
    <x v="0"/>
  </r>
  <r>
    <x v="777"/>
    <s v="127.SZ. MAXI 12901753 4503692 - BANKKARTYA"/>
    <n v="-1198"/>
    <x v="3"/>
    <x v="4"/>
    <x v="0"/>
  </r>
  <r>
    <x v="777"/>
    <s v="MARTONCOLOR FESTE&quot; 00109317 0974658 - BANKKARTYA"/>
    <n v="-1200"/>
    <x v="0"/>
    <x v="6"/>
    <x v="0"/>
  </r>
  <r>
    <x v="777"/>
    <s v="YIYA ETREND-KIEGE IEBL3413 6260711 - BANKKARTYA"/>
    <n v="-5090"/>
    <x v="7"/>
    <x v="5"/>
    <x v="0"/>
  </r>
  <r>
    <x v="777"/>
    <s v="Int.Appl. to   30/06/21"/>
    <n v="2.29"/>
    <x v="1"/>
    <x v="1"/>
    <x v="0"/>
  </r>
  <r>
    <x v="777"/>
    <s v="CRT to         30/06/21"/>
    <n v="-0.34"/>
    <x v="1"/>
    <x v="1"/>
    <x v="0"/>
  </r>
  <r>
    <x v="777"/>
    <s v="Int.Appl. to   30/06/21"/>
    <n v="-23.93"/>
    <x v="1"/>
    <x v="1"/>
    <x v="0"/>
  </r>
  <r>
    <x v="777"/>
    <s v="Kamatadó"/>
    <n v="-5.31"/>
    <x v="1"/>
    <x v="34"/>
    <x v="0"/>
  </r>
  <r>
    <x v="777"/>
    <s v="Kamat"/>
    <n v="35.41"/>
    <x v="1"/>
    <x v="34"/>
    <x v="0"/>
  </r>
  <r>
    <x v="778"/>
    <s v="ARTIZAN PEKSEG KAVEZO BUDAPEST 3.430,00 HUF Vásárlás"/>
    <n v="-3430"/>
    <x v="2"/>
    <x v="19"/>
    <x v="0"/>
  </r>
  <r>
    <x v="779"/>
    <s v="Intimissimi 31465378 0706176 - BANKKARTYA"/>
    <n v="-9990"/>
    <x v="8"/>
    <x v="51"/>
    <x v="0"/>
  </r>
  <r>
    <x v="779"/>
    <s v="BUDAI PEKSEG 43220050 0932022 - BANKKARTYA"/>
    <n v="-450"/>
    <x v="2"/>
    <x v="19"/>
    <x v="0"/>
  </r>
  <r>
    <x v="779"/>
    <s v="ALDI 57.SZ. SIA00538 2357618 - BANKKARTYA"/>
    <n v="-1198"/>
    <x v="3"/>
    <x v="4"/>
    <x v="0"/>
  </r>
  <r>
    <x v="779"/>
    <s v="LIBRI A'RKA'D I. BUDAPEST 6.000,00 HUF Vásárlás"/>
    <n v="-6000"/>
    <x v="3"/>
    <x v="24"/>
    <x v="0"/>
  </r>
  <r>
    <x v="779"/>
    <s v="Go Print Arkad Budapest 390,00 HUF Vásárlás"/>
    <n v="-390"/>
    <x v="3"/>
    <x v="8"/>
    <x v="0"/>
  </r>
  <r>
    <x v="779"/>
    <s v="OMV 2075 Budapest Fog 22.888,00 HUF Vásárlás"/>
    <n v="-22888"/>
    <x v="5"/>
    <x v="16"/>
    <x v="0"/>
  </r>
  <r>
    <x v="779"/>
    <s v="NETFLIX.COM 408-724-9160 3.990,00 HUF Vásárlás 13,57 USD"/>
    <n v="-3990"/>
    <x v="0"/>
    <x v="7"/>
    <x v="0"/>
  </r>
  <r>
    <x v="780"/>
    <s v="Netpincer.hu"/>
    <n v="-6370"/>
    <x v="2"/>
    <x v="2"/>
    <x v="4"/>
  </r>
  <r>
    <x v="780"/>
    <s v="UNION VIENNA INSURANCE GROUP BIZTOS Közlemény: Fiz.megb.szám: 0000321330 23385370Élet kár - BEJÖVŐ ÁTUTALÁS"/>
    <n v="1031598"/>
    <x v="1"/>
    <x v="39"/>
    <x v="0"/>
  </r>
  <r>
    <x v="780"/>
    <s v="Jutalék SM305368382 MOBIL HAVI DÍJ (Kártyafigyelő DR) EM5KX8 +36 305368382 06V Bank által megfizetett tranzakciós illeték: 0,22 HUF"/>
    <n v="-74"/>
    <x v="1"/>
    <x v="1"/>
    <x v="0"/>
  </r>
  <r>
    <x v="780"/>
    <s v="Jutalék SM305368382 MOBIL ÜZENET DÍJ (Kártyafigyelő DR) Küldött SMS, 16 Db EM5KX8 +36 305368382 06R Bank által megfizetett tranzakciós illeték: 2,11 HUF"/>
    <n v="-704"/>
    <x v="1"/>
    <x v="1"/>
    <x v="0"/>
  </r>
  <r>
    <x v="781"/>
    <s v="Vásárlás(2021.06.21) MCC5712 HUN-BUDAPEST ALPHABED KFT. 75.000,00 HUF Kártyatranzakció"/>
    <n v="-75000"/>
    <x v="0"/>
    <x v="35"/>
    <x v="0"/>
  </r>
  <r>
    <x v="781"/>
    <s v="OTPMOBL VODAFONE.HU BUDAPEST 3.990,00 HUF Vásárlás"/>
    <n v="-3990"/>
    <x v="0"/>
    <x v="7"/>
    <x v="0"/>
  </r>
  <r>
    <x v="781"/>
    <s v="IKEA ORS VEZER UGYFE Budapest 5.960,00 HUF Vásárlás"/>
    <n v="-5960"/>
    <x v="0"/>
    <x v="6"/>
    <x v="0"/>
  </r>
  <r>
    <x v="781"/>
    <s v="GLOBAL COPY BUDAPEST 780,00 HUF Vásárlás"/>
    <n v="-780"/>
    <x v="3"/>
    <x v="8"/>
    <x v="0"/>
  </r>
  <r>
    <x v="781"/>
    <s v="ALDI 125.SZ. BUDAPEST 3.594,00 HUF Vásárlás"/>
    <n v="-3594"/>
    <x v="3"/>
    <x v="4"/>
    <x v="0"/>
  </r>
  <r>
    <x v="782"/>
    <s v="Bocanova Étterem"/>
    <n v="-15000"/>
    <x v="2"/>
    <x v="10"/>
    <x v="4"/>
  </r>
  <r>
    <x v="782"/>
    <s v="KÁRTÉRÍTÉS JÓVÁÍRÁS"/>
    <n v="19830.55"/>
    <x v="0"/>
    <x v="55"/>
    <x v="0"/>
  </r>
  <r>
    <x v="782"/>
    <s v="Clean-Restarting Kft 200-2021-9072"/>
    <n v="-186000"/>
    <x v="0"/>
    <x v="35"/>
    <x v="0"/>
  </r>
  <r>
    <x v="783"/>
    <s v="JAGUAR LAND ROVER HUNGARY KFT."/>
    <n v="19275"/>
    <x v="4"/>
    <x v="20"/>
    <x v="4"/>
  </r>
  <r>
    <x v="784"/>
    <s v="KIMENŐ ÁTUTALÁS SPETES0132968873 10700268-64485010-54000007 KARSAI ADRIENN ÁGNES Átutaló azonosító: 64485010 Kedvezményezett azonosító: 64485010"/>
    <n v="-1000000"/>
    <x v="1"/>
    <x v="26"/>
    <x v="3"/>
  </r>
  <r>
    <x v="784"/>
    <s v="KIMENŐ ÁTUTALÁS SPETES0132968873 10700268-64485010-54000007 KARSAI ADRIENN ÁGNES Átutaló azonosító: 64485010 Kedvezményezett azonosító: 64485010"/>
    <n v="1000000"/>
    <x v="1"/>
    <x v="26"/>
    <x v="0"/>
  </r>
  <r>
    <x v="784"/>
    <s v="IKEA ORS VEZER BEV 00180107 5016329 - BANKKARTYA"/>
    <n v="-596085"/>
    <x v="0"/>
    <x v="35"/>
    <x v="0"/>
  </r>
  <r>
    <x v="784"/>
    <s v="DM 319.SZ. 00075401 0670159 - BANKKARTYA"/>
    <n v="-5097"/>
    <x v="3"/>
    <x v="4"/>
    <x v="0"/>
  </r>
  <r>
    <x v="784"/>
    <s v="Wolt Magyarorszag 7849494 - BANKKARTYA"/>
    <n v="-4049"/>
    <x v="2"/>
    <x v="2"/>
    <x v="0"/>
  </r>
  <r>
    <x v="784"/>
    <s v="OMV 2075 Budapest Fog 24.864,00 HUF Vásárlás"/>
    <n v="-24864"/>
    <x v="5"/>
    <x v="16"/>
    <x v="0"/>
  </r>
  <r>
    <x v="784"/>
    <s v="IKEA ORS VEZER ETTER Budapest 590,00 HUF Vásárlás"/>
    <n v="-590"/>
    <x v="0"/>
    <x v="35"/>
    <x v="0"/>
  </r>
  <r>
    <x v="784"/>
    <s v="IKEA ORS VEZER ETTER Budapest 2.880,00 HUF Vásárlás"/>
    <n v="-2880"/>
    <x v="0"/>
    <x v="35"/>
    <x v="0"/>
  </r>
  <r>
    <x v="784"/>
    <s v="100FT-OS BOLT BUDAPEST 848,00 HUF Vásárlás"/>
    <n v="-848"/>
    <x v="3"/>
    <x v="4"/>
    <x v="0"/>
  </r>
  <r>
    <x v="784"/>
    <s v="374 COOP SZUPER BUDAPEST 2.567,00 HUF Vásárlás"/>
    <n v="-2567"/>
    <x v="3"/>
    <x v="4"/>
    <x v="0"/>
  </r>
  <r>
    <x v="784"/>
    <s v="OTPMOBL MEDIAMARKT.HU BUDAPEST 139.406,00 HUF Vásárlás"/>
    <n v="-139406"/>
    <x v="0"/>
    <x v="35"/>
    <x v="0"/>
  </r>
  <r>
    <x v="784"/>
    <s v="Elmű-Émász Energiaszolgáltató Zr 984340183720626005404255"/>
    <n v="-4929"/>
    <x v="0"/>
    <x v="11"/>
    <x v="0"/>
  </r>
  <r>
    <x v="785"/>
    <s v="Navigátor díj 2021/07"/>
    <n v="-100"/>
    <x v="1"/>
    <x v="1"/>
    <x v="8"/>
  </r>
  <r>
    <x v="785"/>
    <s v="374 COOP SZUPER BUDAPEST 1.037,00 HUF Vásárlás"/>
    <n v="-1037"/>
    <x v="3"/>
    <x v="4"/>
    <x v="0"/>
  </r>
  <r>
    <x v="785"/>
    <s v="Clean-Restarting Kft 200-2021-8988"/>
    <n v="-252000"/>
    <x v="0"/>
    <x v="35"/>
    <x v="0"/>
  </r>
  <r>
    <x v="786"/>
    <s v="Netpincer.hu"/>
    <n v="-2390"/>
    <x v="2"/>
    <x v="2"/>
    <x v="4"/>
  </r>
  <r>
    <x v="786"/>
    <s v="OTP MARTONVASAR 19.000,00 HUF Kp felvét"/>
    <n v="19000"/>
    <x v="8"/>
    <x v="43"/>
    <x v="2"/>
  </r>
  <r>
    <x v="786"/>
    <s v="OTP MARTONVASAR 19.000,00 HUF Kp felvét"/>
    <n v="-19000"/>
    <x v="8"/>
    <x v="43"/>
    <x v="0"/>
  </r>
  <r>
    <x v="787"/>
    <s v="ALDI 125.SZ. BUDAPEST 3.533,00 HUF Vásárlás"/>
    <n v="-3533"/>
    <x v="3"/>
    <x v="4"/>
    <x v="0"/>
  </r>
  <r>
    <x v="788"/>
    <s v="VISION EXPRESS 513 00022486 2223426 - BANKKARTYA"/>
    <n v="-9552"/>
    <x v="7"/>
    <x v="27"/>
    <x v="0"/>
  </r>
  <r>
    <x v="788"/>
    <s v="VISION EXPRESS 513 00022486 2223425 - BANKKARTYA"/>
    <n v="-3032"/>
    <x v="7"/>
    <x v="27"/>
    <x v="0"/>
  </r>
  <r>
    <x v="788"/>
    <s v="LIDL ARUHAZ 0167.SZ. BUDAPEST 11.205,00 HUF Vásárlás"/>
    <n v="-11205"/>
    <x v="3"/>
    <x v="4"/>
    <x v="0"/>
  </r>
  <r>
    <x v="788"/>
    <s v="TESCO 41400 O NKISZOLG BUDAPEST 1.796,00 HUF Vásárlás"/>
    <n v="-1796"/>
    <x v="3"/>
    <x v="4"/>
    <x v="0"/>
  </r>
  <r>
    <x v="788"/>
    <s v="OTPMOBL TELEKOM1095 BUDAPEST 5.000,00 HUF Vásárlás"/>
    <n v="-5000"/>
    <x v="3"/>
    <x v="46"/>
    <x v="0"/>
  </r>
  <r>
    <x v="788"/>
    <s v="LIDL ARUHAZ 0314.SZ. SALGOTARJAN 4.857,00 HUF Vásárlás"/>
    <n v="-4857"/>
    <x v="3"/>
    <x v="4"/>
    <x v="0"/>
  </r>
  <r>
    <x v="788"/>
    <s v="Cafe Frei ARKAD Budapest 1.850,00 HUF Vásárlás"/>
    <n v="-1850"/>
    <x v="2"/>
    <x v="19"/>
    <x v="0"/>
  </r>
  <r>
    <x v="788"/>
    <s v="XXXLUTZ E'TTEREM BA BUDAPEST 4.700,00 HUF Vásárlás"/>
    <n v="-4700"/>
    <x v="2"/>
    <x v="2"/>
    <x v="0"/>
  </r>
  <r>
    <x v="788"/>
    <s v="XXXLUTZ LEHEL U. BUDAPEST 3.839,00 HUF Vásárlás"/>
    <n v="-3839"/>
    <x v="0"/>
    <x v="0"/>
    <x v="0"/>
  </r>
  <r>
    <x v="788"/>
    <s v="TESCO 41400 O NKISZOLG BUDAPEST 10.557,00 HUF Vásárlás"/>
    <n v="-10557"/>
    <x v="3"/>
    <x v="4"/>
    <x v="0"/>
  </r>
  <r>
    <x v="788"/>
    <s v="DM 393. BUDAPEST 4.095,00 HUF Vásárlás"/>
    <n v="-4095"/>
    <x v="3"/>
    <x v="4"/>
    <x v="0"/>
  </r>
  <r>
    <x v="789"/>
    <s v="BURGER KING BUDAO RS BUDAORS 2.960,00 HUF Vásárlás"/>
    <n v="-2960"/>
    <x v="2"/>
    <x v="2"/>
    <x v="0"/>
  </r>
  <r>
    <x v="790"/>
    <s v="PL:DI/10JUN21 Kamatfizetés - Hitel /21-41194/"/>
    <n v="-18027.77"/>
    <x v="0"/>
    <x v="21"/>
    <x v="0"/>
  </r>
  <r>
    <x v="790"/>
    <s v="KIMENŐ ÁTUTALÁS AZKIG38115448487 11773054-00328557-00000000 Greff Brigitta Közlemény: D-GB-128 Átutaló azonosító: 64485010 Bank által megfizetett tranzakciós illeték: 165,00 HUF"/>
    <n v="-75000"/>
    <x v="7"/>
    <x v="17"/>
    <x v="0"/>
  </r>
  <r>
    <x v="790"/>
    <s v="Delivery Hero Hung 7052585 - BANKKARTYA"/>
    <n v="-3240"/>
    <x v="2"/>
    <x v="2"/>
    <x v="0"/>
  </r>
  <r>
    <x v="790"/>
    <s v="Vásárlás(2021.06.08) MCC5411 HUN-BUDAPEST ALDI 125.SZ. 5.539,00 HUF Kártyatranzakció"/>
    <n v="-5539"/>
    <x v="3"/>
    <x v="4"/>
    <x v="0"/>
  </r>
  <r>
    <x v="790"/>
    <s v="SPAR 0190 BUDAPEST 2.598,00 HUF Vásárlás"/>
    <n v="-2598"/>
    <x v="3"/>
    <x v="4"/>
    <x v="0"/>
  </r>
  <r>
    <x v="790"/>
    <s v="JAGUAR LAND ROVER HUNGARY KFT. Munkaber utalasMunkabér"/>
    <n v="673456"/>
    <x v="4"/>
    <x v="20"/>
    <x v="0"/>
  </r>
  <r>
    <x v="791"/>
    <s v="BENU URANUS PATIKA 00071070 2639731 - BANKKARTYA"/>
    <n v="-11620"/>
    <x v="7"/>
    <x v="5"/>
    <x v="0"/>
  </r>
  <r>
    <x v="791"/>
    <s v="OMV 2075 Budapest Fog 21.788,00 HUF Vásárlás"/>
    <n v="-21788"/>
    <x v="5"/>
    <x v="16"/>
    <x v="0"/>
  </r>
  <r>
    <x v="791"/>
    <s v="JOEFALAT CATERING BUDAPEST 1.400,00 HUF Vásárlás"/>
    <n v="-1400"/>
    <x v="2"/>
    <x v="2"/>
    <x v="0"/>
  </r>
  <r>
    <x v="791"/>
    <s v="BKK AUTOMATA - D22 BUDAPEST 3.000,00 HUF Vásárlás"/>
    <n v="-3000"/>
    <x v="5"/>
    <x v="28"/>
    <x v="0"/>
  </r>
  <r>
    <x v="792"/>
    <s v="2021.06. havi Adókedvezmény befizetés"/>
    <n v="116200"/>
    <x v="1"/>
    <x v="50"/>
    <x v="8"/>
  </r>
  <r>
    <x v="792"/>
    <s v="OYSHO ARENA 80003392 1602443 - BANKKARTYA"/>
    <n v="-8995"/>
    <x v="8"/>
    <x v="51"/>
    <x v="0"/>
  </r>
  <r>
    <x v="792"/>
    <s v="Lipoti Pekseg Budapest 690,00 HUF Vásárlás"/>
    <n v="-690"/>
    <x v="2"/>
    <x v="19"/>
    <x v="0"/>
  </r>
  <r>
    <x v="792"/>
    <s v="RONI ABC BUDAPEST 1.088,00 HUF Vásárlás"/>
    <n v="-1088"/>
    <x v="3"/>
    <x v="4"/>
    <x v="0"/>
  </r>
  <r>
    <x v="793"/>
    <s v="Wolt 2142585 - BANKKARTYA"/>
    <n v="-6299"/>
    <x v="2"/>
    <x v="2"/>
    <x v="0"/>
  </r>
  <r>
    <x v="793"/>
    <s v="LIBRI ARE'NA BUDAPEST 10.000,00 HUF Vásárlás"/>
    <n v="-10000"/>
    <x v="3"/>
    <x v="8"/>
    <x v="0"/>
  </r>
  <r>
    <x v="793"/>
    <s v="TESCO 41014 BUDAPEST 5.767,00 HUF Vásárlás"/>
    <n v="-5767"/>
    <x v="3"/>
    <x v="4"/>
    <x v="0"/>
  </r>
  <r>
    <x v="793"/>
    <s v="BOMBOLONI BUDAPEST 2.760,00 HUF Vásárlás"/>
    <n v="-2760"/>
    <x v="2"/>
    <x v="19"/>
    <x v="0"/>
  </r>
  <r>
    <x v="793"/>
    <s v="Hetti-Ker. Kft. BUDAPEST 1.610,00 HUF Vásárlás"/>
    <n v="-1610"/>
    <x v="2"/>
    <x v="19"/>
    <x v="0"/>
  </r>
  <r>
    <x v="793"/>
    <s v="Értékpapír f könyvi szlák. - - UB KÜLÖNBÖZET BANKI UTALÁS - mak -"/>
    <n v="252050"/>
    <x v="1"/>
    <x v="53"/>
    <x v="0"/>
  </r>
  <r>
    <x v="793"/>
    <s v="Értékpapír f könyvi szlák. - - UB KÜLÖNBÖZET BANKI UTALÁS - mak -"/>
    <n v="-252050"/>
    <x v="1"/>
    <x v="53"/>
    <x v="6"/>
  </r>
  <r>
    <x v="794"/>
    <s v="Oktatási Hivatal MUNKABÉR UTALÁS KARSAI ADRIENN ÁGNES 2462 MARTONVÁSÁR PIPACS utca 6 3 JÓVÁIRÁS"/>
    <n v="266000"/>
    <x v="4"/>
    <x v="20"/>
    <x v="0"/>
  </r>
  <r>
    <x v="794"/>
    <s v="KIMENŐ ÁTUTALÁS AZKIG38113642998 10300002-10479831-49020011 Belnatur Közlemény: 5WPK02841 Átutaló azonosító: 64485010 Bank által megfizetett tranzakciós illeték: 0,69 HUF"/>
    <n v="-20230"/>
    <x v="7"/>
    <x v="15"/>
    <x v="0"/>
  </r>
  <r>
    <x v="794"/>
    <s v="KIMENŐ ÁTUTALÁS AZKIG38113648111 10800007-60000000-14870008 Notino Közlemény: 65472478 Átutaló azonosító: 64485010 Bank által megfizetett tranzakciós illeték: 0,00 HUF"/>
    <n v="-8180"/>
    <x v="7"/>
    <x v="15"/>
    <x v="0"/>
  </r>
  <r>
    <x v="794"/>
    <s v="KIMENŐ ÁTUTALÁS AZKIG38113944344 11705008-22538541-00000000 Skinsmart Közlemény: 100303400 Átutaló azonosító: 64485010 Bank által megfizetett tranzakciós illeték: 0,00 HUF"/>
    <n v="-15390"/>
    <x v="7"/>
    <x v="15"/>
    <x v="0"/>
  </r>
  <r>
    <x v="794"/>
    <s v="374 COOP SZUPER BUDAPEST 1.037,00 HUF Vásárlás"/>
    <n v="-1037"/>
    <x v="3"/>
    <x v="4"/>
    <x v="0"/>
  </r>
  <r>
    <x v="795"/>
    <s v="Tájfun Biliárdszalon és Étterem"/>
    <n v="-2980"/>
    <x v="2"/>
    <x v="2"/>
    <x v="4"/>
  </r>
  <r>
    <x v="795"/>
    <s v="ALDI 125.SZ. BUDAPEST 2.765,00 HUF Vásárlás"/>
    <n v="-2765"/>
    <x v="3"/>
    <x v="4"/>
    <x v="0"/>
  </r>
  <r>
    <x v="795"/>
    <s v="Paris Attila HBO apr-szept"/>
    <n v="-3600"/>
    <x v="0"/>
    <x v="7"/>
    <x v="0"/>
  </r>
  <r>
    <x v="796"/>
    <s v="Jutalék SNKFHH0059824212 HS-Havi számlavezetési díj ONLHSFHH0LAKSAG H05z Bank által megfizetett tranzakciós illeték: 3,60 HUF"/>
    <n v="-1199"/>
    <x v="1"/>
    <x v="1"/>
    <x v="0"/>
  </r>
  <r>
    <x v="797"/>
    <s v="21/41194 Átvezetés fedezeti szlára"/>
    <n v="-27500000"/>
    <x v="0"/>
    <x v="21"/>
    <x v="1"/>
  </r>
  <r>
    <x v="797"/>
    <s v="21/41194 Átvezetés fedezeti szlára"/>
    <n v="-27500000"/>
    <x v="0"/>
    <x v="21"/>
    <x v="0"/>
  </r>
  <r>
    <x v="797"/>
    <s v="ÁTVEZETÉS FEDEZETI SZLÁRA"/>
    <n v="-600000"/>
    <x v="0"/>
    <x v="21"/>
    <x v="0"/>
  </r>
  <r>
    <x v="797"/>
    <s v="CSOK - 0001140916 CSOK KIUTALT"/>
    <n v="600000"/>
    <x v="0"/>
    <x v="21"/>
    <x v="0"/>
  </r>
  <r>
    <x v="797"/>
    <s v="ÁTVEZETÉS FEDEZETI SZLÁRA"/>
    <n v="600000"/>
    <x v="0"/>
    <x v="21"/>
    <x v="1"/>
  </r>
  <r>
    <x v="797"/>
    <s v="21/41194 Folyósítás"/>
    <n v="27500000"/>
    <x v="0"/>
    <x v="21"/>
    <x v="0"/>
  </r>
  <r>
    <x v="797"/>
    <s v="KI'NAI BU FE' BUDAPEST 1.000,00 HUF Vásárlás"/>
    <n v="-1000"/>
    <x v="2"/>
    <x v="2"/>
    <x v="0"/>
  </r>
  <r>
    <x v="798"/>
    <s v="Elszámolt kamatössz. Bruttó kamat: 2,04 HUF Levont adó : 0,31 HUF"/>
    <n v="1.73"/>
    <x v="1"/>
    <x v="34"/>
    <x v="0"/>
  </r>
  <r>
    <x v="798"/>
    <s v="OTP 84002211 9563741 Bank által megfizetett tranzakciós illeték: 300,00 HUF - BANKKARTYA"/>
    <n v="50000"/>
    <x v="8"/>
    <x v="43"/>
    <x v="2"/>
  </r>
  <r>
    <x v="798"/>
    <s v="OTP 84002211 9563741 Bank által megfizetett tranzakciós illeték: 300,00 HUF - BANKKARTYA"/>
    <n v="-50000"/>
    <x v="8"/>
    <x v="43"/>
    <x v="0"/>
  </r>
  <r>
    <x v="798"/>
    <s v="OTPMOBL JEGY.MAV.H 022S4189 1715858 - BANKKARTYA"/>
    <n v="-293"/>
    <x v="5"/>
    <x v="28"/>
    <x v="0"/>
  </r>
  <r>
    <x v="798"/>
    <s v="LIDL ARUHAZ 0314.SZ. SALGOTARJAN 10.636,00 HUF Vásárlás"/>
    <n v="-10636"/>
    <x v="3"/>
    <x v="4"/>
    <x v="0"/>
  </r>
  <r>
    <x v="798"/>
    <s v="STOKLASA.HU KRAVARE 24,87 EUR Vásárlás 30,47 USD 293.0500"/>
    <n v="-8929.23"/>
    <x v="8"/>
    <x v="51"/>
    <x v="0"/>
  </r>
  <r>
    <x v="798"/>
    <s v="6HDFA=SIMPLE KARTYAREG BUDAPEST 100,00 HUF Vásárlás"/>
    <n v="100"/>
    <x v="1"/>
    <x v="39"/>
    <x v="0"/>
  </r>
  <r>
    <x v="799"/>
    <s v="NETFLIX.COM 408-724-9160 3.990,00 HUF Vásárlás 13,94 USD"/>
    <n v="-3990"/>
    <x v="0"/>
    <x v="7"/>
    <x v="0"/>
  </r>
  <r>
    <x v="800"/>
    <s v="LIDL ARUHAZ 0167.S HH316705 0979234 - BANKKARTYA"/>
    <n v="-6722"/>
    <x v="3"/>
    <x v="4"/>
    <x v="0"/>
  </r>
  <r>
    <x v="800"/>
    <s v="ALDI 125.SZ. SIA02950 1218206 - BANKKARTYA"/>
    <n v="-5496"/>
    <x v="3"/>
    <x v="4"/>
    <x v="0"/>
  </r>
  <r>
    <x v="800"/>
    <s v="FMKH SZFVA'R SZEKESFEHERV 12.600,00 HUF Vásárlás"/>
    <n v="-12600"/>
    <x v="0"/>
    <x v="55"/>
    <x v="0"/>
  </r>
  <r>
    <x v="800"/>
    <s v="CAS6W=SIMPLE KARTYAREG BUDAPEST 100,00 HUF Vásárlás"/>
    <n v="-100"/>
    <x v="1"/>
    <x v="39"/>
    <x v="0"/>
  </r>
  <r>
    <x v="800"/>
    <s v="TELEKOMFELT 389036814 BUDAPEST 5.000,00 HUF Vásárlás 17,55 USD"/>
    <n v="-5000"/>
    <x v="3"/>
    <x v="46"/>
    <x v="0"/>
  </r>
  <r>
    <x v="801"/>
    <s v="Kemal Pasa"/>
    <n v="-1450"/>
    <x v="2"/>
    <x v="2"/>
    <x v="4"/>
  </r>
  <r>
    <x v="801"/>
    <s v="OTPMOBL VODAFONE.HU BUDAPEST 3.990,00 HUF Vásárlás"/>
    <n v="-3990"/>
    <x v="0"/>
    <x v="7"/>
    <x v="0"/>
  </r>
  <r>
    <x v="801"/>
    <s v="OMV 2075 Budapest Fog 21.737,00 HUF Vásárlás"/>
    <n v="-21737"/>
    <x v="3"/>
    <x v="4"/>
    <x v="0"/>
  </r>
  <r>
    <x v="801"/>
    <s v="Kozjegyzoi Iroda Budapest 73.604,00 HUF Vásárlás"/>
    <n v="-73604"/>
    <x v="0"/>
    <x v="55"/>
    <x v="0"/>
  </r>
  <r>
    <x v="802"/>
    <s v="Jutalék SM305368382 MOBIL HAVI DÍJ (Kártyafigyelő DR) EM5KX8 +36 305368382 0K7 Bank által megfizetett tranzakciós illeték: 0,22 HUF"/>
    <n v="-72"/>
    <x v="1"/>
    <x v="1"/>
    <x v="0"/>
  </r>
  <r>
    <x v="802"/>
    <s v="Jutalék SM305368382 MOBIL ÜZENET DÍJ (Kártyafigyelő DR) Küldött SMS, 19 Db EM5KX8 +36 305368382 0KF Bank által megfizetett tranzakciós illeték: 2,45 HUF"/>
    <n v="-817"/>
    <x v="1"/>
    <x v="1"/>
    <x v="0"/>
  </r>
  <r>
    <x v="802"/>
    <s v="OTPMOBL SKINSMART. 022P6518 1934294 - BANKKARTYA"/>
    <n v="-12120"/>
    <x v="7"/>
    <x v="15"/>
    <x v="0"/>
  </r>
  <r>
    <x v="802"/>
    <s v="ALDI 125.SZ. BUDAPEST 199,00 HUF Vásárlás"/>
    <n v="-199"/>
    <x v="3"/>
    <x v="4"/>
    <x v="0"/>
  </r>
  <r>
    <x v="802"/>
    <s v="OTPMOBL GENERALI.HU BUDAPEST 22.258,00 HUF Vásárlás"/>
    <n v="-22258"/>
    <x v="0"/>
    <x v="47"/>
    <x v="0"/>
  </r>
  <r>
    <x v="802"/>
    <s v="TESCO 41400 O NKISZOLG BUDAPEST 19.575,00 HUF Vásárlás"/>
    <n v="-19575"/>
    <x v="3"/>
    <x v="4"/>
    <x v="0"/>
  </r>
  <r>
    <x v="803"/>
    <s v="Burger King Étterem Hungária"/>
    <n v="-5200"/>
    <x v="2"/>
    <x v="2"/>
    <x v="4"/>
  </r>
  <r>
    <x v="804"/>
    <s v="Tájfun Biliárdszalon és Étterem"/>
    <n v="-1490"/>
    <x v="2"/>
    <x v="2"/>
    <x v="4"/>
  </r>
  <r>
    <x v="804"/>
    <s v="JAGUAR LAND ROVER HUNGARY KFT."/>
    <n v="19275"/>
    <x v="4"/>
    <x v="20"/>
    <x v="4"/>
  </r>
  <r>
    <x v="804"/>
    <s v="374 COOP SZUPER 43223725 3103836 - BANKKARTYA"/>
    <n v="-918"/>
    <x v="3"/>
    <x v="4"/>
    <x v="0"/>
  </r>
  <r>
    <x v="804"/>
    <s v="WELMAX DIVAT U ZLE 00066024 2567324 - BANKKARTYA"/>
    <n v="-919"/>
    <x v="3"/>
    <x v="4"/>
    <x v="0"/>
  </r>
  <r>
    <x v="804"/>
    <s v="TESCO 41400 O NKISZOLG BUDAPEST 5.692,00 HUF Vásárlás"/>
    <n v="-5692"/>
    <x v="3"/>
    <x v="4"/>
    <x v="0"/>
  </r>
  <r>
    <x v="805"/>
    <s v="Express One Hungary Kf Budapest 3.850,00 HUF Vásárlás"/>
    <n v="-3850"/>
    <x v="8"/>
    <x v="51"/>
    <x v="0"/>
  </r>
  <r>
    <x v="806"/>
    <s v="Navigátor díj 2021/06"/>
    <n v="-100"/>
    <x v="1"/>
    <x v="1"/>
    <x v="8"/>
  </r>
  <r>
    <x v="806"/>
    <s v="IKEA ORS VEZER ETT 00180512 7020103 - BANKKARTYA"/>
    <n v="-5270"/>
    <x v="0"/>
    <x v="35"/>
    <x v="0"/>
  </r>
  <r>
    <x v="806"/>
    <s v="ALDI 125.SZ. BUDAPEST 1.254,00 HUF Vásárlás"/>
    <n v="-1254"/>
    <x v="3"/>
    <x v="4"/>
    <x v="0"/>
  </r>
  <r>
    <x v="806"/>
    <s v="Kiskifli kavezo Budapest 650,00 HUF Vásárlás"/>
    <n v="-650"/>
    <x v="2"/>
    <x v="19"/>
    <x v="0"/>
  </r>
  <r>
    <x v="806"/>
    <s v="Gábor Lívia Czuprik-Karsai - ingatlan"/>
    <n v="-5500000"/>
    <x v="0"/>
    <x v="55"/>
    <x v="0"/>
  </r>
  <r>
    <x v="807"/>
    <s v="Wolt 4281494 - BANKKARTYA"/>
    <n v="-4599"/>
    <x v="2"/>
    <x v="2"/>
    <x v="0"/>
  </r>
  <r>
    <x v="807"/>
    <s v="PAYPAL ALIPAYSINGA AL 35314369001 4,61 USD Vásárlás 4,61 USD 295.6900"/>
    <n v="-1363.13"/>
    <x v="8"/>
    <x v="51"/>
    <x v="0"/>
  </r>
  <r>
    <x v="807"/>
    <s v="PAYPAL ALIPAYSINGA AL 35314369001 15,31 USD Vásárlás 15,31 USD 295.6900"/>
    <n v="-4527.01"/>
    <x v="8"/>
    <x v="51"/>
    <x v="0"/>
  </r>
  <r>
    <x v="807"/>
    <s v="XIV. Bp Egressy u. 110. Társas Közös költség Egressy út 110 a/2/5"/>
    <n v="-28217"/>
    <x v="0"/>
    <x v="56"/>
    <x v="0"/>
  </r>
  <r>
    <x v="807"/>
    <s v="Értékpapír f könyvi szlák. - - UB KÜLÖNBÖZET BANKI UTALÁS - -"/>
    <n v="-3523450"/>
    <x v="1"/>
    <x v="26"/>
    <x v="3"/>
  </r>
  <r>
    <x v="807"/>
    <s v="Értékpapír f könyvi szlák. - - UB KÜLÖNBÖZET BANKI UTALÁS - -"/>
    <n v="3523450"/>
    <x v="1"/>
    <x v="26"/>
    <x v="0"/>
  </r>
  <r>
    <x v="808"/>
    <s v="KIMENŐ ÁTUTALÁS AZKIG38109258031 12011856-01700264-00100003 Medconnexus Medical Közlemény: 2021/01025 Átutaló azonosító: 64485010 Bank által megfizetett tranzakciós illeték: 144,21 HUF"/>
    <n v="-68070"/>
    <x v="7"/>
    <x v="17"/>
    <x v="0"/>
  </r>
  <r>
    <x v="808"/>
    <s v="Delivery Hero Hung 9324873 - BANKKARTYA"/>
    <n v="-3240"/>
    <x v="2"/>
    <x v="2"/>
    <x v="0"/>
  </r>
  <r>
    <x v="808"/>
    <s v="OTP BUDAPEST 100.000,00 HUF Kp felvét"/>
    <n v="-784"/>
    <x v="1"/>
    <x v="1"/>
    <x v="0"/>
  </r>
  <r>
    <x v="808"/>
    <s v="OMV 2075 Budapest Fog 23.021,00 HUF Vásárlás"/>
    <n v="-23021"/>
    <x v="5"/>
    <x v="16"/>
    <x v="0"/>
  </r>
  <r>
    <x v="808"/>
    <s v="OTP BUDAPEST 100.000,00 HUF Kp felvét"/>
    <n v="100000"/>
    <x v="8"/>
    <x v="43"/>
    <x v="2"/>
  </r>
  <r>
    <x v="808"/>
    <s v="OTP BUDAPEST 100.000,00 HUF Kp felvét"/>
    <n v="100000"/>
    <x v="8"/>
    <x v="43"/>
    <x v="2"/>
  </r>
  <r>
    <x v="808"/>
    <s v="OTP BUDAPEST 100.000,00 HUF Kp felvét"/>
    <n v="-100000"/>
    <x v="8"/>
    <x v="43"/>
    <x v="0"/>
  </r>
  <r>
    <x v="808"/>
    <s v="OTP BUDAPEST 100.000,00 HUF Kp felvét"/>
    <n v="-100000"/>
    <x v="8"/>
    <x v="43"/>
    <x v="0"/>
  </r>
  <r>
    <x v="808"/>
    <s v="OTP BUDAPEST 100.000,00 HUF Kp felvét"/>
    <n v="-110000"/>
    <x v="0"/>
    <x v="57"/>
    <x v="2"/>
  </r>
  <r>
    <x v="808"/>
    <s v="Go Print Arkad Budapest 525,00 HUF Vásárlás"/>
    <n v="-525"/>
    <x v="0"/>
    <x v="55"/>
    <x v="0"/>
  </r>
  <r>
    <x v="808"/>
    <s v="SPAR SALGOTARJAN 13.799,00 HUF Vásárlás"/>
    <n v="-13799"/>
    <x v="3"/>
    <x v="4"/>
    <x v="0"/>
  </r>
  <r>
    <x v="808"/>
    <s v="ALDI 125.SZ. BUDAPEST 1.018,00 HUF Vásárlás"/>
    <n v="-1018"/>
    <x v="3"/>
    <x v="4"/>
    <x v="0"/>
  </r>
  <r>
    <x v="808"/>
    <s v="Elmű-Émász Energiaszolgáltató Zr 984390109512226005404250"/>
    <n v="-6748"/>
    <x v="0"/>
    <x v="11"/>
    <x v="0"/>
  </r>
  <r>
    <x v="809"/>
    <s v="OMV 2086 M7 Kajaszo j 4.842,00 HUF Vásárlás"/>
    <n v="-4842"/>
    <x v="5"/>
    <x v="16"/>
    <x v="0"/>
  </r>
  <r>
    <x v="809"/>
    <s v="Banki reklám"/>
    <n v="2000"/>
    <x v="1"/>
    <x v="1"/>
    <x v="0"/>
  </r>
  <r>
    <x v="810"/>
    <s v="Kemal Pasa"/>
    <n v="-1800"/>
    <x v="2"/>
    <x v="2"/>
    <x v="4"/>
  </r>
  <r>
    <x v="810"/>
    <s v="TERMELO'I TEJBOLT 00143534 2215753 - BANKKARTYA"/>
    <n v="-2570"/>
    <x v="3"/>
    <x v="4"/>
    <x v="0"/>
  </r>
  <r>
    <x v="810"/>
    <s v="TESCO 41400 O NKISZOLG BUDAPEST 10.828,00 HUF Vásárlás"/>
    <n v="-10828"/>
    <x v="3"/>
    <x v="4"/>
    <x v="0"/>
  </r>
  <r>
    <x v="811"/>
    <s v="CZUPRIK GÁBOR Közlemény: Gergő ajándék - BEJÖVŐ ÁTUTALÁS"/>
    <n v="20000"/>
    <x v="3"/>
    <x v="8"/>
    <x v="0"/>
  </r>
  <r>
    <x v="812"/>
    <s v="KFC Árkád"/>
    <n v="-5150"/>
    <x v="2"/>
    <x v="2"/>
    <x v="4"/>
  </r>
  <r>
    <x v="812"/>
    <s v="S.N.K.ARDACO KFT. 43230405 4830421 - BANKKARTYA"/>
    <n v="-1370"/>
    <x v="8"/>
    <x v="51"/>
    <x v="0"/>
  </r>
  <r>
    <x v="812"/>
    <s v="Etsy.com - PrinceC 9840872 - BANKKARTYA"/>
    <n v="-8846.49"/>
    <x v="8"/>
    <x v="51"/>
    <x v="0"/>
  </r>
  <r>
    <x v="812"/>
    <s v="Sütizz Kft. Budapest 7.280,00 HUF Vásárlás"/>
    <n v="-7280"/>
    <x v="2"/>
    <x v="19"/>
    <x v="0"/>
  </r>
  <r>
    <x v="812"/>
    <s v="TESCO 41400 BUDAPEST 4.409,00 HUF Vásárlás"/>
    <n v="-4409"/>
    <x v="3"/>
    <x v="4"/>
    <x v="0"/>
  </r>
  <r>
    <x v="812"/>
    <s v="374 COOP SZUPER BUDAPEST 568,00 HUF Vásárlás"/>
    <n v="-568"/>
    <x v="3"/>
    <x v="4"/>
    <x v="0"/>
  </r>
  <r>
    <x v="812"/>
    <s v="JAGUAR LAND ROVER HUNGARY KFT. Munkaber utalasMunkabér"/>
    <n v="668960"/>
    <x v="4"/>
    <x v="20"/>
    <x v="0"/>
  </r>
  <r>
    <x v="812"/>
    <s v="Fur Elise Karsai-Czuprik"/>
    <n v="-250000"/>
    <x v="8"/>
    <x v="51"/>
    <x v="0"/>
  </r>
  <r>
    <x v="813"/>
    <s v="Wolt 2207872 - BANKKARTYA"/>
    <n v="-6499"/>
    <x v="2"/>
    <x v="2"/>
    <x v="0"/>
  </r>
  <r>
    <x v="814"/>
    <s v="ALDI 125.SZ. SIA02950 2193692 - BANKKARTYA"/>
    <n v="-2822"/>
    <x v="3"/>
    <x v="4"/>
    <x v="0"/>
  </r>
  <r>
    <x v="814"/>
    <s v="NEMZETI DOHA'NYBOLT BUDAPEST 499,00 HUF Vásárlás"/>
    <n v="-499"/>
    <x v="3"/>
    <x v="4"/>
    <x v="0"/>
  </r>
  <r>
    <x v="815"/>
    <s v="Oktatási Hivatal MUNKABÉR UTALÁS KARSAI ADRIENN ÁGNES 2462 MARTONVÁSÁR PIPACS utca 6 3 JÓVÁIRÁS"/>
    <n v="266000"/>
    <x v="4"/>
    <x v="20"/>
    <x v="0"/>
  </r>
  <r>
    <x v="815"/>
    <s v="PETER MATYAS 22289107 0000734 - BANKKARTYA"/>
    <n v="-10000"/>
    <x v="7"/>
    <x v="13"/>
    <x v="0"/>
  </r>
  <r>
    <x v="815"/>
    <s v="SPAR 5190 BUDAPEST 504,00 HUF Vásárlás"/>
    <n v="-504"/>
    <x v="3"/>
    <x v="4"/>
    <x v="0"/>
  </r>
  <r>
    <x v="815"/>
    <s v="Árkád Cukrászda Budapest 1.400,00 HUF Vásárlás"/>
    <n v="-1400"/>
    <x v="2"/>
    <x v="19"/>
    <x v="0"/>
  </r>
  <r>
    <x v="815"/>
    <s v="Zsombolyay Balazs Czuprik-Eskuvo"/>
    <n v="-30000"/>
    <x v="8"/>
    <x v="51"/>
    <x v="0"/>
  </r>
  <r>
    <x v="816"/>
    <s v="HS-Számlavezetési díjkedvezmény"/>
    <n v="692"/>
    <x v="1"/>
    <x v="1"/>
    <x v="0"/>
  </r>
  <r>
    <x v="816"/>
    <s v="Jutalék SNKFHH0059645162 HS-Havi számlavezetési díj ONLHSFHH0LAKSAG H05w Bank által megfizetett tranzakciós illeték: 3,60 HUF"/>
    <n v="-1199"/>
    <x v="1"/>
    <x v="1"/>
    <x v="0"/>
  </r>
  <r>
    <x v="816"/>
    <s v="374 COOP SZUPER 43223724 5504113 - BANKKARTYA"/>
    <n v="-897"/>
    <x v="3"/>
    <x v="4"/>
    <x v="0"/>
  </r>
  <r>
    <x v="816"/>
    <s v="ALDI 125.SZ. SIA02952 1102130 - BANKKARTYA"/>
    <n v="-6010"/>
    <x v="3"/>
    <x v="4"/>
    <x v="0"/>
  </r>
  <r>
    <x v="816"/>
    <s v="OMV 2075 Budapest Fog 22.850,00 HUF Vásárlás"/>
    <n v="-22850"/>
    <x v="5"/>
    <x v="16"/>
    <x v="0"/>
  </r>
  <r>
    <x v="817"/>
    <s v="Burger King Étterem Hungária"/>
    <n v="-3290"/>
    <x v="2"/>
    <x v="2"/>
    <x v="4"/>
  </r>
  <r>
    <x v="818"/>
    <s v="TESCO 41400 O NKISZOLG BUDAPEST 17.708,00 HUF Vásárlás"/>
    <n v="-17708"/>
    <x v="3"/>
    <x v="4"/>
    <x v="0"/>
  </r>
  <r>
    <x v="819"/>
    <s v="Netpincer.hu"/>
    <n v="-2390"/>
    <x v="2"/>
    <x v="2"/>
    <x v="4"/>
  </r>
  <r>
    <x v="819"/>
    <s v="Navigátor díj 2021/05"/>
    <n v="-100"/>
    <x v="1"/>
    <x v="1"/>
    <x v="8"/>
  </r>
  <r>
    <x v="819"/>
    <s v="CATCH BUDAPEST 500,00 HUF Vásárlás"/>
    <n v="-500"/>
    <x v="2"/>
    <x v="2"/>
    <x v="0"/>
  </r>
  <r>
    <x v="819"/>
    <s v="OTPMOBL VODAFONE.HU BUDAPEST 3.990,00 HUF Vásárlás"/>
    <n v="-3990"/>
    <x v="0"/>
    <x v="7"/>
    <x v="0"/>
  </r>
  <r>
    <x v="819"/>
    <s v="Kiskifli kavezo Budapest 650,00 HUF Vásárlás"/>
    <n v="-650"/>
    <x v="2"/>
    <x v="19"/>
    <x v="0"/>
  </r>
  <r>
    <x v="819"/>
    <s v="NETFLIX.COM 408-724-9160 3.990,00 HUF Vásárlás 13,27 USD"/>
    <n v="-3990"/>
    <x v="0"/>
    <x v="7"/>
    <x v="0"/>
  </r>
  <r>
    <x v="819"/>
    <s v="XIV. Bp Egressy u. 110. Társas Egressy ut 110. A 2/5 közös költség"/>
    <n v="-35048"/>
    <x v="0"/>
    <x v="56"/>
    <x v="0"/>
  </r>
  <r>
    <x v="820"/>
    <s v="IKEA SOROKSAR ETTERE Budapest Sor 920,00 HUF Vásárlás"/>
    <n v="-920"/>
    <x v="2"/>
    <x v="2"/>
    <x v="0"/>
  </r>
  <r>
    <x v="820"/>
    <s v="ARKAD CUKRASZDA SALGOTARJAN 2.140,00 HUF Vásárlás"/>
    <n v="-2140"/>
    <x v="2"/>
    <x v="19"/>
    <x v="0"/>
  </r>
  <r>
    <x v="820"/>
    <s v="IKEA SOROKSAR UGYFE Budapest Sor 8.850,00 HUF Vásárlás"/>
    <n v="-8850"/>
    <x v="3"/>
    <x v="8"/>
    <x v="0"/>
  </r>
  <r>
    <x v="821"/>
    <s v="CZUPRIKGERGE Hivatkozási szám BCKOZP/38042673 Értékpapír számla egyenlegrendezés"/>
    <n v="-899"/>
    <x v="1"/>
    <x v="1"/>
    <x v="0"/>
  </r>
  <r>
    <x v="822"/>
    <s v="JAGUAR LAND ROVER HUNGARY KFT."/>
    <n v="19275"/>
    <x v="4"/>
    <x v="20"/>
    <x v="4"/>
  </r>
  <r>
    <x v="822"/>
    <s v="JAGUAR LAND ROVER HUNGARY KFT."/>
    <n v="14274"/>
    <x v="4"/>
    <x v="20"/>
    <x v="4"/>
  </r>
  <r>
    <x v="822"/>
    <s v="TESCO 41400 O NKISZOLG BUDAPEST 16.719,00 HUF Vásárlás"/>
    <n v="-16719"/>
    <x v="3"/>
    <x v="4"/>
    <x v="0"/>
  </r>
  <r>
    <x v="823"/>
    <s v="Sütizz Kft. Budapest 2.900,00 HUF Vásárlás"/>
    <n v="-2900"/>
    <x v="2"/>
    <x v="19"/>
    <x v="0"/>
  </r>
  <r>
    <x v="823"/>
    <s v="GYONGY-HAZ EKSZER BUDAPEST 33.540,00 HUF Vásárlás"/>
    <n v="-33540"/>
    <x v="3"/>
    <x v="8"/>
    <x v="0"/>
  </r>
  <r>
    <x v="823"/>
    <s v="ALDI 125.SZ. BUDAPEST 2.223,00 HUF Vásárlás"/>
    <n v="-2223"/>
    <x v="3"/>
    <x v="4"/>
    <x v="0"/>
  </r>
  <r>
    <x v="823"/>
    <s v="OMV 2075 Budapest Fog 20.125,00 HUF Vásárlás"/>
    <n v="-20125"/>
    <x v="5"/>
    <x v="16"/>
    <x v="0"/>
  </r>
  <r>
    <x v="824"/>
    <s v="Kemal Pasa Torok Et Budapest 1.450,00 HUF Vásárlás"/>
    <n v="-1450"/>
    <x v="2"/>
    <x v="2"/>
    <x v="0"/>
  </r>
  <r>
    <x v="825"/>
    <s v="SPAR MAGYARORSZAG KFT BUDAPEST 2.596,00 HUF Vásárlás"/>
    <n v="-2596"/>
    <x v="3"/>
    <x v="4"/>
    <x v="0"/>
  </r>
  <r>
    <x v="825"/>
    <s v="LIDL ARUHAZ 0167.SZ. BUDAPEST 4.785,00 HUF Vásárlás"/>
    <n v="-4785"/>
    <x v="3"/>
    <x v="4"/>
    <x v="0"/>
  </r>
  <r>
    <x v="825"/>
    <s v="TESCO 41400 O NKISZOLG BUDAPEST 2.654,00 HUF Vásárlás"/>
    <n v="-2654"/>
    <x v="3"/>
    <x v="4"/>
    <x v="0"/>
  </r>
  <r>
    <x v="826"/>
    <s v="LEVENDULA KE'ZMU'VES F BUDAPEST 1.723,00 HUF Vásárlás"/>
    <n v="-1723"/>
    <x v="2"/>
    <x v="19"/>
    <x v="0"/>
  </r>
  <r>
    <x v="826"/>
    <s v="374 COOP SZUPER BUDAPEST 2.067,00 HUF Vásárlás"/>
    <n v="-2067"/>
    <x v="3"/>
    <x v="4"/>
    <x v="0"/>
  </r>
  <r>
    <x v="826"/>
    <s v="ZOLDBOLT.HU VESZPREM 25.888,00 HUF Vásárlás"/>
    <n v="-25888"/>
    <x v="3"/>
    <x v="8"/>
    <x v="0"/>
  </r>
  <r>
    <x v="826"/>
    <s v="Lehner Tamas Czuprik Gergely"/>
    <n v="-10000"/>
    <x v="8"/>
    <x v="51"/>
    <x v="0"/>
  </r>
  <r>
    <x v="826"/>
    <s v="Elmű-Émász Energiaszolgáltató Zr 984140301480926005404259"/>
    <n v="-27800"/>
    <x v="0"/>
    <x v="11"/>
    <x v="0"/>
  </r>
  <r>
    <x v="827"/>
    <s v="Albérlet - 110000 Ft"/>
    <n v="-110000"/>
    <x v="0"/>
    <x v="57"/>
    <x v="2"/>
  </r>
  <r>
    <x v="828"/>
    <s v="JAGUAR LAND ROVER HUNGARY KFT. Munkaber utalasMunkabér"/>
    <n v="668960"/>
    <x v="4"/>
    <x v="20"/>
    <x v="0"/>
  </r>
  <r>
    <x v="829"/>
    <s v="Exon Hungary Kft értékbecslés EXON-2021-482"/>
    <n v="-36500"/>
    <x v="0"/>
    <x v="55"/>
    <x v="0"/>
  </r>
  <r>
    <x v="830"/>
    <s v="MOL TO LTO'A'LLOMA'S HATVAN 2.499,00 HUF Vásárlás"/>
    <n v="-2499"/>
    <x v="5"/>
    <x v="36"/>
    <x v="0"/>
  </r>
  <r>
    <x v="830"/>
    <s v="OMV 2075 Budapest Fog 18.852,00 HUF Vásárlás"/>
    <n v="-18852"/>
    <x v="5"/>
    <x v="16"/>
    <x v="0"/>
  </r>
  <r>
    <x v="830"/>
    <s v="WELMAX DIVAT U ZLET BUDAPEST 549,00 HUF Vásárlás"/>
    <n v="-549"/>
    <x v="0"/>
    <x v="0"/>
    <x v="0"/>
  </r>
  <r>
    <x v="830"/>
    <s v="LIDL ARUHAZ 0167.SZ. BUDAPEST 5.899,00 HUF Vásárlás"/>
    <n v="-5899"/>
    <x v="3"/>
    <x v="4"/>
    <x v="0"/>
  </r>
  <r>
    <x v="830"/>
    <s v="374 COOP SZUPER BUDAPEST 998,00 HUF Vásárlás"/>
    <n v="-998"/>
    <x v="3"/>
    <x v="4"/>
    <x v="0"/>
  </r>
  <r>
    <x v="830"/>
    <s v="ALDI 125.SZ. BUDAPEST 4.829,00 HUF Vásárlás"/>
    <n v="-4829"/>
    <x v="3"/>
    <x v="4"/>
    <x v="0"/>
  </r>
  <r>
    <x v="830"/>
    <s v="Robert Bosch Kft. Munkabér10622618, A106226182021040 11307480002, 0638980002"/>
    <n v="344250"/>
    <x v="4"/>
    <x v="20"/>
    <x v="0"/>
  </r>
  <r>
    <x v="831"/>
    <s v="HOZAM 2021. I. NEGYEDÉV"/>
    <n v="2479"/>
    <x v="1"/>
    <x v="34"/>
    <x v="8"/>
  </r>
  <r>
    <x v="831"/>
    <s v="ALDI 125.SZ. BUDAPEST TRAN ÖSSZEG 4,829.00 HUF"/>
    <n v="-4829"/>
    <x v="3"/>
    <x v="4"/>
    <x v="0"/>
  </r>
  <r>
    <x v="831"/>
    <s v="Kamatadó"/>
    <n v="-9.08"/>
    <x v="1"/>
    <x v="34"/>
    <x v="0"/>
  </r>
  <r>
    <x v="831"/>
    <s v="Kamat"/>
    <n v="60.55"/>
    <x v="1"/>
    <x v="34"/>
    <x v="0"/>
  </r>
  <r>
    <x v="832"/>
    <s v="Netpincer.hu"/>
    <n v="-4880"/>
    <x v="2"/>
    <x v="2"/>
    <x v="4"/>
  </r>
  <r>
    <x v="832"/>
    <s v="OBI 024 FOGARASI BUDAPEST 1.699,00 HUF Vásárlás"/>
    <n v="-1699"/>
    <x v="0"/>
    <x v="0"/>
    <x v="0"/>
  </r>
  <r>
    <x v="833"/>
    <s v="NETFLIX.COM Amsterdam 3.990,00 HUF Vásárlás"/>
    <n v="-3990"/>
    <x v="0"/>
    <x v="7"/>
    <x v="0"/>
  </r>
  <r>
    <x v="833"/>
    <s v="Sütizz Kft. Budapest 8.650,00 HUF Vásárlás"/>
    <n v="-8650"/>
    <x v="2"/>
    <x v="19"/>
    <x v="0"/>
  </r>
  <r>
    <x v="833"/>
    <s v="374 COOP SZUPER BUDAPEST 2.303,00 HUF Vásárlás"/>
    <n v="-2303"/>
    <x v="3"/>
    <x v="4"/>
    <x v="0"/>
  </r>
  <r>
    <x v="834"/>
    <s v="Navigátor díj 2021/04"/>
    <n v="-100"/>
    <x v="1"/>
    <x v="1"/>
    <x v="8"/>
  </r>
  <r>
    <x v="835"/>
    <s v="SHELL TO LTO'A'LL.184. BUDAPEST 25.996,00 HUF Vásárlás"/>
    <n v="-25996"/>
    <x v="5"/>
    <x v="16"/>
    <x v="0"/>
  </r>
  <r>
    <x v="836"/>
    <s v="GLS D77 DEPO' ALSONEMEDI 9.950,00 HUF Vásárlás"/>
    <n v="-9950"/>
    <x v="3"/>
    <x v="4"/>
    <x v="0"/>
  </r>
  <r>
    <x v="836"/>
    <s v="SPAR MAGYARORSZAG KFT BUDAPEST 3.583,00 HUF Vásárlás"/>
    <n v="-3583"/>
    <x v="3"/>
    <x v="4"/>
    <x v="0"/>
  </r>
  <r>
    <x v="837"/>
    <s v="374 COOP SZUPER BUDAPEST 318,00 HUF Vásárlás"/>
    <n v="-318"/>
    <x v="3"/>
    <x v="4"/>
    <x v="0"/>
  </r>
  <r>
    <x v="837"/>
    <s v="TESCO 41400 O NKISZOLG BUDAPEST 2.954,00 HUF Vásárlás"/>
    <n v="-2954"/>
    <x v="3"/>
    <x v="4"/>
    <x v="0"/>
  </r>
  <r>
    <x v="837"/>
    <s v="XIV. Bp Egressy u. 110. Társas Egressy ut 110. A 2/5 közös költség"/>
    <n v="-27717"/>
    <x v="0"/>
    <x v="56"/>
    <x v="0"/>
  </r>
  <r>
    <x v="838"/>
    <s v="JAGUAR LAND ROVER HUNGARY KFT."/>
    <n v="19275"/>
    <x v="4"/>
    <x v="20"/>
    <x v="4"/>
  </r>
  <r>
    <x v="839"/>
    <s v="Dr Porvay Judit Adásvételi szerződés díja"/>
    <n v="-200000"/>
    <x v="0"/>
    <x v="55"/>
    <x v="0"/>
  </r>
  <r>
    <x v="839"/>
    <s v="Fejer M Kormanyhivatal Foldhivat Martonvásár 498/57/A/3 bejegyzési d íj"/>
    <n v="-6600"/>
    <x v="0"/>
    <x v="55"/>
    <x v="0"/>
  </r>
  <r>
    <x v="840"/>
    <s v="OTPMOBL VODAFONE.HU BUDAPEST 3.860,00 HUF Vásárlás"/>
    <n v="-3860"/>
    <x v="0"/>
    <x v="7"/>
    <x v="0"/>
  </r>
  <r>
    <x v="840"/>
    <s v="Gabor Livia Martonvásár 498/57/A/3 foglaló és e lőleg"/>
    <n v="-8000000"/>
    <x v="0"/>
    <x v="55"/>
    <x v="0"/>
  </r>
  <r>
    <x v="841"/>
    <s v="LIDL ARUHAZ 0167.SZ. BUDAPEST 2.245,00 HUF Vásárlás"/>
    <n v="-2245"/>
    <x v="3"/>
    <x v="4"/>
    <x v="0"/>
  </r>
  <r>
    <x v="841"/>
    <s v="SZERENCSEJATEK ZRT. BUDAPEST 1.800,00 HUF Vásárlás"/>
    <n v="-1800"/>
    <x v="3"/>
    <x v="8"/>
    <x v="0"/>
  </r>
  <r>
    <x v="841"/>
    <s v="ALDI 125.SZ. BUDAPEST 1.217,00 HUF Vásárlás"/>
    <n v="-1217"/>
    <x v="3"/>
    <x v="4"/>
    <x v="0"/>
  </r>
  <r>
    <x v="841"/>
    <s v="DM 393. BUDAPEST 13.088,00 HUF Vásárlás"/>
    <n v="-13088"/>
    <x v="3"/>
    <x v="4"/>
    <x v="0"/>
  </r>
  <r>
    <x v="841"/>
    <s v="CZUPRIKGERGE Hivatkozási szám BIKOZP/37752206"/>
    <n v="-1113772"/>
    <x v="1"/>
    <x v="53"/>
    <x v="6"/>
  </r>
  <r>
    <x v="841"/>
    <s v="CZUPRIKGERGE Hivatkozási szám BIKOZP/37752206"/>
    <n v="1113772"/>
    <x v="1"/>
    <x v="53"/>
    <x v="0"/>
  </r>
  <r>
    <x v="842"/>
    <s v="Netpincer.hu"/>
    <n v="-2590"/>
    <x v="2"/>
    <x v="2"/>
    <x v="4"/>
  </r>
  <r>
    <x v="843"/>
    <s v="LIDL ARUHAZ 0167.SZ. BUDAPEST 6.228,00 HUF Vásárlás"/>
    <n v="-6228"/>
    <x v="3"/>
    <x v="4"/>
    <x v="0"/>
  </r>
  <r>
    <x v="843"/>
    <s v="GLS D77 DEPO' ALSONEMEDI 8.370,00 HUF Vásárlás"/>
    <n v="-8370"/>
    <x v="3"/>
    <x v="4"/>
    <x v="0"/>
  </r>
  <r>
    <x v="844"/>
    <s v="Albérlet - 110000 Ft"/>
    <n v="-110000"/>
    <x v="0"/>
    <x v="57"/>
    <x v="2"/>
  </r>
  <r>
    <x v="844"/>
    <s v="JAGUAR LAND ROVER HUNGARY KFT. Munkaber utalasMunkabér"/>
    <n v="668960"/>
    <x v="4"/>
    <x v="20"/>
    <x v="0"/>
  </r>
  <r>
    <x v="845"/>
    <s v="McDonalds' Egressy"/>
    <n v="-4000"/>
    <x v="2"/>
    <x v="2"/>
    <x v="4"/>
  </r>
  <r>
    <x v="845"/>
    <s v="Padthai Wokbar Árkád2 Budapest 6.030,00 HUF Vásárlás"/>
    <n v="-6030"/>
    <x v="2"/>
    <x v="2"/>
    <x v="0"/>
  </r>
  <r>
    <x v="845"/>
    <s v="Értékpapír f könyvi szlák. - - UB KÜLÖNBÖZET BANKI UTALÁS - -"/>
    <n v="-500500"/>
    <x v="1"/>
    <x v="26"/>
    <x v="3"/>
  </r>
  <r>
    <x v="845"/>
    <s v="Értékpapír f könyvi szlák. - - UB KÜLÖNBÖZET BANKI UTALÁS - -"/>
    <n v="-701610"/>
    <x v="1"/>
    <x v="26"/>
    <x v="3"/>
  </r>
  <r>
    <x v="845"/>
    <s v="Értékpapír f könyvi szlák. - - UB KÜLÖNBÖZET BANKI UTALÁS - -"/>
    <n v="-2534500"/>
    <x v="1"/>
    <x v="26"/>
    <x v="3"/>
  </r>
  <r>
    <x v="845"/>
    <s v="Értékpapír f könyvi szlák. - - UB KÜLÖNBÖZET BANKI UTALÁS - -"/>
    <n v="-2026400"/>
    <x v="1"/>
    <x v="26"/>
    <x v="3"/>
  </r>
  <r>
    <x v="845"/>
    <s v="Értékpapír f könyvi szlák. - - UB KÜLÖNBÖZET BANKI UTALÁS - -"/>
    <n v="-505550"/>
    <x v="1"/>
    <x v="26"/>
    <x v="3"/>
  </r>
  <r>
    <x v="845"/>
    <s v="Értékpapír f könyvi szlák. - - UB KÜLÖNBÖZET BANKI UTALÁS - -"/>
    <n v="500500"/>
    <x v="1"/>
    <x v="26"/>
    <x v="0"/>
  </r>
  <r>
    <x v="845"/>
    <s v="Értékpapír f könyvi szlák. - - UB KÜLÖNBÖZET BANKI UTALÁS - -"/>
    <n v="701610"/>
    <x v="1"/>
    <x v="26"/>
    <x v="0"/>
  </r>
  <r>
    <x v="845"/>
    <s v="Értékpapír f könyvi szlák. - - UB KÜLÖNBÖZET BANKI UTALÁS - -"/>
    <n v="2534500"/>
    <x v="1"/>
    <x v="26"/>
    <x v="0"/>
  </r>
  <r>
    <x v="845"/>
    <s v="Értékpapír f könyvi szlák. - - UB KÜLÖNBÖZET BANKI UTALÁS - -"/>
    <n v="2026400"/>
    <x v="1"/>
    <x v="26"/>
    <x v="0"/>
  </r>
  <r>
    <x v="845"/>
    <s v="Értékpapír f könyvi szlák. - - UB KÜLÖNBÖZET BANKI UTALÁS - -"/>
    <n v="505550"/>
    <x v="1"/>
    <x v="26"/>
    <x v="0"/>
  </r>
  <r>
    <x v="846"/>
    <s v="OMV 2075 Budapest Fog 22.880,00 HUF Vásárlás"/>
    <n v="-22880"/>
    <x v="5"/>
    <x v="16"/>
    <x v="0"/>
  </r>
  <r>
    <x v="846"/>
    <s v="OTPMOBL SZERENCSEJATEK BUDAPEST 1.800,00 HUF Vásárlás"/>
    <n v="-1800"/>
    <x v="3"/>
    <x v="8"/>
    <x v="0"/>
  </r>
  <r>
    <x v="846"/>
    <s v="PEEK CLOPPENBURG KFT BUDAPEST 155.970,00 HUF Vásárlás"/>
    <n v="-155970"/>
    <x v="3"/>
    <x v="30"/>
    <x v="0"/>
  </r>
  <r>
    <x v="846"/>
    <s v="IL TRENO Expressz - Ar Budapest 610,00 HUF Vásárlás"/>
    <n v="-610"/>
    <x v="2"/>
    <x v="2"/>
    <x v="0"/>
  </r>
  <r>
    <x v="846"/>
    <s v="374 COOP SZUPER BUDAPEST 399,00 HUF Vásárlás"/>
    <n v="-399"/>
    <x v="3"/>
    <x v="4"/>
    <x v="0"/>
  </r>
  <r>
    <x v="846"/>
    <s v="TELEKOMFELT 365785862 BUDAPEST 5.000,00 HUF Vásárlás 16,53 USD"/>
    <n v="-5000"/>
    <x v="3"/>
    <x v="46"/>
    <x v="0"/>
  </r>
  <r>
    <x v="847"/>
    <s v="Matyas Czuprik Gergely"/>
    <n v="-10000"/>
    <x v="7"/>
    <x v="13"/>
    <x v="0"/>
  </r>
  <r>
    <x v="847"/>
    <s v="Robert Bosch Kft. Munkabér10622618, A106226182021030 41223370021, 0629970021"/>
    <n v="344250"/>
    <x v="4"/>
    <x v="20"/>
    <x v="0"/>
  </r>
  <r>
    <x v="848"/>
    <s v="TESCO 41400 O NKISZOLG BUDAPEST 12.930,00 HUF Vásárlás"/>
    <n v="-12930"/>
    <x v="3"/>
    <x v="4"/>
    <x v="0"/>
  </r>
  <r>
    <x v="848"/>
    <s v="BURLESQUE VIRAGHAZ BUDAPEST 950,00 HUF Vásárlás"/>
    <n v="-950"/>
    <x v="3"/>
    <x v="8"/>
    <x v="0"/>
  </r>
  <r>
    <x v="849"/>
    <s v="Kemal Pasa"/>
    <n v="-1350"/>
    <x v="2"/>
    <x v="2"/>
    <x v="4"/>
  </r>
  <r>
    <x v="849"/>
    <s v="Kemal Pasa Torok Et Budapest 1.750,00 HUF Vásárlás"/>
    <n v="-1750"/>
    <x v="2"/>
    <x v="2"/>
    <x v="0"/>
  </r>
  <r>
    <x v="849"/>
    <s v="Mazsa Nordik Kft. Budapest 695,00 HUF Vásárlás"/>
    <n v="-695"/>
    <x v="3"/>
    <x v="4"/>
    <x v="0"/>
  </r>
  <r>
    <x v="850"/>
    <s v="Burger King Étterem Hungária"/>
    <n v="-4970"/>
    <x v="2"/>
    <x v="2"/>
    <x v="4"/>
  </r>
  <r>
    <x v="851"/>
    <s v="NETFLIX.COM 408-724-9160 TRAN IDEJE 20210228 61654 TRAN ÖSSZEG 3,990.00 HUF"/>
    <n v="-3990"/>
    <x v="0"/>
    <x v="7"/>
    <x v="0"/>
  </r>
  <r>
    <x v="852"/>
    <s v="Előleg"/>
    <n v="-400000"/>
    <x v="0"/>
    <x v="55"/>
    <x v="2"/>
  </r>
  <r>
    <x v="852"/>
    <s v="PANIFICIO IL BASILICO SZENTENDRE TRAN IDEJE 20210227 84721 TRAN ÖSSZEG 9,650.00 HUF"/>
    <n v="-9650"/>
    <x v="2"/>
    <x v="10"/>
    <x v="0"/>
  </r>
  <r>
    <x v="853"/>
    <s v="OTPMOBL VODAFONE.HU BUDAPEST TRAN IDEJE 20210226 122519 TRAN ÖSSZEG 3,860.00 HUF"/>
    <n v="-3860"/>
    <x v="0"/>
    <x v="7"/>
    <x v="0"/>
  </r>
  <r>
    <x v="853"/>
    <s v="ALDI 125.SZ. BUDAPEST TRAN IDEJE 20210226 164518 TRAN ÖSSZEG 4,842.00 HUF"/>
    <n v="-4842"/>
    <x v="3"/>
    <x v="4"/>
    <x v="0"/>
  </r>
  <r>
    <x v="853"/>
    <s v="Kemal Pasa Torok Et Budapest 1.350,00 HUF Vásárlás"/>
    <n v="-1350"/>
    <x v="2"/>
    <x v="2"/>
    <x v="0"/>
  </r>
  <r>
    <x v="853"/>
    <s v="Kiskifli kavezo Budapest 1.040,00 HUF Vásárlás"/>
    <n v="-1040"/>
    <x v="2"/>
    <x v="19"/>
    <x v="0"/>
  </r>
  <r>
    <x v="853"/>
    <s v="XIV. Bp Egressy u. 110. Társas Egressy út 110/a/2/5 közösköltség"/>
    <n v="-30717"/>
    <x v="0"/>
    <x v="56"/>
    <x v="0"/>
  </r>
  <r>
    <x v="854"/>
    <s v="GLS D77 DEPO' ALSONEMEDI 16.700,00 HUF Vásárlás"/>
    <n v="-16700"/>
    <x v="7"/>
    <x v="13"/>
    <x v="0"/>
  </r>
  <r>
    <x v="854"/>
    <s v="Hetti-Ker. Kft. BUDAPEST 1.590,00 HUF Vásárlás"/>
    <n v="-1590"/>
    <x v="2"/>
    <x v="19"/>
    <x v="0"/>
  </r>
  <r>
    <x v="855"/>
    <s v="McDonalds' Egressy"/>
    <n v="-4040"/>
    <x v="2"/>
    <x v="2"/>
    <x v="4"/>
  </r>
  <r>
    <x v="856"/>
    <s v="Navigátor díj 2021/03"/>
    <n v="-100"/>
    <x v="1"/>
    <x v="1"/>
    <x v="8"/>
  </r>
  <r>
    <x v="857"/>
    <s v="JAGUAR LAND ROVER HUNGARY KFT."/>
    <n v="19275"/>
    <x v="4"/>
    <x v="20"/>
    <x v="4"/>
  </r>
  <r>
    <x v="857"/>
    <s v="OMV 2075 Budapest Fog 22.512,00 HUF Vásárlás"/>
    <n v="-22512"/>
    <x v="5"/>
    <x v="16"/>
    <x v="0"/>
  </r>
  <r>
    <x v="857"/>
    <s v="LIDL ARUHAZ 0167.SZ. BUDAPEST 5.296,00 HUF Vásárlás"/>
    <n v="-5296"/>
    <x v="3"/>
    <x v="4"/>
    <x v="0"/>
  </r>
  <r>
    <x v="857"/>
    <s v="OBI 024 FOGARASI BUDAPEST 8.613,00 HUF Vásárlás"/>
    <n v="-8613"/>
    <x v="0"/>
    <x v="0"/>
    <x v="0"/>
  </r>
  <r>
    <x v="857"/>
    <s v="374 COOP SZUPER BUDAPEST 795,00 HUF Vásárlás"/>
    <n v="-795"/>
    <x v="3"/>
    <x v="4"/>
    <x v="0"/>
  </r>
  <r>
    <x v="857"/>
    <s v="IMO Hungary kft Budapest 1.890,00 HUF Vásárlás"/>
    <n v="-1890"/>
    <x v="5"/>
    <x v="18"/>
    <x v="0"/>
  </r>
  <r>
    <x v="858"/>
    <s v="374 COOP SZUPER BUDAPEST 863,00 HUF Vásárlás"/>
    <n v="-863"/>
    <x v="3"/>
    <x v="4"/>
    <x v="0"/>
  </r>
  <r>
    <x v="859"/>
    <s v="Netpincer.hu"/>
    <n v="-2390"/>
    <x v="2"/>
    <x v="2"/>
    <x v="4"/>
  </r>
  <r>
    <x v="859"/>
    <s v="TESCO 41400 BUDAPEST 6.088,00 HUF Vásárlás"/>
    <n v="-6088"/>
    <x v="3"/>
    <x v="4"/>
    <x v="0"/>
  </r>
  <r>
    <x v="859"/>
    <s v="Elmű-Émász Energiaszolgáltató Zr 842602472630 2600540425"/>
    <n v="-5994"/>
    <x v="0"/>
    <x v="11"/>
    <x v="0"/>
  </r>
  <r>
    <x v="860"/>
    <s v="ALDI 125.SZ. BUDAPEST 2.665,00 HUF Vásárlás"/>
    <n v="-2665"/>
    <x v="3"/>
    <x v="4"/>
    <x v="0"/>
  </r>
  <r>
    <x v="860"/>
    <s v="TESCO 41400 O NKISZOLG BUDAPEST 1.476,00 HUF Vásárlás"/>
    <n v="-1476"/>
    <x v="3"/>
    <x v="4"/>
    <x v="0"/>
  </r>
  <r>
    <x v="860"/>
    <s v="PANIFICIO IL BASILICO SZENTENDRE 5.690,00 HUF Vásárlás"/>
    <n v="-5690"/>
    <x v="2"/>
    <x v="10"/>
    <x v="0"/>
  </r>
  <r>
    <x v="860"/>
    <s v="Bodo Jozsef Attila 65397-976984 méhpempő"/>
    <n v="-13180"/>
    <x v="3"/>
    <x v="8"/>
    <x v="0"/>
  </r>
  <r>
    <x v="861"/>
    <s v="374 COOP SZUPER BUDAPEST 1.098,00 HUF Vásárlás"/>
    <n v="-1098"/>
    <x v="3"/>
    <x v="4"/>
    <x v="0"/>
  </r>
  <r>
    <x v="862"/>
    <s v="JAGUAR LAND ROVER HUNGARY KFT. Munkaber utalasMunkabér"/>
    <n v="668960"/>
    <x v="4"/>
    <x v="20"/>
    <x v="0"/>
  </r>
  <r>
    <x v="863"/>
    <s v="Netpincer.hu"/>
    <n v="-2150"/>
    <x v="2"/>
    <x v="2"/>
    <x v="4"/>
  </r>
  <r>
    <x v="863"/>
    <s v="PM-ABACUS FIZETO'AUT 4 BUDAPEST 300,00 HUF Vásárlás"/>
    <n v="-300"/>
    <x v="5"/>
    <x v="9"/>
    <x v="0"/>
  </r>
  <r>
    <x v="864"/>
    <s v="Netpincer.hu"/>
    <n v="-2790"/>
    <x v="2"/>
    <x v="2"/>
    <x v="4"/>
  </r>
  <r>
    <x v="864"/>
    <s v="OBI 029 SZEKSZARD SZEKSZARD 599,00 HUF Vásárlás"/>
    <n v="-599"/>
    <x v="0"/>
    <x v="0"/>
    <x v="0"/>
  </r>
  <r>
    <x v="864"/>
    <s v="ALDI 125.SZ. BUDAPEST 1.776,00 HUF Vásárlás"/>
    <n v="-1776"/>
    <x v="3"/>
    <x v="4"/>
    <x v="0"/>
  </r>
  <r>
    <x v="864"/>
    <s v="SZERENCSEJATEK ZRT. BUDAPEST 1.800,00 HUF Vásárlás"/>
    <n v="-1800"/>
    <x v="3"/>
    <x v="8"/>
    <x v="0"/>
  </r>
  <r>
    <x v="864"/>
    <s v="OMV 2075 Budapest Fog 23.954,00 HUF Vásárlás"/>
    <n v="-23954"/>
    <x v="5"/>
    <x v="16"/>
    <x v="0"/>
  </r>
  <r>
    <x v="865"/>
    <s v="Robert Bosch Kft. Munkabér10622618, A106226182021020 41411190011, 0621090011"/>
    <n v="344250"/>
    <x v="4"/>
    <x v="20"/>
    <x v="0"/>
  </r>
  <r>
    <x v="866"/>
    <s v="PETER MATYAS BUDAPEST 10.000,00 HUF Vásárlás"/>
    <n v="-10000"/>
    <x v="7"/>
    <x v="13"/>
    <x v="0"/>
  </r>
  <r>
    <x v="866"/>
    <s v="CATCH BUDAPEST 700,00 HUF Vásárlás"/>
    <n v="-700"/>
    <x v="2"/>
    <x v="19"/>
    <x v="0"/>
  </r>
  <r>
    <x v="867"/>
    <s v="374 COOP SZUPER BUDAPEST 937,00 HUF Vásárlás"/>
    <n v="-937"/>
    <x v="3"/>
    <x v="4"/>
    <x v="0"/>
  </r>
  <r>
    <x v="867"/>
    <s v="LIDL ARUHAZ 0167.SZ. BUDAPEST 2.326,00 HUF Vásárlás"/>
    <n v="-2326"/>
    <x v="3"/>
    <x v="4"/>
    <x v="0"/>
  </r>
  <r>
    <x v="867"/>
    <s v="Albérlet -110000Ft"/>
    <n v="-110000"/>
    <x v="0"/>
    <x v="57"/>
    <x v="2"/>
  </r>
  <r>
    <x v="868"/>
    <s v="MAGYAR ALLAMKINCSTAR BUDAPEST 500.000,00 HUF Vásárlás"/>
    <n v="500000"/>
    <x v="1"/>
    <x v="26"/>
    <x v="3"/>
  </r>
  <r>
    <x v="868"/>
    <s v="MAGYAR ALLAMKINCSTAR BUDAPEST 500.000,00 HUF Vásárlás"/>
    <n v="-500000"/>
    <x v="1"/>
    <x v="26"/>
    <x v="0"/>
  </r>
  <r>
    <x v="868"/>
    <s v="GLS D77 DEPO' ALSONEMEDI 12.470,00 HUF Vásárlás"/>
    <n v="-12470"/>
    <x v="3"/>
    <x v="4"/>
    <x v="0"/>
  </r>
  <r>
    <x v="869"/>
    <s v="Wolt Helsinki 5.839,00 HUF Vásárlás"/>
    <n v="-5839"/>
    <x v="2"/>
    <x v="2"/>
    <x v="0"/>
  </r>
  <r>
    <x v="869"/>
    <s v="NETFLIX.COM 408-724-9160 3.990,00 HUF Vásárlás 13,43 USD"/>
    <n v="-3990"/>
    <x v="0"/>
    <x v="7"/>
    <x v="0"/>
  </r>
  <r>
    <x v="870"/>
    <s v="WELMAX DIVAT U ZLET BUDAPEST 699,00 HUF Vásárlás"/>
    <n v="-699"/>
    <x v="3"/>
    <x v="4"/>
    <x v="0"/>
  </r>
  <r>
    <x v="870"/>
    <s v="LIDL ARUHAZ 0167.SZ. BUDAPEST 1.041,00 HUF Vásárlás"/>
    <n v="-1041"/>
    <x v="3"/>
    <x v="4"/>
    <x v="0"/>
  </r>
  <r>
    <x v="870"/>
    <s v="TESCO 41400 O NKISZOLG BUDAPEST"/>
    <n v="-11097"/>
    <x v="3"/>
    <x v="4"/>
    <x v="0"/>
  </r>
  <r>
    <x v="870"/>
    <s v="374 COOP SZUPER BUDAPEST 169,00 HUF Vásárlás"/>
    <n v="-169"/>
    <x v="3"/>
    <x v="4"/>
    <x v="0"/>
  </r>
  <r>
    <x v="871"/>
    <s v="CZUPRIKGERGE Értékpapír számla egyenlegrendezés"/>
    <n v="-899"/>
    <x v="1"/>
    <x v="1"/>
    <x v="0"/>
  </r>
  <r>
    <x v="871"/>
    <s v="XIV. Bp Egressy u. 110. Társas Közös költség Egressy út 110/a/2/5"/>
    <n v="-33497"/>
    <x v="0"/>
    <x v="56"/>
    <x v="0"/>
  </r>
  <r>
    <x v="872"/>
    <s v="PETER MATYAS BUDAPEST 10.000,00 HUF Vásárlás"/>
    <n v="-10000"/>
    <x v="7"/>
    <x v="13"/>
    <x v="0"/>
  </r>
  <r>
    <x v="872"/>
    <s v="TELEKOMFELT BUDAPEST 3.000,00 HUF Vásárlás 10,12 USD"/>
    <n v="-3000"/>
    <x v="3"/>
    <x v="46"/>
    <x v="0"/>
  </r>
  <r>
    <x v="873"/>
    <s v="Navigátor díj 2021/02"/>
    <n v="-100"/>
    <x v="1"/>
    <x v="1"/>
    <x v="8"/>
  </r>
  <r>
    <x v="874"/>
    <s v="OMV 2075 Budapest Fog 22.042,00 HUF Vásárlás"/>
    <n v="-22042"/>
    <x v="5"/>
    <x v="16"/>
    <x v="0"/>
  </r>
  <r>
    <x v="874"/>
    <s v="ZS PLUSZ U KFT BUDAPEST 17.170,00 HUF Vásárlás"/>
    <n v="-17170"/>
    <x v="5"/>
    <x v="36"/>
    <x v="0"/>
  </r>
  <r>
    <x v="874"/>
    <s v="LIDL ARUHAZ 0167.SZ. BUDAPEST 7.359,00 HUF Vásárlás"/>
    <n v="-7359"/>
    <x v="3"/>
    <x v="4"/>
    <x v="0"/>
  </r>
  <r>
    <x v="874"/>
    <s v="BURGER KING HUNGA'RIA BUDAPEST 2.780,00 HUF Vásárlás"/>
    <n v="-2780"/>
    <x v="2"/>
    <x v="2"/>
    <x v="0"/>
  </r>
  <r>
    <x v="874"/>
    <s v="CATCH BUDAPEST"/>
    <n v="-700"/>
    <x v="2"/>
    <x v="19"/>
    <x v="0"/>
  </r>
  <r>
    <x v="874"/>
    <s v="Zs+U Kft"/>
    <n v="-372"/>
    <x v="5"/>
    <x v="36"/>
    <x v="0"/>
  </r>
  <r>
    <x v="875"/>
    <s v="374 COOP SZUPER BUDAPEST 439,00 HUF Vásárlás"/>
    <n v="-439"/>
    <x v="3"/>
    <x v="4"/>
    <x v="0"/>
  </r>
  <r>
    <x v="875"/>
    <s v="TERMELO'I TEJBOLT BUDAPEST 1.510,00 HUF Vásárlás"/>
    <n v="-1510"/>
    <x v="3"/>
    <x v="4"/>
    <x v="0"/>
  </r>
  <r>
    <x v="875"/>
    <s v="TERMELO'I TEJBOLT BUDAPEST 2.810,00 HUF Vásárlás"/>
    <n v="-2810"/>
    <x v="3"/>
    <x v="4"/>
    <x v="0"/>
  </r>
  <r>
    <x v="875"/>
    <s v="Kemal Pasa Torok Et Budapest 1.350,00 HUF Vásárlás"/>
    <n v="-1350"/>
    <x v="2"/>
    <x v="2"/>
    <x v="0"/>
  </r>
  <r>
    <x v="875"/>
    <s v="Kiskifli kavezo Budapest 650,00 HUF Vásárlás"/>
    <n v="-650"/>
    <x v="2"/>
    <x v="19"/>
    <x v="0"/>
  </r>
  <r>
    <x v="875"/>
    <s v="WELMAX DIVAT U ZLET BUDAPEST 1.299,00 HUF Vásárlás"/>
    <n v="-1299"/>
    <x v="3"/>
    <x v="4"/>
    <x v="0"/>
  </r>
  <r>
    <x v="875"/>
    <s v="BEST BIDDER KFT. 8499-8450es megrendelés visszautalás"/>
    <n v="14377"/>
    <x v="5"/>
    <x v="36"/>
    <x v="0"/>
  </r>
  <r>
    <x v="876"/>
    <s v="MAGYAR ALLAMKINCSTAR BUDAPEST 500.000,00 HUF Vásárlás"/>
    <n v="200000"/>
    <x v="1"/>
    <x v="26"/>
    <x v="3"/>
  </r>
  <r>
    <x v="876"/>
    <s v="MAGYAR ALLAMKINCSTAR BUDAPEST 200.000,00 HUF Vásárlás"/>
    <n v="-200000"/>
    <x v="1"/>
    <x v="26"/>
    <x v="0"/>
  </r>
  <r>
    <x v="876"/>
    <s v="MAGYAR ALLAMKINCSTAR BUDAPEST 500.000,00 HUF Vásárlás"/>
    <n v="500000"/>
    <x v="1"/>
    <x v="26"/>
    <x v="3"/>
  </r>
  <r>
    <x v="876"/>
    <s v="MAGYAR ALLAMKINCSTAR BUDAPEST 500.000,00 HUF Vásárlás"/>
    <n v="-500000"/>
    <x v="1"/>
    <x v="26"/>
    <x v="0"/>
  </r>
  <r>
    <x v="876"/>
    <s v="PAYPAL YUEPENGKEJI EB 35314369001 9,99 USD Vásárlás 9,99 USD 302.0700"/>
    <n v="-3017.68"/>
    <x v="5"/>
    <x v="36"/>
    <x v="0"/>
  </r>
  <r>
    <x v="877"/>
    <s v="ALPHABED KFT. BUDAPEST 48.990,00 HUF Vásárlás"/>
    <n v="-48990"/>
    <x v="0"/>
    <x v="35"/>
    <x v="0"/>
  </r>
  <r>
    <x v="878"/>
    <s v="SPAR MAGYARORSZAG KFT BUDAPEST 7.906,00 HUF Vásárlás"/>
    <n v="-7906"/>
    <x v="3"/>
    <x v="4"/>
    <x v="0"/>
  </r>
  <r>
    <x v="878"/>
    <s v="cV Group Vilnius 9.141,46 HUF Vásárlás"/>
    <n v="-9141.459999999999"/>
    <x v="5"/>
    <x v="33"/>
    <x v="0"/>
  </r>
  <r>
    <x v="878"/>
    <s v="374 COOP SZUPER BUDAPEST 1.298,00 HUF Vásárlás"/>
    <n v="-1298"/>
    <x v="3"/>
    <x v="4"/>
    <x v="0"/>
  </r>
  <r>
    <x v="878"/>
    <s v="ALDI 125.SZ. BUDAPEST 5.113,00 HUF Vásárlás"/>
    <n v="-5113"/>
    <x v="3"/>
    <x v="4"/>
    <x v="0"/>
  </r>
  <r>
    <x v="879"/>
    <s v="Albérlet -110000Ft"/>
    <n v="-110000"/>
    <x v="0"/>
    <x v="57"/>
    <x v="2"/>
  </r>
  <r>
    <x v="880"/>
    <s v="JAGUAR LAND ROVER HUNGARY KFT. Munkaber utalasMunkabér"/>
    <n v="665000"/>
    <x v="4"/>
    <x v="20"/>
    <x v="0"/>
  </r>
  <r>
    <x v="880"/>
    <s v="Robert Bosch Kft. Munkabér10622618, A106226182021010 82004280026, 0612380026"/>
    <n v="344250"/>
    <x v="4"/>
    <x v="20"/>
    <x v="0"/>
  </r>
  <r>
    <x v="881"/>
    <s v="SPAR MAGYARORSZAG KFT BUDAPEST 4.273,00 HUF Vásárlás"/>
    <n v="-4273"/>
    <x v="3"/>
    <x v="4"/>
    <x v="0"/>
  </r>
  <r>
    <x v="881"/>
    <s v="Revolut - 7793 GBR 200.000,00 HUF Vásárlás 674,22 USD"/>
    <n v="200000"/>
    <x v="1"/>
    <x v="53"/>
    <x v="6"/>
  </r>
  <r>
    <x v="881"/>
    <s v="Revolut - 7793 GBR 200.000,00 HUF Vásárlás 674,22 USD"/>
    <n v="-200000"/>
    <x v="1"/>
    <x v="53"/>
    <x v="0"/>
  </r>
  <r>
    <x v="881"/>
    <s v="AMZN Mktp US Amzn.com/bil 1,46 USD Vásárlás 1,46- USD 299.7600"/>
    <n v="437.65"/>
    <x v="3"/>
    <x v="31"/>
    <x v="0"/>
  </r>
  <r>
    <x v="882"/>
    <s v="SIMPLE MATRICA BUDAPEST 5.460,00 HUF Vásárlás"/>
    <n v="-5460"/>
    <x v="5"/>
    <x v="37"/>
    <x v="0"/>
  </r>
  <r>
    <x v="882"/>
    <s v="SIMPLE MATRICA BUDAPEST 5.460,00 HUF Vásárlás"/>
    <n v="-5460"/>
    <x v="5"/>
    <x v="37"/>
    <x v="0"/>
  </r>
  <r>
    <x v="882"/>
    <s v="LIDL ARUHAZ 0167.SZ. BUDAPEST 5.365,00 HUF Vásárlás"/>
    <n v="-5365"/>
    <x v="3"/>
    <x v="4"/>
    <x v="0"/>
  </r>
  <r>
    <x v="882"/>
    <s v="OMV 2075 Budapest Fog 14.003,00 HUF Vásárlás"/>
    <n v="-14003"/>
    <x v="5"/>
    <x v="16"/>
    <x v="0"/>
  </r>
  <r>
    <x v="883"/>
    <s v="HOZAM 2020. IV. NEGYEDÉV"/>
    <n v="736"/>
    <x v="1"/>
    <x v="34"/>
    <x v="8"/>
  </r>
  <r>
    <x v="883"/>
    <s v="LIDL ARUHAZ 0167.SZ. BUDAPEST TRAN IDEJE 20201231 111349 TRAN ÖSSZEG 5,365.00 HUF"/>
    <n v="5365"/>
    <x v="3"/>
    <x v="4"/>
    <x v="0"/>
  </r>
  <r>
    <x v="883"/>
    <s v="Delivery Hero Hungary Budapest 5.860,00 HUF Vásárlás"/>
    <n v="-5860"/>
    <x v="2"/>
    <x v="2"/>
    <x v="0"/>
  </r>
  <r>
    <x v="883"/>
    <s v="MINI BOUTIQUE A'RKA'D BUDAPEST 2.680,00 HUF Vásárlás"/>
    <n v="-2680"/>
    <x v="3"/>
    <x v="4"/>
    <x v="0"/>
  </r>
  <r>
    <x v="884"/>
    <s v="LIDL ARUHAZ 0167.SZ. BUDAPEST 8.146,00 HUF Vásárlás"/>
    <n v="-8146"/>
    <x v="3"/>
    <x v="4"/>
    <x v="0"/>
  </r>
  <r>
    <x v="885"/>
    <s v="24 hónapos lekötés - lejárata: 2022.12.29"/>
    <n v="462000"/>
    <x v="1"/>
    <x v="50"/>
    <x v="8"/>
  </r>
  <r>
    <x v="885"/>
    <s v="24 hónapos lekötés - lejárata: 2022.12.29"/>
    <n v="-462000"/>
    <x v="1"/>
    <x v="50"/>
    <x v="8"/>
  </r>
  <r>
    <x v="885"/>
    <s v="ALDI 125.SZ. BUDAPEST 3.576,00 HUF Vásárlás"/>
    <n v="-3576"/>
    <x v="3"/>
    <x v="4"/>
    <x v="0"/>
  </r>
  <r>
    <x v="885"/>
    <s v="IMO Hungary kft Budapest 3.140,00 HUF Vásárlás"/>
    <n v="-3140"/>
    <x v="5"/>
    <x v="18"/>
    <x v="0"/>
  </r>
  <r>
    <x v="885"/>
    <s v="OTPMOBL VODAFONE.HU BUDAPEST 3.860,00 HUF Vásárlás"/>
    <n v="-3860"/>
    <x v="0"/>
    <x v="7"/>
    <x v="0"/>
  </r>
  <r>
    <x v="885"/>
    <s v="OMV 2075 Budapest Fog 17.535,00 HUF Vásárlás"/>
    <n v="-17535"/>
    <x v="5"/>
    <x v="16"/>
    <x v="0"/>
  </r>
  <r>
    <x v="885"/>
    <s v="ALDI 125.SZ. BUDAPEST 699,00 HUF Vásárlás"/>
    <n v="-699"/>
    <x v="3"/>
    <x v="4"/>
    <x v="0"/>
  </r>
  <r>
    <x v="885"/>
    <s v="NETFLIX.COM 408-724-9160 3.990,00 HUF Vásárlás 13,44 USD"/>
    <n v="-3990"/>
    <x v="0"/>
    <x v="7"/>
    <x v="0"/>
  </r>
  <r>
    <x v="885"/>
    <s v="CEWE STIFTUNG CO.KGAA BUDAPEST 7.189,00 HUF Vásárlás 24,70 USD"/>
    <n v="-7189"/>
    <x v="3"/>
    <x v="8"/>
    <x v="0"/>
  </r>
  <r>
    <x v="885"/>
    <s v="Best Bidder Kft 8499 8500"/>
    <n v="-14377"/>
    <x v="5"/>
    <x v="36"/>
    <x v="0"/>
  </r>
  <r>
    <x v="885"/>
    <s v="XIV. Bp Egressy u. 110. Társas Közös költség Egressy út 110a/2/5"/>
    <n v="-44977"/>
    <x v="0"/>
    <x v="56"/>
    <x v="0"/>
  </r>
  <r>
    <x v="885"/>
    <s v="Elmű-Émász Energiaszolgáltató Zr 840902920316 2600540425"/>
    <n v="-5993"/>
    <x v="0"/>
    <x v="11"/>
    <x v="0"/>
  </r>
  <r>
    <x v="886"/>
    <s v="Autoszerelés"/>
    <n v="-75000"/>
    <x v="5"/>
    <x v="36"/>
    <x v="2"/>
  </r>
  <r>
    <x v="886"/>
    <s v="LIBRI SUGA'R BUDAPEST 5.287,00 HUF Vásárlás"/>
    <n v="-5287"/>
    <x v="3"/>
    <x v="24"/>
    <x v="0"/>
  </r>
  <r>
    <x v="886"/>
    <s v="MCD EGRESSY BUDAPEST 1.670,00 HUF Vásárlás"/>
    <n v="-1670"/>
    <x v="2"/>
    <x v="2"/>
    <x v="0"/>
  </r>
  <r>
    <x v="886"/>
    <s v="SPAR MAGYARORSZAG KFT BUDAPEST 3.083,00 HUF Vásárlás"/>
    <n v="-3083"/>
    <x v="3"/>
    <x v="4"/>
    <x v="0"/>
  </r>
  <r>
    <x v="886"/>
    <s v="MINI BOUTIQUE A'RKA'D BUDAPEST 5.660,00 HUF Vásárlás"/>
    <n v="-5660"/>
    <x v="3"/>
    <x v="4"/>
    <x v="0"/>
  </r>
  <r>
    <x v="887"/>
    <s v="IKEA ORS VEZER UGYFE Budapest 895,00 HUF Vásárlás"/>
    <n v="-895"/>
    <x v="0"/>
    <x v="0"/>
    <x v="0"/>
  </r>
  <r>
    <x v="887"/>
    <s v="ATM1156 ARKD 1106 BUDAPEST 150.000,00 HUF Kp felvét"/>
    <n v="150000"/>
    <x v="8"/>
    <x v="43"/>
    <x v="2"/>
  </r>
  <r>
    <x v="887"/>
    <s v="ATM1156 ARKD 1106 BUDAPEST 150.000,00 HUF Kp felvét"/>
    <n v="-150000"/>
    <x v="8"/>
    <x v="43"/>
    <x v="0"/>
  </r>
  <r>
    <x v="887"/>
    <s v="GRILL BUBBLES BALATONAKARA 5.000,00 HUF Vásárlás"/>
    <n v="-5000"/>
    <x v="5"/>
    <x v="18"/>
    <x v="0"/>
  </r>
  <r>
    <x v="888"/>
    <s v="Navigátor díj 2021/01"/>
    <n v="-100"/>
    <x v="1"/>
    <x v="1"/>
    <x v="8"/>
  </r>
  <r>
    <x v="888"/>
    <s v="Vendéglátás JAGUAR LAND ROVER HUNGARY KFT."/>
    <n v="9241"/>
    <x v="4"/>
    <x v="20"/>
    <x v="4"/>
  </r>
  <r>
    <x v="888"/>
    <s v="Szálláshely JAGUAR LAND ROVER HUNGARY KFT."/>
    <n v="12000"/>
    <x v="4"/>
    <x v="20"/>
    <x v="4"/>
  </r>
  <r>
    <x v="888"/>
    <s v="LIDL ARUHAZ 0167.SZ. BUDAPEST 7.311,00 HUF Vásárlás"/>
    <n v="-7311"/>
    <x v="3"/>
    <x v="4"/>
    <x v="0"/>
  </r>
  <r>
    <x v="888"/>
    <s v="LIDL ARUHAZ 0167.SZ. BUDAPEST 6.021,00 HUF Vásárlás"/>
    <n v="-6021"/>
    <x v="3"/>
    <x v="4"/>
    <x v="0"/>
  </r>
  <r>
    <x v="888"/>
    <s v="ALDI 125.SZ. BUDAPEST 9.543,00 HUF Vásárlás"/>
    <n v="-9543"/>
    <x v="3"/>
    <x v="4"/>
    <x v="0"/>
  </r>
  <r>
    <x v="888"/>
    <s v="MCD EGRESSY BUDAPEST 1.520,00 HUF Vásárlás"/>
    <n v="-1520"/>
    <x v="2"/>
    <x v="2"/>
    <x v="0"/>
  </r>
  <r>
    <x v="889"/>
    <s v="SHELL TO LTO'A'LLOMA'S BUDAPEST 12.430,00 HUF Vásárlás"/>
    <n v="-12430"/>
    <x v="5"/>
    <x v="16"/>
    <x v="0"/>
  </r>
  <r>
    <x v="889"/>
    <s v="OTPMOBL VODAFONE.HU BUDAPEST 7.439,00 HUF Vásárlás"/>
    <n v="-7439"/>
    <x v="3"/>
    <x v="46"/>
    <x v="0"/>
  </r>
  <r>
    <x v="890"/>
    <s v="MOL Limitless Mobility Budapest 1.550,00 HUF Vásárlás"/>
    <n v="-1550"/>
    <x v="5"/>
    <x v="33"/>
    <x v="0"/>
  </r>
  <r>
    <x v="891"/>
    <s v="Vendéglátás Netpincer.hu"/>
    <n v="-6870"/>
    <x v="2"/>
    <x v="2"/>
    <x v="4"/>
  </r>
  <r>
    <x v="891"/>
    <s v="Autoszerelés"/>
    <n v="-130000"/>
    <x v="5"/>
    <x v="36"/>
    <x v="2"/>
  </r>
  <r>
    <x v="892"/>
    <s v="BÉK Lft Czuprik Gergely 5505-129579"/>
    <n v="-5450"/>
    <x v="5"/>
    <x v="36"/>
    <x v="0"/>
  </r>
  <r>
    <x v="893"/>
    <s v="Albérlet"/>
    <n v="-110000"/>
    <x v="0"/>
    <x v="57"/>
    <x v="2"/>
  </r>
  <r>
    <x v="893"/>
    <s v="ATM1156 ARKD 1106 BUDAPEST 150.000,00 HUF Kp felvét"/>
    <n v="150000"/>
    <x v="8"/>
    <x v="43"/>
    <x v="2"/>
  </r>
  <r>
    <x v="893"/>
    <s v="ATM1156 ARKD 1106 BUDAPEST 150.000,00 HUF Kp felvét"/>
    <n v="-150000"/>
    <x v="8"/>
    <x v="43"/>
    <x v="0"/>
  </r>
  <r>
    <x v="893"/>
    <s v="TESCO 41400 BUDAPEST 4.298,00 HUF Vásárlás"/>
    <n v="-4298"/>
    <x v="3"/>
    <x v="4"/>
    <x v="0"/>
  </r>
  <r>
    <x v="893"/>
    <s v="T-PONTI.A'RKA'D BUDAPEST 990,00 HUF Vásárlás"/>
    <n v="-990"/>
    <x v="3"/>
    <x v="4"/>
    <x v="0"/>
  </r>
  <r>
    <x v="893"/>
    <s v="IKEA ORS VEZER UGYFE Budapest 4.560,00 HUF Vásárlás"/>
    <n v="-4560"/>
    <x v="0"/>
    <x v="0"/>
    <x v="0"/>
  </r>
  <r>
    <x v="893"/>
    <s v="SPAR MAGYARORSZAG KFT BUDAPEST 1.527,00 HUF Vásárlás"/>
    <n v="-1527"/>
    <x v="3"/>
    <x v="4"/>
    <x v="0"/>
  </r>
  <r>
    <x v="894"/>
    <s v="ALDI 125.SZ. BUDAPEST 1.247,00 HUF Vásárlás"/>
    <n v="-1247"/>
    <x v="3"/>
    <x v="4"/>
    <x v="0"/>
  </r>
  <r>
    <x v="895"/>
    <s v="Kemal Pasa Torok Et Budapest 1.650,00 HUF Vásárlás"/>
    <n v="-1650"/>
    <x v="2"/>
    <x v="2"/>
    <x v="0"/>
  </r>
  <r>
    <x v="895"/>
    <s v="Mazsa Nordik Kft. Budapest 535,00 HUF Vásárlás"/>
    <n v="-535"/>
    <x v="3"/>
    <x v="4"/>
    <x v="0"/>
  </r>
  <r>
    <x v="895"/>
    <s v="JAGUAR LAND ROVER HUNGARY KFT. Munkaber utalasMunkabér"/>
    <n v="665000"/>
    <x v="4"/>
    <x v="20"/>
    <x v="0"/>
  </r>
  <r>
    <x v="896"/>
    <s v="Vendéglátás Netpincer.hu"/>
    <n v="-2240"/>
    <x v="2"/>
    <x v="2"/>
    <x v="4"/>
  </r>
  <r>
    <x v="896"/>
    <s v="OTPMOBL SZERENCSEJATEK BUDAPEST 1.800,00 HUF Vásárlás"/>
    <n v="-1800"/>
    <x v="3"/>
    <x v="8"/>
    <x v="0"/>
  </r>
  <r>
    <x v="896"/>
    <s v="TESCO 41760 SALGOTARJAN 4.975,00 HUF Vásárlás"/>
    <n v="-4975"/>
    <x v="3"/>
    <x v="4"/>
    <x v="0"/>
  </r>
  <r>
    <x v="896"/>
    <s v="SN3298000000110492 BUDAPEST 3.754,00 HUF Vásárlás 12,64 USD"/>
    <n v="-3754"/>
    <x v="5"/>
    <x v="33"/>
    <x v="0"/>
  </r>
  <r>
    <x v="897"/>
    <s v="IKEA ORS VEZER UGYFE Budapest 4.960,00 HUF Vásárlás"/>
    <n v="-4960"/>
    <x v="0"/>
    <x v="0"/>
    <x v="0"/>
  </r>
  <r>
    <x v="897"/>
    <s v="Cafe Frei ARKAD Budapest 1.800,00 HUF Vásárlás"/>
    <n v="-1800"/>
    <x v="2"/>
    <x v="19"/>
    <x v="0"/>
  </r>
  <r>
    <x v="897"/>
    <s v="KARSAI ADRIENN ÁGNES"/>
    <n v="19082"/>
    <x v="3"/>
    <x v="8"/>
    <x v="0"/>
  </r>
  <r>
    <x v="898"/>
    <s v="Vendéglátás Netpincer.hu"/>
    <n v="-2790"/>
    <x v="2"/>
    <x v="2"/>
    <x v="4"/>
  </r>
  <r>
    <x v="899"/>
    <s v="GLS D77 DEPO' ALSONEMEDI 11.890,00 HUF Vásárlás"/>
    <n v="-11890"/>
    <x v="3"/>
    <x v="4"/>
    <x v="0"/>
  </r>
  <r>
    <x v="899"/>
    <s v="Robert Bosch Kft. Munkabér10622618, A106226182020120 31436090026, 0601390026"/>
    <n v="344250"/>
    <x v="4"/>
    <x v="20"/>
    <x v="0"/>
  </r>
  <r>
    <x v="900"/>
    <s v="SPAR MAGYARORSZAG KFT BUDAPEST 1.137,00 HUF Vásárlás"/>
    <n v="-1137"/>
    <x v="3"/>
    <x v="4"/>
    <x v="0"/>
  </r>
  <r>
    <x v="900"/>
    <s v="Generali Egészség-és Önsegélyező Czuprik Gergely Tagsagi azonosító 72763"/>
    <n v="333950"/>
    <x v="1"/>
    <x v="50"/>
    <x v="8"/>
  </r>
  <r>
    <x v="900"/>
    <s v="Generali Egészség-és Önsegélyező Czuprik Gergely Tagsagi azonosító 72763"/>
    <n v="-350000"/>
    <x v="1"/>
    <x v="50"/>
    <x v="0"/>
  </r>
  <r>
    <x v="901"/>
    <s v="Delivery Hero Hungary Budapest 1.990,00 HUF Vásárlás"/>
    <n v="-1990"/>
    <x v="2"/>
    <x v="2"/>
    <x v="0"/>
  </r>
  <r>
    <x v="901"/>
    <s v="374 COOP SZUPER BUDAPEST 209,00 HUF Vásárlás"/>
    <n v="-209"/>
    <x v="3"/>
    <x v="4"/>
    <x v="0"/>
  </r>
  <r>
    <x v="901"/>
    <s v="AMZN Mktp US 920PM4363 Amzn.com/bil 53,66 USD Vásárlás 53,66 USD 303.9400"/>
    <n v="-16309.42"/>
    <x v="3"/>
    <x v="8"/>
    <x v="0"/>
  </r>
  <r>
    <x v="902"/>
    <s v="PAYPAL ALIPAYSINGA AL 13917489939 9,10 USD Vásárlás 9,10 USD 304.7700"/>
    <n v="-2773.41"/>
    <x v="3"/>
    <x v="8"/>
    <x v="0"/>
  </r>
  <r>
    <x v="903"/>
    <s v="ALDI 125.SZ. BUDAPEST 6.304,00 HUF Vásárlás"/>
    <n v="-6304"/>
    <x v="3"/>
    <x v="4"/>
    <x v="0"/>
  </r>
  <r>
    <x v="903"/>
    <s v="OMV 2075 Budapest Fog 11.680,00 HUF Vásárlás"/>
    <n v="-11680"/>
    <x v="5"/>
    <x v="16"/>
    <x v="0"/>
  </r>
  <r>
    <x v="903"/>
    <s v="374 COOP SZUPER BUDAPEST 468,00 HUF Vásárlás"/>
    <n v="-468"/>
    <x v="3"/>
    <x v="4"/>
    <x v="0"/>
  </r>
  <r>
    <x v="903"/>
    <s v="OTPMOBL VODAFONE.HU BUDAPEST 7.008,00 HUF Vásárlás"/>
    <n v="-7008"/>
    <x v="3"/>
    <x v="46"/>
    <x v="0"/>
  </r>
  <r>
    <x v="903"/>
    <s v="NETFLIX.COM 408-724-9160 3.990,00 HUF Vásárlás 13,16 USD"/>
    <n v="-3990"/>
    <x v="0"/>
    <x v="7"/>
    <x v="0"/>
  </r>
  <r>
    <x v="904"/>
    <s v="Kemal Pasa Torok Et Budapest 1.150,00 HUF Vásárlás"/>
    <n v="-1150"/>
    <x v="2"/>
    <x v="2"/>
    <x v="0"/>
  </r>
  <r>
    <x v="904"/>
    <s v="Kiskifli kavezo Budapest 650,00 HUF Vásárlás"/>
    <n v="-650"/>
    <x v="2"/>
    <x v="19"/>
    <x v="0"/>
  </r>
  <r>
    <x v="904"/>
    <s v="XIV. Bp Egressy u. 110. Társas közösköltség Egressy út 110/a/2/5"/>
    <n v="-16717"/>
    <x v="0"/>
    <x v="57"/>
    <x v="0"/>
  </r>
  <r>
    <x v="905"/>
    <s v="SPAR MAGYARORSZAG KFT BUDAPEST 1.424,00 HUF Vásárlás"/>
    <n v="-1424"/>
    <x v="3"/>
    <x v="4"/>
    <x v="0"/>
  </r>
  <r>
    <x v="906"/>
    <s v="SPAR MAGYARORSZAG KFT BUDAPEST 579,00 HUF Vásárlás"/>
    <n v="-579"/>
    <x v="3"/>
    <x v="4"/>
    <x v="0"/>
  </r>
  <r>
    <x v="906"/>
    <s v="NOTEBOOK A'RKA'D BUDAPEST 6.470,00 HUF Vásárlás"/>
    <n v="-6470"/>
    <x v="3"/>
    <x v="31"/>
    <x v="0"/>
  </r>
  <r>
    <x v="907"/>
    <s v="Navigátor díj 2020/12"/>
    <n v="-100"/>
    <x v="1"/>
    <x v="1"/>
    <x v="8"/>
  </r>
  <r>
    <x v="907"/>
    <s v="Vendéglátás Netpincer.hu"/>
    <n v="-2240"/>
    <x v="2"/>
    <x v="2"/>
    <x v="4"/>
  </r>
  <r>
    <x v="907"/>
    <s v="374 COOP SZUPER BUDAPEST 797,00 HUF Vásárlás"/>
    <n v="-797"/>
    <x v="3"/>
    <x v="4"/>
    <x v="0"/>
  </r>
  <r>
    <x v="908"/>
    <s v="Vendéglátás JAGUAR LAND ROVER HUNGARY KFT."/>
    <n v="9240"/>
    <x v="4"/>
    <x v="20"/>
    <x v="4"/>
  </r>
  <r>
    <x v="908"/>
    <s v="Szálláshely JAGUAR LAND ROVER HUNGARY KFT."/>
    <n v="12000"/>
    <x v="4"/>
    <x v="20"/>
    <x v="4"/>
  </r>
  <r>
    <x v="909"/>
    <s v="SN3298000000102622 BUDAPEST 3.564,00 HUF Vásárlás 11,72 USD"/>
    <n v="-3564"/>
    <x v="3"/>
    <x v="8"/>
    <x v="0"/>
  </r>
  <r>
    <x v="910"/>
    <s v="Wizz Air Hungary Légiközlekedési WRF3BHNN8 GHKLWK 222169618 Refund V isszatrts"/>
    <n v="42430"/>
    <x v="6"/>
    <x v="52"/>
    <x v="0"/>
  </r>
  <r>
    <x v="911"/>
    <s v="374 COOP SZUPER BUDAPEST 649,00 HUF Vásárlás"/>
    <n v="-649"/>
    <x v="3"/>
    <x v="4"/>
    <x v="0"/>
  </r>
  <r>
    <x v="911"/>
    <s v="ALDI 125.SZ. BUDAPEST 5.107,00 HUF Vásárlás"/>
    <n v="-5107"/>
    <x v="3"/>
    <x v="4"/>
    <x v="0"/>
  </r>
  <r>
    <x v="911"/>
    <s v="Amazon Prime amzn.co.uk/p 7,99 GBP Vásárlás 10,57- USD 309.9800"/>
    <n v="3276.49"/>
    <x v="0"/>
    <x v="7"/>
    <x v="0"/>
  </r>
  <r>
    <x v="912"/>
    <s v="TESCO 41400 O NKISZOLG BUDAPEST 1.747,00 HUF Vásárlás"/>
    <n v="-1747"/>
    <x v="3"/>
    <x v="4"/>
    <x v="0"/>
  </r>
  <r>
    <x v="912"/>
    <s v="374 COOP SZUPER BUDAPEST 1.157,00 HUF Vásárlás"/>
    <n v="-1157"/>
    <x v="3"/>
    <x v="4"/>
    <x v="0"/>
  </r>
  <r>
    <x v="912"/>
    <s v="ALDI 125.SZ. BUDAPEST 1.947,00 HUF Vásárlás"/>
    <n v="-1947"/>
    <x v="3"/>
    <x v="4"/>
    <x v="0"/>
  </r>
  <r>
    <x v="913"/>
    <s v="LIDL ARUHAZ 0167.SZ. BUDAPEST 4.441,00 HUF Vásárlás"/>
    <n v="-4441"/>
    <x v="3"/>
    <x v="4"/>
    <x v="0"/>
  </r>
  <r>
    <x v="913"/>
    <s v="Amazon Prime M787D5HD4 amzn.co.uk/p 7,99 GBP Vásárlás 10,68 USD 308.3400"/>
    <n v="-3293.07"/>
    <x v="0"/>
    <x v="7"/>
    <x v="0"/>
  </r>
  <r>
    <x v="914"/>
    <s v="Albérlet"/>
    <n v="-110000"/>
    <x v="0"/>
    <x v="57"/>
    <x v="2"/>
  </r>
  <r>
    <x v="915"/>
    <s v="Vendéglátás Netpincer.hu"/>
    <n v="-3540"/>
    <x v="2"/>
    <x v="2"/>
    <x v="4"/>
  </r>
  <r>
    <x v="916"/>
    <s v="ZS PLUSZ U KFT BUDAPEST 3.399,00 HUF Vásárlás"/>
    <n v="-3399"/>
    <x v="5"/>
    <x v="36"/>
    <x v="0"/>
  </r>
  <r>
    <x v="916"/>
    <s v="JAGUAR LAND ROVER HUNGARY KFT. Munkaber utalasMunkabér"/>
    <n v="668960"/>
    <x v="4"/>
    <x v="20"/>
    <x v="0"/>
  </r>
  <r>
    <x v="917"/>
    <s v="TESCO 41400 O NKISZOLG BUDAPEST 9.421,00 HUF Vásárlás"/>
    <n v="-9421"/>
    <x v="3"/>
    <x v="4"/>
    <x v="0"/>
  </r>
  <r>
    <x v="917"/>
    <s v="PILLANGO U. 15. BUDAPEST 149.000,00 HUF Kp felvét"/>
    <n v="149000"/>
    <x v="8"/>
    <x v="43"/>
    <x v="2"/>
  </r>
  <r>
    <x v="917"/>
    <s v="PILLANGO U. 15. BUDAPEST 149.000,00 HUF Kp felvét"/>
    <n v="-149000"/>
    <x v="8"/>
    <x v="43"/>
    <x v="0"/>
  </r>
  <r>
    <x v="917"/>
    <s v="OMV 2081 Budapest Kac 23.078,00 HUF Vásárlás"/>
    <n v="-23078"/>
    <x v="5"/>
    <x v="16"/>
    <x v="0"/>
  </r>
  <r>
    <x v="917"/>
    <s v="IKEA ORS VEZER ETTER Budapest 3.030,00 HUF Vásárlás"/>
    <n v="-3030"/>
    <x v="0"/>
    <x v="0"/>
    <x v="0"/>
  </r>
  <r>
    <x v="917"/>
    <s v="LIDL ARUHAZ 0167.SZ. BUDAPEST 9.122,00 HUF Vásárlás"/>
    <n v="-9122"/>
    <x v="3"/>
    <x v="4"/>
    <x v="0"/>
  </r>
  <r>
    <x v="918"/>
    <s v="Autoszerelés"/>
    <n v="-220000"/>
    <x v="5"/>
    <x v="36"/>
    <x v="2"/>
  </r>
  <r>
    <x v="919"/>
    <s v="Vendéglátás Netpincer.hu"/>
    <n v="-1990"/>
    <x v="2"/>
    <x v="2"/>
    <x v="4"/>
  </r>
  <r>
    <x v="919"/>
    <s v="Robert Bosch Kft. Munkabér10622618, A106226182020110 51305410019, 0592710019"/>
    <n v="344250"/>
    <x v="4"/>
    <x v="20"/>
    <x v="0"/>
  </r>
  <r>
    <x v="920"/>
    <s v="CATCH BUDAPEST 750,00 HUF Vásárlás"/>
    <n v="-750"/>
    <x v="2"/>
    <x v="19"/>
    <x v="0"/>
  </r>
  <r>
    <x v="920"/>
    <s v="SIMPLE PARKOL S BUDAPEST 297,00 HUF Vásárlás"/>
    <n v="-297"/>
    <x v="5"/>
    <x v="9"/>
    <x v="0"/>
  </r>
  <r>
    <x v="921"/>
    <s v="AUCHAN BUDAORS BUDAORS 3.083,00 HUF Vásárlás"/>
    <n v="-3083"/>
    <x v="3"/>
    <x v="4"/>
    <x v="0"/>
  </r>
  <r>
    <x v="922"/>
    <s v="CATCH BUDAPEST 750,00 HUF Vásárlás "/>
    <n v="-750"/>
    <x v="2"/>
    <x v="19"/>
    <x v="0"/>
  </r>
  <r>
    <x v="923"/>
    <s v="Vendéglátás Netpincer.hu"/>
    <n v="-2390"/>
    <x v="2"/>
    <x v="2"/>
    <x v="4"/>
  </r>
  <r>
    <x v="923"/>
    <s v="Kemal Pasa Torok Et Budapest 1.450,00 HUF Vásárlás "/>
    <n v="-1450"/>
    <x v="2"/>
    <x v="2"/>
    <x v="0"/>
  </r>
  <r>
    <x v="924"/>
    <s v="WELMAX DIVAT U ZLET BUDAPEST 480,00 HUF Vásárlás "/>
    <n v="-480"/>
    <x v="3"/>
    <x v="4"/>
    <x v="0"/>
  </r>
  <r>
    <x v="924"/>
    <s v="GLS D77 DEPO' ALSONEMEDI 13.760,00 HUF Vásárlás "/>
    <n v="-13760"/>
    <x v="3"/>
    <x v="4"/>
    <x v="0"/>
  </r>
  <r>
    <x v="924"/>
    <s v="NETFLIX.COM 408-724-9160 3.990,00 HUF Vásárlás 12,93 USD"/>
    <n v="-3990"/>
    <x v="0"/>
    <x v="7"/>
    <x v="0"/>
  </r>
  <r>
    <x v="925"/>
    <s v="374 COOP SZUPER BUDAPEST 1.446,00 HUF Vásárlás "/>
    <n v="-1446"/>
    <x v="3"/>
    <x v="4"/>
    <x v="0"/>
  </r>
  <r>
    <x v="926"/>
    <s v="Vendéglátás Netpincer.hu"/>
    <n v="-2690"/>
    <x v="2"/>
    <x v="2"/>
    <x v="4"/>
  </r>
  <r>
    <x v="926"/>
    <s v="CZUPRIKGERGE Hivatkozási szám BCKOZP/36884044 Értékpapír számla egyenlegrendezés"/>
    <n v="-927"/>
    <x v="1"/>
    <x v="1"/>
    <x v="0"/>
  </r>
  <r>
    <x v="926"/>
    <s v="OTPMOBL VODAFONE.HU BUDAPEST 3.860,00 HUF Vásárlás "/>
    <n v="-3860"/>
    <x v="0"/>
    <x v="7"/>
    <x v="0"/>
  </r>
  <r>
    <x v="926"/>
    <s v="OTPMOBL VODAFONE.HU BUDAPEST 3.860,00 HUF Vásárlás "/>
    <n v="-3860"/>
    <x v="0"/>
    <x v="7"/>
    <x v="0"/>
  </r>
  <r>
    <x v="926"/>
    <s v="OTPMOBL VODAFONE.HU BUDAPEST 7.008,00 HUF Vásárlás "/>
    <n v="-7008"/>
    <x v="3"/>
    <x v="46"/>
    <x v="0"/>
  </r>
  <r>
    <x v="926"/>
    <s v="AUTO-SZU'RO'BOLT BUDAPEST 27.450,00 HUF Vásárlás "/>
    <n v="-27450"/>
    <x v="3"/>
    <x v="8"/>
    <x v="0"/>
  </r>
  <r>
    <x v="926"/>
    <s v="SZERENCSEJATEK ZRT. BUDAPEST 1.000,00 HUF Vásárlás "/>
    <n v="-1000"/>
    <x v="3"/>
    <x v="8"/>
    <x v="0"/>
  </r>
  <r>
    <x v="926"/>
    <s v="WELMAX DIVAT U ZLET BUDAPEST 1.160,00 HUF Vásárlás "/>
    <n v="-1160"/>
    <x v="3"/>
    <x v="4"/>
    <x v="0"/>
  </r>
  <r>
    <x v="926"/>
    <s v="XIV. Bp Egressy u. 110. Társas Egressy ut 110. A 2/5 közös költség "/>
    <n v="-25057"/>
    <x v="0"/>
    <x v="56"/>
    <x v="0"/>
  </r>
  <r>
    <x v="927"/>
    <s v="Vendéglátás Tájfun Biliárdszalon és Étterem"/>
    <n v="-1490"/>
    <x v="2"/>
    <x v="2"/>
    <x v="4"/>
  </r>
  <r>
    <x v="928"/>
    <s v="Wolt Helsinki 4.889,00 HUF Vásárlás "/>
    <n v="-4889"/>
    <x v="2"/>
    <x v="2"/>
    <x v="0"/>
  </r>
  <r>
    <x v="928"/>
    <s v="ALDI 125.SZ. BUDAPEST 7.133,00 HUF Vásárlás "/>
    <n v="-7133"/>
    <x v="3"/>
    <x v="4"/>
    <x v="0"/>
  </r>
  <r>
    <x v="928"/>
    <s v="HARSÁNYI JÓZSEF egyéb "/>
    <n v="28000"/>
    <x v="3"/>
    <x v="8"/>
    <x v="0"/>
  </r>
  <r>
    <x v="929"/>
    <s v="Vendéglátás JAGUAR LAND ROVER HUNGARY KFT."/>
    <n v="9240"/>
    <x v="4"/>
    <x v="20"/>
    <x v="4"/>
  </r>
  <r>
    <x v="929"/>
    <s v="Szálláshely JAGUAR LAND ROVER HUNGARY KFT."/>
    <n v="12000"/>
    <x v="4"/>
    <x v="20"/>
    <x v="4"/>
  </r>
  <r>
    <x v="930"/>
    <s v="374 COOP SZUPER BUDAPEST 152,00 HUF Vásárlás "/>
    <n v="-152"/>
    <x v="3"/>
    <x v="4"/>
    <x v="0"/>
  </r>
  <r>
    <x v="931"/>
    <s v="Navigátor díj 2020/11"/>
    <n v="-100"/>
    <x v="1"/>
    <x v="1"/>
    <x v="8"/>
  </r>
  <r>
    <x v="931"/>
    <s v="MOL Limitless Mobility Budapest 2.210,00 HUF Vásárlás "/>
    <n v="-2210"/>
    <x v="5"/>
    <x v="58"/>
    <x v="0"/>
  </r>
  <r>
    <x v="931"/>
    <s v="Halászbástya Étterem Budapest 19.000,00 HUF Vásárlás "/>
    <n v="-19000"/>
    <x v="2"/>
    <x v="10"/>
    <x v="0"/>
  </r>
  <r>
    <x v="931"/>
    <s v="SumUp Taxi/Hegedus A Budapest 4.200,00 HUF Vásárlás 13,49 USD"/>
    <n v="-4200"/>
    <x v="5"/>
    <x v="58"/>
    <x v="0"/>
  </r>
  <r>
    <x v="931"/>
    <s v="Paris Attila hbo "/>
    <n v="-3600"/>
    <x v="0"/>
    <x v="7"/>
    <x v="0"/>
  </r>
  <r>
    <x v="932"/>
    <s v="Vendéglátás Netpincer.hu"/>
    <n v="-2390"/>
    <x v="2"/>
    <x v="2"/>
    <x v="4"/>
  </r>
  <r>
    <x v="932"/>
    <s v="Vendéglátás Tájfun Biliárdszalon és Étterem"/>
    <n v="-2780"/>
    <x v="2"/>
    <x v="2"/>
    <x v="4"/>
  </r>
  <r>
    <x v="932"/>
    <s v="TESCO BUDAPEST BUDAPEST 37.424,00 HUF Vásárlás "/>
    <n v="-37424"/>
    <x v="3"/>
    <x v="31"/>
    <x v="0"/>
  </r>
  <r>
    <x v="932"/>
    <s v="ALDI 125.SZ. BUDAPEST 10.532,00 HUF Vásárlás "/>
    <n v="-10532"/>
    <x v="3"/>
    <x v="4"/>
    <x v="0"/>
  </r>
  <r>
    <x v="933"/>
    <s v="Vendéglátás Netpincer.hu"/>
    <n v="-2790"/>
    <x v="2"/>
    <x v="2"/>
    <x v="4"/>
  </r>
  <r>
    <x v="933"/>
    <s v="BENU URANUS PATIKA BUDAPEST 3.199,00 HUF Vásárlás "/>
    <n v="-3199"/>
    <x v="7"/>
    <x v="5"/>
    <x v="0"/>
  </r>
  <r>
    <x v="933"/>
    <s v="ALDI 125.SZ. BUDAPEST 1.506,00 HUF Vásárlás "/>
    <n v="-1506"/>
    <x v="3"/>
    <x v="4"/>
    <x v="0"/>
  </r>
  <r>
    <x v="933"/>
    <s v="BKK AUTOMATA - D22 BUDAPEST 3.000,00 HUF Vásárlás "/>
    <n v="-3000"/>
    <x v="5"/>
    <x v="28"/>
    <x v="0"/>
  </r>
  <r>
    <x v="933"/>
    <s v="MAGYAR ALLAMKINCSTAR BUDAPEST 500.000,00 HUF Vásárlás "/>
    <n v="999224"/>
    <x v="1"/>
    <x v="26"/>
    <x v="3"/>
  </r>
  <r>
    <x v="933"/>
    <s v="MAGYAR ALLAMKINCSTAR BUDAPEST 500.000,00 HUF Vásárlás "/>
    <n v="-500000"/>
    <x v="1"/>
    <x v="26"/>
    <x v="0"/>
  </r>
  <r>
    <x v="933"/>
    <s v="MAGYAR ALLAMKINCSTAR BUDAPEST 499.224,00 HUF Vásárlás "/>
    <n v="-499224"/>
    <x v="1"/>
    <x v="26"/>
    <x v="0"/>
  </r>
  <r>
    <x v="933"/>
    <s v="Albérlet"/>
    <n v="-110000"/>
    <x v="0"/>
    <x v="57"/>
    <x v="2"/>
  </r>
  <r>
    <x v="933"/>
    <s v="89000010 BUDAPEST 49.000,00 HUF Kp felvét "/>
    <n v="4000"/>
    <x v="8"/>
    <x v="43"/>
    <x v="2"/>
  </r>
  <r>
    <x v="933"/>
    <s v="89000010 BUDAPEST 49.000,00 HUF Kp felvét "/>
    <n v="-4000"/>
    <x v="8"/>
    <x v="43"/>
    <x v="2"/>
  </r>
  <r>
    <x v="933"/>
    <s v="89000010 BUDAPEST 49.000,00 HUF Kp felvét "/>
    <n v="-45000"/>
    <x v="0"/>
    <x v="59"/>
    <x v="0"/>
  </r>
  <r>
    <x v="933"/>
    <s v="Webshop Partner Kft #1551 Czuprik Gergely "/>
    <n v="-40220"/>
    <x v="3"/>
    <x v="24"/>
    <x v="0"/>
  </r>
  <r>
    <x v="934"/>
    <s v="JAGUAR LAND ROVER HUNGARY KFT. Munkaber utalasMunkabér "/>
    <n v="668960"/>
    <x v="4"/>
    <x v="20"/>
    <x v="0"/>
  </r>
  <r>
    <x v="935"/>
    <s v="Robert Bosch Kft. Munkabér10622618, A106226182020100 81119450018, 0582850018"/>
    <n v="344250"/>
    <x v="4"/>
    <x v="20"/>
    <x v="0"/>
  </r>
  <r>
    <x v="936"/>
    <s v="SZERENCSEJATEK ZRT. BUDAPEST 2.265,00 HUF Vásárlás "/>
    <n v="-2265"/>
    <x v="3"/>
    <x v="8"/>
    <x v="0"/>
  </r>
  <r>
    <x v="936"/>
    <s v="ALDI 125.SZ. BUDAPEST 499,00 HUF Vásárlás "/>
    <n v="-499"/>
    <x v="3"/>
    <x v="4"/>
    <x v="0"/>
  </r>
  <r>
    <x v="936"/>
    <s v="TESCO 41400 O NKISZOLG BUDAPEST 14.796,00 HUF Vásárlás "/>
    <n v="-14796"/>
    <x v="3"/>
    <x v="4"/>
    <x v="0"/>
  </r>
  <r>
    <x v="936"/>
    <s v="KAVEZO, CUKRASZDA BUDAPEST 5.400,00 HUF Vásárlás "/>
    <n v="-5400"/>
    <x v="2"/>
    <x v="19"/>
    <x v="0"/>
  </r>
  <r>
    <x v="937"/>
    <s v="GLS D77 DEPO' ALSONEMEDI 14.040,00 HUF Vásárlás "/>
    <n v="-14040"/>
    <x v="3"/>
    <x v="4"/>
    <x v="0"/>
  </r>
  <r>
    <x v="937"/>
    <s v="Elmű-Émász Energiaszolgáltató Zr 840102936184 2600540425 "/>
    <n v="-6101"/>
    <x v="0"/>
    <x v="7"/>
    <x v="0"/>
  </r>
  <r>
    <x v="938"/>
    <s v="Vendéglátás Netpincer.hu"/>
    <n v="-2980"/>
    <x v="2"/>
    <x v="2"/>
    <x v="4"/>
  </r>
  <r>
    <x v="939"/>
    <s v="LIDL ARUHAZ 0167.SZ. BUDAPEST 4.596,00 HUF Vásárlás "/>
    <n v="-4596"/>
    <x v="3"/>
    <x v="4"/>
    <x v="0"/>
  </r>
  <r>
    <x v="940"/>
    <s v="HOZAM 2020. III. NEGYEDÉV"/>
    <n v="344"/>
    <x v="1"/>
    <x v="34"/>
    <x v="8"/>
  </r>
  <r>
    <x v="940"/>
    <s v="Kamatadó  "/>
    <n v="-13.26"/>
    <x v="1"/>
    <x v="34"/>
    <x v="0"/>
  </r>
  <r>
    <x v="940"/>
    <s v="JOEFALAT CATERING BUDAPEST 2.000,00 HUF Vásárlás "/>
    <n v="-2000"/>
    <x v="2"/>
    <x v="2"/>
    <x v="0"/>
  </r>
  <r>
    <x v="940"/>
    <s v="Kamat  "/>
    <n v="88.42"/>
    <x v="1"/>
    <x v="34"/>
    <x v="0"/>
  </r>
  <r>
    <x v="941"/>
    <s v="TESCO 41400 BUDAPEST 4.683,00 HUF Vásárlás "/>
    <n v="-4683"/>
    <x v="3"/>
    <x v="4"/>
    <x v="0"/>
  </r>
  <r>
    <x v="942"/>
    <s v="OTPMOBL VODAFONE.HU BUDAPEST 3.860,00 HUF Vásárlás "/>
    <n v="-3860"/>
    <x v="0"/>
    <x v="7"/>
    <x v="0"/>
  </r>
  <r>
    <x v="942"/>
    <s v="OTPMOBL VODAFONE.HU BUDAPEST 7.403,00 HUF Vásárlás "/>
    <n v="-7403"/>
    <x v="3"/>
    <x v="46"/>
    <x v="0"/>
  </r>
  <r>
    <x v="942"/>
    <s v="NETFLIX.COM 408-724-9160 3.990,00 HUF Vásárlás 12,80 USD"/>
    <n v="-3990"/>
    <x v="0"/>
    <x v="7"/>
    <x v="0"/>
  </r>
  <r>
    <x v="943"/>
    <s v="XIV. Bp Egressy u. 110. Társas Egressy ut 110. A 2/5 közös költség "/>
    <n v="-23317"/>
    <x v="0"/>
    <x v="56"/>
    <x v="0"/>
  </r>
  <r>
    <x v="944"/>
    <s v="ISTANBUL E'TTEREM BUDAPEST 1.430,00 HUF Vásárlás "/>
    <n v="-1430"/>
    <x v="2"/>
    <x v="2"/>
    <x v="0"/>
  </r>
  <r>
    <x v="944"/>
    <s v="RYANAIR0000000LZM45L0 DUBLIN 1.096,40 SEK Vásárlás 123,93- USD 319.3800"/>
    <n v="39580.76"/>
    <x v="6"/>
    <x v="52"/>
    <x v="0"/>
  </r>
  <r>
    <x v="944"/>
    <s v="Fodor Orsolya Ajándék "/>
    <n v="-5000"/>
    <x v="8"/>
    <x v="29"/>
    <x v="0"/>
  </r>
  <r>
    <x v="945"/>
    <s v="MAGYAR ALLAMKINCSTAR BUDAPEST 500.000,00 HUF Vásárlás "/>
    <n v="2000000"/>
    <x v="1"/>
    <x v="26"/>
    <x v="3"/>
  </r>
  <r>
    <x v="945"/>
    <s v="MAGYAR ALLAMKINCSTAR BUDAPEST 500.000,00 HUF Vásárlás "/>
    <n v="-500000"/>
    <x v="1"/>
    <x v="26"/>
    <x v="0"/>
  </r>
  <r>
    <x v="945"/>
    <s v="MAGYAR ALLAMKINCSTAR BUDAPEST 500.000,00 HUF Vásárlás "/>
    <n v="-500000"/>
    <x v="1"/>
    <x v="26"/>
    <x v="0"/>
  </r>
  <r>
    <x v="945"/>
    <s v="MAGYAR ALLAMKINCSTAR BUDAPEST 500.000,00 HUF Vásárlás "/>
    <n v="-500000"/>
    <x v="1"/>
    <x v="26"/>
    <x v="0"/>
  </r>
  <r>
    <x v="945"/>
    <s v="MAGYAR ALLAMKINCSTAR BUDAPEST 500.000,00 HUF Vásárlás "/>
    <n v="-500000"/>
    <x v="1"/>
    <x v="26"/>
    <x v="0"/>
  </r>
  <r>
    <x v="945"/>
    <s v="ALDI 125.SZ. BUDAPEST 2.766,00 HUF Vásárlás "/>
    <n v="-2766"/>
    <x v="3"/>
    <x v="4"/>
    <x v="0"/>
  </r>
  <r>
    <x v="945"/>
    <s v="DM 393. BUDAPEST 3.847,00 HUF Vásárlás "/>
    <n v="-3847"/>
    <x v="3"/>
    <x v="4"/>
    <x v="0"/>
  </r>
  <r>
    <x v="945"/>
    <s v="LIDL ARUHAZ 0167.SZ. BUDAPEST 8.549,00 HUF Vásárlás "/>
    <n v="-8549"/>
    <x v="3"/>
    <x v="4"/>
    <x v="0"/>
  </r>
  <r>
    <x v="946"/>
    <s v="Navigátor díj 2020/10"/>
    <n v="-100"/>
    <x v="1"/>
    <x v="1"/>
    <x v="8"/>
  </r>
  <r>
    <x v="946"/>
    <s v="Vendéglátás JAGUAR LAND ROVER HUNGARY KFT."/>
    <n v="9240"/>
    <x v="4"/>
    <x v="20"/>
    <x v="4"/>
  </r>
  <r>
    <x v="946"/>
    <s v="Szálláshely JAGUAR LAND ROVER HUNGARY KFT."/>
    <n v="12000"/>
    <x v="4"/>
    <x v="20"/>
    <x v="4"/>
  </r>
  <r>
    <x v="946"/>
    <s v="MOL TO LTO'A'LLOMA'S SALGOTARJAN 19.728,00 HUF Vásárlás "/>
    <n v="-19728"/>
    <x v="5"/>
    <x v="16"/>
    <x v="0"/>
  </r>
  <r>
    <x v="946"/>
    <s v="47KC5=SIMPLE KARTYAREG BUDAPEST 100,00 HUF Vásárlás "/>
    <n v="100"/>
    <x v="5"/>
    <x v="9"/>
    <x v="0"/>
  </r>
  <r>
    <x v="947"/>
    <s v="MAGYAR ALLAMKINCSTAR BUDAPEST 500.000,00 HUF Vásárlás "/>
    <n v="3499208"/>
    <x v="1"/>
    <x v="26"/>
    <x v="3"/>
  </r>
  <r>
    <x v="947"/>
    <s v="MAGYAR ALLAMKINCSTAR BUDAPEST 500.000,00 HUF Vásárlás "/>
    <n v="-500000"/>
    <x v="1"/>
    <x v="26"/>
    <x v="0"/>
  </r>
  <r>
    <x v="947"/>
    <s v="MAGYAR ALLAMKINCSTAR BUDAPEST 500.000,00 HUF Vásárlás "/>
    <n v="-500000"/>
    <x v="1"/>
    <x v="26"/>
    <x v="0"/>
  </r>
  <r>
    <x v="947"/>
    <s v="MAGYAR ALLAMKINCSTAR BUDAPEST 500.000,00 HUF Vásárlás "/>
    <n v="-500000"/>
    <x v="1"/>
    <x v="26"/>
    <x v="0"/>
  </r>
  <r>
    <x v="947"/>
    <s v="MAGYAR ALLAMKINCSTAR BUDAPEST 500.000,00 HUF Vásárlás "/>
    <n v="-500000"/>
    <x v="1"/>
    <x v="26"/>
    <x v="0"/>
  </r>
  <r>
    <x v="947"/>
    <s v="MAGYAR ALLAMKINCSTAR BUDAPEST 499.604,00 HUF Vásárlás "/>
    <n v="-499604"/>
    <x v="1"/>
    <x v="26"/>
    <x v="0"/>
  </r>
  <r>
    <x v="947"/>
    <s v="MAGYAR ALLAMKINCSTAR BUDAPEST 499.604,00 HUF Vásárlás "/>
    <n v="-499604"/>
    <x v="1"/>
    <x v="26"/>
    <x v="0"/>
  </r>
  <r>
    <x v="947"/>
    <s v="MAGYAR ALLAMKINCSTAR BUDAPEST 500.000,00 HUF Vásárlás "/>
    <n v="-500000"/>
    <x v="1"/>
    <x v="26"/>
    <x v="0"/>
  </r>
  <r>
    <x v="948"/>
    <s v="SIMPLE PARKOL S BUDAPEST 312,00 HUF Vásárlás "/>
    <n v="-312"/>
    <x v="5"/>
    <x v="9"/>
    <x v="0"/>
  </r>
  <r>
    <x v="948"/>
    <s v="HNR6G=SIMPLE KARTYAREG BUDAPEST 100,00 HUF Vásárlás "/>
    <n v="-100"/>
    <x v="5"/>
    <x v="9"/>
    <x v="0"/>
  </r>
  <r>
    <x v="948"/>
    <s v="BURGER KING HUNGA'RIA BUDAPEST 3.920,00 HUF Vásárlás "/>
    <n v="-3920"/>
    <x v="2"/>
    <x v="2"/>
    <x v="0"/>
  </r>
  <r>
    <x v="949"/>
    <s v="Vendéglátás Netpincer.hu"/>
    <n v="-2790"/>
    <x v="2"/>
    <x v="2"/>
    <x v="4"/>
  </r>
  <r>
    <x v="949"/>
    <s v="Betétlelejárat  "/>
    <n v="-3000702.27"/>
    <x v="1"/>
    <x v="60"/>
    <x v="0"/>
  </r>
  <r>
    <x v="949"/>
    <s v="Betétlelejárat  "/>
    <n v="1000234.09"/>
    <x v="1"/>
    <x v="60"/>
    <x v="0"/>
  </r>
  <r>
    <x v="949"/>
    <s v="Betétlelejárat  "/>
    <n v="1000234.09"/>
    <x v="1"/>
    <x v="60"/>
    <x v="0"/>
  </r>
  <r>
    <x v="949"/>
    <s v="Betétlelejárat  "/>
    <n v="1000234.09"/>
    <x v="1"/>
    <x v="60"/>
    <x v="0"/>
  </r>
  <r>
    <x v="950"/>
    <s v="374 COOP SZUPER BUDAPEST 478,00 HUF Vásárlás "/>
    <n v="-478"/>
    <x v="3"/>
    <x v="4"/>
    <x v="0"/>
  </r>
  <r>
    <x v="950"/>
    <s v="TAPOLCAI-TAVASBARLANG TAPOLCA 4.400,00 HUF Vásárlás "/>
    <n v="-4400"/>
    <x v="6"/>
    <x v="52"/>
    <x v="0"/>
  </r>
  <r>
    <x v="950"/>
    <s v="89000010 BUDAPEST 50.000,00 HUF Kp felvét "/>
    <n v="-40000"/>
    <x v="6"/>
    <x v="52"/>
    <x v="0"/>
  </r>
  <r>
    <x v="950"/>
    <s v="89000010 BUDAPEST 100.000,00 HUF Kp felvét "/>
    <n v="-110000"/>
    <x v="0"/>
    <x v="57"/>
    <x v="0"/>
  </r>
  <r>
    <x v="950"/>
    <s v="TO'PART CAFFE TAPOLCA 4.000,00 HUF Vásárlás "/>
    <n v="-4000"/>
    <x v="2"/>
    <x v="10"/>
    <x v="0"/>
  </r>
  <r>
    <x v="950"/>
    <s v="FREYJA BISZTRO BUDAPEST 4.470,00 HUF Vásárlás "/>
    <n v="-4470"/>
    <x v="2"/>
    <x v="19"/>
    <x v="0"/>
  </r>
  <r>
    <x v="950"/>
    <s v="PEKLANY BALATONFURED 590,00 HUF Vásárlás "/>
    <n v="-590"/>
    <x v="3"/>
    <x v="4"/>
    <x v="0"/>
  </r>
  <r>
    <x v="951"/>
    <s v="KAROLINA KAVEHAZ BALATONFURED 6.000,00 HUF Vásárlás "/>
    <n v="-6000"/>
    <x v="2"/>
    <x v="19"/>
    <x v="0"/>
  </r>
  <r>
    <x v="951"/>
    <s v="Folly Arboretum Kft Badacsonyors 3.000,00 HUF Vásárlás "/>
    <n v="-3000"/>
    <x v="6"/>
    <x v="52"/>
    <x v="0"/>
  </r>
  <r>
    <x v="951"/>
    <s v="Folly Arboretum Kft Badacsonyors 3.000,00 HUF Vásárlás "/>
    <n v="-3000"/>
    <x v="6"/>
    <x v="52"/>
    <x v="0"/>
  </r>
  <r>
    <x v="951"/>
    <s v="Tamasi Tiborne e.v. Balatongyoro 5.000,00 HUF Vásárlás "/>
    <n v="-5000"/>
    <x v="6"/>
    <x v="52"/>
    <x v="0"/>
  </r>
  <r>
    <x v="951"/>
    <s v="SZIGLIGET VA'R SZIGLIGET 2.000,00 HUF Vásárlás "/>
    <n v="-2000"/>
    <x v="6"/>
    <x v="52"/>
    <x v="0"/>
  </r>
  <r>
    <x v="951"/>
    <s v="LAPOSA PINCE BADACSONYTOM 15.640,00 HUF Vásárlás "/>
    <n v="-15640"/>
    <x v="2"/>
    <x v="10"/>
    <x v="0"/>
  </r>
  <r>
    <x v="951"/>
    <s v="SZO'LO'HEGY BISZTRO' BADACSONYTOM 13.000,00 HUF Vásárlás "/>
    <n v="-13000"/>
    <x v="2"/>
    <x v="10"/>
    <x v="0"/>
  </r>
  <r>
    <x v="951"/>
    <s v="OMV 2080 Budapest Ker 12.551,00 HUF Vásárlás "/>
    <n v="-12551"/>
    <x v="5"/>
    <x v="16"/>
    <x v="0"/>
  </r>
  <r>
    <x v="952"/>
    <s v="Szálláshely Maison Bagatell Badacsony"/>
    <n v="-12000"/>
    <x v="2"/>
    <x v="2"/>
    <x v="4"/>
  </r>
  <r>
    <x v="953"/>
    <s v="JAGUAR LAND ROVER HUNGARY KFT. Munkaber utalasMunkabér "/>
    <n v="668960"/>
    <x v="4"/>
    <x v="20"/>
    <x v="0"/>
  </r>
  <r>
    <x v="954"/>
    <s v="JOEFALAT CATERING BUDAPEST 1.800,00 HUF Vásárlás "/>
    <n v="-1800"/>
    <x v="2"/>
    <x v="2"/>
    <x v="0"/>
  </r>
  <r>
    <x v="954"/>
    <s v="LIDL ARUHAZ 0167.SZ. BUDAPEST 10.695,00 HUF Vásárlás "/>
    <n v="-10695"/>
    <x v="3"/>
    <x v="4"/>
    <x v="0"/>
  </r>
  <r>
    <x v="955"/>
    <s v="Mazsa Nordik Kft. Budapest 199,00 HUF Vásárlás "/>
    <n v="-199"/>
    <x v="3"/>
    <x v="4"/>
    <x v="0"/>
  </r>
  <r>
    <x v="955"/>
    <s v="ALDI 125.SZ. BUDAPEST 2.987,00 HUF Vásárlás "/>
    <n v="-2987"/>
    <x v="3"/>
    <x v="4"/>
    <x v="0"/>
  </r>
  <r>
    <x v="956"/>
    <s v="ZILA KAVEHAZ BUDAPEST 5.800,00 HUF Vásárlás "/>
    <n v="-5800"/>
    <x v="2"/>
    <x v="19"/>
    <x v="0"/>
  </r>
  <r>
    <x v="956"/>
    <s v="Salgótarján Gépjármű Ado Fizetés azonosító 41753 2020.09.15 "/>
    <n v="-9450"/>
    <x v="5"/>
    <x v="41"/>
    <x v="0"/>
  </r>
  <r>
    <x v="957"/>
    <s v="LIDL ARUHAZ 0167.SZ. BUDAPEST 2.294,00 HUF Vásárlás "/>
    <n v="-2294"/>
    <x v="3"/>
    <x v="4"/>
    <x v="0"/>
  </r>
  <r>
    <x v="957"/>
    <s v="Robert Bosch Kft. Munkabér10622618, A106226182020090 31342400002, 0572300002"/>
    <n v="344250"/>
    <x v="4"/>
    <x v="20"/>
    <x v="0"/>
  </r>
  <r>
    <x v="958"/>
    <s v="374 COOP SZUPER BUDAPEST 528,00 HUF Vásárlás "/>
    <n v="-528"/>
    <x v="3"/>
    <x v="4"/>
    <x v="0"/>
  </r>
  <r>
    <x v="959"/>
    <s v="Vendéglátás Joe Falat Catering"/>
    <n v="-1500"/>
    <x v="2"/>
    <x v="2"/>
    <x v="4"/>
  </r>
  <r>
    <x v="960"/>
    <s v="PASKA'L STRANDFU RDO' BUDAPEST 6.400,00 HUF Vásárlás "/>
    <n v="-6400"/>
    <x v="6"/>
    <x v="12"/>
    <x v="0"/>
  </r>
  <r>
    <x v="960"/>
    <s v="BGYH ZRT / FESTIPAY BUDAPEST 2.150,00 HUF Vásárlás "/>
    <n v="-2150"/>
    <x v="6"/>
    <x v="12"/>
    <x v="0"/>
  </r>
  <r>
    <x v="960"/>
    <s v="LIDL ARUHAZ 0167.SZ. BUDAPEST 7.542,00 HUF Vásárlás "/>
    <n v="-7542"/>
    <x v="3"/>
    <x v="4"/>
    <x v="0"/>
  </r>
  <r>
    <x v="960"/>
    <s v="OMV 1934 Salgotarjan 15.006,00 HUF Vásárlás "/>
    <n v="-15006"/>
    <x v="5"/>
    <x v="16"/>
    <x v="0"/>
  </r>
  <r>
    <x v="961"/>
    <s v="Albérlet"/>
    <n v="-110000"/>
    <x v="0"/>
    <x v="57"/>
    <x v="0"/>
  </r>
  <r>
    <x v="961"/>
    <s v="TESCO 41400 O NKISZOLG BUDAPEST 3.204,00 HUF Vásárlás "/>
    <n v="-3204"/>
    <x v="3"/>
    <x v="4"/>
    <x v="0"/>
  </r>
  <r>
    <x v="962"/>
    <s v="Vendéglátás Netpincer.hu"/>
    <n v="-2690"/>
    <x v="2"/>
    <x v="2"/>
    <x v="4"/>
  </r>
  <r>
    <x v="962"/>
    <s v="MAGYAR ALLAMKINCSTAR BUDAPEST 1.000.000,00 HUF Vásárlás "/>
    <n v="1000000"/>
    <x v="1"/>
    <x v="26"/>
    <x v="3"/>
  </r>
  <r>
    <x v="962"/>
    <s v="MAGYAR ALLAMKINCSTAR BUDAPEST 1.000.000,00 HUF Vásárlás "/>
    <n v="-1000000"/>
    <x v="1"/>
    <x v="26"/>
    <x v="0"/>
  </r>
  <r>
    <x v="962"/>
    <s v="BURGER KING KEREPESI BUDAPEST 2.180,00 HUF Vásárlás "/>
    <n v="-2180"/>
    <x v="2"/>
    <x v="2"/>
    <x v="0"/>
  </r>
  <r>
    <x v="963"/>
    <s v="Vendéglátás Tájfun Biliárdszalon és Étterem"/>
    <n v="-3000"/>
    <x v="2"/>
    <x v="2"/>
    <x v="4"/>
  </r>
  <r>
    <x v="963"/>
    <s v="Vendéglátás Netpincer.hu"/>
    <n v="-3280"/>
    <x v="2"/>
    <x v="2"/>
    <x v="4"/>
  </r>
  <r>
    <x v="963"/>
    <s v="NETFLIX.COM 408-724-9160 3.990,00 HUF Vásárlás 13,26 USD"/>
    <n v="-3990"/>
    <x v="0"/>
    <x v="7"/>
    <x v="0"/>
  </r>
  <r>
    <x v="964"/>
    <s v="ALDI 125.SZ. BUDAPEST 1.500,00 HUF Vásárlás "/>
    <n v="-1500"/>
    <x v="3"/>
    <x v="4"/>
    <x v="0"/>
  </r>
  <r>
    <x v="964"/>
    <s v="OTPMOBL VODAFONE.HU BUDAPEST 9.412,00 HUF Vásárlás "/>
    <n v="-9412"/>
    <x v="3"/>
    <x v="46"/>
    <x v="0"/>
  </r>
  <r>
    <x v="964"/>
    <s v="CZUPRIKGERGE Hivatkozási szám BIKOZP/36552636 "/>
    <n v="1000000"/>
    <x v="1"/>
    <x v="53"/>
    <x v="0"/>
  </r>
  <r>
    <x v="965"/>
    <s v="UPC Magyarorszag +36 1 688 12 3.860,00 HUF Vásárlás "/>
    <n v="-3860"/>
    <x v="0"/>
    <x v="7"/>
    <x v="0"/>
  </r>
  <r>
    <x v="965"/>
    <s v="CATCH BUDAPEST 2.450,00 HUF Vásárlás "/>
    <n v="-2450"/>
    <x v="2"/>
    <x v="19"/>
    <x v="0"/>
  </r>
  <r>
    <x v="965"/>
    <s v="LIDL ARUHAZ 0167.SZ. BUDAPEST 3.069,00 HUF Vásárlás "/>
    <n v="-3069"/>
    <x v="3"/>
    <x v="4"/>
    <x v="0"/>
  </r>
  <r>
    <x v="966"/>
    <s v="XIV. Bp Egressy u. 110. Társas Közös költség Egressy út 110/a/2/5 "/>
    <n v="-25417"/>
    <x v="0"/>
    <x v="56"/>
    <x v="0"/>
  </r>
  <r>
    <x v="967"/>
    <s v="Vendéglátás JAGUAR LAND ROVER HUNGARY KFT."/>
    <n v="9240"/>
    <x v="4"/>
    <x v="20"/>
    <x v="4"/>
  </r>
  <r>
    <x v="967"/>
    <s v="Szálláshely JAGUAR LAND ROVER HUNGARY KFT."/>
    <n v="12000"/>
    <x v="4"/>
    <x v="20"/>
    <x v="4"/>
  </r>
  <r>
    <x v="967"/>
    <s v="PANIFICIO IL BASILICO SZENTENDRE 2.340,00 HUF Vásárlás "/>
    <n v="-2340"/>
    <x v="2"/>
    <x v="10"/>
    <x v="0"/>
  </r>
  <r>
    <x v="967"/>
    <s v="OMV 2075 Budapest Fog 20.338,00 HUF Vásárlás "/>
    <n v="-20338"/>
    <x v="5"/>
    <x v="16"/>
    <x v="0"/>
  </r>
  <r>
    <x v="967"/>
    <s v="MAGYAR ALLAMKINCSTAR BUDAPEST 5.000.000,00 HUF Vásárlás "/>
    <n v="5000000"/>
    <x v="1"/>
    <x v="26"/>
    <x v="3"/>
  </r>
  <r>
    <x v="967"/>
    <s v="MAGYAR ALLAMKINCSTAR BUDAPEST 5.000.000,00 HUF Vásárlás "/>
    <n v="-5000000"/>
    <x v="1"/>
    <x v="26"/>
    <x v="0"/>
  </r>
  <r>
    <x v="968"/>
    <s v="Vendéglátás Netpincer.hu"/>
    <n v="-2590"/>
    <x v="2"/>
    <x v="2"/>
    <x v="4"/>
  </r>
  <r>
    <x v="968"/>
    <s v="374 COOP SZUPER BUDAPEST 3.015,00 HUF Vásárlás "/>
    <n v="-3015"/>
    <x v="3"/>
    <x v="4"/>
    <x v="0"/>
  </r>
  <r>
    <x v="969"/>
    <s v="Czuprik Gergely átutalás értékpapírszámlára "/>
    <n v="-1000000"/>
    <x v="1"/>
    <x v="53"/>
    <x v="0"/>
  </r>
  <r>
    <x v="969"/>
    <s v="Bankkártya limitmódosítás díj"/>
    <n v="-327"/>
    <x v="1"/>
    <x v="1"/>
    <x v="0"/>
  </r>
  <r>
    <x v="969"/>
    <s v="SERCLI PEKSEG BUDAPEST 2.300,00 HUF Vásárlás "/>
    <n v="-2300"/>
    <x v="2"/>
    <x v="2"/>
    <x v="0"/>
  </r>
  <r>
    <x v="969"/>
    <s v="BOTANIKUS KERT VACRATOT 2.800,00 HUF Vásárlás "/>
    <n v="-2800"/>
    <x v="6"/>
    <x v="12"/>
    <x v="0"/>
  </r>
  <r>
    <x v="969"/>
    <s v="Betétlejárat"/>
    <n v="-2000000"/>
    <x v="1"/>
    <x v="60"/>
    <x v="0"/>
  </r>
  <r>
    <x v="969"/>
    <s v="Betétlejárat"/>
    <n v="2000000"/>
    <x v="1"/>
    <x v="60"/>
    <x v="0"/>
  </r>
  <r>
    <x v="969"/>
    <s v="CZUPRIKGERGE Hivatkozási szám BIKOZP/36518780 "/>
    <n v="2"/>
    <x v="1"/>
    <x v="53"/>
    <x v="0"/>
  </r>
  <r>
    <x v="969"/>
    <s v="CZUPRIKGERGE RARA VISSZAVALT RARA Hivatkozási szám ALF/"/>
    <n v="448236"/>
    <x v="1"/>
    <x v="53"/>
    <x v="0"/>
  </r>
  <r>
    <x v="969"/>
    <s v="CZUPRIKGERGE RARA VISSZAVALT RARA Hivatkozási szám ALF/"/>
    <n v="-448236"/>
    <x v="1"/>
    <x v="53"/>
    <x v="6"/>
  </r>
  <r>
    <x v="970"/>
    <s v="Navigátor díj 2020/09"/>
    <n v="-100"/>
    <x v="1"/>
    <x v="1"/>
    <x v="8"/>
  </r>
  <r>
    <x v="970"/>
    <s v="Padthai Wokbar Árkád2 Budapest 5.090,00 HUF Vásárlás "/>
    <n v="-5090"/>
    <x v="2"/>
    <x v="2"/>
    <x v="0"/>
  </r>
  <r>
    <x v="970"/>
    <s v="OMV 2075 Budapest Fog 15.452,00 HUF Vásárlás "/>
    <n v="-15452"/>
    <x v="5"/>
    <x v="16"/>
    <x v="0"/>
  </r>
  <r>
    <x v="970"/>
    <s v="Hetti-Ker. Kft. BUDAPEST 3.400,00 HUF Vásárlás "/>
    <n v="-3400"/>
    <x v="2"/>
    <x v="19"/>
    <x v="0"/>
  </r>
  <r>
    <x v="970"/>
    <s v="Crust and Crumb Kft. Budapest 650,00 HUF Vásárlás "/>
    <n v="-650"/>
    <x v="2"/>
    <x v="2"/>
    <x v="0"/>
  </r>
  <r>
    <x v="970"/>
    <s v="LIDL ARUHAZ 0167.SZ. BUDAPEST 4.657,00 HUF Vásárlás "/>
    <n v="-4657"/>
    <x v="3"/>
    <x v="4"/>
    <x v="0"/>
  </r>
  <r>
    <x v="970"/>
    <s v="PASKA'L STRANDFU RDO' BUDAPEST 4.200,00 HUF Vásárlás "/>
    <n v="-4200"/>
    <x v="6"/>
    <x v="52"/>
    <x v="0"/>
  </r>
  <r>
    <x v="970"/>
    <s v="BORY-VA'R SZEKESFEHERV 3.600,00 HUF Vásárlás "/>
    <n v="-3600"/>
    <x v="6"/>
    <x v="12"/>
    <x v="0"/>
  </r>
  <r>
    <x v="970"/>
    <s v="DM 393. BUDAPEST 249,00 HUF Vásárlás "/>
    <n v="-249"/>
    <x v="3"/>
    <x v="4"/>
    <x v="0"/>
  </r>
  <r>
    <x v="971"/>
    <s v="PASKA'L STRANDFU RDO' BUDAPEST 4.200,00 HUF Vásárlás "/>
    <n v="-4200"/>
    <x v="6"/>
    <x v="52"/>
    <x v="0"/>
  </r>
  <r>
    <x v="971"/>
    <s v="CZUPRIKGERGE CONCORDE2000 VISSZAVALT CONCORDE2000 Hivatkozási szám ALF/"/>
    <n v="476342"/>
    <x v="1"/>
    <x v="53"/>
    <x v="0"/>
  </r>
  <r>
    <x v="971"/>
    <s v="CZUPRIKGERGE CONCORDE2000 VISSZAVALT CONCORDE2000 Hivatkozási szám ALF/"/>
    <n v="-476342"/>
    <x v="1"/>
    <x v="53"/>
    <x v="6"/>
  </r>
  <r>
    <x v="971"/>
    <s v="Vendéglátás (20080004-99911000-00190849) Netpincer.hu"/>
    <n v="-3790"/>
    <x v="2"/>
    <x v="2"/>
    <x v="4"/>
  </r>
  <r>
    <x v="972"/>
    <s v="XV. sz. Pekaru Szak Budapest 910,00 HUF Vásárlás "/>
    <n v="-910"/>
    <x v="2"/>
    <x v="19"/>
    <x v="0"/>
  </r>
  <r>
    <x v="973"/>
    <s v="RENOTECH-97 KFT SALGOTARJAN 2.210,00 HUF Vásárlás "/>
    <n v="-2210"/>
    <x v="0"/>
    <x v="0"/>
    <x v="0"/>
  </r>
  <r>
    <x v="974"/>
    <s v="PRAKTIKER 321. BUDAPEST 11.752,00 HUF Vásárlás "/>
    <n v="-11752"/>
    <x v="0"/>
    <x v="0"/>
    <x v="0"/>
  </r>
  <r>
    <x v="974"/>
    <s v="THERMA'L-E'S GYO'GYFU AGARD 8.200,00 HUF Vásárlás "/>
    <n v="-8200"/>
    <x v="6"/>
    <x v="52"/>
    <x v="0"/>
  </r>
  <r>
    <x v="974"/>
    <s v="OTPMOBL NETPINCER.HU BUDAPEST 2.290,00 HUF Vásárlás "/>
    <n v="-2290"/>
    <x v="2"/>
    <x v="2"/>
    <x v="0"/>
  </r>
  <r>
    <x v="974"/>
    <s v="ALLIANZ HUNGARIA ÖNKÉNTESNYP 604669101 KEDV PF3//1058149 "/>
    <n v="2873692"/>
    <x v="8"/>
    <x v="29"/>
    <x v="0"/>
  </r>
  <r>
    <x v="974"/>
    <s v="JAGUAR LAND ROVER HUNGARY KFT. Munkaber utalasMunkabér "/>
    <n v="668960"/>
    <x v="4"/>
    <x v="20"/>
    <x v="0"/>
  </r>
  <r>
    <x v="975"/>
    <s v="MCD OSZTYAPENKO BUDAPEST 4.440,00 HUF Vásárlás "/>
    <n v="-4440"/>
    <x v="2"/>
    <x v="2"/>
    <x v="0"/>
  </r>
  <r>
    <x v="975"/>
    <s v="CATCH BUDAPEST 750,00 HUF Vásárlás "/>
    <n v="-750"/>
    <x v="2"/>
    <x v="19"/>
    <x v="0"/>
  </r>
  <r>
    <x v="975"/>
    <s v="Robert Bosch Kft. Munkabér10622618, A106226182020080 71201430015, 0564930015"/>
    <n v="344250"/>
    <x v="4"/>
    <x v="20"/>
    <x v="0"/>
  </r>
  <r>
    <x v="976"/>
    <s v="OMV 2075 Budapest Fog 21.027,00 HUF Vásárlás "/>
    <n v="-21027"/>
    <x v="5"/>
    <x v="16"/>
    <x v="0"/>
  </r>
  <r>
    <x v="976"/>
    <s v="CZUPRIKGERGE Hivatkozási szám BRARKD/ "/>
    <n v="30000"/>
    <x v="1"/>
    <x v="53"/>
    <x v="6"/>
  </r>
  <r>
    <x v="976"/>
    <s v="CZUPRIKGERGE Hivatkozási szám BRARKD/ "/>
    <n v="-15000"/>
    <x v="1"/>
    <x v="53"/>
    <x v="0"/>
  </r>
  <r>
    <x v="976"/>
    <s v="CZUPRIKGERGE Hivatkozási szám BRARKD/ "/>
    <n v="-15000"/>
    <x v="1"/>
    <x v="53"/>
    <x v="0"/>
  </r>
  <r>
    <x v="977"/>
    <s v="KESZEGSU TO' SALGOTARJAN 19.000,00 HUF Vásárlás "/>
    <n v="-19000"/>
    <x v="2"/>
    <x v="10"/>
    <x v="0"/>
  </r>
  <r>
    <x v="978"/>
    <s v="Kamatadó"/>
    <n v="-2.55"/>
    <x v="1"/>
    <x v="34"/>
    <x v="0"/>
  </r>
  <r>
    <x v="978"/>
    <s v="BURGER KING A'RKA'D BUDAPEST 1.350,00 HUF Vásárlás "/>
    <n v="-1350"/>
    <x v="2"/>
    <x v="2"/>
    <x v="0"/>
  </r>
  <r>
    <x v="978"/>
    <s v="KFC GO DO LLO' DT GODOLLO 1.990,00 HUF Vásárlás "/>
    <n v="-1990"/>
    <x v="2"/>
    <x v="2"/>
    <x v="0"/>
  </r>
  <r>
    <x v="978"/>
    <s v="Kamat"/>
    <n v="16.99"/>
    <x v="1"/>
    <x v="34"/>
    <x v="0"/>
  </r>
  <r>
    <x v="979"/>
    <s v="ATM1156 ARKD 1106 BUDAPEST 39.000,00 HUF Kp felvét "/>
    <n v="39000"/>
    <x v="8"/>
    <x v="43"/>
    <x v="2"/>
  </r>
  <r>
    <x v="979"/>
    <s v="ATM1156 ARKD 1106 BUDAPEST 39.000,00 HUF Kp felvét "/>
    <n v="-39000"/>
    <x v="8"/>
    <x v="43"/>
    <x v="0"/>
  </r>
  <r>
    <x v="979"/>
    <s v="ATM1156 ARKD 1106 BUDAPEST 110.000,00 HUF Kp felvét  albérlet"/>
    <n v="-110000"/>
    <x v="0"/>
    <x v="57"/>
    <x v="0"/>
  </r>
  <r>
    <x v="979"/>
    <s v="NETFLIX.COM 408-724-9160 3.990,00 HUF Vásárlás 13,60 USD"/>
    <n v="-3990"/>
    <x v="0"/>
    <x v="7"/>
    <x v="0"/>
  </r>
  <r>
    <x v="980"/>
    <s v="CZUPRIKGERGE Hivatkozási szám BCKOZP/36440185 Értékpapír számla egyenlegrendezés"/>
    <n v="-899"/>
    <x v="1"/>
    <x v="53"/>
    <x v="0"/>
  </r>
  <r>
    <x v="980"/>
    <s v="K H BIZTOSITO CP BUDAPEST 42.868,00 HUF Vásárlás "/>
    <n v="-42868"/>
    <x v="5"/>
    <x v="41"/>
    <x v="0"/>
  </r>
  <r>
    <x v="980"/>
    <s v="GELATI FAGYLALTOZO' BUDAPEST 1.190,00 HUF Vásárlás "/>
    <n v="-1190"/>
    <x v="2"/>
    <x v="19"/>
    <x v="0"/>
  </r>
  <r>
    <x v="980"/>
    <s v="OTPMOBL VODAFONE.HU BUDAPEST 7.930,00 HUF Vásárlás "/>
    <n v="-7930"/>
    <x v="3"/>
    <x v="46"/>
    <x v="0"/>
  </r>
  <r>
    <x v="981"/>
    <s v="Vendéglátás (20080004-99911000-00190849) Netpincer.hu"/>
    <n v="-2490"/>
    <x v="2"/>
    <x v="2"/>
    <x v="4"/>
  </r>
  <r>
    <x v="981"/>
    <s v="UPC Magyarorszag +36 1 688 12 3.860,00 HUF Vásárlás "/>
    <n v="-3860"/>
    <x v="0"/>
    <x v="7"/>
    <x v="0"/>
  </r>
  <r>
    <x v="981"/>
    <s v="SPAR 5190 BUDAPEST 12.671,00 HUF Vásárlás "/>
    <n v="-12671"/>
    <x v="3"/>
    <x v="4"/>
    <x v="0"/>
  </r>
  <r>
    <x v="982"/>
    <s v="LALETI Husipari Kft. Godollo 1.250,00 HUF Vásárlás "/>
    <n v="-1250"/>
    <x v="2"/>
    <x v="2"/>
    <x v="0"/>
  </r>
  <r>
    <x v="982"/>
    <s v="IKEA ORS VEZER ETTER Budapest 1.480,00 HUF Vásárlás "/>
    <n v="-1480"/>
    <x v="2"/>
    <x v="2"/>
    <x v="0"/>
  </r>
  <r>
    <x v="982"/>
    <s v="IKEA ORS VEZER BEV Budapest 3.180,00 HUF Vásárlás "/>
    <n v="-3180"/>
    <x v="0"/>
    <x v="0"/>
    <x v="0"/>
  </r>
  <r>
    <x v="982"/>
    <s v="ARTIZAN PEKSEG KAVEZO BUDAPEST 1.990,00 HUF Vásárlás "/>
    <n v="-1990"/>
    <x v="2"/>
    <x v="19"/>
    <x v="0"/>
  </r>
  <r>
    <x v="982"/>
    <s v="TESCO 41400 O NKISZOLG BUDAPEST 6.926,00 HUF Vásárlás "/>
    <n v="-6926"/>
    <x v="3"/>
    <x v="4"/>
    <x v="0"/>
  </r>
  <r>
    <x v="982"/>
    <s v="Elmű-Émász Energiaszolgáltató Zr 840502770398 2600540425 "/>
    <n v="-5993"/>
    <x v="0"/>
    <x v="11"/>
    <x v="0"/>
  </r>
  <r>
    <x v="982"/>
    <s v="XIV. Bp Egressy u. 110. Társas Egressy ut 110. A 2/5 közös költség "/>
    <n v="-25416"/>
    <x v="0"/>
    <x v="56"/>
    <x v="0"/>
  </r>
  <r>
    <x v="983"/>
    <s v="Karsai István koszorú "/>
    <n v="-10000"/>
    <x v="8"/>
    <x v="29"/>
    <x v="0"/>
  </r>
  <r>
    <x v="984"/>
    <s v="LIDL ARUHAZ 0167.SZ. BUDAPEST 4.420,00 HUF Vásárlás "/>
    <n v="-4420"/>
    <x v="3"/>
    <x v="4"/>
    <x v="0"/>
  </r>
  <r>
    <x v="985"/>
    <s v="OMV 2075 Budapest Fog 25.187,00 HUF Vásárlás "/>
    <n v="-25187"/>
    <x v="5"/>
    <x v="16"/>
    <x v="0"/>
  </r>
  <r>
    <x v="985"/>
    <s v="FERENCZ PORTA SZALAFO 2.400,00 HUF Vásárlás "/>
    <n v="-2400"/>
    <x v="3"/>
    <x v="4"/>
    <x v="0"/>
  </r>
  <r>
    <x v="985"/>
    <s v="BURGER KING ZALAEGERSZ ZALEGERSZEG 3.820,00 HUF Vásárlás "/>
    <n v="-3820"/>
    <x v="2"/>
    <x v="2"/>
    <x v="0"/>
  </r>
  <r>
    <x v="986"/>
    <s v="HARSFA FOGADO ORISZENTPETE 7.000,00 HUF Vásárlás "/>
    <n v="-7000"/>
    <x v="2"/>
    <x v="10"/>
    <x v="0"/>
  </r>
  <r>
    <x v="987"/>
    <s v="OMAMA KAVEZOJA ORISZENTPETE 2.250,00 HUF Vásárlás "/>
    <n v="-2250"/>
    <x v="2"/>
    <x v="19"/>
    <x v="0"/>
  </r>
  <r>
    <x v="987"/>
    <s v="ARTISAN BAKERY KFT. Zalaegerszeg 1.554,00 HUF Vásárlás "/>
    <n v="-1554"/>
    <x v="2"/>
    <x v="19"/>
    <x v="0"/>
  </r>
  <r>
    <x v="987"/>
    <s v="O'NPI AJA'NDE'KBOLT ORISZENTPETE 1.000,00 HUF Vásárlás "/>
    <n v="-1000"/>
    <x v="3"/>
    <x v="8"/>
    <x v="0"/>
  </r>
  <r>
    <x v="987"/>
    <s v="PAJTA ORISZENTPETE 3.000,00 HUF Vásárlás "/>
    <n v="-3000"/>
    <x v="2"/>
    <x v="10"/>
    <x v="0"/>
  </r>
  <r>
    <x v="987"/>
    <s v="LIDL ARUHAZ 0167.SZ. BUDAPEST 4.655,00 HUF Vásárlás "/>
    <n v="-4655"/>
    <x v="3"/>
    <x v="4"/>
    <x v="0"/>
  </r>
  <r>
    <x v="987"/>
    <s v="OMV 2075 Budapest Fog 19.535,00 HUF Vásárlás "/>
    <n v="-19535"/>
    <x v="5"/>
    <x v="16"/>
    <x v="0"/>
  </r>
  <r>
    <x v="988"/>
    <s v="Navigátor díj 2020/08"/>
    <n v="-100"/>
    <x v="1"/>
    <x v="1"/>
    <x v="8"/>
  </r>
  <r>
    <x v="989"/>
    <s v="374 COOP SZUPER BUDAPEST 1.237,00 HUF Vásárlás "/>
    <n v="-1237"/>
    <x v="3"/>
    <x v="4"/>
    <x v="0"/>
  </r>
  <r>
    <x v="989"/>
    <s v="JOEFALAT CATERING BUDAPEST 1.450,00 HUF Vásárlás "/>
    <n v="-1450"/>
    <x v="2"/>
    <x v="2"/>
    <x v="0"/>
  </r>
  <r>
    <x v="989"/>
    <s v="ALDI 125.SZ. BUDAPEST 1.358,00 HUF Vásárlás "/>
    <n v="-1358"/>
    <x v="3"/>
    <x v="4"/>
    <x v="0"/>
  </r>
  <r>
    <x v="990"/>
    <s v="Kiskifli kavezo Budapest 590,00 HUF Vásárlás "/>
    <n v="-590"/>
    <x v="2"/>
    <x v="19"/>
    <x v="0"/>
  </r>
  <r>
    <x v="990"/>
    <s v="LIDL ARUHAZ 0167.SZ. BUDAPEST 798,00 HUF Vásárlás "/>
    <n v="-798"/>
    <x v="3"/>
    <x v="4"/>
    <x v="0"/>
  </r>
  <r>
    <x v="991"/>
    <s v="Rubinpharma Gyógyszerészeti Bt. Gyógyszertárak által forgalmazott készítmények, te (102/696082)"/>
    <n v="-3199"/>
    <x v="7"/>
    <x v="5"/>
    <x v="8"/>
  </r>
  <r>
    <x v="991"/>
    <s v="GYROS TAVERNA VERESEGYHAZ 1.470,00 HUF Vásárlás "/>
    <n v="-1470"/>
    <x v="2"/>
    <x v="2"/>
    <x v="0"/>
  </r>
  <r>
    <x v="991"/>
    <s v="Kaffeine Lövöház Budapest 1.410,00 HUF Vásárlás "/>
    <n v="-1410"/>
    <x v="2"/>
    <x v="19"/>
    <x v="0"/>
  </r>
  <r>
    <x v="992"/>
    <s v="Vendéglátás (20080004-99911000-00190849) Netpincer.hu"/>
    <n v="-2390"/>
    <x v="2"/>
    <x v="2"/>
    <x v="4"/>
  </r>
  <r>
    <x v="993"/>
    <s v="Rattner Réka Czuprik Gergely + 1252 "/>
    <n v="-60000"/>
    <x v="8"/>
    <x v="32"/>
    <x v="0"/>
  </r>
  <r>
    <x v="993"/>
    <s v="JAGUAR LAND ROVER HUNGARY KFT. Munkaber utalasMunkabér "/>
    <n v="665000"/>
    <x v="4"/>
    <x v="20"/>
    <x v="0"/>
  </r>
  <r>
    <x v="993"/>
    <s v="SPAR 0190 BUDAPEST 918,00 HUF Vásárlás "/>
    <n v="-918"/>
    <x v="3"/>
    <x v="4"/>
    <x v="0"/>
  </r>
  <r>
    <x v="993"/>
    <s v="CATCH BUDAPEST 750,00 HUF Vásárlás "/>
    <n v="-750"/>
    <x v="2"/>
    <x v="2"/>
    <x v="0"/>
  </r>
  <r>
    <x v="994"/>
    <s v="IKEA Budapest Budapest 9.935,00 HUF Vásárlás "/>
    <n v="-9935"/>
    <x v="0"/>
    <x v="0"/>
    <x v="0"/>
  </r>
  <r>
    <x v="994"/>
    <s v="IL TRENO Expressz - Va Budapest 1.100,00 HUF Vásárlás "/>
    <n v="-1100"/>
    <x v="2"/>
    <x v="2"/>
    <x v="0"/>
  </r>
  <r>
    <x v="995"/>
    <s v="KI'NAI BU FE' BUDAPEST 1.000,00 HUF Vásárlás "/>
    <n v="-1000"/>
    <x v="2"/>
    <x v="2"/>
    <x v="0"/>
  </r>
  <r>
    <x v="996"/>
    <s v="CZUPRIKGERGE Hivatkozási szám BRARKD/ "/>
    <n v="30000"/>
    <x v="1"/>
    <x v="53"/>
    <x v="6"/>
  </r>
  <r>
    <x v="996"/>
    <s v="CZUPRIKGERGE Hivatkozási szám BRARKD/ "/>
    <n v="-15000"/>
    <x v="1"/>
    <x v="53"/>
    <x v="0"/>
  </r>
  <r>
    <x v="996"/>
    <s v="CZUPRIKGERGE Hivatkozási szám BRARKD/ "/>
    <n v="-15000"/>
    <x v="1"/>
    <x v="53"/>
    <x v="0"/>
  </r>
  <r>
    <x v="996"/>
    <s v="LALETI Husipari Kft. Godollo 1.250,00 HUF Vásárlás "/>
    <n v="-1250"/>
    <x v="2"/>
    <x v="2"/>
    <x v="0"/>
  </r>
  <r>
    <x v="996"/>
    <s v="TESCO 41400 O NKISZOLG BUDAPEST 699,00 HUF Vásárlás "/>
    <n v="-699"/>
    <x v="3"/>
    <x v="4"/>
    <x v="0"/>
  </r>
  <r>
    <x v="996"/>
    <s v="OA'ZIS KERTE'SZET BUDAPEST 8.222,00 HUF Vásárlás "/>
    <n v="-8222"/>
    <x v="0"/>
    <x v="0"/>
    <x v="0"/>
  </r>
  <r>
    <x v="996"/>
    <s v="OMV 2075 Budapest Fog 18.344,00 HUF Vásárlás "/>
    <n v="-18344"/>
    <x v="5"/>
    <x v="16"/>
    <x v="0"/>
  </r>
  <r>
    <x v="997"/>
    <s v="Kamatadó"/>
    <n v="-2.47"/>
    <x v="1"/>
    <x v="34"/>
    <x v="0"/>
  </r>
  <r>
    <x v="997"/>
    <s v="Kamat"/>
    <n v="16.44"/>
    <x v="1"/>
    <x v="34"/>
    <x v="0"/>
  </r>
  <r>
    <x v="997"/>
    <s v="LIDL ARUHAZ 0167.SZ. BUDAPEST 6.114,00 HUF Vásárlás "/>
    <n v="-6114"/>
    <x v="3"/>
    <x v="4"/>
    <x v="0"/>
  </r>
  <r>
    <x v="997"/>
    <s v="OBI 024 FOGARASI BUDAPEST 1.395,00 HUF Vásárlás "/>
    <n v="-1395"/>
    <x v="0"/>
    <x v="0"/>
    <x v="0"/>
  </r>
  <r>
    <x v="997"/>
    <s v="Robert Bosch Kft. Munkabér10622618, A106226182020070 31002200002, 0555100002"/>
    <n v="344250"/>
    <x v="4"/>
    <x v="20"/>
    <x v="0"/>
  </r>
  <r>
    <x v="998"/>
    <s v="Szabadidő (20080004-99912000-00190840) Maison Bagatell"/>
    <n v="-29049"/>
    <x v="6"/>
    <x v="52"/>
    <x v="4"/>
  </r>
  <r>
    <x v="998"/>
    <s v="374 COOP SZUPER BUDAPEST 299,00 HUF Vásárlás "/>
    <n v="-299"/>
    <x v="3"/>
    <x v="4"/>
    <x v="0"/>
  </r>
  <r>
    <x v="999"/>
    <s v="HOZAM 2020. II. NEGYEDÉV"/>
    <n v="412"/>
    <x v="1"/>
    <x v="34"/>
    <x v="8"/>
  </r>
  <r>
    <x v="999"/>
    <s v="Kamatadó  "/>
    <n v="-5.7"/>
    <x v="1"/>
    <x v="34"/>
    <x v="0"/>
  </r>
  <r>
    <x v="999"/>
    <s v="ARTIZAN PEKSEG KAVEZO BUDAPEST 490,00 HUF Vásárlás "/>
    <n v="-490"/>
    <x v="2"/>
    <x v="19"/>
    <x v="0"/>
  </r>
  <r>
    <x v="999"/>
    <s v="ARTIZAN PEKSEG KAVEZO BUDAPEST 4.600,00 HUF Vásárlás "/>
    <n v="-4600"/>
    <x v="2"/>
    <x v="19"/>
    <x v="0"/>
  </r>
  <r>
    <x v="999"/>
    <s v="Kamat  "/>
    <n v="37.97"/>
    <x v="1"/>
    <x v="34"/>
    <x v="0"/>
  </r>
  <r>
    <x v="1000"/>
    <s v="OTPMOBL VODAFONE.HU BUDAPEST 7.008,00 HUF Vásárlás "/>
    <n v="-7008"/>
    <x v="3"/>
    <x v="46"/>
    <x v="0"/>
  </r>
  <r>
    <x v="1000"/>
    <s v="OBI 024 FOGARASI BUDAPEST 13.983,00 HUF Vásárlás "/>
    <n v="-13983"/>
    <x v="0"/>
    <x v="0"/>
    <x v="0"/>
  </r>
  <r>
    <x v="1000"/>
    <s v="GYROS TAVERNA VERESEGYHAZ 1.520,00 HUF Vásárlás "/>
    <n v="-1520"/>
    <x v="2"/>
    <x v="2"/>
    <x v="0"/>
  </r>
  <r>
    <x v="1000"/>
    <s v="PANIFICIO IL BASILICO SZENTENDRE 14.000,00 HUF Vásárlás "/>
    <n v="-14000"/>
    <x v="2"/>
    <x v="10"/>
    <x v="0"/>
  </r>
  <r>
    <x v="1000"/>
    <s v="SHELL TO LTO'A'LLOMA'S BUDAPEST 20.379,00 HUF Vásárlás "/>
    <n v="-20379"/>
    <x v="5"/>
    <x v="16"/>
    <x v="0"/>
  </r>
  <r>
    <x v="1000"/>
    <s v="LIDL ARUHAZ 0136.SZ. SZENTENDRE 2.369,00 HUF Vásárlás "/>
    <n v="-2369"/>
    <x v="3"/>
    <x v="4"/>
    <x v="0"/>
  </r>
  <r>
    <x v="1000"/>
    <s v="Szamos Szentendre 1.300,00 HUF Vásárlás "/>
    <n v="-1300"/>
    <x v="2"/>
    <x v="19"/>
    <x v="0"/>
  </r>
  <r>
    <x v="1000"/>
    <s v="NETFLIX.COM 408-724-9160 3.990,00 HUF Vásárlás 12,61 USD"/>
    <n v="-3990"/>
    <x v="0"/>
    <x v="7"/>
    <x v="0"/>
  </r>
  <r>
    <x v="1001"/>
    <s v="IMO Hungary kft Budapest 3.040,00 HUF Vásárlás "/>
    <n v="-3040"/>
    <x v="5"/>
    <x v="18"/>
    <x v="0"/>
  </r>
  <r>
    <x v="1001"/>
    <s v="UPC Magyarorszag +36 1 688 12 3.860,00 HUF Vásárlás "/>
    <n v="-3860"/>
    <x v="0"/>
    <x v="7"/>
    <x v="0"/>
  </r>
  <r>
    <x v="1002"/>
    <s v="Vendéglátás (20080004-99911000-00190849) Netpincer.hu"/>
    <n v="-2590"/>
    <x v="2"/>
    <x v="2"/>
    <x v="4"/>
  </r>
  <r>
    <x v="1002"/>
    <s v="89000010 BUDAPEST 49.000,00 HUF Kp felvét "/>
    <n v="39000"/>
    <x v="8"/>
    <x v="43"/>
    <x v="2"/>
  </r>
  <r>
    <x v="1002"/>
    <s v="89000010 BUDAPEST 49.000,00 HUF Kp felvét "/>
    <n v="-39000"/>
    <x v="8"/>
    <x v="43"/>
    <x v="0"/>
  </r>
  <r>
    <x v="1002"/>
    <s v="89000010 BUDAPEST 100.000,00 HUF Kp felvét "/>
    <n v="-110000"/>
    <x v="0"/>
    <x v="57"/>
    <x v="0"/>
  </r>
  <r>
    <x v="1002"/>
    <s v="XIV. Bp Egressy u. 110. Társas közös költség egressy ut 110 a/2/5 "/>
    <n v="-26327"/>
    <x v="0"/>
    <x v="56"/>
    <x v="0"/>
  </r>
  <r>
    <x v="1003"/>
    <s v="Vendéglátás (20080004-99911000-00190849) Netpincer.hu"/>
    <n v="-2290"/>
    <x v="2"/>
    <x v="2"/>
    <x v="4"/>
  </r>
  <r>
    <x v="1004"/>
    <s v="Vendéglátás (20080004-99911000-00190849) Netpincer.hu"/>
    <n v="-2390"/>
    <x v="2"/>
    <x v="2"/>
    <x v="4"/>
  </r>
  <r>
    <x v="1004"/>
    <s v="ALDI 56.SZ. BUDAPEST 1.299,00 HUF Vásárlás "/>
    <n v="-1299"/>
    <x v="3"/>
    <x v="4"/>
    <x v="0"/>
  </r>
  <r>
    <x v="1004"/>
    <s v="Zsohar Fazekas rendeles czuprik Gergely "/>
    <n v="-15290"/>
    <x v="3"/>
    <x v="8"/>
    <x v="0"/>
  </r>
  <r>
    <x v="1005"/>
    <s v="ALDI 125.SZ. BUDAPEST 1.507,00 HUF Vásárlás "/>
    <n v="-1507"/>
    <x v="3"/>
    <x v="4"/>
    <x v="0"/>
  </r>
  <r>
    <x v="1005"/>
    <s v="SZERENCSEJATEK ZRT. BUDAPEST 2.540,00 HUF Vásárlás "/>
    <n v="-2540"/>
    <x v="3"/>
    <x v="8"/>
    <x v="0"/>
  </r>
  <r>
    <x v="1005"/>
    <s v="BENU URANUS PATIKA BUDAPEST 1.687,00 HUF Vásárlás "/>
    <n v="-1687"/>
    <x v="7"/>
    <x v="5"/>
    <x v="0"/>
  </r>
  <r>
    <x v="1005"/>
    <s v="GRILL BURGER VERESEGYHAZ 1.790,00 HUF Vásárlás "/>
    <n v="-1790"/>
    <x v="2"/>
    <x v="2"/>
    <x v="0"/>
  </r>
  <r>
    <x v="1005"/>
    <s v="374 COOP SZUPER BUDAPEST 198,00 HUF Vásárlás "/>
    <n v="-198"/>
    <x v="3"/>
    <x v="4"/>
    <x v="0"/>
  </r>
  <r>
    <x v="1006"/>
    <s v="Navigátor díj 2020/07"/>
    <n v="-100"/>
    <x v="1"/>
    <x v="1"/>
    <x v="8"/>
  </r>
  <r>
    <x v="1007"/>
    <s v="E-AUTOPALYAMATRICA.HU BUDAPEST 3.690,00 HUF Vásárlás "/>
    <n v="-3690"/>
    <x v="5"/>
    <x v="37"/>
    <x v="0"/>
  </r>
  <r>
    <x v="1008"/>
    <s v="SPAR 0190 BUDAPEST 1.799,00 HUF Vásárlás "/>
    <n v="-1799"/>
    <x v="3"/>
    <x v="4"/>
    <x v="0"/>
  </r>
  <r>
    <x v="1008"/>
    <s v="OBI 024 FOGARASI BUDAPEST 3.098,00 HUF Vásárlás "/>
    <n v="-3098"/>
    <x v="0"/>
    <x v="0"/>
    <x v="0"/>
  </r>
  <r>
    <x v="1008"/>
    <s v="OMW HU3311B Budapest 16.312,00 HUF Vásárlás "/>
    <n v="-16312"/>
    <x v="5"/>
    <x v="16"/>
    <x v="0"/>
  </r>
  <r>
    <x v="1008"/>
    <s v="MCDONALD'S GO DO LLO' GODOLLO 2.060,00 HUF Vásárlás "/>
    <n v="-2060"/>
    <x v="2"/>
    <x v="2"/>
    <x v="0"/>
  </r>
  <r>
    <x v="1008"/>
    <s v="LIDL ARUHAZ 0318.SZ. GODOLLO 348,00 HUF Vásárlás "/>
    <n v="-348"/>
    <x v="3"/>
    <x v="4"/>
    <x v="0"/>
  </r>
  <r>
    <x v="1008"/>
    <s v="EXTREME DIGITAL SUGA'R BUDAPEST 19.980,00 HUF Vásárlás "/>
    <n v="-19980"/>
    <x v="3"/>
    <x v="8"/>
    <x v="0"/>
  </r>
  <r>
    <x v="1009"/>
    <s v="374 COOP SZUPER BUDAPEST 1.437,00 HUF Vásárlás "/>
    <n v="-1437"/>
    <x v="3"/>
    <x v="4"/>
    <x v="0"/>
  </r>
  <r>
    <x v="1009"/>
    <s v="Tari János - - - "/>
    <n v="-10171"/>
    <x v="7"/>
    <x v="13"/>
    <x v="0"/>
  </r>
  <r>
    <x v="1010"/>
    <s v="ALDI 125.SZ. BUDAPEST 1.456,00 HUF Vásárlás "/>
    <n v="-1456"/>
    <x v="3"/>
    <x v="4"/>
    <x v="0"/>
  </r>
  <r>
    <x v="1010"/>
    <s v="OBI 024 FOGARASI BUDAPEST 3.046,00 HUF Vásárlás "/>
    <n v="-3046"/>
    <x v="0"/>
    <x v="0"/>
    <x v="0"/>
  </r>
  <r>
    <x v="1011"/>
    <s v="BURGER KING KEREPESI BUDAPEST 3.730,00 HUF Vásárlás "/>
    <n v="-3730"/>
    <x v="2"/>
    <x v="2"/>
    <x v="0"/>
  </r>
  <r>
    <x v="1011"/>
    <s v="JAGUAR LAND ROVER HUNGARY KFT. Munkab.r utal.sMunkabér "/>
    <n v="665000"/>
    <x v="4"/>
    <x v="20"/>
    <x v="0"/>
  </r>
  <r>
    <x v="1012"/>
    <s v="OBI 024 FOGARASI BUDAPEST 3.000,00 HUF Vásárlás "/>
    <n v="-3000"/>
    <x v="0"/>
    <x v="0"/>
    <x v="0"/>
  </r>
  <r>
    <x v="1013"/>
    <s v="LALETI Husipari Kft. Godollo 1.250,00 HUF Vásárlás "/>
    <n v="-1250"/>
    <x v="3"/>
    <x v="4"/>
    <x v="0"/>
  </r>
  <r>
    <x v="1013"/>
    <s v="LIBRI A'RKA'D I. BUDAPEST 5.789,00 HUF Vásárlás "/>
    <n v="-5789"/>
    <x v="3"/>
    <x v="24"/>
    <x v="0"/>
  </r>
  <r>
    <x v="1013"/>
    <s v="EXTREME DIGITAL SUGA'R BUDAPEST 8.990,00 HUF Vásárlás "/>
    <n v="-8990"/>
    <x v="3"/>
    <x v="31"/>
    <x v="0"/>
  </r>
  <r>
    <x v="1013"/>
    <s v="MOL T.A'LL. BUDAPEST 22.330,00 HUF Vásárlás "/>
    <n v="-22330"/>
    <x v="5"/>
    <x v="16"/>
    <x v="0"/>
  </r>
  <r>
    <x v="1013"/>
    <s v="Elmű-Émász Energiaszolgáltató Zr 842702089068 2600540425 "/>
    <n v="-6861"/>
    <x v="0"/>
    <x v="11"/>
    <x v="0"/>
  </r>
  <r>
    <x v="1014"/>
    <s v="CZUPRIKGERGE Hivatkozási szám BRARKD/ "/>
    <n v="30000"/>
    <x v="1"/>
    <x v="53"/>
    <x v="6"/>
  </r>
  <r>
    <x v="1014"/>
    <s v="CZUPRIKGERGE Hivatkozási szám BRARKD/ "/>
    <n v="-15000"/>
    <x v="1"/>
    <x v="53"/>
    <x v="0"/>
  </r>
  <r>
    <x v="1014"/>
    <s v="CZUPRIKGERGE Hivatkozási szám BRARKD/ "/>
    <n v="-15000"/>
    <x v="1"/>
    <x v="53"/>
    <x v="0"/>
  </r>
  <r>
    <x v="1015"/>
    <s v="LIDL ARUHAZ 0167.SZ. BUDAPEST 7.715,00 HUF Vásárlás "/>
    <n v="-7715"/>
    <x v="3"/>
    <x v="4"/>
    <x v="0"/>
  </r>
  <r>
    <x v="1015"/>
    <s v="Robert Bosch Kft. Munkabér10622618, A106226182020060 41203070007, 0546370007"/>
    <n v="344250"/>
    <x v="4"/>
    <x v="20"/>
    <x v="0"/>
  </r>
  <r>
    <x v="1016"/>
    <s v="Kamatadó  "/>
    <n v="-2.55"/>
    <x v="1"/>
    <x v="34"/>
    <x v="0"/>
  </r>
  <r>
    <x v="1016"/>
    <s v="Kamat  "/>
    <n v="16.99"/>
    <x v="1"/>
    <x v="34"/>
    <x v="0"/>
  </r>
  <r>
    <x v="1017"/>
    <s v="KFC GO DO LLO' DT GODOLLO 2.690,00 HUF Vásárlás "/>
    <n v="-2690"/>
    <x v="2"/>
    <x v="2"/>
    <x v="0"/>
  </r>
  <r>
    <x v="1017"/>
    <s v="LIDL ARUHAZ 0318.SZ. GODOLLO 706,00 HUF Vásárlás "/>
    <n v="-706"/>
    <x v="3"/>
    <x v="4"/>
    <x v="0"/>
  </r>
  <r>
    <x v="1017"/>
    <s v="LIDL ARUHAZ 0318.SZ. GODOLLO 348,00 HUF Vásárlás "/>
    <n v="-348"/>
    <x v="3"/>
    <x v="4"/>
    <x v="0"/>
  </r>
  <r>
    <x v="1017"/>
    <s v="NETFLIX.COM 408-724-9160 3.990,00 HUF Vásárlás 12,73 USD"/>
    <n v="-3990"/>
    <x v="0"/>
    <x v="7"/>
    <x v="0"/>
  </r>
  <r>
    <x v="1018"/>
    <s v="Albérlet"/>
    <n v="-110000"/>
    <x v="0"/>
    <x v="57"/>
    <x v="2"/>
  </r>
  <r>
    <x v="1019"/>
    <s v="2020.05. havi Adókedvezmény befizetés"/>
    <n v="114000"/>
    <x v="1"/>
    <x v="50"/>
    <x v="8"/>
  </r>
  <r>
    <x v="1019"/>
    <s v="OTPMOBL VODAFONE.HU BUDAPEST 7.295,00 HUF Vásárlás "/>
    <n v="-7295"/>
    <x v="3"/>
    <x v="46"/>
    <x v="0"/>
  </r>
  <r>
    <x v="1019"/>
    <s v="SPAR 0190 BUDAPEST 3.753,00 HUF Vásárlás "/>
    <n v="-3753"/>
    <x v="3"/>
    <x v="4"/>
    <x v="0"/>
  </r>
  <r>
    <x v="1019"/>
    <s v="ALDI 125.SZ. BUDAPEST 4.474,00 HUF Vásárlás "/>
    <n v="-4474"/>
    <x v="3"/>
    <x v="4"/>
    <x v="0"/>
  </r>
  <r>
    <x v="1020"/>
    <s v="UPC Magyarorszag +36 1 688 12 3.860,00 HUF Vásárlás "/>
    <n v="-3860"/>
    <x v="0"/>
    <x v="7"/>
    <x v="0"/>
  </r>
  <r>
    <x v="1020"/>
    <s v="ATM1086 ZUGL 1140 BUDAPEST 150.000,00 HUF Kp felvét "/>
    <n v="30000"/>
    <x v="8"/>
    <x v="43"/>
    <x v="2"/>
  </r>
  <r>
    <x v="1020"/>
    <s v="ATM1086 ZUGL 1140 BUDAPEST 150.000,00 HUF Kp felvét "/>
    <n v="-30000"/>
    <x v="8"/>
    <x v="43"/>
    <x v="0"/>
  </r>
  <r>
    <x v="1020"/>
    <s v="ATM1086 ZUGL 1140 BUDAPEST 150.000,00 HUF Kp felvét "/>
    <n v="-120000"/>
    <x v="5"/>
    <x v="36"/>
    <x v="0"/>
  </r>
  <r>
    <x v="1020"/>
    <s v="XIV. Bp Egressy u. 110. Társas Egressy út 110 a/2/5 közös költség "/>
    <n v="-23957"/>
    <x v="0"/>
    <x v="56"/>
    <x v="0"/>
  </r>
  <r>
    <x v="1021"/>
    <s v="Szabadidő (20080004-99912000-00190840) Hetedhét Nap Háza Ökovendégh"/>
    <n v="-34522"/>
    <x v="6"/>
    <x v="52"/>
    <x v="4"/>
  </r>
  <r>
    <x v="1021"/>
    <s v="LIDL ARUHAZ 0167.SZ. BUDAPEST 16.786,00 HUF Vásárlás "/>
    <n v="-16786"/>
    <x v="3"/>
    <x v="4"/>
    <x v="0"/>
  </r>
  <r>
    <x v="1022"/>
    <s v="Vendéglátás (20080004-99911000-00190849) Netpincer.hu"/>
    <n v="-2790"/>
    <x v="2"/>
    <x v="2"/>
    <x v="4"/>
  </r>
  <r>
    <x v="1023"/>
    <s v="OMV 1934/ Salgotarjan 16.049,00 HUF Vásárlás "/>
    <n v="-16049"/>
    <x v="5"/>
    <x v="16"/>
    <x v="0"/>
  </r>
  <r>
    <x v="1023"/>
    <s v="MCDONALD'S GO DO LLO' GODOLLO 2.060,00 HUF Vásárlás "/>
    <n v="-2060"/>
    <x v="2"/>
    <x v="2"/>
    <x v="0"/>
  </r>
  <r>
    <x v="1023"/>
    <s v="SPAR MAGYARORSZAG KFT SALGOTARJAN 269,00 HUF Vásárlás "/>
    <n v="-269"/>
    <x v="3"/>
    <x v="4"/>
    <x v="0"/>
  </r>
  <r>
    <x v="1024"/>
    <s v="374 COOP SZUPER BUDAPEST 1.606,00 HUF Vásárlás "/>
    <n v="-1606"/>
    <x v="3"/>
    <x v="4"/>
    <x v="0"/>
  </r>
  <r>
    <x v="1024"/>
    <s v="BÜKKÖS EGÉSZSÉGTÁR KORLÁTOLT FELELŐ BKM-2020/5688 "/>
    <n v="42780"/>
    <x v="7"/>
    <x v="25"/>
    <x v="0"/>
  </r>
  <r>
    <x v="1025"/>
    <s v="Vendéglátás (20080004-99911000-00190849) Netpincer.hu"/>
    <n v="-2690"/>
    <x v="2"/>
    <x v="2"/>
    <x v="4"/>
  </r>
  <r>
    <x v="1025"/>
    <s v="Online Programershop Kft felhasznalonev reczuprik "/>
    <n v="-1690"/>
    <x v="3"/>
    <x v="8"/>
    <x v="0"/>
  </r>
  <r>
    <x v="1026"/>
    <s v="Navigátor díj 2020/06"/>
    <n v="-100"/>
    <x v="1"/>
    <x v="1"/>
    <x v="8"/>
  </r>
  <r>
    <x v="1026"/>
    <s v="OMV 1711/ Vac 17.414,00 HUF Vásárlás "/>
    <n v="-17414"/>
    <x v="5"/>
    <x v="16"/>
    <x v="0"/>
  </r>
  <r>
    <x v="1026"/>
    <s v="TESCO 41400 O NKISZOLG BUDAPEST 719,00 HUF Vásárlás "/>
    <n v="-719"/>
    <x v="3"/>
    <x v="4"/>
    <x v="0"/>
  </r>
  <r>
    <x v="1027"/>
    <s v="OTPMOBL SZERENCSEJATEK BUDAPEST 1.800,00 HUF Vásárlás "/>
    <n v="-1800"/>
    <x v="3"/>
    <x v="8"/>
    <x v="0"/>
  </r>
  <r>
    <x v="1027"/>
    <s v="TESCO 41400 O NKISZOLG BUDAPEST 10.422,00 HUF Vásárlás "/>
    <n v="-10422"/>
    <x v="3"/>
    <x v="4"/>
    <x v="0"/>
  </r>
  <r>
    <x v="1028"/>
    <s v="UDEMY ONLINE COURSES DUBLIN 2 9,99 EUR Vásárlás 9,99 EUR 362.5500"/>
    <n v="-3621.87"/>
    <x v="8"/>
    <x v="32"/>
    <x v="0"/>
  </r>
  <r>
    <x v="1029"/>
    <s v="LIDL ARUHAZ 0314.SZ. SALGOTARJAN 5.320,00 HUF Vásárlás "/>
    <n v="-5320"/>
    <x v="3"/>
    <x v="4"/>
    <x v="0"/>
  </r>
  <r>
    <x v="1030"/>
    <s v="OMV 2081/ Budapest 18.083,00 HUF Vásárlás "/>
    <n v="-18083"/>
    <x v="5"/>
    <x v="16"/>
    <x v="0"/>
  </r>
  <r>
    <x v="1030"/>
    <s v="KESZEGSU TO' SALGOTARJAN 13.495,00 HUF Vásárlás "/>
    <n v="-13495"/>
    <x v="2"/>
    <x v="10"/>
    <x v="0"/>
  </r>
  <r>
    <x v="1031"/>
    <s v="LIDL ARUHAZ 0167.SZ. BUDAPEST 4.426,00 HUF Vásárlás "/>
    <n v="-4426"/>
    <x v="3"/>
    <x v="4"/>
    <x v="0"/>
  </r>
  <r>
    <x v="1032"/>
    <s v="374 COOP SZUPER BUDAPEST 928,00 HUF Vásárlás "/>
    <n v="-928"/>
    <x v="3"/>
    <x v="4"/>
    <x v="0"/>
  </r>
  <r>
    <x v="1032"/>
    <s v="OTPMOBL SZERENCSEJATEK BUDAPEST 1.800,00 HUF Vásárlás "/>
    <n v="-1800"/>
    <x v="3"/>
    <x v="8"/>
    <x v="0"/>
  </r>
  <r>
    <x v="1032"/>
    <s v="WWW.GYOGYASZATISHOP.HU SZENTENDRE 42.780,00 HUF Vásárlás "/>
    <n v="-42780"/>
    <x v="7"/>
    <x v="25"/>
    <x v="0"/>
  </r>
  <r>
    <x v="1032"/>
    <s v="Robert Bosch Kft. Munkabér10622618, A106226182020050 81431180003, 0538480003"/>
    <n v="343180"/>
    <x v="4"/>
    <x v="20"/>
    <x v="0"/>
  </r>
  <r>
    <x v="1033"/>
    <s v="OTPMOBL EDIGITAL.HU BUDAPEST 11.990,00 HUF Vásárlás "/>
    <n v="-11990"/>
    <x v="3"/>
    <x v="31"/>
    <x v="0"/>
  </r>
  <r>
    <x v="1033"/>
    <s v="Robert Bosch Kft. 13 "/>
    <n v="28394"/>
    <x v="4"/>
    <x v="61"/>
    <x v="0"/>
  </r>
  <r>
    <x v="1034"/>
    <s v="CZUPRIKGERGE Hivatkozási szám BRARKD/ "/>
    <n v="30000"/>
    <x v="1"/>
    <x v="53"/>
    <x v="6"/>
  </r>
  <r>
    <x v="1034"/>
    <s v="LIDL ARUHAZ 0167.SZ. BUDAPEST 4.653,00 HUF Vásárlás "/>
    <n v="-4653"/>
    <x v="3"/>
    <x v="4"/>
    <x v="0"/>
  </r>
  <r>
    <x v="1034"/>
    <s v="CZUPRIKGERGE Hivatkozási szám BRARKD/ "/>
    <n v="-15000"/>
    <x v="1"/>
    <x v="53"/>
    <x v="0"/>
  </r>
  <r>
    <x v="1034"/>
    <s v="CZUPRIKGERGE Hivatkozási szám BRARKD/ "/>
    <n v="-15000"/>
    <x v="1"/>
    <x v="53"/>
    <x v="0"/>
  </r>
  <r>
    <x v="1035"/>
    <s v="MOL TO LTO'A'LL. 17100 ERD 17.830,00 HUF Vásárlás "/>
    <n v="-17830"/>
    <x v="5"/>
    <x v="16"/>
    <x v="0"/>
  </r>
  <r>
    <x v="1035"/>
    <s v="OTPMOBL LAPTOPCENTRUM. BUDAPEST 6.200,00 HUF Vásárlás "/>
    <n v="-6200"/>
    <x v="3"/>
    <x v="31"/>
    <x v="0"/>
  </r>
  <r>
    <x v="1035"/>
    <s v="Kamatadó"/>
    <n v="-2.47"/>
    <x v="1"/>
    <x v="34"/>
    <x v="0"/>
  </r>
  <r>
    <x v="1035"/>
    <s v="Kamat"/>
    <n v="16.44"/>
    <x v="1"/>
    <x v="34"/>
    <x v="0"/>
  </r>
  <r>
    <x v="1036"/>
    <s v="Albérlet"/>
    <n v="-110000"/>
    <x v="0"/>
    <x v="57"/>
    <x v="2"/>
  </r>
  <r>
    <x v="1036"/>
    <s v="Robert Bosch Kft. Munkabér10622618, A106226182020042 91333421192, 0536221192"/>
    <n v="538735"/>
    <x v="4"/>
    <x v="20"/>
    <x v="0"/>
  </r>
  <r>
    <x v="1037"/>
    <s v="LIDL ARUHAZ 0167.SZ. BUDAPEST 5.043,00 HUF Vásárlás "/>
    <n v="-5043"/>
    <x v="3"/>
    <x v="4"/>
    <x v="0"/>
  </r>
  <r>
    <x v="1038"/>
    <s v="AUCHAN FO'T FOT 13.287,00 HUF Vásárlás "/>
    <n v="-13287"/>
    <x v="3"/>
    <x v="4"/>
    <x v="0"/>
  </r>
  <r>
    <x v="1038"/>
    <s v="CSIBE CUKRASZDA BAROS PASZTO 4.340,00 HUF Vásárlás "/>
    <n v="-4340"/>
    <x v="2"/>
    <x v="2"/>
    <x v="0"/>
  </r>
  <r>
    <x v="1038"/>
    <s v="NETFLIX.COM 408-724-9160 3.990,00 HUF Vásárlás 12,17 USD"/>
    <n v="-3990"/>
    <x v="0"/>
    <x v="7"/>
    <x v="0"/>
  </r>
  <r>
    <x v="1039"/>
    <s v="CZUPRIKGERGE Hivatkozási szám BCKOZP/35943391 Értékpapír számla egyenlegrendezés"/>
    <n v="-869"/>
    <x v="1"/>
    <x v="53"/>
    <x v="0"/>
  </r>
  <r>
    <x v="1039"/>
    <s v="UPC Magyarorszag +36 1 688 12 3.860,00 HUF Vásárlás "/>
    <n v="-3860"/>
    <x v="0"/>
    <x v="7"/>
    <x v="0"/>
  </r>
  <r>
    <x v="1039"/>
    <s v="TESCO 41400 O NKISZOLG BUDAPEST 1.717,00 HUF Vásárlás "/>
    <n v="-1717"/>
    <x v="3"/>
    <x v="4"/>
    <x v="0"/>
  </r>
  <r>
    <x v="1039"/>
    <s v="OMV 2075/ Budapest 16.963,00 HUF Vásárlás "/>
    <n v="-16963"/>
    <x v="5"/>
    <x v="16"/>
    <x v="0"/>
  </r>
  <r>
    <x v="1039"/>
    <s v="LIDL ARUHAZ 0167.SZ. BUDAPEST 9.859,00 HUF Vásárlás "/>
    <n v="-9859"/>
    <x v="3"/>
    <x v="4"/>
    <x v="0"/>
  </r>
  <r>
    <x v="1039"/>
    <s v="Vodafone Ugyfelazonosito 31269140 Számlaszám 0616893807"/>
    <n v="-9217"/>
    <x v="3"/>
    <x v="46"/>
    <x v="0"/>
  </r>
  <r>
    <x v="1039"/>
    <s v="XIV. Bp Egressy u. 110. Társas közös költség egressy ut 110/a/2/5 "/>
    <n v="-25227"/>
    <x v="0"/>
    <x v="56"/>
    <x v="0"/>
  </r>
  <r>
    <x v="1040"/>
    <s v="Vendéglátás (20080004-99911000-00190849) Netpincer.hu"/>
    <n v="-5080"/>
    <x v="2"/>
    <x v="2"/>
    <x v="4"/>
  </r>
  <r>
    <x v="1040"/>
    <s v="STONE-PUB KISKUNLACHAZ 1.850,00 HUF Vásárlás "/>
    <n v="-1850"/>
    <x v="2"/>
    <x v="2"/>
    <x v="0"/>
  </r>
  <r>
    <x v="1041"/>
    <s v="EBEDSZUNET KIFOZDE KISKUNLACHAZ 1.740,00 HUF Vásárlás "/>
    <n v="-1740"/>
    <x v="2"/>
    <x v="2"/>
    <x v="0"/>
  </r>
  <r>
    <x v="1042"/>
    <s v="STONE-PUB KISKUNLACHAZ 1.650,00 HUF Vásárlás "/>
    <n v="-1650"/>
    <x v="2"/>
    <x v="2"/>
    <x v="0"/>
  </r>
  <r>
    <x v="1043"/>
    <s v="Navigátor díj 2020/05"/>
    <n v="-100"/>
    <x v="1"/>
    <x v="1"/>
    <x v="8"/>
  </r>
  <r>
    <x v="1043"/>
    <s v="SHELL TO LTO'A'LLOMA'S BUDAPEST 16.668,00 HUF Vásárlás "/>
    <n v="-16668"/>
    <x v="5"/>
    <x v="16"/>
    <x v="0"/>
  </r>
  <r>
    <x v="1043"/>
    <s v="VILLAMOSSA'GI BOLT BATONYTERENY 3.950,00 HUF Vásárlás "/>
    <n v="-3950"/>
    <x v="3"/>
    <x v="8"/>
    <x v="0"/>
  </r>
  <r>
    <x v="1043"/>
    <s v="NEMZETI DOHA'NYBOLT BUDAPEST 410,00 HUF Vásárlás "/>
    <n v="-410"/>
    <x v="3"/>
    <x v="4"/>
    <x v="0"/>
  </r>
  <r>
    <x v="1044"/>
    <s v="LIDL ARUHAZ 0167.SZ. BUDAPEST 10.405,00 HUF Vásárlás "/>
    <n v="-10405"/>
    <x v="3"/>
    <x v="4"/>
    <x v="0"/>
  </r>
  <r>
    <x v="1044"/>
    <s v="374 COOP SZUPER BUDAPEST 209,00 HUF Vásárlás "/>
    <n v="-209"/>
    <x v="3"/>
    <x v="4"/>
    <x v="0"/>
  </r>
  <r>
    <x v="1045"/>
    <s v="OMV 2080/ Budapest 22.407,00 HUF Vásárlás "/>
    <n v="-22407"/>
    <x v="5"/>
    <x v="16"/>
    <x v="0"/>
  </r>
  <r>
    <x v="1045"/>
    <s v="PANIFICIO IL BASILICO SZENTENDRE 3.875,00 HUF Vásárlás "/>
    <n v="-3875"/>
    <x v="2"/>
    <x v="10"/>
    <x v="0"/>
  </r>
  <r>
    <x v="1046"/>
    <s v="Elmű-Émász Energiaszolgáltató Zr 641502446207 2600540425 "/>
    <n v="-5701"/>
    <x v="0"/>
    <x v="11"/>
    <x v="0"/>
  </r>
  <r>
    <x v="1047"/>
    <s v="Vendéglátás (20080004-99911000-00190849) Netpincer.hu"/>
    <n v="-2390"/>
    <x v="2"/>
    <x v="2"/>
    <x v="4"/>
  </r>
  <r>
    <x v="1047"/>
    <s v="OA'ZIS KERTE'SZET BUDAPEST 8.837,00 HUF Vásárlás "/>
    <n v="-8837"/>
    <x v="0"/>
    <x v="0"/>
    <x v="0"/>
  </r>
  <r>
    <x v="1048"/>
    <s v="ARTIZAN PEKSEG KAVEZO BUDAPEST 1.900,00 HUF Vásárlás "/>
    <n v="-1900"/>
    <x v="3"/>
    <x v="4"/>
    <x v="0"/>
  </r>
  <r>
    <x v="1048"/>
    <s v="CZUPRIKGERGE Hivatkozási szám BRARKD/ "/>
    <n v="30000"/>
    <x v="1"/>
    <x v="53"/>
    <x v="6"/>
  </r>
  <r>
    <x v="1048"/>
    <s v="CZUPRIKGERGE Hivatkozási szám BRARKD/ "/>
    <n v="-15000"/>
    <x v="1"/>
    <x v="53"/>
    <x v="0"/>
  </r>
  <r>
    <x v="1048"/>
    <s v="CZUPRIKGERGE Hivatkozási szám BRARKD/ "/>
    <n v="-15000"/>
    <x v="1"/>
    <x v="53"/>
    <x v="0"/>
  </r>
  <r>
    <x v="1049"/>
    <s v="Kamatadó"/>
    <n v="-2.55"/>
    <x v="1"/>
    <x v="34"/>
    <x v="0"/>
  </r>
  <r>
    <x v="1049"/>
    <s v="TESCO 41400 O NKISZOLG BUDAPEST 7.863,00 HUF Vásárlás "/>
    <n v="-7863"/>
    <x v="3"/>
    <x v="4"/>
    <x v="0"/>
  </r>
  <r>
    <x v="1049"/>
    <s v="Kamat"/>
    <n v="16.99"/>
    <x v="1"/>
    <x v="34"/>
    <x v="0"/>
  </r>
  <r>
    <x v="1050"/>
    <s v="Cafe Frei Ferihegy Budapest 2.500,00 HUF Vásárlás "/>
    <n v="-2500"/>
    <x v="4"/>
    <x v="62"/>
    <x v="0"/>
  </r>
  <r>
    <x v="1050"/>
    <s v="Robert Bosch Kft. 13 "/>
    <n v="87936"/>
    <x v="4"/>
    <x v="61"/>
    <x v="0"/>
  </r>
  <r>
    <x v="1051"/>
    <s v="Vendéglátás (20080004-99911000-00190849) Netpincer.hu"/>
    <n v="-2790"/>
    <x v="2"/>
    <x v="2"/>
    <x v="4"/>
  </r>
  <r>
    <x v="1052"/>
    <s v="HOZAM 2020. I. NEGYEDÉV"/>
    <n v="56"/>
    <x v="1"/>
    <x v="34"/>
    <x v="8"/>
  </r>
  <r>
    <x v="1052"/>
    <s v=" átrakva április 1ről: XIV. Bp Egressy u. 110. Társas Egressy ut 110 a/2/5 közös költség "/>
    <n v="-32717"/>
    <x v="0"/>
    <x v="56"/>
    <x v="0"/>
  </r>
  <r>
    <x v="1052"/>
    <s v="Kamatadó  "/>
    <n v="-2.45"/>
    <x v="1"/>
    <x v="34"/>
    <x v="0"/>
  </r>
  <r>
    <x v="1052"/>
    <s v="Kamat  "/>
    <n v="16.32"/>
    <x v="1"/>
    <x v="34"/>
    <x v="0"/>
  </r>
  <r>
    <x v="1052"/>
    <s v="Robert Bosch Kft. Munkabér10622618, A106226182020033 01443551193, 0528151193"/>
    <n v="555007"/>
    <x v="4"/>
    <x v="20"/>
    <x v="0"/>
  </r>
  <r>
    <x v="1053"/>
    <s v="BURGER KING KEREPESI BUDAPEST 3.750,00 HUF Vásárlás "/>
    <n v="-3750"/>
    <x v="2"/>
    <x v="2"/>
    <x v="0"/>
  </r>
  <r>
    <x v="1053"/>
    <s v="LIDL ARUHAZ 0167.SZ. BUDAPEST 6.872,00 HUF Vásárlás "/>
    <n v="-6872"/>
    <x v="3"/>
    <x v="4"/>
    <x v="0"/>
  </r>
  <r>
    <x v="1053"/>
    <s v="NETFLIX.COM 408-724-9160 3.990,00 HUF Vásárlás 12,38 USD"/>
    <n v="-3990"/>
    <x v="0"/>
    <x v="7"/>
    <x v="0"/>
  </r>
  <r>
    <x v="1054"/>
    <s v="Vendéglátás (20080004-99911000-00190849) Netpincer.hu"/>
    <n v="-2690"/>
    <x v="2"/>
    <x v="2"/>
    <x v="4"/>
  </r>
  <r>
    <x v="1054"/>
    <s v="VODAFONE POSTPAID PAYM BUDAPEST 7.910,00 HUF Vásárlás "/>
    <n v="-7910"/>
    <x v="3"/>
    <x v="46"/>
    <x v="0"/>
  </r>
  <r>
    <x v="1054"/>
    <s v="UPC Magyarorszag +36 1 688 12 3.740,00 HUF Vásárlás "/>
    <n v="-3740"/>
    <x v="0"/>
    <x v="7"/>
    <x v="0"/>
  </r>
  <r>
    <x v="1055"/>
    <s v="Navigátor díj 2020/04"/>
    <n v="-100"/>
    <x v="1"/>
    <x v="1"/>
    <x v="8"/>
  </r>
  <r>
    <x v="1056"/>
    <s v="LIDL 0181 Bp. Sibri Budapest 10.315,00 HUF Vásárlás "/>
    <n v="-10315"/>
    <x v="3"/>
    <x v="4"/>
    <x v="0"/>
  </r>
  <r>
    <x v="1056"/>
    <s v="BENU URANUS PATIKA BUDAPEST 449,00 HUF Vásárlás "/>
    <n v="-449"/>
    <x v="7"/>
    <x v="5"/>
    <x v="0"/>
  </r>
  <r>
    <x v="1056"/>
    <s v="SPAR MAGYARORSZAG KFT BUDAPEST 2.917,00 HUF Vásárlás "/>
    <n v="-2917"/>
    <x v="3"/>
    <x v="4"/>
    <x v="0"/>
  </r>
  <r>
    <x v="1056"/>
    <s v="ALDI 125.SZ. BUDAPEST 1.492,00 HUF Vásárlás "/>
    <n v="-1492"/>
    <x v="3"/>
    <x v="4"/>
    <x v="0"/>
  </r>
  <r>
    <x v="1056"/>
    <s v="MCD BUDAO RS BUDAORS 1.760,00 HUF Vásárlás "/>
    <n v="-1760"/>
    <x v="2"/>
    <x v="2"/>
    <x v="0"/>
  </r>
  <r>
    <x v="1056"/>
    <s v="IMO Hungary kft Budaors 2.190,00 HUF Vásárlás "/>
    <n v="-2190"/>
    <x v="5"/>
    <x v="18"/>
    <x v="0"/>
  </r>
  <r>
    <x v="1056"/>
    <s v="Paris Attila 6 ho hbo "/>
    <n v="-3600"/>
    <x v="0"/>
    <x v="7"/>
    <x v="0"/>
  </r>
  <r>
    <x v="1057"/>
    <s v="Vendéglátás (20080004-99911000-00190849) Netpincer.hu"/>
    <n v="-4180"/>
    <x v="2"/>
    <x v="2"/>
    <x v="4"/>
  </r>
  <r>
    <x v="1058"/>
    <s v="ROSSMANN 262. FOT 6.725,00 HUF Vásárlás "/>
    <n v="-6725"/>
    <x v="3"/>
    <x v="4"/>
    <x v="0"/>
  </r>
  <r>
    <x v="1058"/>
    <s v="NAGY E'S TA'RSA BUDAPEST 5.341,00 HUF Vásárlás "/>
    <n v="-5341"/>
    <x v="3"/>
    <x v="4"/>
    <x v="0"/>
  </r>
  <r>
    <x v="1059"/>
    <s v="JANKER BT. BUDAPEST 2.725,00 HUF Vásárlás "/>
    <n v="-2725"/>
    <x v="3"/>
    <x v="4"/>
    <x v="0"/>
  </r>
  <r>
    <x v="1059"/>
    <s v="374 COOP SZUPER BUDAPEST 1.227,00 HUF Vásárlás "/>
    <n v="-1227"/>
    <x v="3"/>
    <x v="4"/>
    <x v="0"/>
  </r>
  <r>
    <x v="1059"/>
    <s v="LIDL ARUHAZ 0167.SZ. BUDAPEST 3.755,00 HUF Vásárlás "/>
    <n v="-3755"/>
    <x v="3"/>
    <x v="4"/>
    <x v="0"/>
  </r>
  <r>
    <x v="1059"/>
    <s v="ALDI 125.SZ. BUDAPEST 1.696,00 HUF Vásárlás "/>
    <n v="-1696"/>
    <x v="3"/>
    <x v="4"/>
    <x v="0"/>
  </r>
  <r>
    <x v="1060"/>
    <s v="OMV 1984/ Budapest 22.973,00 HUF Vásárlás "/>
    <n v="-22973"/>
    <x v="5"/>
    <x v="16"/>
    <x v="0"/>
  </r>
  <r>
    <x v="1060"/>
    <s v="Budai Gesztenyés Budakeszi 16.060,00 HUF Vásárlás "/>
    <n v="-16060"/>
    <x v="2"/>
    <x v="10"/>
    <x v="0"/>
  </r>
  <r>
    <x v="1060"/>
    <s v="EXTREME DIGITAL SUGA'R BUDAPEST 79.990,00 HUF Vásárlás "/>
    <n v="-79990"/>
    <x v="3"/>
    <x v="31"/>
    <x v="0"/>
  </r>
  <r>
    <x v="1060"/>
    <s v="SPAR MAGYARORSZAG KFT BUDAPEST 3.097,00 HUF Vásárlás "/>
    <n v="-3097"/>
    <x v="3"/>
    <x v="4"/>
    <x v="0"/>
  </r>
  <r>
    <x v="1060"/>
    <s v="Burger Market Arkad Budapest 4.500,00 HUF Vásárlás "/>
    <n v="-4500"/>
    <x v="2"/>
    <x v="2"/>
    <x v="0"/>
  </r>
  <r>
    <x v="1061"/>
    <s v="OTPMOBL NETPINCER.HU BUDAPEST 2.790,00 HUF Vásárlás "/>
    <n v="-2790"/>
    <x v="2"/>
    <x v="2"/>
    <x v="0"/>
  </r>
  <r>
    <x v="1062"/>
    <s v="TESCO 41400 O NKISZOLG BUDAPEST 3.749,00 HUF Vásárlás "/>
    <n v="-3749"/>
    <x v="3"/>
    <x v="4"/>
    <x v="0"/>
  </r>
  <r>
    <x v="1062"/>
    <s v="BARION Piszkei Labatlan 3.555,00 HUF Vásárlás "/>
    <n v="-3555"/>
    <x v="3"/>
    <x v="4"/>
    <x v="0"/>
  </r>
  <r>
    <x v="1062"/>
    <s v="Grapoilashop Budapest 20.000,00 HUF Vásárlás "/>
    <n v="-20000"/>
    <x v="3"/>
    <x v="4"/>
    <x v="0"/>
  </r>
  <r>
    <x v="1062"/>
    <s v="NEMZETI DOHA'NYBOLT BUDAPEST 1.480,00 HUF Vásárlás "/>
    <n v="-1480"/>
    <x v="3"/>
    <x v="4"/>
    <x v="0"/>
  </r>
  <r>
    <x v="1062"/>
    <s v="LIDL ARUHAZ 0167.SZ. BUDAPEST 1.616,00 HUF Vásárlás "/>
    <n v="-1616"/>
    <x v="3"/>
    <x v="4"/>
    <x v="0"/>
  </r>
  <r>
    <x v="1062"/>
    <s v="ALDI 125.SZ. BUDAPEST 872,00 HUF Vásárlás "/>
    <n v="-872"/>
    <x v="3"/>
    <x v="4"/>
    <x v="0"/>
  </r>
  <r>
    <x v="1062"/>
    <s v="KARSAI ADRIENN ÁGNES  "/>
    <n v="49000"/>
    <x v="6"/>
    <x v="52"/>
    <x v="0"/>
  </r>
  <r>
    <x v="1063"/>
    <s v="Albérlet"/>
    <n v="-110000"/>
    <x v="0"/>
    <x v="57"/>
    <x v="2"/>
  </r>
  <r>
    <x v="1063"/>
    <s v="IKEA Budapest étterem Budapest 1.800,00 HUF Vásárlás "/>
    <n v="-1800"/>
    <x v="2"/>
    <x v="2"/>
    <x v="0"/>
  </r>
  <r>
    <x v="1064"/>
    <s v="IKEA BP Bevásárló utca Budapest 870,00 HUF Vásárlás "/>
    <n v="-870"/>
    <x v="0"/>
    <x v="0"/>
    <x v="0"/>
  </r>
  <r>
    <x v="1064"/>
    <s v="IKEA BP Bevásárló utca Budapest 3.670,00 HUF Vásárlás "/>
    <n v="-3670"/>
    <x v="0"/>
    <x v="0"/>
    <x v="0"/>
  </r>
  <r>
    <x v="1064"/>
    <s v="WETHERSPOON BIRMINGHAM 4,20 GBP Vásárlás 5,52 USD 302.2100"/>
    <n v="-1668.2"/>
    <x v="4"/>
    <x v="61"/>
    <x v="0"/>
  </r>
  <r>
    <x v="1064"/>
    <s v="FIVE GUYS BULLRING BIRMINGHAM 11,90 GBP Vásárlás 15,65 USD 302.2100"/>
    <n v="-4729.59"/>
    <x v="4"/>
    <x v="61"/>
    <x v="0"/>
  </r>
  <r>
    <x v="1065"/>
    <s v="JLR GAYDON WARWICK 1,95 GBP Vásárlás 2,54 USD 304.7400"/>
    <n v="-774.04"/>
    <x v="4"/>
    <x v="61"/>
    <x v="0"/>
  </r>
  <r>
    <x v="1065"/>
    <s v="JLR GAYDON WARWICK 5,70 GBP Vásárlás 7,41 USD 304.7400"/>
    <n v="-2258.12"/>
    <x v="4"/>
    <x v="61"/>
    <x v="0"/>
  </r>
  <r>
    <x v="1065"/>
    <s v="TESCO STORE 3212 STRATFORD 9,64 GBP Vásárlás 12,53 USD 304.7400"/>
    <n v="-3818.39"/>
    <x v="4"/>
    <x v="61"/>
    <x v="0"/>
  </r>
  <r>
    <x v="1066"/>
    <s v="CZUPRIKGERGE Hivatkozási szám BRARKD/ "/>
    <n v="15000"/>
    <x v="1"/>
    <x v="53"/>
    <x v="6"/>
  </r>
  <r>
    <x v="1066"/>
    <s v="CZUPRIKGERGE Hivatkozási szám BRARKD/ "/>
    <n v="15000"/>
    <x v="1"/>
    <x v="53"/>
    <x v="6"/>
  </r>
  <r>
    <x v="1066"/>
    <s v="CZUPRIKGERGE Hivatkozási szám BRARKD/ "/>
    <n v="-15000"/>
    <x v="1"/>
    <x v="53"/>
    <x v="0"/>
  </r>
  <r>
    <x v="1066"/>
    <s v="CZUPRIKGERGE Hivatkozási szám BRARKD/ "/>
    <n v="-15000"/>
    <x v="1"/>
    <x v="53"/>
    <x v="0"/>
  </r>
  <r>
    <x v="1067"/>
    <s v="WELCOME BREAK-WARWICK WARWICK 8,98 GBP Vásárlás 11,61 USD 307.0400"/>
    <n v="-3564.73"/>
    <x v="4"/>
    <x v="61"/>
    <x v="0"/>
  </r>
  <r>
    <x v="1068"/>
    <s v="Kamatadó"/>
    <n v="-2.38"/>
    <x v="1"/>
    <x v="34"/>
    <x v="0"/>
  </r>
  <r>
    <x v="1068"/>
    <s v="SHELL TO LTO'A'LLOMA'S BUDAPEST 24.228,00 HUF Vásárlás "/>
    <n v="-24228"/>
    <x v="5"/>
    <x v="16"/>
    <x v="0"/>
  </r>
  <r>
    <x v="1068"/>
    <s v="TESCO STORE 3212 STRATFORD 13,80 GBP Vásárlás 17,87 USD 307.7900"/>
    <n v="-5500.21"/>
    <x v="4"/>
    <x v="61"/>
    <x v="0"/>
  </r>
  <r>
    <x v="1068"/>
    <s v="KFC NORTHAMPTON DT NORTHAMPTON 7,09 GBP Vásárlás 9,18 USD 307.7900"/>
    <n v="-2825.51"/>
    <x v="4"/>
    <x v="61"/>
    <x v="0"/>
  </r>
  <r>
    <x v="1068"/>
    <s v="Kamat"/>
    <n v="15.89"/>
    <x v="1"/>
    <x v="34"/>
    <x v="0"/>
  </r>
  <r>
    <x v="1069"/>
    <s v="Vendéglátás (20080004-99911000-00190849) Robert Bosch Kft."/>
    <n v="50315"/>
    <x v="4"/>
    <x v="20"/>
    <x v="4"/>
  </r>
  <r>
    <x v="1069"/>
    <s v="BENU URANUS PATIKA BUDAPEST 7.746,00 HUF Vásárlás "/>
    <n v="-7746"/>
    <x v="7"/>
    <x v="5"/>
    <x v="0"/>
  </r>
  <r>
    <x v="1069"/>
    <s v="MOL T.A'LL. SALGOTARJAN 600,00 HUF Vásárlás "/>
    <n v="-600"/>
    <x v="8"/>
    <x v="29"/>
    <x v="0"/>
  </r>
  <r>
    <x v="1069"/>
    <s v="MOL T.A'LL. SALGOTARJAN 1.999,00 HUF Vásárlás "/>
    <n v="-1999"/>
    <x v="5"/>
    <x v="18"/>
    <x v="0"/>
  </r>
  <r>
    <x v="1069"/>
    <s v="BOSCH 105 KANTIN BUDAPEST 1.181,00 HUF Vásárlás "/>
    <n v="-1181"/>
    <x v="2"/>
    <x v="63"/>
    <x v="0"/>
  </r>
  <r>
    <x v="1069"/>
    <s v="BOSCH C KANTIN BUDAPEST 282,00 HUF Vásárlás "/>
    <n v="-282"/>
    <x v="2"/>
    <x v="63"/>
    <x v="0"/>
  </r>
  <r>
    <x v="1069"/>
    <s v="AUCHAN U'JHEGY BUDAPEST 664,00 HUF Vásárlás "/>
    <n v="-664"/>
    <x v="3"/>
    <x v="4"/>
    <x v="0"/>
  </r>
  <r>
    <x v="1069"/>
    <s v="Albert Bar Budapest 2.800,00 HUF Vásárlás "/>
    <n v="-2800"/>
    <x v="6"/>
    <x v="40"/>
    <x v="0"/>
  </r>
  <r>
    <x v="1069"/>
    <s v="LIDL ARUHAZ 0167.SZ. BUDAPEST 9.190,00 HUF Vásárlás "/>
    <n v="-9190"/>
    <x v="3"/>
    <x v="4"/>
    <x v="0"/>
  </r>
  <r>
    <x v="1069"/>
    <s v="ALDI 125.SZ. BUDAPEST 1.898,00 HUF Vásárlás "/>
    <n v="-1898"/>
    <x v="3"/>
    <x v="4"/>
    <x v="0"/>
  </r>
  <r>
    <x v="1069"/>
    <s v="NETFLIX.COM 408-724-9160 3.990,00 HUF Vásárlás 12,95 USD"/>
    <n v="-3990"/>
    <x v="0"/>
    <x v="7"/>
    <x v="0"/>
  </r>
  <r>
    <x v="1070"/>
    <s v="LIDL ARUHAZ 0167.SZ. BUDAPEST 2.011,00 HUF Vásárlás "/>
    <n v="-2011"/>
    <x v="3"/>
    <x v="4"/>
    <x v="0"/>
  </r>
  <r>
    <x v="1070"/>
    <s v="AUCHAN U'JHEGY BUDAPEST 2.137,00 HUF Vásárlás "/>
    <n v="-2137"/>
    <x v="3"/>
    <x v="4"/>
    <x v="0"/>
  </r>
  <r>
    <x v="1070"/>
    <s v="AUCHAN U'JHEGY BUDAPEST 69,00 HUF Vásárlás "/>
    <n v="-69"/>
    <x v="3"/>
    <x v="4"/>
    <x v="0"/>
  </r>
  <r>
    <x v="1070"/>
    <s v="Robert Bosch Kft. Munkabér10622618, A106226182020022 71045041203, 0518041203"/>
    <n v="538650"/>
    <x v="4"/>
    <x v="20"/>
    <x v="0"/>
  </r>
  <r>
    <x v="1071"/>
    <s v="LIBRI A'RKA'D I. BUDAPEST 3.345,00 HUF Vásárlás "/>
    <n v="-3345"/>
    <x v="3"/>
    <x v="24"/>
    <x v="0"/>
  </r>
  <r>
    <x v="1071"/>
    <s v="GRILL-LAND BUDAPEST 1.611,00 HUF Vásárlás "/>
    <n v="-1611"/>
    <x v="2"/>
    <x v="2"/>
    <x v="0"/>
  </r>
  <r>
    <x v="1071"/>
    <s v="AUCHAN U'JHEGY BUDAPEST 258,00 HUF Vásárlás "/>
    <n v="-258"/>
    <x v="3"/>
    <x v="4"/>
    <x v="0"/>
  </r>
  <r>
    <x v="1071"/>
    <s v="POSTA1113 BUDAPEST 405,00 HUF Vásárlás "/>
    <n v="-405"/>
    <x v="3"/>
    <x v="8"/>
    <x v="0"/>
  </r>
  <r>
    <x v="1072"/>
    <s v="AUCHAN U'JHEGY BUDAPEST 278,00 HUF Vásárlás "/>
    <n v="-278"/>
    <x v="3"/>
    <x v="4"/>
    <x v="0"/>
  </r>
  <r>
    <x v="1072"/>
    <s v="VODAFONE POSTPAID PAYM BUDAPEST 7.008,00 HUF Vásárlás "/>
    <n v="-7008"/>
    <x v="3"/>
    <x v="46"/>
    <x v="0"/>
  </r>
  <r>
    <x v="1073"/>
    <s v="UPC Magyarorszag +36 1 688 12 3.740,00 HUF Vásárlás "/>
    <n v="-3740"/>
    <x v="0"/>
    <x v="7"/>
    <x v="0"/>
  </r>
  <r>
    <x v="1073"/>
    <s v="XIV. Bp Egressy u. 110. Társas egressy ut 110/a 2/5 közös költség "/>
    <n v="-30717"/>
    <x v="0"/>
    <x v="56"/>
    <x v="0"/>
  </r>
  <r>
    <x v="1074"/>
    <s v="DM 224 BUDAPEST 1.099,00 HUF Vásárlás "/>
    <n v="-1099"/>
    <x v="3"/>
    <x v="4"/>
    <x v="0"/>
  </r>
  <r>
    <x v="1074"/>
    <s v="BOSCH C KANTIN BUDAPEST 1.128,00 HUF Vásárlás "/>
    <n v="-1128"/>
    <x v="2"/>
    <x v="63"/>
    <x v="0"/>
  </r>
  <r>
    <x v="1074"/>
    <s v="BOSCH C KANTIN BUDAPEST 304,00 HUF Vásárlás "/>
    <n v="-304"/>
    <x v="2"/>
    <x v="63"/>
    <x v="0"/>
  </r>
  <r>
    <x v="1074"/>
    <s v="OTPMOBL NETPINCER.HU BUDAPEST 2.550,00 HUF Vásárlás "/>
    <n v="-2550"/>
    <x v="2"/>
    <x v="2"/>
    <x v="0"/>
  </r>
  <r>
    <x v="1074"/>
    <s v="ROSSMANN 113. BUDAPEST 938,00 HUF Vásárlás "/>
    <n v="-938"/>
    <x v="3"/>
    <x v="4"/>
    <x v="0"/>
  </r>
  <r>
    <x v="1074"/>
    <s v="ROSSMANN 113. BUDAPEST 1.722,00 HUF Vásárlás "/>
    <n v="-1722"/>
    <x v="3"/>
    <x v="4"/>
    <x v="0"/>
  </r>
  <r>
    <x v="1075"/>
    <s v="BOSCH B KA'VE'ZO' BUDAPEST 740,00 HUF Vásárlás "/>
    <n v="-740"/>
    <x v="2"/>
    <x v="63"/>
    <x v="0"/>
  </r>
  <r>
    <x v="1075"/>
    <s v="BOSCH B KA'VE'ZO' BUDAPEST 520,00 HUF Vásárlás "/>
    <n v="-520"/>
    <x v="2"/>
    <x v="63"/>
    <x v="0"/>
  </r>
  <r>
    <x v="1075"/>
    <s v="CBA PRI'MA CSEMEGE BUDAPEST 1.517,00 HUF Vásárlás "/>
    <n v="-1517"/>
    <x v="3"/>
    <x v="4"/>
    <x v="0"/>
  </r>
  <r>
    <x v="1075"/>
    <s v="AUCHAN U'JHEGY BUDAPEST 929,00 HUF Vásárlás "/>
    <n v="-929"/>
    <x v="3"/>
    <x v="4"/>
    <x v="0"/>
  </r>
  <r>
    <x v="1076"/>
    <s v="Navigátor díj 2020/03"/>
    <n v="-100"/>
    <x v="1"/>
    <x v="1"/>
    <x v="8"/>
  </r>
  <r>
    <x v="1076"/>
    <s v="OMV 2082/ Budapest 26.688,00 HUF Vásárlás "/>
    <n v="-26688"/>
    <x v="5"/>
    <x v="16"/>
    <x v="0"/>
  </r>
  <r>
    <x v="1076"/>
    <s v="AUCHAN U'JHEGY BUDAPEST 525,00 HUF Vásárlás "/>
    <n v="-525"/>
    <x v="3"/>
    <x v="4"/>
    <x v="0"/>
  </r>
  <r>
    <x v="1077"/>
    <s v="LIDL ARUHAZ 0167.SZ. BUDAPEST 4.683,00 HUF Vásárlás "/>
    <n v="-4683"/>
    <x v="3"/>
    <x v="4"/>
    <x v="0"/>
  </r>
  <r>
    <x v="1077"/>
    <s v="Dömötör Júlia D-ID-17 "/>
    <n v="-350000"/>
    <x v="8"/>
    <x v="32"/>
    <x v="0"/>
  </r>
  <r>
    <x v="1078"/>
    <s v="Szálláshely (20080004-99910000-00190848) Hetedhét Nap Háza Ökovendégh"/>
    <n v="-41478"/>
    <x v="6"/>
    <x v="52"/>
    <x v="4"/>
  </r>
  <r>
    <x v="1078"/>
    <s v="MAMMUT BOWLING CLUB BUDAPEST 11.235,00 HUF Vásárlás "/>
    <n v="-11235"/>
    <x v="6"/>
    <x v="12"/>
    <x v="0"/>
  </r>
  <r>
    <x v="1078"/>
    <s v="BURGER KING KEREPESI BUDAPEST 1.610,00 HUF Vásárlás "/>
    <n v="-1610"/>
    <x v="2"/>
    <x v="2"/>
    <x v="0"/>
  </r>
  <r>
    <x v="1078"/>
    <s v="AUCHAN U'JHEGY BUDAPEST 454,00 HUF Vásárlás "/>
    <n v="-454"/>
    <x v="3"/>
    <x v="4"/>
    <x v="0"/>
  </r>
  <r>
    <x v="1079"/>
    <s v="WIZZ AIRLGHKLWK Budapest 42.430,00 HUF Vásárlás "/>
    <n v="-42430"/>
    <x v="6"/>
    <x v="52"/>
    <x v="0"/>
  </r>
  <r>
    <x v="1079"/>
    <s v="ALDI 125.SZ. BUDAPEST 841,00 HUF Vásárlás "/>
    <n v="-841"/>
    <x v="3"/>
    <x v="4"/>
    <x v="0"/>
  </r>
  <r>
    <x v="1079"/>
    <s v="AUCHAN U'JHEGY BUDAPEST 307,00 HUF Vásárlás "/>
    <n v="-307"/>
    <x v="3"/>
    <x v="4"/>
    <x v="0"/>
  </r>
  <r>
    <x v="1079"/>
    <s v="RYANAIR0000000LZM45L0 DUBLIN 1.096,40 SEK Vásárlás 114,41 USD 317.2600"/>
    <n v="-36297.72"/>
    <x v="6"/>
    <x v="52"/>
    <x v="0"/>
  </r>
  <r>
    <x v="1080"/>
    <s v="Robert Bosch Kft. 51000 "/>
    <n v="3500"/>
    <x v="4"/>
    <x v="20"/>
    <x v="0"/>
  </r>
  <r>
    <x v="1081"/>
    <s v="Stühmer Édességbolt Budapest 2.960,00 HUF Vásárlás "/>
    <n v="-2960"/>
    <x v="2"/>
    <x v="19"/>
    <x v="0"/>
  </r>
  <r>
    <x v="1081"/>
    <s v="AUCHAN U'JHEGY BUDAPEST 926,00 HUF Vásárlás "/>
    <n v="-926"/>
    <x v="3"/>
    <x v="4"/>
    <x v="0"/>
  </r>
  <r>
    <x v="1081"/>
    <s v="ALDI 125.SZ. BUDAPEST 425,00 HUF Vásárlás "/>
    <n v="-425"/>
    <x v="3"/>
    <x v="4"/>
    <x v="0"/>
  </r>
  <r>
    <x v="1081"/>
    <s v="AUCHAN U'JHEGY BUDAPEST 3.267,00 HUF Vásárlás "/>
    <n v="-3267"/>
    <x v="3"/>
    <x v="4"/>
    <x v="0"/>
  </r>
  <r>
    <x v="1082"/>
    <s v="Albérlet"/>
    <n v="-110000"/>
    <x v="0"/>
    <x v="57"/>
    <x v="2"/>
  </r>
  <r>
    <x v="1082"/>
    <s v="BOSCH B KA'VE'ZO' BUDAPEST 415,00 HUF Vásárlás "/>
    <n v="-415"/>
    <x v="2"/>
    <x v="63"/>
    <x v="0"/>
  </r>
  <r>
    <x v="1082"/>
    <s v="SPAR MAGYARORSZAG KFT BUDAPEST 527,00 HUF Vásárlás "/>
    <n v="-527"/>
    <x v="3"/>
    <x v="4"/>
    <x v="0"/>
  </r>
  <r>
    <x v="1082"/>
    <s v="AUCHAN U'JHEGY BUDAPEST 701,00 HUF Vásárlás "/>
    <n v="-701"/>
    <x v="3"/>
    <x v="4"/>
    <x v="0"/>
  </r>
  <r>
    <x v="1082"/>
    <s v="BUDAI PEKSEG BUDAPEST 1.730,00 HUF Vásárlás "/>
    <n v="-1730"/>
    <x v="2"/>
    <x v="19"/>
    <x v="0"/>
  </r>
  <r>
    <x v="1082"/>
    <s v="SIMPLE PARKOL S BUDAPEST 160,00 HUF Vásárlás "/>
    <n v="-160"/>
    <x v="5"/>
    <x v="9"/>
    <x v="0"/>
  </r>
  <r>
    <x v="1082"/>
    <s v="SIMPLE PARKOL S BUDAPEST 933,00 HUF Vásárlás "/>
    <n v="-933"/>
    <x v="5"/>
    <x v="9"/>
    <x v="0"/>
  </r>
  <r>
    <x v="1082"/>
    <s v="TESCO 41400 O NKISZOLG BUDAPEST 13.041,00 HUF Vásárlás "/>
    <n v="-13041"/>
    <x v="3"/>
    <x v="4"/>
    <x v="0"/>
  </r>
  <r>
    <x v="1082"/>
    <s v="BOSCH C KANTIN BUDAPEST 1.311,00 HUF Vásárlás "/>
    <n v="-1311"/>
    <x v="2"/>
    <x v="63"/>
    <x v="0"/>
  </r>
  <r>
    <x v="1082"/>
    <s v="SHELL T.A'LL. BUDAPEST 24.897,00 HUF Vásárlás "/>
    <n v="-24897"/>
    <x v="5"/>
    <x v="16"/>
    <x v="0"/>
  </r>
  <r>
    <x v="1082"/>
    <s v="PANIFICIO IL BASILICO SZENTENDRE 8.500,00 HUF Vásárlás "/>
    <n v="-8500"/>
    <x v="2"/>
    <x v="10"/>
    <x v="0"/>
  </r>
  <r>
    <x v="1082"/>
    <s v="OTPMOBL HU-GO.HU BUDAPEST 15.000,00 HUF Vásárlás "/>
    <n v="-15000"/>
    <x v="5"/>
    <x v="37"/>
    <x v="0"/>
  </r>
  <r>
    <x v="1082"/>
    <s v="374 COOP SZUPER BUDAPEST 899,00 HUF Vásárlás "/>
    <n v="-899"/>
    <x v="3"/>
    <x v="4"/>
    <x v="0"/>
  </r>
  <r>
    <x v="1082"/>
    <s v="BOSCH C KANTIN BUDAPEST 651,00 HUF Vásárlás "/>
    <n v="-651"/>
    <x v="2"/>
    <x v="63"/>
    <x v="0"/>
  </r>
  <r>
    <x v="1082"/>
    <s v="Elmű-Émász Energiaszolgáltató Zr 841302374804 2600540425 "/>
    <n v="-5923"/>
    <x v="0"/>
    <x v="11"/>
    <x v="0"/>
  </r>
  <r>
    <x v="1083"/>
    <s v="BOSCH 105 KANTIN BUDAPEST 760,00 HUF Vásárlás "/>
    <n v="-760"/>
    <x v="2"/>
    <x v="63"/>
    <x v="0"/>
  </r>
  <r>
    <x v="1083"/>
    <s v="LIDL ARUHAZ 0167.SZ. BUDAPEST 3.672,00 HUF Vásárlás "/>
    <n v="-3672"/>
    <x v="3"/>
    <x v="4"/>
    <x v="0"/>
  </r>
  <r>
    <x v="1083"/>
    <s v="84002227 BUDAPEST 69.000,00 HUF Kp felvét "/>
    <n v="-69000"/>
    <x v="5"/>
    <x v="36"/>
    <x v="0"/>
  </r>
  <r>
    <x v="1084"/>
    <s v="BOSCH C KANTIN BUDAPEST 326,00 HUF Vásárlás "/>
    <n v="-326"/>
    <x v="2"/>
    <x v="63"/>
    <x v="0"/>
  </r>
  <r>
    <x v="1084"/>
    <s v="ALDI 125.SZ. BUDAPEST 506,00 HUF Vásárlás "/>
    <n v="-506"/>
    <x v="3"/>
    <x v="4"/>
    <x v="0"/>
  </r>
  <r>
    <x v="1084"/>
    <s v="BOSCH C KANTIN BUDAPEST 1.116,00 HUF Vásárlás "/>
    <n v="-1116"/>
    <x v="2"/>
    <x v="63"/>
    <x v="0"/>
  </r>
  <r>
    <x v="1085"/>
    <s v="BOSCH PIAGGIO KA'VE'ZO BUDAPEST 360,00 HUF Vásárlás "/>
    <n v="-360"/>
    <x v="2"/>
    <x v="63"/>
    <x v="0"/>
  </r>
  <r>
    <x v="1085"/>
    <s v="CZUPRIKGERGE Hivatkozási szám BRARKD/ "/>
    <n v="15000"/>
    <x v="1"/>
    <x v="53"/>
    <x v="6"/>
  </r>
  <r>
    <x v="1085"/>
    <s v="CZUPRIKGERGE Hivatkozási szám BRARKD/ "/>
    <n v="15000"/>
    <x v="1"/>
    <x v="53"/>
    <x v="6"/>
  </r>
  <r>
    <x v="1085"/>
    <s v="CZUPRIKGERGE Hivatkozási szám BRARKD/ "/>
    <n v="-15000"/>
    <x v="1"/>
    <x v="53"/>
    <x v="0"/>
  </r>
  <r>
    <x v="1085"/>
    <s v="CZUPRIKGERGE Hivatkozási szám BRARKD/ "/>
    <n v="-15000"/>
    <x v="1"/>
    <x v="53"/>
    <x v="0"/>
  </r>
  <r>
    <x v="1086"/>
    <s v="OTPMOBL JEGY.MAV-START BUDAPEST 670,00 HUF Vásárlás "/>
    <n v="-670"/>
    <x v="5"/>
    <x v="28"/>
    <x v="0"/>
  </r>
  <r>
    <x v="1087"/>
    <s v="Kamat"/>
    <n v="-2.55"/>
    <x v="1"/>
    <x v="34"/>
    <x v="0"/>
  </r>
  <r>
    <x v="1087"/>
    <s v="MA'V MENETJEGY AUTOMAT BUDAPEST 708,00 HUF Vásárlás "/>
    <n v="-708"/>
    <x v="5"/>
    <x v="28"/>
    <x v="0"/>
  </r>
  <r>
    <x v="1087"/>
    <s v="BOSCH C KANTIN BUDAPEST 326,00 HUF Vásárlás "/>
    <n v="-326"/>
    <x v="2"/>
    <x v="63"/>
    <x v="0"/>
  </r>
  <r>
    <x v="1087"/>
    <s v="Stex Ház Budapest 2.139,00 HUF Vásárlás "/>
    <n v="-2139"/>
    <x v="6"/>
    <x v="40"/>
    <x v="0"/>
  </r>
  <r>
    <x v="1087"/>
    <s v="BOSCH B KA'VE'ZO' BUDAPEST 740,00 HUF Vásárlás "/>
    <n v="-740"/>
    <x v="2"/>
    <x v="63"/>
    <x v="0"/>
  </r>
  <r>
    <x v="1087"/>
    <s v="Kamat"/>
    <n v="16.99"/>
    <x v="1"/>
    <x v="34"/>
    <x v="0"/>
  </r>
  <r>
    <x v="1088"/>
    <s v="5248361669611243,AZ MDSBGBUVH0202 OTPMOBL JEGY.MAV-START BUDAPEST TRAN IDEJE 20200202 144238"/>
    <n v="670"/>
    <x v="5"/>
    <x v="28"/>
    <x v="0"/>
  </r>
  <r>
    <x v="1088"/>
    <s v="STONE-PUB KISKUNLACHAZ 1.800,00 HUF Vásárlás "/>
    <n v="-1800"/>
    <x v="2"/>
    <x v="2"/>
    <x v="0"/>
  </r>
  <r>
    <x v="1088"/>
    <s v="BKK AUTOMATA - A56 BUDAPEST 3.000,00 HUF Vásárlás "/>
    <n v="-3000"/>
    <x v="5"/>
    <x v="28"/>
    <x v="0"/>
  </r>
  <r>
    <x v="1088"/>
    <s v="Robert Bosch Kft. Munkabér10622618, A106226182020013 01428371215, 0508671215"/>
    <n v="538595"/>
    <x v="4"/>
    <x v="20"/>
    <x v="0"/>
  </r>
  <r>
    <x v="1089"/>
    <s v="AUCHAN U'JHEGY BUDAPEST 500,00 HUF Vásárlás "/>
    <n v="-500"/>
    <x v="3"/>
    <x v="4"/>
    <x v="0"/>
  </r>
  <r>
    <x v="1089"/>
    <s v="SPAR BUDAPEST 1.088,00 HUF Vásárlás "/>
    <n v="-1088"/>
    <x v="3"/>
    <x v="4"/>
    <x v="0"/>
  </r>
  <r>
    <x v="1090"/>
    <s v="SIMPLE PARKOL S BUDAPEST 484,00 HUF Vásárlás "/>
    <n v="-484"/>
    <x v="5"/>
    <x v="9"/>
    <x v="0"/>
  </r>
  <r>
    <x v="1090"/>
    <s v="AUCHAN U'JHEGY BUDAPEST 2.500,00 HUF Vásárlás "/>
    <n v="-2500"/>
    <x v="3"/>
    <x v="4"/>
    <x v="0"/>
  </r>
  <r>
    <x v="1091"/>
    <s v="DM 119 MAMMUT II. BUDAPEST 3.946,00 HUF Vásárlás "/>
    <n v="-3946"/>
    <x v="3"/>
    <x v="4"/>
    <x v="0"/>
  </r>
  <r>
    <x v="1091"/>
    <s v="MAMMUT PATIKA BUDAPEST 1.729,00 HUF Vásárlás "/>
    <n v="-1729"/>
    <x v="7"/>
    <x v="5"/>
    <x v="0"/>
  </r>
  <r>
    <x v="1091"/>
    <s v="VODAFONE POSTPAID PAYM BUDAPEST 7.008,00 HUF Vásárlás "/>
    <n v="-7008"/>
    <x v="3"/>
    <x v="46"/>
    <x v="0"/>
  </r>
  <r>
    <x v="1091"/>
    <s v="NETFLIX.COM 408-724-9160 3.990,00 HUF Vásárlás 13,04 USD"/>
    <n v="-3990"/>
    <x v="0"/>
    <x v="7"/>
    <x v="0"/>
  </r>
  <r>
    <x v="1092"/>
    <s v="IMO Hungary kft Budapest 2.490,00 HUF Vásárlás "/>
    <n v="-2490"/>
    <x v="5"/>
    <x v="18"/>
    <x v="0"/>
  </r>
  <r>
    <x v="1092"/>
    <s v="UPC Magyarorszag +36 1 688 12 3.740,00 HUF Vásárlás "/>
    <n v="-3740"/>
    <x v="0"/>
    <x v="7"/>
    <x v="0"/>
  </r>
  <r>
    <x v="1092"/>
    <s v="ALMA GYO'GYSZERTA'R BUDAPEST 1.241,00 HUF Vásárlás "/>
    <n v="-1241"/>
    <x v="7"/>
    <x v="5"/>
    <x v="0"/>
  </r>
  <r>
    <x v="1092"/>
    <s v="MARGARE'TA E'TTEREM BUDAPEST 1.300,00 HUF Vásárlás "/>
    <n v="-1300"/>
    <x v="2"/>
    <x v="2"/>
    <x v="0"/>
  </r>
  <r>
    <x v="1092"/>
    <s v="AUCHAN U'JHEGY BUDAPEST 278,00 HUF Vásárlás "/>
    <n v="-278"/>
    <x v="3"/>
    <x v="4"/>
    <x v="0"/>
  </r>
  <r>
    <x v="1092"/>
    <s v="SIMPLE PARKOL S BUDAPEST 537,00 HUF Vásárlás "/>
    <n v="-537"/>
    <x v="5"/>
    <x v="9"/>
    <x v="0"/>
  </r>
  <r>
    <x v="1092"/>
    <s v="SIMPLE PARKOL S BUDAPEST 160,00 HUF Vásárlás "/>
    <n v="-160"/>
    <x v="5"/>
    <x v="9"/>
    <x v="0"/>
  </r>
  <r>
    <x v="1092"/>
    <s v="DM 224 BUDAPEST 238,00 HUF Vásárlás "/>
    <n v="-238"/>
    <x v="3"/>
    <x v="4"/>
    <x v="0"/>
  </r>
  <r>
    <x v="1092"/>
    <s v="AUCHAN U'JHEGY BUDAPEST 1.457,00 HUF Vásárlás "/>
    <n v="-1457"/>
    <x v="3"/>
    <x v="4"/>
    <x v="0"/>
  </r>
  <r>
    <x v="1092"/>
    <s v="XIV. Bp Egressy u. 110. Társas Egressy út 110/a/2/5 Közös költség "/>
    <n v="-23967"/>
    <x v="0"/>
    <x v="56"/>
    <x v="0"/>
  </r>
  <r>
    <x v="1093"/>
    <s v="KFC KO KI TERMINA'L BUDAPEST 1.990,00 HUF Vásárlás "/>
    <n v="-1990"/>
    <x v="2"/>
    <x v="2"/>
    <x v="0"/>
  </r>
  <r>
    <x v="1093"/>
    <s v="SIMPLE PARKOL S BUDAPEST 357,00 HUF Vásárlás "/>
    <n v="-357"/>
    <x v="5"/>
    <x v="9"/>
    <x v="0"/>
  </r>
  <r>
    <x v="1094"/>
    <s v="Navigátor díj 2020/02"/>
    <n v="-100"/>
    <x v="1"/>
    <x v="1"/>
    <x v="8"/>
  </r>
  <r>
    <x v="1094"/>
    <s v="CZUPRIKGERGE Hivatkozási szám BCKOZP/35391446 Értékpapír számla egyenlegrendezés"/>
    <n v="-869"/>
    <x v="1"/>
    <x v="53"/>
    <x v="0"/>
  </r>
  <r>
    <x v="1094"/>
    <s v="AUCHAN U'JHEGY BUDAPEST 1.847,00 HUF Vásárlás "/>
    <n v="-1847"/>
    <x v="3"/>
    <x v="4"/>
    <x v="0"/>
  </r>
  <r>
    <x v="1095"/>
    <s v="AUCHAN U'JHEGY BUDAPEST 1.175,00 HUF Vásárlás "/>
    <n v="-1175"/>
    <x v="3"/>
    <x v="4"/>
    <x v="0"/>
  </r>
  <r>
    <x v="1096"/>
    <s v="LIDL 0167 Bp. Mogyo Budapest 9.191,00 HUF Vásárlás "/>
    <n v="-9191"/>
    <x v="3"/>
    <x v="4"/>
    <x v="0"/>
  </r>
  <r>
    <x v="1096"/>
    <s v="TESCO 41400 O NKISZOLG BUDAPEST 6.471,00 HUF Vásárlás "/>
    <n v="-6471"/>
    <x v="3"/>
    <x v="4"/>
    <x v="0"/>
  </r>
  <r>
    <x v="1097"/>
    <s v="KFC DUNAHARASZTI DUNAHARASZTI 2.490,00 HUF Vásárlás "/>
    <n v="-2490"/>
    <x v="2"/>
    <x v="2"/>
    <x v="0"/>
  </r>
  <r>
    <x v="1097"/>
    <s v="OMV 2081/ Budapest 23.351,00 HUF Vásárlás "/>
    <n v="-23351"/>
    <x v="5"/>
    <x v="16"/>
    <x v="0"/>
  </r>
  <r>
    <x v="1098"/>
    <s v="JO'E'TVA'GYAT BISTRO' BUDAPEST 1.190,00 HUF Vásárlás "/>
    <n v="-1190"/>
    <x v="2"/>
    <x v="2"/>
    <x v="0"/>
  </r>
  <r>
    <x v="1098"/>
    <s v="BOSCH X KA'VE'ZO' BUDAPEST 350,00 HUF Vásárlás "/>
    <n v="-350"/>
    <x v="2"/>
    <x v="2"/>
    <x v="0"/>
  </r>
  <r>
    <x v="1098"/>
    <s v="ALDI 125.SZ. BUDAPEST 3.896,00 HUF Vásárlás "/>
    <n v="-3896"/>
    <x v="3"/>
    <x v="4"/>
    <x v="0"/>
  </r>
  <r>
    <x v="1098"/>
    <s v="AUCHAN U'JHEGY BUDAPEST 480,00 HUF Vásárlás "/>
    <n v="-480"/>
    <x v="3"/>
    <x v="4"/>
    <x v="0"/>
  </r>
  <r>
    <x v="1098"/>
    <s v="MAGYAR LLAMKINCST R BUDAPEST 400.000,00 HUF Vásárlás "/>
    <n v="400000"/>
    <x v="1"/>
    <x v="26"/>
    <x v="3"/>
  </r>
  <r>
    <x v="1098"/>
    <s v="MAGYAR LLAMKINCST R BUDAPEST 400.000,00 HUF Vásárlás "/>
    <n v="-400000"/>
    <x v="1"/>
    <x v="26"/>
    <x v="0"/>
  </r>
  <r>
    <x v="1099"/>
    <s v="OMV 1500/ Ullo 3.500,00 HUF Vásárlás "/>
    <n v="-3500"/>
    <x v="4"/>
    <x v="61"/>
    <x v="0"/>
  </r>
  <r>
    <x v="1099"/>
    <s v="STONE-PUB KISKUNLACHAZ 2.000,00 HUF Vásárlás "/>
    <n v="-2000"/>
    <x v="2"/>
    <x v="2"/>
    <x v="0"/>
  </r>
  <r>
    <x v="1099"/>
    <s v="CBA PRI'MA CSEMEGE BUDAPEST 903,00 HUF Vásárlás "/>
    <n v="-903"/>
    <x v="3"/>
    <x v="4"/>
    <x v="0"/>
  </r>
  <r>
    <x v="1100"/>
    <s v="lekötés"/>
    <n v="-500000"/>
    <x v="1"/>
    <x v="60"/>
    <x v="0"/>
  </r>
  <r>
    <x v="1100"/>
    <s v="lekötés"/>
    <n v="500000"/>
    <x v="1"/>
    <x v="60"/>
    <x v="0"/>
  </r>
  <r>
    <x v="1101"/>
    <s v="OMV 2098/ Retsag 1.338,00 HUF Vásárlás "/>
    <n v="-1338"/>
    <x v="2"/>
    <x v="2"/>
    <x v="0"/>
  </r>
  <r>
    <x v="1102"/>
    <s v="DR+Med Kft. Gyógyszertárak által forgalmazott készítmények, te (EGP/2020/001/1000083)"/>
    <n v="-1286"/>
    <x v="7"/>
    <x v="5"/>
    <x v="8"/>
  </r>
  <r>
    <x v="1102"/>
    <s v="GRILL-LAND BUDAPEST 1.680,00 HUF Vásárlás "/>
    <n v="-1680"/>
    <x v="2"/>
    <x v="2"/>
    <x v="0"/>
  </r>
  <r>
    <x v="1102"/>
    <s v="AUCHAN U'JHEGY BUDAPEST 796,00 HUF Vásárlás "/>
    <n v="-796"/>
    <x v="3"/>
    <x v="4"/>
    <x v="0"/>
  </r>
  <r>
    <x v="1103"/>
    <s v="Albérlet"/>
    <n v="-110000"/>
    <x v="0"/>
    <x v="57"/>
    <x v="2"/>
  </r>
  <r>
    <x v="1103"/>
    <s v="BOSCH X KA'VE'ZO' BUDAPEST 350,00 HUF Vásárlás "/>
    <n v="-350"/>
    <x v="2"/>
    <x v="2"/>
    <x v="0"/>
  </r>
  <r>
    <x v="1104"/>
    <s v="SIMPLE PARKOL S BUDAPEST 135,00 HUF Vásárlás "/>
    <n v="-135"/>
    <x v="5"/>
    <x v="9"/>
    <x v="0"/>
  </r>
  <r>
    <x v="1104"/>
    <s v="CBA PRI'MA CSEMEGE BUDAPEST 839,00 HUF Vásárlás "/>
    <n v="-839"/>
    <x v="3"/>
    <x v="4"/>
    <x v="0"/>
  </r>
  <r>
    <x v="1105"/>
    <s v="EOPTIKA.HU BUDAPEST 11.104,00 HUF Vásárlás "/>
    <n v="-11104"/>
    <x v="7"/>
    <x v="27"/>
    <x v="0"/>
  </r>
  <r>
    <x v="1105"/>
    <s v="SUGA'R PARKOLO' BUDAPEST 450,00 HUF Vásárlás "/>
    <n v="-450"/>
    <x v="5"/>
    <x v="9"/>
    <x v="0"/>
  </r>
  <r>
    <x v="1105"/>
    <s v="BIOHAIR SZALON SUGA'R BUDAPEST 2.790,00 HUF Vásárlás "/>
    <n v="-2790"/>
    <x v="7"/>
    <x v="15"/>
    <x v="0"/>
  </r>
  <r>
    <x v="1105"/>
    <s v="BOSCH 105 KANTIN BUDAPEST 5.000,00 HUF Vásárlás "/>
    <n v="-5000"/>
    <x v="2"/>
    <x v="2"/>
    <x v="0"/>
  </r>
  <r>
    <x v="1105"/>
    <s v="AUCHAN U'JHEGY BUDAPEST 1.300,00 HUF Vásárlás "/>
    <n v="-1300"/>
    <x v="3"/>
    <x v="4"/>
    <x v="0"/>
  </r>
  <r>
    <x v="1106"/>
    <s v="IKEA Budapest étterem Budapest 500,00 HUF Vásárlás "/>
    <n v="-500"/>
    <x v="2"/>
    <x v="19"/>
    <x v="0"/>
  </r>
  <r>
    <x v="1106"/>
    <s v="Cafe Frei ARKAD Budapest 500,00 HUF Vásárlás "/>
    <n v="-500"/>
    <x v="2"/>
    <x v="19"/>
    <x v="0"/>
  </r>
  <r>
    <x v="1106"/>
    <s v="MAGYAR LLAMKINCST R BUDAPEST 400.000,00 HUF Vásárlás "/>
    <n v="400000"/>
    <x v="1"/>
    <x v="26"/>
    <x v="3"/>
  </r>
  <r>
    <x v="1106"/>
    <s v="MAGYAR LLAMKINCST R BUDAPEST 400.000,00 HUF Vásárlás "/>
    <n v="-400000"/>
    <x v="1"/>
    <x v="26"/>
    <x v="0"/>
  </r>
  <r>
    <x v="1106"/>
    <s v="OBI 024 FOGARASI BUDAPEST 949,00 HUF Vásárlás "/>
    <n v="-949"/>
    <x v="0"/>
    <x v="0"/>
    <x v="0"/>
  </r>
  <r>
    <x v="1107"/>
    <s v="OTPMOBL NETPINCER.HU BUDAPEST 2.090,00 HUF Vásárlás "/>
    <n v="-2090"/>
    <x v="0"/>
    <x v="0"/>
    <x v="0"/>
  </r>
  <r>
    <x v="1107"/>
    <s v="MAGYAR LLAMKINCST R BUDAPEST 400.000,00 HUF Vásárlás "/>
    <n v="400000"/>
    <x v="1"/>
    <x v="26"/>
    <x v="3"/>
  </r>
  <r>
    <x v="1107"/>
    <s v="MAGYAR LLAMKINCST R BUDAPEST 400.000,00 HUF Vásárlás "/>
    <n v="-400000"/>
    <x v="1"/>
    <x v="26"/>
    <x v="0"/>
  </r>
  <r>
    <x v="1107"/>
    <s v="SUGA'R MOZI BUDAPEST 1.590,00 HUF Vásárlás "/>
    <n v="-1590"/>
    <x v="6"/>
    <x v="44"/>
    <x v="0"/>
  </r>
  <r>
    <x v="1107"/>
    <s v="SUGA'R MOZI BUDAPEST 1.850,00 HUF Vásárlás "/>
    <n v="-1850"/>
    <x v="6"/>
    <x v="44"/>
    <x v="0"/>
  </r>
  <r>
    <x v="1107"/>
    <s v="CZUPRIKGERGE Hivatkozási szám BRARKD/ "/>
    <n v="15000"/>
    <x v="1"/>
    <x v="53"/>
    <x v="6"/>
  </r>
  <r>
    <x v="1107"/>
    <s v="CZUPRIKGERGE Hivatkozási szám BRARKD/ "/>
    <n v="15000"/>
    <x v="1"/>
    <x v="53"/>
    <x v="6"/>
  </r>
  <r>
    <x v="1107"/>
    <s v="CZUPRIKGERGE Hivatkozási szám BRARKD/ "/>
    <n v="-15000"/>
    <x v="1"/>
    <x v="53"/>
    <x v="0"/>
  </r>
  <r>
    <x v="1107"/>
    <s v="CZUPRIKGERGE Hivatkozási szám BRARKD/ "/>
    <n v="-15000"/>
    <x v="1"/>
    <x v="53"/>
    <x v="0"/>
  </r>
  <r>
    <x v="1108"/>
    <s v="Kamatadó"/>
    <n v="-0.64"/>
    <x v="1"/>
    <x v="34"/>
    <x v="0"/>
  </r>
  <r>
    <x v="1108"/>
    <s v="Kamatadó"/>
    <n v="-2.55"/>
    <x v="1"/>
    <x v="34"/>
    <x v="0"/>
  </r>
  <r>
    <x v="1108"/>
    <s v="Kamat"/>
    <n v="4.25"/>
    <x v="1"/>
    <x v="34"/>
    <x v="0"/>
  </r>
  <r>
    <x v="1108"/>
    <s v="Kamat"/>
    <n v="16.99"/>
    <x v="1"/>
    <x v="34"/>
    <x v="0"/>
  </r>
  <r>
    <x v="1109"/>
    <s v="BKK AUTOMATA - D22 BUDAPEST 9.500,00 HUF Vásárlás "/>
    <n v="-9500"/>
    <x v="5"/>
    <x v="28"/>
    <x v="0"/>
  </r>
  <r>
    <x v="1110"/>
    <m/>
    <m/>
    <x v="10"/>
    <x v="64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19:B28" firstHeaderRow="1" firstDataRow="1" firstDataCol="1" rowPageCount="1" colPageCount="1"/>
  <pivotFields count="6">
    <pivotField multipleItemSelectionAllowed="1" showAll="0">
      <items count="1112"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110"/>
        <item t="default"/>
      </items>
    </pivotField>
    <pivotField showAll="0"/>
    <pivotField dataField="1" showAll="0"/>
    <pivotField axis="axisRow" showAll="0" sortType="ascending">
      <items count="12">
        <item sd="0" x="7"/>
        <item sd="0" x="8"/>
        <item sd="0" x="2"/>
        <item h="1" sd="0" x="4"/>
        <item sd="0" x="6"/>
        <item sd="0" x="5"/>
        <item sd="0" x="0"/>
        <item sd="0" x="9"/>
        <item sd="0" x="1"/>
        <item sd="0" x="3"/>
        <item x="10"/>
        <item t="default" sd="0"/>
      </items>
    </pivotField>
    <pivotField axis="axisRow" multipleItemSelectionAllowed="1" showAll="0">
      <items count="69">
        <item x="57"/>
        <item x="26"/>
        <item x="11"/>
        <item x="41"/>
        <item x="33"/>
        <item x="36"/>
        <item x="18"/>
        <item x="1"/>
        <item x="25"/>
        <item x="50"/>
        <item x="29"/>
        <item x="4"/>
        <item x="53"/>
        <item x="40"/>
        <item x="10"/>
        <item x="20"/>
        <item x="59"/>
        <item x="5"/>
        <item x="2"/>
        <item x="62"/>
        <item x="7"/>
        <item x="34"/>
        <item x="19"/>
        <item x="43"/>
        <item x="12"/>
        <item x="24"/>
        <item x="56"/>
        <item x="0"/>
        <item x="60"/>
        <item x="28"/>
        <item x="44"/>
        <item x="63"/>
        <item x="31"/>
        <item x="52"/>
        <item x="27"/>
        <item x="37"/>
        <item x="9"/>
        <item x="16"/>
        <item x="32"/>
        <item x="58"/>
        <item x="46"/>
        <item x="13"/>
        <item x="61"/>
        <item x="8"/>
        <item x="64"/>
        <item x="51"/>
        <item x="39"/>
        <item x="55"/>
        <item x="47"/>
        <item x="30"/>
        <item m="1" x="65"/>
        <item x="21"/>
        <item m="1" x="67"/>
        <item x="35"/>
        <item x="22"/>
        <item x="42"/>
        <item x="38"/>
        <item x="23"/>
        <item m="1" x="66"/>
        <item x="54"/>
        <item x="15"/>
        <item x="17"/>
        <item x="14"/>
        <item x="3"/>
        <item x="49"/>
        <item x="6"/>
        <item x="48"/>
        <item x="45"/>
        <item t="default"/>
      </items>
    </pivotField>
    <pivotField axis="axisPage" showAll="0">
      <items count="11">
        <item x="5"/>
        <item x="6"/>
        <item x="0"/>
        <item x="8"/>
        <item x="1"/>
        <item x="2"/>
        <item x="3"/>
        <item x="4"/>
        <item x="7"/>
        <item x="9"/>
        <item t="default"/>
      </items>
    </pivotField>
  </pivotFields>
  <rowFields count="2">
    <field x="3"/>
    <field x="4"/>
  </rowFields>
  <rowItems count="9">
    <i>
      <x/>
    </i>
    <i>
      <x v="1"/>
    </i>
    <i>
      <x v="2"/>
    </i>
    <i>
      <x v="4"/>
    </i>
    <i>
      <x v="5"/>
    </i>
    <i>
      <x v="6"/>
    </i>
    <i>
      <x v="8"/>
    </i>
    <i>
      <x v="9"/>
    </i>
    <i t="grand">
      <x/>
    </i>
  </rowItems>
  <colItems count="1">
    <i/>
  </colItems>
  <pageFields count="1">
    <pageField fld="5" item="2" hier="-1"/>
  </pageFields>
  <dataFields count="1">
    <dataField name="Sum of Összeg" fld="2" baseField="0" baseItem="0" numFmtId="44"/>
  </dataFields>
  <formats count="7">
    <format dxfId="6">
      <pivotArea collapsedLevelsAreSubtotals="1" fieldPosition="0">
        <references count="1">
          <reference field="3" count="8">
            <x v="0"/>
            <x v="1"/>
            <x v="2"/>
            <x v="3"/>
            <x v="5"/>
            <x v="6"/>
            <x v="8"/>
            <x v="9"/>
          </reference>
        </references>
      </pivotArea>
    </format>
    <format dxfId="5">
      <pivotArea dataOnly="0" labelOnly="1" fieldPosition="0">
        <references count="1">
          <reference field="3" count="8">
            <x v="0"/>
            <x v="1"/>
            <x v="2"/>
            <x v="3"/>
            <x v="5"/>
            <x v="6"/>
            <x v="8"/>
            <x v="9"/>
          </reference>
        </references>
      </pivotArea>
    </format>
    <format dxfId="4">
      <pivotArea collapsedLevelsAreSubtotals="1" fieldPosition="0">
        <references count="1">
          <reference field="3" count="7">
            <x v="0"/>
            <x v="1"/>
            <x v="2"/>
            <x v="5"/>
            <x v="6"/>
            <x v="8"/>
            <x v="9"/>
          </reference>
        </references>
      </pivotArea>
    </format>
    <format dxfId="3">
      <pivotArea grandRow="1" outline="0" collapsedLevelsAreSubtotals="1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  <format dxfId="1">
      <pivotArea dataOnly="0" labelOnly="1" outline="0" axis="axisValues" fieldPosition="0"/>
    </format>
    <format dxfId="0">
      <pivotArea outline="0" collapsedLevelsAreSubtotals="1" fieldPosition="0"/>
    </format>
  </formats>
  <chartFormats count="9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8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8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8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8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8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8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2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2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2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2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2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2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0"/>
          </reference>
        </references>
      </pivotArea>
    </chartFormat>
    <chartFormat chart="12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</references>
      </pivotArea>
    </chartFormat>
    <chartFormat chart="12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5"/>
          </reference>
        </references>
      </pivotArea>
    </chartFormat>
    <chartFormat chart="12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4"/>
          </reference>
        </references>
      </pivotArea>
    </chartFormat>
    <chartFormat chart="12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8"/>
          </reference>
        </references>
      </pivotArea>
    </chartFormat>
    <chartFormat chart="12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22"/>
          </reference>
        </references>
      </pivotArea>
    </chartFormat>
    <chartFormat chart="12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13"/>
          </reference>
        </references>
      </pivotArea>
    </chartFormat>
    <chartFormat chart="12" format="17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33"/>
          </reference>
        </references>
      </pivotArea>
    </chartFormat>
    <chartFormat chart="12" format="18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59"/>
          </reference>
        </references>
      </pivotArea>
    </chartFormat>
    <chartFormat chart="12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</references>
      </pivotArea>
    </chartFormat>
    <chartFormat chart="12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</references>
      </pivotArea>
    </chartFormat>
    <chartFormat chart="12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5"/>
          </reference>
        </references>
      </pivotArea>
    </chartFormat>
    <chartFormat chart="12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29"/>
          </reference>
        </references>
      </pivotArea>
    </chartFormat>
    <chartFormat chart="12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35"/>
          </reference>
        </references>
      </pivotArea>
    </chartFormat>
    <chartFormat chart="12" format="24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36"/>
          </reference>
        </references>
      </pivotArea>
    </chartFormat>
    <chartFormat chart="12" format="25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37"/>
          </reference>
        </references>
      </pivotArea>
    </chartFormat>
    <chartFormat chart="12" format="26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55"/>
          </reference>
        </references>
      </pivotArea>
    </chartFormat>
    <chartFormat chart="12" format="27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</references>
      </pivotArea>
    </chartFormat>
    <chartFormat chart="12" format="28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</references>
      </pivotArea>
    </chartFormat>
    <chartFormat chart="12" format="29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20"/>
          </reference>
        </references>
      </pivotArea>
    </chartFormat>
    <chartFormat chart="12" format="30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26"/>
          </reference>
        </references>
      </pivotArea>
    </chartFormat>
    <chartFormat chart="12" format="3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27"/>
          </reference>
        </references>
      </pivotArea>
    </chartFormat>
    <chartFormat chart="12" format="32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47"/>
          </reference>
        </references>
      </pivotArea>
    </chartFormat>
    <chartFormat chart="12" format="33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48"/>
          </reference>
        </references>
      </pivotArea>
    </chartFormat>
    <chartFormat chart="12" format="34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51"/>
          </reference>
        </references>
      </pivotArea>
    </chartFormat>
    <chartFormat chart="12" format="35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52"/>
          </reference>
        </references>
      </pivotArea>
    </chartFormat>
    <chartFormat chart="12" format="36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53"/>
          </reference>
        </references>
      </pivotArea>
    </chartFormat>
    <chartFormat chart="12" format="37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54"/>
          </reference>
        </references>
      </pivotArea>
    </chartFormat>
    <chartFormat chart="12" format="38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56"/>
          </reference>
        </references>
      </pivotArea>
    </chartFormat>
    <chartFormat chart="12" format="39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57"/>
          </reference>
        </references>
      </pivotArea>
    </chartFormat>
    <chartFormat chart="12" format="40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58"/>
          </reference>
        </references>
      </pivotArea>
    </chartFormat>
    <chartFormat chart="12" format="4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</references>
      </pivotArea>
    </chartFormat>
    <chartFormat chart="12" format="42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4" count="1" selected="0">
            <x v="7"/>
          </reference>
        </references>
      </pivotArea>
    </chartFormat>
    <chartFormat chart="12" format="43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4" count="1" selected="0">
            <x v="9"/>
          </reference>
        </references>
      </pivotArea>
    </chartFormat>
    <chartFormat chart="12" format="44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4" count="1" selected="0">
            <x v="12"/>
          </reference>
        </references>
      </pivotArea>
    </chartFormat>
    <chartFormat chart="12" format="45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4" count="1" selected="0">
            <x v="21"/>
          </reference>
        </references>
      </pivotArea>
    </chartFormat>
    <chartFormat chart="12" format="46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4" count="1" selected="0">
            <x v="46"/>
          </reference>
        </references>
      </pivotArea>
    </chartFormat>
    <chartFormat chart="12" format="47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4" count="1" selected="0">
            <x v="11"/>
          </reference>
        </references>
      </pivotArea>
    </chartFormat>
    <chartFormat chart="12" format="48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4" count="1" selected="0">
            <x v="25"/>
          </reference>
        </references>
      </pivotArea>
    </chartFormat>
    <chartFormat chart="12" format="49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4" count="1" selected="0">
            <x v="32"/>
          </reference>
        </references>
      </pivotArea>
    </chartFormat>
    <chartFormat chart="12" format="50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4" count="1" selected="0">
            <x v="40"/>
          </reference>
        </references>
      </pivotArea>
    </chartFormat>
    <chartFormat chart="12" format="51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4" count="1" selected="0">
            <x v="43"/>
          </reference>
        </references>
      </pivotArea>
    </chartFormat>
    <chartFormat chart="12" format="52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4" count="1" selected="0">
            <x v="49"/>
          </reference>
        </references>
      </pivotArea>
    </chartFormat>
    <chartFormat chart="12" format="53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8"/>
          </reference>
        </references>
      </pivotArea>
    </chartFormat>
    <chartFormat chart="12" format="54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31"/>
          </reference>
        </references>
      </pivotArea>
    </chartFormat>
    <chartFormat chart="12" format="55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24"/>
          </reference>
        </references>
      </pivotArea>
    </chartFormat>
    <chartFormat chart="12" format="56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30"/>
          </reference>
        </references>
      </pivotArea>
    </chartFormat>
    <chartFormat chart="12" format="57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</references>
      </pivotArea>
    </chartFormat>
    <chartFormat chart="12" format="58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39"/>
          </reference>
        </references>
      </pivotArea>
    </chartFormat>
    <chartFormat chart="12" format="59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16"/>
          </reference>
        </references>
      </pivotArea>
    </chartFormat>
    <chartFormat chart="12" format="60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4" count="1" selected="0">
            <x v="28"/>
          </reference>
        </references>
      </pivotArea>
    </chartFormat>
    <chartFormat chart="12" format="6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2" format="62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4" count="1" selected="0">
            <x v="63"/>
          </reference>
        </references>
      </pivotArea>
    </chartFormat>
    <chartFormat chart="12" format="63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4" count="1" selected="0">
            <x v="44"/>
          </reference>
        </references>
      </pivotArea>
    </chartFormat>
    <chartFormat chart="12" format="64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4" count="1" selected="0">
            <x v="35"/>
          </reference>
        </references>
      </pivotArea>
    </chartFormat>
    <chartFormat chart="12" format="65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4" count="1" selected="0">
            <x v="53"/>
          </reference>
        </references>
      </pivotArea>
    </chartFormat>
    <chartFormat chart="12" format="66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4" count="1" selected="0">
            <x v="62"/>
          </reference>
        </references>
      </pivotArea>
    </chartFormat>
    <chartFormat chart="12" format="67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7"/>
          </reference>
        </references>
      </pivotArea>
    </chartFormat>
    <chartFormat chart="12" format="6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34"/>
          </reference>
        </references>
      </pivotArea>
    </chartFormat>
    <chartFormat chart="12" format="69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41"/>
          </reference>
        </references>
      </pivotArea>
    </chartFormat>
    <chartFormat chart="12" format="7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60"/>
          </reference>
        </references>
      </pivotArea>
    </chartFormat>
    <chartFormat chart="12" format="7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62"/>
          </reference>
        </references>
      </pivotArea>
    </chartFormat>
    <chartFormat chart="12" format="72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6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3" name="Dátum">
      <autoFilter ref="A1">
        <filterColumn colId="0">
          <customFilters and="1">
            <customFilter operator="greaterThanOrEqual" val="45292"/>
            <customFilter operator="lessThanOrEqual" val="45657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C172"/>
  <sheetViews>
    <sheetView workbookViewId="0">
      <selection activeCell="A8" sqref="A8"/>
    </sheetView>
  </sheetViews>
  <sheetFormatPr defaultRowHeight="15" x14ac:dyDescent="0.25"/>
  <cols>
    <col min="1" max="1" width="28.7109375" style="64" bestFit="1" customWidth="1"/>
    <col min="2" max="2" width="89.28515625" style="64" bestFit="1" customWidth="1"/>
    <col min="3" max="3" width="51.28515625" style="64" customWidth="1"/>
  </cols>
  <sheetData>
    <row r="1" spans="1:3" x14ac:dyDescent="0.25">
      <c r="A1" s="36">
        <f>IF('[1]12011069-01600373-00100007'!A3&lt;&gt;"",DATEVALUE(LEFT('[1]12011069-01600373-00100007'!C3,FIND(",",'[1]12011069-01600373-00100007'!C3)-1)),"")</f>
        <v>45441</v>
      </c>
      <c r="B1" t="str">
        <f>IF(A1&lt;&gt;"",'[1]12011069-01600373-00100007'!A3,"")</f>
        <v>MOL 33050 sz. toltoall Balatonlelle</v>
      </c>
      <c r="C1">
        <f>IF(A1&lt;&gt;"",LEFT('[1]12011069-01600373-00100007'!F3,FIND(",",'[1]12011069-01600373-00100007'!F3))-0,"")</f>
        <v>-1099</v>
      </c>
    </row>
    <row r="2" spans="1:3" x14ac:dyDescent="0.25">
      <c r="A2" s="36">
        <f>IF('[1]12011069-01600373-00100007'!A4&lt;&gt;"",DATEVALUE(LEFT('[1]12011069-01600373-00100007'!C4,FIND(",",'[1]12011069-01600373-00100007'!C4)-1)),"")</f>
        <v>45439</v>
      </c>
      <c r="B2" t="str">
        <f>IF(A2&lt;&gt;"",'[1]12011069-01600373-00100007'!A4,"")</f>
        <v>TelekomSzaml 713349825 Budapest</v>
      </c>
      <c r="C2">
        <f>IF(A2&lt;&gt;"",LEFT('[1]12011069-01600373-00100007'!F4,FIND(",",'[1]12011069-01600373-00100007'!F4))-0,"")</f>
        <v>-8520</v>
      </c>
    </row>
    <row r="3" spans="1:3" x14ac:dyDescent="0.25">
      <c r="A3" s="36">
        <f>IF('[1]12011069-01600373-00100007'!A5&lt;&gt;"",DATEVALUE(LEFT('[1]12011069-01600373-00100007'!C5,FIND(",",'[1]12011069-01600373-00100007'!C5)-1)),"")</f>
        <v>45439</v>
      </c>
      <c r="B3" t="str">
        <f>IF(A3&lt;&gt;"",'[1]12011069-01600373-00100007'!A5,"")</f>
        <v>SKYSHOWTIME 665C6 HU   Amsterdam</v>
      </c>
      <c r="C3">
        <f>IF(A3&lt;&gt;"",LEFT('[1]12011069-01600373-00100007'!F5,FIND(",",'[1]12011069-01600373-00100007'!F5))-0,"")</f>
        <v>-400</v>
      </c>
    </row>
    <row r="4" spans="1:3" x14ac:dyDescent="0.25">
      <c r="A4" s="36">
        <f>IF('[1]12011069-01600373-00100007'!A6&lt;&gt;"",DATEVALUE(LEFT('[1]12011069-01600373-00100007'!C6,FIND(",",'[1]12011069-01600373-00100007'!C6)-1)),"")</f>
        <v>45439</v>
      </c>
      <c r="B4" t="str">
        <f>IF(A4&lt;&gt;"",'[1]12011069-01600373-00100007'!A6,"")</f>
        <v>SKYSHOWTIME 5603A Stan Amsterdam</v>
      </c>
      <c r="C4">
        <f>IF(A4&lt;&gt;"",LEFT('[1]12011069-01600373-00100007'!F6,FIND(",",'[1]12011069-01600373-00100007'!F6))-0,"")</f>
        <v>-999</v>
      </c>
    </row>
    <row r="5" spans="1:3" x14ac:dyDescent="0.25">
      <c r="A5" s="36">
        <f>IF('[1]12011069-01600373-00100007'!A7&lt;&gt;"",DATEVALUE(LEFT('[1]12011069-01600373-00100007'!C7,FIND(",",'[1]12011069-01600373-00100007'!C7)-1)),"")</f>
        <v>45439</v>
      </c>
      <c r="B5" t="str">
        <f>IF(A5&lt;&gt;"",'[1]12011069-01600373-00100007'!A7,"")</f>
        <v>KARSAINÉ GASSER MÁRIA</v>
      </c>
      <c r="C5">
        <f>IF(A5&lt;&gt;"",LEFT('[1]12011069-01600373-00100007'!F7,FIND(",",'[1]12011069-01600373-00100007'!F7))-0,"")</f>
        <v>12200</v>
      </c>
    </row>
    <row r="6" spans="1:3" x14ac:dyDescent="0.25">
      <c r="A6" s="36">
        <f>IF('[1]12011069-01600373-00100007'!A8&lt;&gt;"",DATEVALUE(LEFT('[1]12011069-01600373-00100007'!C8,FIND(",",'[1]12011069-01600373-00100007'!C8)-1)),"")</f>
        <v>45433</v>
      </c>
      <c r="B6" t="str">
        <f>IF(A6&lt;&gt;"",'[1]12011069-01600373-00100007'!A8,"")</f>
        <v>Disney Plus            Hoofddorp</v>
      </c>
      <c r="C6">
        <f>IF(A6&lt;&gt;"",LEFT('[1]12011069-01600373-00100007'!F8,FIND(",",'[1]12011069-01600373-00100007'!F8))-0,"")</f>
        <v>-3090</v>
      </c>
    </row>
    <row r="7" spans="1:3" x14ac:dyDescent="0.25">
      <c r="A7" s="36">
        <f>IF('[1]12011069-01600373-00100007'!A9&lt;&gt;"",DATEVALUE(LEFT('[1]12011069-01600373-00100007'!C9,FIND(",",'[1]12011069-01600373-00100007'!C9)-1)),"")</f>
        <v>45433</v>
      </c>
      <c r="B7" t="str">
        <f>IF(A7&lt;&gt;"",'[1]12011069-01600373-00100007'!A9,"")</f>
        <v>SIMPLE PARKOL S        BUDAPEST</v>
      </c>
      <c r="C7">
        <f>IF(A7&lt;&gt;"",LEFT('[1]12011069-01600373-00100007'!F9,FIND(",",'[1]12011069-01600373-00100007'!F9))-0,"")</f>
        <v>-299</v>
      </c>
    </row>
    <row r="8" spans="1:3" x14ac:dyDescent="0.25">
      <c r="A8" s="36">
        <f>IF('[1]12011069-01600373-00100007'!A10&lt;&gt;"",DATEVALUE(LEFT('[1]12011069-01600373-00100007'!C10,FIND(",",'[1]12011069-01600373-00100007'!C10)-1)),"")</f>
        <v>45433</v>
      </c>
      <c r="B8" t="str">
        <f>IF(A8&lt;&gt;"",'[1]12011069-01600373-00100007'!A10,"")</f>
        <v>Sajat Unicredit</v>
      </c>
      <c r="C8">
        <f>IF(A8&lt;&gt;"",LEFT('[1]12011069-01600373-00100007'!F10,FIND(",",'[1]12011069-01600373-00100007'!F10))-0,"")</f>
        <v>-400000</v>
      </c>
    </row>
    <row r="9" spans="1:3" x14ac:dyDescent="0.25">
      <c r="A9" s="36">
        <f>IF('[1]12011069-01600373-00100007'!A11&lt;&gt;"",DATEVALUE(LEFT('[1]12011069-01600373-00100007'!C11,FIND(",",'[1]12011069-01600373-00100007'!C11)-1)),"")</f>
        <v>45425</v>
      </c>
      <c r="B9" t="str">
        <f>IF(A9&lt;&gt;"",'[1]12011069-01600373-00100007'!A11,"")</f>
        <v>127.COOP SZUPER 1.     MARTONVASAR</v>
      </c>
      <c r="C9">
        <f>IF(A9&lt;&gt;"",LEFT('[1]12011069-01600373-00100007'!F11,FIND(",",'[1]12011069-01600373-00100007'!F11))-0,"")</f>
        <v>-199</v>
      </c>
    </row>
    <row r="10" spans="1:3" x14ac:dyDescent="0.25">
      <c r="A10" s="36">
        <f>IF('[1]12011069-01600373-00100007'!A12&lt;&gt;"",DATEVALUE(LEFT('[1]12011069-01600373-00100007'!C12,FIND(",",'[1]12011069-01600373-00100007'!C12)-1)),"")</f>
        <v>45422</v>
      </c>
      <c r="B10" t="str">
        <f>IF(A10&lt;&gt;"",'[1]12011069-01600373-00100007'!A12,"")</f>
        <v>JAGUAR LAND ROVER HUNGARY KFT.</v>
      </c>
      <c r="C10">
        <f>IF(A10&lt;&gt;"",LEFT('[1]12011069-01600373-00100007'!F12,FIND(",",'[1]12011069-01600373-00100007'!F12))-0,"")</f>
        <v>1065713</v>
      </c>
    </row>
    <row r="11" spans="1:3" x14ac:dyDescent="0.25">
      <c r="A11" s="36">
        <f>IF('[1]12011069-01600373-00100007'!A13&lt;&gt;"",DATEVALUE(LEFT('[1]12011069-01600373-00100007'!C13,FIND(",",'[1]12011069-01600373-00100007'!C13)-1)),"")</f>
        <v>45420</v>
      </c>
      <c r="B11" t="str">
        <f>IF(A11&lt;&gt;"",'[1]12011069-01600373-00100007'!A13,"")</f>
        <v>MVM NEXT ENERGIAK      BUDAPEST</v>
      </c>
      <c r="C11">
        <f>IF(A11&lt;&gt;"",LEFT('[1]12011069-01600373-00100007'!F13,FIND(",",'[1]12011069-01600373-00100007'!F13))-0,"")</f>
        <v>-8517</v>
      </c>
    </row>
    <row r="12" spans="1:3" x14ac:dyDescent="0.25">
      <c r="A12" s="36">
        <f>IF('[1]12011069-01600373-00100007'!A14&lt;&gt;"",DATEVALUE(LEFT('[1]12011069-01600373-00100007'!C14,FIND(",",'[1]12011069-01600373-00100007'!C14)-1)),"")</f>
        <v>45419</v>
      </c>
      <c r="B12" t="str">
        <f>IF(A12&lt;&gt;"",'[1]12011069-01600373-00100007'!A14,"")</f>
        <v>OTPMOBL DIJNET.HU      BUDAPEST</v>
      </c>
      <c r="C12">
        <f>IF(A12&lt;&gt;"",LEFT('[1]12011069-01600373-00100007'!F14,FIND(",",'[1]12011069-01600373-00100007'!F14))-0,"")</f>
        <v>-11511</v>
      </c>
    </row>
    <row r="13" spans="1:3" x14ac:dyDescent="0.25">
      <c r="A13" s="36">
        <f>IF('[1]12011069-01600373-00100007'!A15&lt;&gt;"",DATEVALUE(LEFT('[1]12011069-01600373-00100007'!C15,FIND(",",'[1]12011069-01600373-00100007'!C15)-1)),"")</f>
        <v>45418</v>
      </c>
      <c r="B13" t="str">
        <f>IF(A13&lt;&gt;"",'[1]12011069-01600373-00100007'!A15,"")</f>
        <v>Sajat Unicredit</v>
      </c>
      <c r="C13">
        <f>IF(A13&lt;&gt;"",LEFT('[1]12011069-01600373-00100007'!F15,FIND(",",'[1]12011069-01600373-00100007'!F15))-0,"")</f>
        <v>-400000</v>
      </c>
    </row>
    <row r="14" spans="1:3" x14ac:dyDescent="0.25">
      <c r="A14" s="36">
        <f>IF('[1]12011069-01600373-00100007'!A16&lt;&gt;"",DATEVALUE(LEFT('[1]12011069-01600373-00100007'!C16,FIND(",",'[1]12011069-01600373-00100007'!C16)-1)),"")</f>
        <v>45414</v>
      </c>
      <c r="B14" t="str">
        <f>IF(A14&lt;&gt;"",'[1]12011069-01600373-00100007'!A16,"")</f>
        <v>APPLE.COM/BILL         CORK</v>
      </c>
      <c r="C14">
        <f>IF(A14&lt;&gt;"",LEFT('[1]12011069-01600373-00100007'!F16,FIND(",",'[1]12011069-01600373-00100007'!F16))-0,"")</f>
        <v>-1290</v>
      </c>
    </row>
    <row r="15" spans="1:3" x14ac:dyDescent="0.25">
      <c r="A15" s="36" t="str">
        <f>IF('[1]12011069-01600373-00100007'!A17&lt;&gt;"",DATEVALUE(LEFT('[1]12011069-01600373-00100007'!C17,FIND(",",'[1]12011069-01600373-00100007'!C17)-1)),"")</f>
        <v/>
      </c>
      <c r="B15" t="str">
        <f>IF(A15&lt;&gt;"",'[1]12011069-01600373-00100007'!A17,"")</f>
        <v/>
      </c>
      <c r="C15" t="str">
        <f>IF(A15&lt;&gt;"",LEFT('[1]12011069-01600373-00100007'!F17,FIND(",",'[1]12011069-01600373-00100007'!F17))-0,"")</f>
        <v/>
      </c>
    </row>
    <row r="16" spans="1:3" x14ac:dyDescent="0.25">
      <c r="A16" s="36" t="str">
        <f>IF('[1]12011069-01600373-00100007'!A18&lt;&gt;"",DATEVALUE(LEFT('[1]12011069-01600373-00100007'!C18,FIND(",",'[1]12011069-01600373-00100007'!C18)-1)),"")</f>
        <v/>
      </c>
      <c r="B16" t="str">
        <f>IF(A16&lt;&gt;"",'[1]12011069-01600373-00100007'!A18,"")</f>
        <v/>
      </c>
      <c r="C16" t="str">
        <f>IF(A16&lt;&gt;"",LEFT('[1]12011069-01600373-00100007'!F18,FIND(",",'[1]12011069-01600373-00100007'!F18))-0,"")</f>
        <v/>
      </c>
    </row>
    <row r="17" spans="1:3" x14ac:dyDescent="0.25">
      <c r="A17" s="36" t="str">
        <f>IF('[1]12011069-01600373-00100007'!A19&lt;&gt;"",DATEVALUE(LEFT('[1]12011069-01600373-00100007'!C19,FIND(",",'[1]12011069-01600373-00100007'!C19)-1)),"")</f>
        <v/>
      </c>
      <c r="B17" t="str">
        <f>IF(A17&lt;&gt;"",'[1]12011069-01600373-00100007'!A19,"")</f>
        <v/>
      </c>
      <c r="C17" t="str">
        <f>IF(A17&lt;&gt;"",LEFT('[1]12011069-01600373-00100007'!F19,FIND(",",'[1]12011069-01600373-00100007'!F19))-0,"")</f>
        <v/>
      </c>
    </row>
    <row r="18" spans="1:3" x14ac:dyDescent="0.25">
      <c r="A18" s="36" t="str">
        <f>IF('[1]12011069-01600373-00100007'!A20&lt;&gt;"",DATEVALUE(LEFT('[1]12011069-01600373-00100007'!C20,FIND(",",'[1]12011069-01600373-00100007'!C20)-1)),"")</f>
        <v/>
      </c>
      <c r="B18" t="str">
        <f>IF(A18&lt;&gt;"",'[1]12011069-01600373-00100007'!A20,"")</f>
        <v/>
      </c>
      <c r="C18" t="str">
        <f>IF(A18&lt;&gt;"",LEFT('[1]12011069-01600373-00100007'!F20,FIND(",",'[1]12011069-01600373-00100007'!F20))-0,"")</f>
        <v/>
      </c>
    </row>
    <row r="19" spans="1:3" x14ac:dyDescent="0.25">
      <c r="A19" s="36" t="str">
        <f>IF('[1]12011069-01600373-00100007'!A21&lt;&gt;"",DATEVALUE(LEFT('[1]12011069-01600373-00100007'!C21,FIND(",",'[1]12011069-01600373-00100007'!C21)-1)),"")</f>
        <v/>
      </c>
      <c r="B19" t="str">
        <f>IF(A19&lt;&gt;"",'[1]12011069-01600373-00100007'!A21,"")</f>
        <v/>
      </c>
      <c r="C19" t="str">
        <f>IF(A19&lt;&gt;"",LEFT('[1]12011069-01600373-00100007'!F21,FIND(",",'[1]12011069-01600373-00100007'!F21))-0,"")</f>
        <v/>
      </c>
    </row>
    <row r="20" spans="1:3" x14ac:dyDescent="0.25">
      <c r="A20" s="36" t="str">
        <f>IF('[1]12011069-01600373-00100007'!A22&lt;&gt;"",DATEVALUE(LEFT('[1]12011069-01600373-00100007'!C22,FIND(",",'[1]12011069-01600373-00100007'!C22)-1)),"")</f>
        <v/>
      </c>
      <c r="B20" t="str">
        <f>IF(A20&lt;&gt;"",'[1]12011069-01600373-00100007'!A22,"")</f>
        <v/>
      </c>
      <c r="C20" t="str">
        <f>IF(A20&lt;&gt;"",LEFT('[1]12011069-01600373-00100007'!F22,FIND(",",'[1]12011069-01600373-00100007'!F22))-0,"")</f>
        <v/>
      </c>
    </row>
    <row r="21" spans="1:3" x14ac:dyDescent="0.25">
      <c r="A21" s="36" t="str">
        <f>IF('[1]12011069-01600373-00100007'!A23&lt;&gt;"",DATEVALUE(LEFT('[1]12011069-01600373-00100007'!C23,FIND(",",'[1]12011069-01600373-00100007'!C23)-1)),"")</f>
        <v/>
      </c>
      <c r="B21" t="str">
        <f>IF(A21&lt;&gt;"",'[1]12011069-01600373-00100007'!A23,"")</f>
        <v/>
      </c>
      <c r="C21" t="str">
        <f>IF(A21&lt;&gt;"",LEFT('[1]12011069-01600373-00100007'!F23,FIND(",",'[1]12011069-01600373-00100007'!F23))-0,"")</f>
        <v/>
      </c>
    </row>
    <row r="22" spans="1:3" x14ac:dyDescent="0.25">
      <c r="A22" s="36" t="str">
        <f>IF('[1]12011069-01600373-00100007'!A24&lt;&gt;"",DATEVALUE(LEFT('[1]12011069-01600373-00100007'!C24,FIND(",",'[1]12011069-01600373-00100007'!C24)-1)),"")</f>
        <v/>
      </c>
      <c r="B22" t="str">
        <f>IF(A22&lt;&gt;"",'[1]12011069-01600373-00100007'!A24,"")</f>
        <v/>
      </c>
      <c r="C22" t="str">
        <f>IF(A22&lt;&gt;"",LEFT('[1]12011069-01600373-00100007'!F24,FIND(",",'[1]12011069-01600373-00100007'!F24))-0,"")</f>
        <v/>
      </c>
    </row>
    <row r="23" spans="1:3" x14ac:dyDescent="0.25">
      <c r="A23" s="36" t="str">
        <f>IF('[1]12011069-01600373-00100007'!A25&lt;&gt;"",DATEVALUE(LEFT('[1]12011069-01600373-00100007'!C25,FIND(",",'[1]12011069-01600373-00100007'!C25)-1)),"")</f>
        <v/>
      </c>
      <c r="B23" t="str">
        <f>IF(A23&lt;&gt;"",'[1]12011069-01600373-00100007'!A25,"")</f>
        <v/>
      </c>
      <c r="C23" t="str">
        <f>IF(A23&lt;&gt;"",LEFT('[1]12011069-01600373-00100007'!F25,FIND(",",'[1]12011069-01600373-00100007'!F25))-0,"")</f>
        <v/>
      </c>
    </row>
    <row r="24" spans="1:3" x14ac:dyDescent="0.25">
      <c r="A24" s="36" t="str">
        <f>IF('[1]12011069-01600373-00100007'!A26&lt;&gt;"",DATEVALUE(LEFT('[1]12011069-01600373-00100007'!C26,FIND(",",'[1]12011069-01600373-00100007'!C26)-1)),"")</f>
        <v/>
      </c>
      <c r="B24" t="str">
        <f>IF(A24&lt;&gt;"",'[1]12011069-01600373-00100007'!A26,"")</f>
        <v/>
      </c>
      <c r="C24" t="str">
        <f>IF(A24&lt;&gt;"",LEFT('[1]12011069-01600373-00100007'!F26,FIND(",",'[1]12011069-01600373-00100007'!F26))-0,"")</f>
        <v/>
      </c>
    </row>
    <row r="25" spans="1:3" x14ac:dyDescent="0.25">
      <c r="A25" s="36" t="str">
        <f>IF('[1]12011069-01600373-00100007'!A27&lt;&gt;"",DATEVALUE(LEFT('[1]12011069-01600373-00100007'!C27,FIND(",",'[1]12011069-01600373-00100007'!C27)-1)),"")</f>
        <v/>
      </c>
      <c r="B25" t="str">
        <f>IF(A25&lt;&gt;"",'[1]12011069-01600373-00100007'!A27,"")</f>
        <v/>
      </c>
      <c r="C25" t="str">
        <f>IF(A25&lt;&gt;"",LEFT('[1]12011069-01600373-00100007'!F27,FIND(",",'[1]12011069-01600373-00100007'!F27))-0,"")</f>
        <v/>
      </c>
    </row>
    <row r="26" spans="1:3" x14ac:dyDescent="0.25">
      <c r="A26" s="36" t="str">
        <f>IF('[1]12011069-01600373-00100007'!A28&lt;&gt;"",DATEVALUE(LEFT('[1]12011069-01600373-00100007'!C28,FIND(",",'[1]12011069-01600373-00100007'!C28)-1)),"")</f>
        <v/>
      </c>
      <c r="B26" t="str">
        <f>IF(A26&lt;&gt;"",'[1]12011069-01600373-00100007'!A28,"")</f>
        <v/>
      </c>
      <c r="C26" t="str">
        <f>IF(A26&lt;&gt;"",LEFT('[1]12011069-01600373-00100007'!F28,FIND(",",'[1]12011069-01600373-00100007'!F28))-0,"")</f>
        <v/>
      </c>
    </row>
    <row r="27" spans="1:3" x14ac:dyDescent="0.25">
      <c r="A27" s="36" t="str">
        <f>IF('[1]12011069-01600373-00100007'!A29&lt;&gt;"",DATEVALUE(LEFT('[1]12011069-01600373-00100007'!C29,FIND(",",'[1]12011069-01600373-00100007'!C29)-1)),"")</f>
        <v/>
      </c>
      <c r="B27" t="str">
        <f>IF(A27&lt;&gt;"",'[1]12011069-01600373-00100007'!A29,"")</f>
        <v/>
      </c>
      <c r="C27" t="str">
        <f>IF(A27&lt;&gt;"",LEFT('[1]12011069-01600373-00100007'!F29,FIND(",",'[1]12011069-01600373-00100007'!F29))-0,"")</f>
        <v/>
      </c>
    </row>
    <row r="28" spans="1:3" x14ac:dyDescent="0.25">
      <c r="A28" s="36" t="str">
        <f>IF('[1]12011069-01600373-00100007'!A30&lt;&gt;"",DATEVALUE(LEFT('[1]12011069-01600373-00100007'!C30,FIND(",",'[1]12011069-01600373-00100007'!C30)-1)),"")</f>
        <v/>
      </c>
      <c r="B28" t="str">
        <f>IF(A28&lt;&gt;"",'[1]12011069-01600373-00100007'!A30,"")</f>
        <v/>
      </c>
      <c r="C28" t="str">
        <f>IF(A28&lt;&gt;"",LEFT('[1]12011069-01600373-00100007'!F30,FIND(",",'[1]12011069-01600373-00100007'!F30))-0,"")</f>
        <v/>
      </c>
    </row>
    <row r="29" spans="1:3" x14ac:dyDescent="0.25">
      <c r="A29" s="36" t="str">
        <f>IF('[1]12011069-01600373-00100007'!A31&lt;&gt;"",DATEVALUE(LEFT('[1]12011069-01600373-00100007'!C31,FIND(",",'[1]12011069-01600373-00100007'!C31)-1)),"")</f>
        <v/>
      </c>
      <c r="B29" t="str">
        <f>IF(A29&lt;&gt;"",'[1]12011069-01600373-00100007'!A31,"")</f>
        <v/>
      </c>
      <c r="C29" t="str">
        <f>IF(A29&lt;&gt;"",LEFT('[1]12011069-01600373-00100007'!F31,FIND(",",'[1]12011069-01600373-00100007'!F31))-0,"")</f>
        <v/>
      </c>
    </row>
    <row r="30" spans="1:3" x14ac:dyDescent="0.25">
      <c r="A30" s="36" t="str">
        <f>IF('[1]12011069-01600373-00100007'!A32&lt;&gt;"",DATEVALUE(LEFT('[1]12011069-01600373-00100007'!C32,FIND(",",'[1]12011069-01600373-00100007'!C32)-1)),"")</f>
        <v/>
      </c>
      <c r="B30" t="str">
        <f>IF(A30&lt;&gt;"",'[1]12011069-01600373-00100007'!A32,"")</f>
        <v/>
      </c>
      <c r="C30" t="str">
        <f>IF(A30&lt;&gt;"",LEFT('[1]12011069-01600373-00100007'!F32,FIND(",",'[1]12011069-01600373-00100007'!F32))-0,"")</f>
        <v/>
      </c>
    </row>
    <row r="31" spans="1:3" x14ac:dyDescent="0.25">
      <c r="A31" s="36" t="str">
        <f>IF('[1]12011069-01600373-00100007'!A33&lt;&gt;"",DATEVALUE(LEFT('[1]12011069-01600373-00100007'!C33,FIND(",",'[1]12011069-01600373-00100007'!C33)-1)),"")</f>
        <v/>
      </c>
      <c r="B31" t="str">
        <f>IF(A31&lt;&gt;"",'[1]12011069-01600373-00100007'!A33,"")</f>
        <v/>
      </c>
      <c r="C31" t="str">
        <f>IF(A31&lt;&gt;"",LEFT('[1]12011069-01600373-00100007'!F33,FIND(",",'[1]12011069-01600373-00100007'!F33))-0,"")</f>
        <v/>
      </c>
    </row>
    <row r="32" spans="1:3" x14ac:dyDescent="0.25">
      <c r="A32" s="36" t="str">
        <f>IF('[1]12011069-01600373-00100007'!A34&lt;&gt;"",DATEVALUE(LEFT('[1]12011069-01600373-00100007'!C34,FIND(",",'[1]12011069-01600373-00100007'!C34)-1)),"")</f>
        <v/>
      </c>
      <c r="B32" t="str">
        <f>IF(A32&lt;&gt;"",'[1]12011069-01600373-00100007'!A34,"")</f>
        <v/>
      </c>
      <c r="C32" t="str">
        <f>IF(A32&lt;&gt;"",LEFT('[1]12011069-01600373-00100007'!F34,FIND(",",'[1]12011069-01600373-00100007'!F34))-0,"")</f>
        <v/>
      </c>
    </row>
    <row r="33" spans="1:3" x14ac:dyDescent="0.25">
      <c r="A33" s="36" t="str">
        <f>IF('[1]12011069-01600373-00100007'!A35&lt;&gt;"",DATEVALUE(LEFT('[1]12011069-01600373-00100007'!C35,FIND(",",'[1]12011069-01600373-00100007'!C35)-1)),"")</f>
        <v/>
      </c>
      <c r="B33" t="str">
        <f>IF(A33&lt;&gt;"",'[1]12011069-01600373-00100007'!A35,"")</f>
        <v/>
      </c>
      <c r="C33" t="str">
        <f>IF(A33&lt;&gt;"",LEFT('[1]12011069-01600373-00100007'!F35,FIND(",",'[1]12011069-01600373-00100007'!F35))-0,"")</f>
        <v/>
      </c>
    </row>
    <row r="34" spans="1:3" x14ac:dyDescent="0.25">
      <c r="A34" s="36" t="str">
        <f>IF('[1]12011069-01600373-00100007'!A36&lt;&gt;"",DATEVALUE(LEFT('[1]12011069-01600373-00100007'!C36,FIND(",",'[1]12011069-01600373-00100007'!C36)-1)),"")</f>
        <v/>
      </c>
      <c r="B34" t="str">
        <f>IF(A34&lt;&gt;"",'[1]12011069-01600373-00100007'!A36,"")</f>
        <v/>
      </c>
      <c r="C34" t="str">
        <f>IF(A34&lt;&gt;"",LEFT('[1]12011069-01600373-00100007'!F36,FIND(",",'[1]12011069-01600373-00100007'!F36))-0,"")</f>
        <v/>
      </c>
    </row>
    <row r="35" spans="1:3" x14ac:dyDescent="0.25">
      <c r="A35" s="36" t="str">
        <f>IF('[1]12011069-01600373-00100007'!A37&lt;&gt;"",DATEVALUE(LEFT('[1]12011069-01600373-00100007'!C37,FIND(",",'[1]12011069-01600373-00100007'!C37)-1)),"")</f>
        <v/>
      </c>
      <c r="B35" t="str">
        <f>IF(A35&lt;&gt;"",'[1]12011069-01600373-00100007'!A37,"")</f>
        <v/>
      </c>
      <c r="C35" t="str">
        <f>IF(A35&lt;&gt;"",LEFT('[1]12011069-01600373-00100007'!F37,FIND(",",'[1]12011069-01600373-00100007'!F37))-0,"")</f>
        <v/>
      </c>
    </row>
    <row r="36" spans="1:3" x14ac:dyDescent="0.25">
      <c r="A36" s="36" t="str">
        <f>IF('[1]12011069-01600373-00100007'!A38&lt;&gt;"",DATEVALUE(LEFT('[1]12011069-01600373-00100007'!C38,FIND(",",'[1]12011069-01600373-00100007'!C38)-1)),"")</f>
        <v/>
      </c>
      <c r="B36" t="str">
        <f>IF(A36&lt;&gt;"",'[1]12011069-01600373-00100007'!A38,"")</f>
        <v/>
      </c>
      <c r="C36" t="str">
        <f>IF(A36&lt;&gt;"",LEFT('[1]12011069-01600373-00100007'!F38,FIND(",",'[1]12011069-01600373-00100007'!F38))-0,"")</f>
        <v/>
      </c>
    </row>
    <row r="37" spans="1:3" x14ac:dyDescent="0.25">
      <c r="A37" s="36" t="str">
        <f>IF('[1]12011069-01600373-00100007'!A39&lt;&gt;"",DATEVALUE(LEFT('[1]12011069-01600373-00100007'!C39,FIND(",",'[1]12011069-01600373-00100007'!C39)-1)),"")</f>
        <v/>
      </c>
      <c r="B37" t="str">
        <f>IF(A37&lt;&gt;"",'[1]12011069-01600373-00100007'!A39,"")</f>
        <v/>
      </c>
      <c r="C37" t="str">
        <f>IF(A37&lt;&gt;"",LEFT('[1]12011069-01600373-00100007'!F39,FIND(",",'[1]12011069-01600373-00100007'!F39))-0,"")</f>
        <v/>
      </c>
    </row>
    <row r="38" spans="1:3" x14ac:dyDescent="0.25">
      <c r="A38" s="36" t="str">
        <f>IF('[1]12011069-01600373-00100007'!A40&lt;&gt;"",DATEVALUE(LEFT('[1]12011069-01600373-00100007'!C40,FIND(",",'[1]12011069-01600373-00100007'!C40)-1)),"")</f>
        <v/>
      </c>
      <c r="B38" t="str">
        <f>IF(A38&lt;&gt;"",'[1]12011069-01600373-00100007'!A40,"")</f>
        <v/>
      </c>
      <c r="C38" t="str">
        <f>IF(A38&lt;&gt;"",LEFT('[1]12011069-01600373-00100007'!F40,FIND(",",'[1]12011069-01600373-00100007'!F40))-0,"")</f>
        <v/>
      </c>
    </row>
    <row r="39" spans="1:3" x14ac:dyDescent="0.25">
      <c r="A39" s="36" t="str">
        <f>IF('[1]12011069-01600373-00100007'!A41&lt;&gt;"",DATEVALUE(LEFT('[1]12011069-01600373-00100007'!C41,FIND(",",'[1]12011069-01600373-00100007'!C41)-1)),"")</f>
        <v/>
      </c>
      <c r="B39" t="str">
        <f>IF(A39&lt;&gt;"",'[1]12011069-01600373-00100007'!A41,"")</f>
        <v/>
      </c>
      <c r="C39" t="str">
        <f>IF(A39&lt;&gt;"",LEFT('[1]12011069-01600373-00100007'!F41,FIND(",",'[1]12011069-01600373-00100007'!F41))-0,"")</f>
        <v/>
      </c>
    </row>
    <row r="40" spans="1:3" x14ac:dyDescent="0.25">
      <c r="A40" s="36" t="str">
        <f>IF('[1]12011069-01600373-00100007'!A42&lt;&gt;"",DATEVALUE(LEFT('[1]12011069-01600373-00100007'!C42,FIND(",",'[1]12011069-01600373-00100007'!C42)-1)),"")</f>
        <v/>
      </c>
      <c r="B40" t="str">
        <f>IF(A40&lt;&gt;"",'[1]12011069-01600373-00100007'!A42,"")</f>
        <v/>
      </c>
      <c r="C40" t="str">
        <f>IF(A40&lt;&gt;"",LEFT('[1]12011069-01600373-00100007'!F42,FIND(",",'[1]12011069-01600373-00100007'!F42))-0,"")</f>
        <v/>
      </c>
    </row>
    <row r="41" spans="1:3" x14ac:dyDescent="0.25">
      <c r="A41" s="36" t="str">
        <f>IF('[1]12011069-01600373-00100007'!A43&lt;&gt;"",DATEVALUE(LEFT('[1]12011069-01600373-00100007'!C43,FIND(",",'[1]12011069-01600373-00100007'!C43)-1)),"")</f>
        <v/>
      </c>
      <c r="B41" t="str">
        <f>IF(A41&lt;&gt;"",'[1]12011069-01600373-00100007'!A43,"")</f>
        <v/>
      </c>
      <c r="C41" t="str">
        <f>IF(A41&lt;&gt;"",LEFT('[1]12011069-01600373-00100007'!F43,FIND(",",'[1]12011069-01600373-00100007'!F43))-0,"")</f>
        <v/>
      </c>
    </row>
    <row r="42" spans="1:3" x14ac:dyDescent="0.25">
      <c r="A42" s="36" t="str">
        <f>IF('[1]12011069-01600373-00100007'!A44&lt;&gt;"",DATEVALUE(LEFT('[1]12011069-01600373-00100007'!C44,FIND(",",'[1]12011069-01600373-00100007'!C44)-1)),"")</f>
        <v/>
      </c>
      <c r="B42" t="str">
        <f>IF(A42&lt;&gt;"",'[1]12011069-01600373-00100007'!A44,"")</f>
        <v/>
      </c>
      <c r="C42" t="str">
        <f>IF(A42&lt;&gt;"",LEFT('[1]12011069-01600373-00100007'!F44,FIND(",",'[1]12011069-01600373-00100007'!F44))-0,"")</f>
        <v/>
      </c>
    </row>
    <row r="43" spans="1:3" x14ac:dyDescent="0.25">
      <c r="A43" s="36" t="str">
        <f>IF('[1]12011069-01600373-00100007'!A45&lt;&gt;"",DATEVALUE(LEFT('[1]12011069-01600373-00100007'!C45,FIND(",",'[1]12011069-01600373-00100007'!C45)-1)),"")</f>
        <v/>
      </c>
      <c r="B43" t="str">
        <f>IF(A43&lt;&gt;"",'[1]12011069-01600373-00100007'!A45,"")</f>
        <v/>
      </c>
      <c r="C43" t="str">
        <f>IF(A43&lt;&gt;"",LEFT('[1]12011069-01600373-00100007'!F45,FIND(",",'[1]12011069-01600373-00100007'!F45))-0,"")</f>
        <v/>
      </c>
    </row>
    <row r="44" spans="1:3" x14ac:dyDescent="0.25">
      <c r="A44" s="36" t="str">
        <f>IF('[1]12011069-01600373-00100007'!A46&lt;&gt;"",DATEVALUE(LEFT('[1]12011069-01600373-00100007'!C46,FIND(",",'[1]12011069-01600373-00100007'!C46)-1)),"")</f>
        <v/>
      </c>
      <c r="B44" t="str">
        <f>IF(A44&lt;&gt;"",'[1]12011069-01600373-00100007'!A46,"")</f>
        <v/>
      </c>
      <c r="C44" t="str">
        <f>IF(A44&lt;&gt;"",LEFT('[1]12011069-01600373-00100007'!F46,FIND(",",'[1]12011069-01600373-00100007'!F46))-0,"")</f>
        <v/>
      </c>
    </row>
    <row r="45" spans="1:3" x14ac:dyDescent="0.25">
      <c r="A45" s="36" t="str">
        <f>IF('[1]12011069-01600373-00100007'!A47&lt;&gt;"",DATEVALUE(LEFT('[1]12011069-01600373-00100007'!C47,FIND(",",'[1]12011069-01600373-00100007'!C47)-1)),"")</f>
        <v/>
      </c>
      <c r="B45" t="str">
        <f>IF(A45&lt;&gt;"",'[1]12011069-01600373-00100007'!A47,"")</f>
        <v/>
      </c>
      <c r="C45" t="str">
        <f>IF(A45&lt;&gt;"",LEFT('[1]12011069-01600373-00100007'!F47,FIND(",",'[1]12011069-01600373-00100007'!F47))-0,"")</f>
        <v/>
      </c>
    </row>
    <row r="46" spans="1:3" x14ac:dyDescent="0.25">
      <c r="A46" s="36" t="str">
        <f>IF('[1]12011069-01600373-00100007'!A48&lt;&gt;"",DATEVALUE(LEFT('[1]12011069-01600373-00100007'!C48,FIND(",",'[1]12011069-01600373-00100007'!C48)-1)),"")</f>
        <v/>
      </c>
      <c r="B46" t="str">
        <f>IF(A46&lt;&gt;"",'[1]12011069-01600373-00100007'!A48,"")</f>
        <v/>
      </c>
      <c r="C46" t="str">
        <f>IF(A46&lt;&gt;"",LEFT('[1]12011069-01600373-00100007'!F48,FIND(",",'[1]12011069-01600373-00100007'!F48))-0,"")</f>
        <v/>
      </c>
    </row>
    <row r="47" spans="1:3" x14ac:dyDescent="0.25">
      <c r="A47" s="36" t="str">
        <f>IF('[1]12011069-01600373-00100007'!A49&lt;&gt;"",DATEVALUE(LEFT('[1]12011069-01600373-00100007'!C49,FIND(",",'[1]12011069-01600373-00100007'!C49)-1)),"")</f>
        <v/>
      </c>
      <c r="B47" t="str">
        <f>IF(A47&lt;&gt;"",'[1]12011069-01600373-00100007'!A49,"")</f>
        <v/>
      </c>
      <c r="C47" t="str">
        <f>IF(A47&lt;&gt;"",LEFT('[1]12011069-01600373-00100007'!F49,FIND(",",'[1]12011069-01600373-00100007'!F49))-0,"")</f>
        <v/>
      </c>
    </row>
    <row r="48" spans="1:3" x14ac:dyDescent="0.25">
      <c r="A48" s="36" t="str">
        <f>IF('[1]12011069-01600373-00100007'!A50&lt;&gt;"",DATEVALUE(LEFT('[1]12011069-01600373-00100007'!C50,FIND(",",'[1]12011069-01600373-00100007'!C50)-1)),"")</f>
        <v/>
      </c>
      <c r="B48" t="str">
        <f>IF(A48&lt;&gt;"",'[1]12011069-01600373-00100007'!A50,"")</f>
        <v/>
      </c>
      <c r="C48" t="str">
        <f>IF(A48&lt;&gt;"",LEFT('[1]12011069-01600373-00100007'!F50,FIND(",",'[1]12011069-01600373-00100007'!F50))-0,"")</f>
        <v/>
      </c>
    </row>
    <row r="49" spans="1:3" x14ac:dyDescent="0.25">
      <c r="A49" s="36" t="str">
        <f>IF('[1]12011069-01600373-00100007'!A51&lt;&gt;"",DATEVALUE(LEFT('[1]12011069-01600373-00100007'!C51,FIND(",",'[1]12011069-01600373-00100007'!C51)-1)),"")</f>
        <v/>
      </c>
      <c r="B49" t="str">
        <f>IF(A49&lt;&gt;"",'[1]12011069-01600373-00100007'!A51,"")</f>
        <v/>
      </c>
      <c r="C49" t="str">
        <f>IF(A49&lt;&gt;"",LEFT('[1]12011069-01600373-00100007'!F51,FIND(",",'[1]12011069-01600373-00100007'!F51))-0,"")</f>
        <v/>
      </c>
    </row>
    <row r="50" spans="1:3" x14ac:dyDescent="0.25">
      <c r="A50" s="36" t="str">
        <f>IF('[1]12011069-01600373-00100007'!A52&lt;&gt;"",DATEVALUE(LEFT('[1]12011069-01600373-00100007'!C52,FIND(",",'[1]12011069-01600373-00100007'!C52)-1)),"")</f>
        <v/>
      </c>
      <c r="B50" t="str">
        <f>IF(A50&lt;&gt;"",'[1]12011069-01600373-00100007'!A52,"")</f>
        <v/>
      </c>
      <c r="C50" t="str">
        <f>IF(A50&lt;&gt;"",LEFT('[1]12011069-01600373-00100007'!F52,FIND(",",'[1]12011069-01600373-00100007'!F52))-0,"")</f>
        <v/>
      </c>
    </row>
    <row r="51" spans="1:3" x14ac:dyDescent="0.25">
      <c r="A51" s="36" t="str">
        <f>IF('[1]12011069-01600373-00100007'!A53&lt;&gt;"",DATEVALUE(LEFT('[1]12011069-01600373-00100007'!C53,FIND(",",'[1]12011069-01600373-00100007'!C53)-1)),"")</f>
        <v/>
      </c>
      <c r="B51" t="str">
        <f>IF(A51&lt;&gt;"",'[1]12011069-01600373-00100007'!A53,"")</f>
        <v/>
      </c>
      <c r="C51" t="str">
        <f>IF(A51&lt;&gt;"",LEFT('[1]12011069-01600373-00100007'!F53,FIND(",",'[1]12011069-01600373-00100007'!F53))-0,"")</f>
        <v/>
      </c>
    </row>
    <row r="52" spans="1:3" x14ac:dyDescent="0.25">
      <c r="A52" s="36" t="str">
        <f>IF('[1]12011069-01600373-00100007'!A54&lt;&gt;"",DATEVALUE(LEFT('[1]12011069-01600373-00100007'!C54,FIND(",",'[1]12011069-01600373-00100007'!C54)-1)),"")</f>
        <v/>
      </c>
      <c r="B52" t="str">
        <f>IF(A52&lt;&gt;"",'[1]12011069-01600373-00100007'!A54,"")</f>
        <v/>
      </c>
      <c r="C52" t="str">
        <f>IF(A52&lt;&gt;"",LEFT('[1]12011069-01600373-00100007'!F54,FIND(",",'[1]12011069-01600373-00100007'!F54))-0,"")</f>
        <v/>
      </c>
    </row>
    <row r="53" spans="1:3" x14ac:dyDescent="0.25">
      <c r="A53" s="36" t="str">
        <f>IF('[1]12011069-01600373-00100007'!A55&lt;&gt;"",DATEVALUE(LEFT('[1]12011069-01600373-00100007'!C55,FIND(",",'[1]12011069-01600373-00100007'!C55)-1)),"")</f>
        <v/>
      </c>
      <c r="B53" t="str">
        <f>IF(A53&lt;&gt;"",'[1]12011069-01600373-00100007'!A55,"")</f>
        <v/>
      </c>
      <c r="C53" t="str">
        <f>IF(A53&lt;&gt;"",LEFT('[1]12011069-01600373-00100007'!F55,FIND(",",'[1]12011069-01600373-00100007'!F55))-0,"")</f>
        <v/>
      </c>
    </row>
    <row r="54" spans="1:3" x14ac:dyDescent="0.25">
      <c r="A54" s="36" t="str">
        <f>IF('[1]12011069-01600373-00100007'!A56&lt;&gt;"",DATEVALUE(LEFT('[1]12011069-01600373-00100007'!C56,FIND(",",'[1]12011069-01600373-00100007'!C56)-1)),"")</f>
        <v/>
      </c>
      <c r="B54" t="str">
        <f>IF(A54&lt;&gt;"",'[1]12011069-01600373-00100007'!A56,"")</f>
        <v/>
      </c>
      <c r="C54" t="str">
        <f>IF(A54&lt;&gt;"",LEFT('[1]12011069-01600373-00100007'!F56,FIND(",",'[1]12011069-01600373-00100007'!F56))-0,"")</f>
        <v/>
      </c>
    </row>
    <row r="55" spans="1:3" x14ac:dyDescent="0.25">
      <c r="A55" s="36" t="str">
        <f>IF('[1]12011069-01600373-00100007'!A57&lt;&gt;"",DATEVALUE(LEFT('[1]12011069-01600373-00100007'!C57,FIND(",",'[1]12011069-01600373-00100007'!C57)-1)),"")</f>
        <v/>
      </c>
      <c r="B55" t="str">
        <f>IF(A55&lt;&gt;"",'[1]12011069-01600373-00100007'!A57,"")</f>
        <v/>
      </c>
      <c r="C55" t="str">
        <f>IF(A55&lt;&gt;"",LEFT('[1]12011069-01600373-00100007'!F57,FIND(",",'[1]12011069-01600373-00100007'!F57))-0,"")</f>
        <v/>
      </c>
    </row>
    <row r="56" spans="1:3" x14ac:dyDescent="0.25">
      <c r="A56" s="36" t="str">
        <f>IF('[1]12011069-01600373-00100007'!A58&lt;&gt;"",DATEVALUE(LEFT('[1]12011069-01600373-00100007'!C58,FIND(",",'[1]12011069-01600373-00100007'!C58)-1)),"")</f>
        <v/>
      </c>
      <c r="B56" t="str">
        <f>IF(A56&lt;&gt;"",'[1]12011069-01600373-00100007'!A58,"")</f>
        <v/>
      </c>
      <c r="C56" t="str">
        <f>IF(A56&lt;&gt;"",LEFT('[1]12011069-01600373-00100007'!F58,FIND(",",'[1]12011069-01600373-00100007'!F58))-0,"")</f>
        <v/>
      </c>
    </row>
    <row r="57" spans="1:3" x14ac:dyDescent="0.25">
      <c r="A57" s="36" t="str">
        <f>IF('[1]12011069-01600373-00100007'!A59&lt;&gt;"",DATEVALUE(LEFT('[1]12011069-01600373-00100007'!C59,FIND(",",'[1]12011069-01600373-00100007'!C59)-1)),"")</f>
        <v/>
      </c>
      <c r="B57" t="str">
        <f>IF(A57&lt;&gt;"",'[1]12011069-01600373-00100007'!A59,"")</f>
        <v/>
      </c>
      <c r="C57" t="str">
        <f>IF(A57&lt;&gt;"",LEFT('[1]12011069-01600373-00100007'!F59,FIND(",",'[1]12011069-01600373-00100007'!F59))-0,"")</f>
        <v/>
      </c>
    </row>
    <row r="58" spans="1:3" x14ac:dyDescent="0.25">
      <c r="A58" s="36" t="str">
        <f>IF('[1]12011069-01600373-00100007'!A60&lt;&gt;"",DATEVALUE(LEFT('[1]12011069-01600373-00100007'!C60,FIND(",",'[1]12011069-01600373-00100007'!C60)-1)),"")</f>
        <v/>
      </c>
      <c r="B58" t="str">
        <f>IF(A58&lt;&gt;"",'[1]12011069-01600373-00100007'!A60,"")</f>
        <v/>
      </c>
      <c r="C58" t="str">
        <f>IF(A58&lt;&gt;"",LEFT('[1]12011069-01600373-00100007'!F60,FIND(",",'[1]12011069-01600373-00100007'!F60))-0,"")</f>
        <v/>
      </c>
    </row>
    <row r="59" spans="1:3" x14ac:dyDescent="0.25">
      <c r="A59" s="36" t="str">
        <f>IF('[1]12011069-01600373-00100007'!A61&lt;&gt;"",DATEVALUE(LEFT('[1]12011069-01600373-00100007'!C61,FIND(",",'[1]12011069-01600373-00100007'!C61)-1)),"")</f>
        <v/>
      </c>
      <c r="B59" t="str">
        <f>IF(A59&lt;&gt;"",'[1]12011069-01600373-00100007'!A61,"")</f>
        <v/>
      </c>
      <c r="C59" t="str">
        <f>IF(A59&lt;&gt;"",LEFT('[1]12011069-01600373-00100007'!F61,FIND(",",'[1]12011069-01600373-00100007'!F61))-0,"")</f>
        <v/>
      </c>
    </row>
    <row r="60" spans="1:3" x14ac:dyDescent="0.25">
      <c r="A60" s="36" t="str">
        <f>IF('[1]12011069-01600373-00100007'!A62&lt;&gt;"",DATEVALUE(LEFT('[1]12011069-01600373-00100007'!C62,FIND(",",'[1]12011069-01600373-00100007'!C62)-1)),"")</f>
        <v/>
      </c>
      <c r="B60" t="str">
        <f>IF(A60&lt;&gt;"",'[1]12011069-01600373-00100007'!A62,"")</f>
        <v/>
      </c>
      <c r="C60" t="str">
        <f>IF(A60&lt;&gt;"",LEFT('[1]12011069-01600373-00100007'!F62,FIND(",",'[1]12011069-01600373-00100007'!F62))-0,"")</f>
        <v/>
      </c>
    </row>
    <row r="61" spans="1:3" x14ac:dyDescent="0.25">
      <c r="A61" s="36" t="str">
        <f>IF('[1]12011069-01600373-00100007'!A63&lt;&gt;"",DATEVALUE(LEFT('[1]12011069-01600373-00100007'!C63,FIND(",",'[1]12011069-01600373-00100007'!C63)-1)),"")</f>
        <v/>
      </c>
      <c r="B61" t="str">
        <f>IF(A61&lt;&gt;"",'[1]12011069-01600373-00100007'!A63,"")</f>
        <v/>
      </c>
      <c r="C61" t="str">
        <f>IF(A61&lt;&gt;"",LEFT('[1]12011069-01600373-00100007'!F63,FIND(",",'[1]12011069-01600373-00100007'!F63))-0,"")</f>
        <v/>
      </c>
    </row>
    <row r="62" spans="1:3" x14ac:dyDescent="0.25">
      <c r="A62" s="36" t="str">
        <f>IF('[1]12011069-01600373-00100007'!A64&lt;&gt;"",DATEVALUE(LEFT('[1]12011069-01600373-00100007'!C64,FIND(",",'[1]12011069-01600373-00100007'!C64)-1)),"")</f>
        <v/>
      </c>
      <c r="B62" t="str">
        <f>IF(A62&lt;&gt;"",'[1]12011069-01600373-00100007'!A64,"")</f>
        <v/>
      </c>
      <c r="C62" t="str">
        <f>IF(A62&lt;&gt;"",LEFT('[1]12011069-01600373-00100007'!F64,FIND(",",'[1]12011069-01600373-00100007'!F64))-0,"")</f>
        <v/>
      </c>
    </row>
    <row r="63" spans="1:3" x14ac:dyDescent="0.25">
      <c r="A63" s="36" t="str">
        <f>IF('[1]12011069-01600373-00100007'!A65&lt;&gt;"",DATEVALUE(LEFT('[1]12011069-01600373-00100007'!C65,FIND(",",'[1]12011069-01600373-00100007'!C65)-1)),"")</f>
        <v/>
      </c>
      <c r="B63" t="str">
        <f>IF(A63&lt;&gt;"",'[1]12011069-01600373-00100007'!A65,"")</f>
        <v/>
      </c>
      <c r="C63" t="str">
        <f>IF(A63&lt;&gt;"",LEFT('[1]12011069-01600373-00100007'!F65,FIND(",",'[1]12011069-01600373-00100007'!F65))-0,"")</f>
        <v/>
      </c>
    </row>
    <row r="64" spans="1:3" x14ac:dyDescent="0.25">
      <c r="A64" s="36" t="str">
        <f>IF('[1]12011069-01600373-00100007'!A66&lt;&gt;"",DATEVALUE(LEFT('[1]12011069-01600373-00100007'!C66,FIND(",",'[1]12011069-01600373-00100007'!C66)-1)),"")</f>
        <v/>
      </c>
      <c r="B64" t="str">
        <f>IF(A64&lt;&gt;"",'[1]12011069-01600373-00100007'!A66,"")</f>
        <v/>
      </c>
      <c r="C64" t="str">
        <f>IF(A64&lt;&gt;"",LEFT('[1]12011069-01600373-00100007'!F66,FIND(",",'[1]12011069-01600373-00100007'!F66))-0,"")</f>
        <v/>
      </c>
    </row>
    <row r="65" spans="1:3" x14ac:dyDescent="0.25">
      <c r="A65" s="36" t="str">
        <f>IF('[1]12011069-01600373-00100007'!A67&lt;&gt;"",DATEVALUE(LEFT('[1]12011069-01600373-00100007'!C67,FIND(",",'[1]12011069-01600373-00100007'!C67)-1)),"")</f>
        <v/>
      </c>
      <c r="B65" t="str">
        <f>IF(A65&lt;&gt;"",'[1]12011069-01600373-00100007'!A67,"")</f>
        <v/>
      </c>
      <c r="C65" t="str">
        <f>IF(A65&lt;&gt;"",LEFT('[1]12011069-01600373-00100007'!F67,FIND(",",'[1]12011069-01600373-00100007'!F67))-0,"")</f>
        <v/>
      </c>
    </row>
    <row r="66" spans="1:3" x14ac:dyDescent="0.25">
      <c r="A66" s="36" t="str">
        <f>IF('[1]12011069-01600373-00100007'!A68&lt;&gt;"",DATEVALUE(LEFT('[1]12011069-01600373-00100007'!C68,FIND(",",'[1]12011069-01600373-00100007'!C68)-1)),"")</f>
        <v/>
      </c>
      <c r="B66" t="str">
        <f>IF(A66&lt;&gt;"",'[1]12011069-01600373-00100007'!A68,"")</f>
        <v/>
      </c>
      <c r="C66" t="str">
        <f>IF(A66&lt;&gt;"",LEFT('[1]12011069-01600373-00100007'!F68,FIND(",",'[1]12011069-01600373-00100007'!F68))-0,"")</f>
        <v/>
      </c>
    </row>
    <row r="67" spans="1:3" x14ac:dyDescent="0.25">
      <c r="A67" s="36" t="str">
        <f>IF('[1]12011069-01600373-00100007'!A69&lt;&gt;"",DATEVALUE(LEFT('[1]12011069-01600373-00100007'!C69,FIND(",",'[1]12011069-01600373-00100007'!C69)-1)),"")</f>
        <v/>
      </c>
      <c r="B67" t="str">
        <f>IF(A67&lt;&gt;"",'[1]12011069-01600373-00100007'!A69,"")</f>
        <v/>
      </c>
      <c r="C67" t="str">
        <f>IF(A67&lt;&gt;"",LEFT('[1]12011069-01600373-00100007'!F69,FIND(",",'[1]12011069-01600373-00100007'!F69))-0,"")</f>
        <v/>
      </c>
    </row>
    <row r="68" spans="1:3" x14ac:dyDescent="0.25">
      <c r="A68" s="36" t="str">
        <f>IF('[1]12011069-01600373-00100007'!A70&lt;&gt;"",DATEVALUE(LEFT('[1]12011069-01600373-00100007'!C70,FIND(",",'[1]12011069-01600373-00100007'!C70)-1)),"")</f>
        <v/>
      </c>
      <c r="B68" t="str">
        <f>IF(A68&lt;&gt;"",'[1]12011069-01600373-00100007'!A70,"")</f>
        <v/>
      </c>
      <c r="C68" t="str">
        <f>IF(A68&lt;&gt;"",LEFT('[1]12011069-01600373-00100007'!F70,FIND(",",'[1]12011069-01600373-00100007'!F70))-0,"")</f>
        <v/>
      </c>
    </row>
    <row r="69" spans="1:3" x14ac:dyDescent="0.25">
      <c r="A69" s="36" t="str">
        <f>IF('[1]12011069-01600373-00100007'!A71&lt;&gt;"",DATEVALUE(LEFT('[1]12011069-01600373-00100007'!C71,FIND(",",'[1]12011069-01600373-00100007'!C71)-1)),"")</f>
        <v/>
      </c>
      <c r="B69" t="str">
        <f>IF(A69&lt;&gt;"",'[1]12011069-01600373-00100007'!A71,"")</f>
        <v/>
      </c>
      <c r="C69" t="str">
        <f>IF(A69&lt;&gt;"",LEFT('[1]12011069-01600373-00100007'!F71,FIND(",",'[1]12011069-01600373-00100007'!F71))-0,"")</f>
        <v/>
      </c>
    </row>
    <row r="70" spans="1:3" x14ac:dyDescent="0.25">
      <c r="A70" s="36" t="str">
        <f>IF('[1]12011069-01600373-00100007'!A72&lt;&gt;"",DATEVALUE(LEFT('[1]12011069-01600373-00100007'!C72,FIND(",",'[1]12011069-01600373-00100007'!C72)-1)),"")</f>
        <v/>
      </c>
      <c r="B70" t="str">
        <f>IF(A70&lt;&gt;"",'[1]12011069-01600373-00100007'!A72,"")</f>
        <v/>
      </c>
      <c r="C70" t="str">
        <f>IF(A70&lt;&gt;"",LEFT('[1]12011069-01600373-00100007'!F72,FIND(",",'[1]12011069-01600373-00100007'!F72))-0,"")</f>
        <v/>
      </c>
    </row>
    <row r="71" spans="1:3" x14ac:dyDescent="0.25">
      <c r="A71" s="36" t="str">
        <f>IF('[1]12011069-01600373-00100007'!A73&lt;&gt;"",DATEVALUE(LEFT('[1]12011069-01600373-00100007'!C73,FIND(",",'[1]12011069-01600373-00100007'!C73)-1)),"")</f>
        <v/>
      </c>
      <c r="B71" t="str">
        <f>IF(A71&lt;&gt;"",'[1]12011069-01600373-00100007'!A73,"")</f>
        <v/>
      </c>
      <c r="C71" t="str">
        <f>IF(A71&lt;&gt;"",LEFT('[1]12011069-01600373-00100007'!F73,FIND(",",'[1]12011069-01600373-00100007'!F73))-0,"")</f>
        <v/>
      </c>
    </row>
    <row r="72" spans="1:3" x14ac:dyDescent="0.25">
      <c r="A72" s="36" t="str">
        <f>IF('[1]12011069-01600373-00100007'!A74&lt;&gt;"",DATEVALUE(LEFT('[1]12011069-01600373-00100007'!C74,FIND(",",'[1]12011069-01600373-00100007'!C74)-1)),"")</f>
        <v/>
      </c>
      <c r="B72" t="str">
        <f>IF(A72&lt;&gt;"",'[1]12011069-01600373-00100007'!A74,"")</f>
        <v/>
      </c>
      <c r="C72" t="str">
        <f>IF(A72&lt;&gt;"",LEFT('[1]12011069-01600373-00100007'!F74,FIND(",",'[1]12011069-01600373-00100007'!F74))-0,"")</f>
        <v/>
      </c>
    </row>
    <row r="73" spans="1:3" x14ac:dyDescent="0.25">
      <c r="A73" s="36" t="str">
        <f>IF('[1]12011069-01600373-00100007'!A75&lt;&gt;"",DATEVALUE(LEFT('[1]12011069-01600373-00100007'!C75,FIND(",",'[1]12011069-01600373-00100007'!C75)-1)),"")</f>
        <v/>
      </c>
      <c r="B73" t="str">
        <f>IF(A73&lt;&gt;"",'[1]12011069-01600373-00100007'!A75,"")</f>
        <v/>
      </c>
      <c r="C73" t="str">
        <f>IF(A73&lt;&gt;"",LEFT('[1]12011069-01600373-00100007'!F75,FIND(",",'[1]12011069-01600373-00100007'!F75))-0,"")</f>
        <v/>
      </c>
    </row>
    <row r="74" spans="1:3" x14ac:dyDescent="0.25">
      <c r="A74" s="36" t="str">
        <f>IF('[1]12011069-01600373-00100007'!A76&lt;&gt;"",DATEVALUE(LEFT('[1]12011069-01600373-00100007'!C76,FIND(",",'[1]12011069-01600373-00100007'!C76)-1)),"")</f>
        <v/>
      </c>
      <c r="B74" t="str">
        <f>IF(A74&lt;&gt;"",'[1]12011069-01600373-00100007'!A76,"")</f>
        <v/>
      </c>
      <c r="C74" t="str">
        <f>IF(A74&lt;&gt;"",LEFT('[1]12011069-01600373-00100007'!F76,FIND(",",'[1]12011069-01600373-00100007'!F76))-0,"")</f>
        <v/>
      </c>
    </row>
    <row r="75" spans="1:3" x14ac:dyDescent="0.25">
      <c r="A75" s="36" t="str">
        <f>IF('[1]12011069-01600373-00100007'!A77&lt;&gt;"",DATEVALUE(LEFT('[1]12011069-01600373-00100007'!C77,FIND(",",'[1]12011069-01600373-00100007'!C77)-1)),"")</f>
        <v/>
      </c>
      <c r="B75" t="str">
        <f>IF(A75&lt;&gt;"",'[1]12011069-01600373-00100007'!A77,"")</f>
        <v/>
      </c>
      <c r="C75" t="str">
        <f>IF(A75&lt;&gt;"",LEFT('[1]12011069-01600373-00100007'!F77,FIND(",",'[1]12011069-01600373-00100007'!F77))-0,"")</f>
        <v/>
      </c>
    </row>
    <row r="76" spans="1:3" x14ac:dyDescent="0.25">
      <c r="A76" s="36" t="str">
        <f>IF('[1]12011069-01600373-00100007'!A78&lt;&gt;"",DATEVALUE(LEFT('[1]12011069-01600373-00100007'!C78,FIND(",",'[1]12011069-01600373-00100007'!C78)-1)),"")</f>
        <v/>
      </c>
      <c r="B76" t="str">
        <f>IF(A76&lt;&gt;"",'[1]12011069-01600373-00100007'!A78,"")</f>
        <v/>
      </c>
      <c r="C76" t="str">
        <f>IF(A76&lt;&gt;"",LEFT('[1]12011069-01600373-00100007'!F78,FIND(",",'[1]12011069-01600373-00100007'!F78))-0,"")</f>
        <v/>
      </c>
    </row>
    <row r="77" spans="1:3" x14ac:dyDescent="0.25">
      <c r="A77" s="36" t="str">
        <f>IF('[1]12011069-01600373-00100007'!A79&lt;&gt;"",DATEVALUE(LEFT('[1]12011069-01600373-00100007'!C79,FIND(",",'[1]12011069-01600373-00100007'!C79)-1)),"")</f>
        <v/>
      </c>
      <c r="B77" t="str">
        <f>IF(A77&lt;&gt;"",'[1]12011069-01600373-00100007'!A79,"")</f>
        <v/>
      </c>
      <c r="C77" t="str">
        <f>IF(A77&lt;&gt;"",LEFT('[1]12011069-01600373-00100007'!F79,FIND(",",'[1]12011069-01600373-00100007'!F79))-0,"")</f>
        <v/>
      </c>
    </row>
    <row r="78" spans="1:3" x14ac:dyDescent="0.25">
      <c r="A78" s="36" t="str">
        <f>IF('[1]12011069-01600373-00100007'!A80&lt;&gt;"",DATEVALUE(LEFT('[1]12011069-01600373-00100007'!C80,FIND(",",'[1]12011069-01600373-00100007'!C80)-1)),"")</f>
        <v/>
      </c>
      <c r="B78" t="str">
        <f>IF(A78&lt;&gt;"",'[1]12011069-01600373-00100007'!A80,"")</f>
        <v/>
      </c>
      <c r="C78" t="str">
        <f>IF(A78&lt;&gt;"",LEFT('[1]12011069-01600373-00100007'!F80,FIND(",",'[1]12011069-01600373-00100007'!F80))-0,"")</f>
        <v/>
      </c>
    </row>
    <row r="79" spans="1:3" x14ac:dyDescent="0.25">
      <c r="A79" s="36" t="str">
        <f>IF('[1]12011069-01600373-00100007'!A81&lt;&gt;"",DATEVALUE(LEFT('[1]12011069-01600373-00100007'!C81,FIND(",",'[1]12011069-01600373-00100007'!C81)-1)),"")</f>
        <v/>
      </c>
      <c r="B79" t="str">
        <f>IF(A79&lt;&gt;"",'[1]12011069-01600373-00100007'!A81,"")</f>
        <v/>
      </c>
      <c r="C79" t="str">
        <f>IF(A79&lt;&gt;"",LEFT('[1]12011069-01600373-00100007'!F81,FIND(",",'[1]12011069-01600373-00100007'!F81))-0,"")</f>
        <v/>
      </c>
    </row>
    <row r="80" spans="1:3" x14ac:dyDescent="0.25">
      <c r="A80" s="36" t="str">
        <f>IF('[1]12011069-01600373-00100007'!A82&lt;&gt;"",DATEVALUE(LEFT('[1]12011069-01600373-00100007'!C82,FIND(",",'[1]12011069-01600373-00100007'!C82)-1)),"")</f>
        <v/>
      </c>
      <c r="B80" t="str">
        <f>IF(A80&lt;&gt;"",'[1]12011069-01600373-00100007'!A82,"")</f>
        <v/>
      </c>
      <c r="C80" t="str">
        <f>IF(A80&lt;&gt;"",LEFT('[1]12011069-01600373-00100007'!F82,FIND(",",'[1]12011069-01600373-00100007'!F82))-0,"")</f>
        <v/>
      </c>
    </row>
    <row r="81" spans="1:3" x14ac:dyDescent="0.25">
      <c r="A81" s="36" t="str">
        <f>IF('[1]12011069-01600373-00100007'!A83&lt;&gt;"",DATEVALUE(LEFT('[1]12011069-01600373-00100007'!C83,FIND(",",'[1]12011069-01600373-00100007'!C83)-1)),"")</f>
        <v/>
      </c>
      <c r="B81" t="str">
        <f>IF(A81&lt;&gt;"",'[1]12011069-01600373-00100007'!A83,"")</f>
        <v/>
      </c>
      <c r="C81" t="str">
        <f>IF(A81&lt;&gt;"",LEFT('[1]12011069-01600373-00100007'!F83,FIND(",",'[1]12011069-01600373-00100007'!F83))-0,"")</f>
        <v/>
      </c>
    </row>
    <row r="82" spans="1:3" x14ac:dyDescent="0.25">
      <c r="A82" s="36" t="str">
        <f>IF('[1]12011069-01600373-00100007'!A84&lt;&gt;"",DATEVALUE(LEFT('[1]12011069-01600373-00100007'!C84,FIND(",",'[1]12011069-01600373-00100007'!C84)-1)),"")</f>
        <v/>
      </c>
      <c r="B82" t="str">
        <f>IF(A82&lt;&gt;"",'[1]12011069-01600373-00100007'!A84,"")</f>
        <v/>
      </c>
      <c r="C82" t="str">
        <f>IF(A82&lt;&gt;"",LEFT('[1]12011069-01600373-00100007'!F84,FIND(",",'[1]12011069-01600373-00100007'!F84))-0,"")</f>
        <v/>
      </c>
    </row>
    <row r="83" spans="1:3" x14ac:dyDescent="0.25">
      <c r="A83" s="36" t="str">
        <f>IF('[1]12011069-01600373-00100007'!A85&lt;&gt;"",DATEVALUE(LEFT('[1]12011069-01600373-00100007'!C85,FIND(",",'[1]12011069-01600373-00100007'!C85)-1)),"")</f>
        <v/>
      </c>
      <c r="B83" t="str">
        <f>IF(A83&lt;&gt;"",'[1]12011069-01600373-00100007'!A85,"")</f>
        <v/>
      </c>
      <c r="C83" t="str">
        <f>IF(A83&lt;&gt;"",LEFT('[1]12011069-01600373-00100007'!F85,FIND(",",'[1]12011069-01600373-00100007'!F85))-0,"")</f>
        <v/>
      </c>
    </row>
    <row r="84" spans="1:3" x14ac:dyDescent="0.25">
      <c r="A84" s="36" t="str">
        <f>IF('[1]12011069-01600373-00100007'!A86&lt;&gt;"",DATEVALUE(LEFT('[1]12011069-01600373-00100007'!C86,FIND(",",'[1]12011069-01600373-00100007'!C86)-1)),"")</f>
        <v/>
      </c>
      <c r="B84" t="str">
        <f>IF(A84&lt;&gt;"",'[1]12011069-01600373-00100007'!A86,"")</f>
        <v/>
      </c>
      <c r="C84" t="str">
        <f>IF(A84&lt;&gt;"",LEFT('[1]12011069-01600373-00100007'!F86,FIND(",",'[1]12011069-01600373-00100007'!F86))-0,"")</f>
        <v/>
      </c>
    </row>
    <row r="85" spans="1:3" x14ac:dyDescent="0.25">
      <c r="A85" s="36" t="str">
        <f>IF('[1]12011069-01600373-00100007'!A87&lt;&gt;"",DATEVALUE(LEFT('[1]12011069-01600373-00100007'!C87,FIND(",",'[1]12011069-01600373-00100007'!C87)-1)),"")</f>
        <v/>
      </c>
      <c r="B85" t="str">
        <f>IF(A85&lt;&gt;"",'[1]12011069-01600373-00100007'!A87,"")</f>
        <v/>
      </c>
      <c r="C85" t="str">
        <f>IF(A85&lt;&gt;"",LEFT('[1]12011069-01600373-00100007'!F87,FIND(",",'[1]12011069-01600373-00100007'!F87))-0,"")</f>
        <v/>
      </c>
    </row>
    <row r="86" spans="1:3" x14ac:dyDescent="0.25">
      <c r="A86" s="36" t="str">
        <f>IF('[1]12011069-01600373-00100007'!A88&lt;&gt;"",DATEVALUE(LEFT('[1]12011069-01600373-00100007'!C88,FIND(",",'[1]12011069-01600373-00100007'!C88)-1)),"")</f>
        <v/>
      </c>
      <c r="B86" t="str">
        <f>IF(A86&lt;&gt;"",'[1]12011069-01600373-00100007'!A88,"")</f>
        <v/>
      </c>
      <c r="C86" t="str">
        <f>IF(A86&lt;&gt;"",LEFT('[1]12011069-01600373-00100007'!F88,FIND(",",'[1]12011069-01600373-00100007'!F88))-0,"")</f>
        <v/>
      </c>
    </row>
    <row r="87" spans="1:3" x14ac:dyDescent="0.25">
      <c r="A87" s="36" t="str">
        <f>IF('[1]12011069-01600373-00100007'!A89&lt;&gt;"",DATEVALUE(LEFT('[1]12011069-01600373-00100007'!C89,FIND(",",'[1]12011069-01600373-00100007'!C89)-1)),"")</f>
        <v/>
      </c>
      <c r="B87" t="str">
        <f>IF(A87&lt;&gt;"",'[1]12011069-01600373-00100007'!A89,"")</f>
        <v/>
      </c>
      <c r="C87" t="str">
        <f>IF(A87&lt;&gt;"",LEFT('[1]12011069-01600373-00100007'!F89,FIND(",",'[1]12011069-01600373-00100007'!F89))-0,"")</f>
        <v/>
      </c>
    </row>
    <row r="88" spans="1:3" x14ac:dyDescent="0.25">
      <c r="A88" s="36" t="str">
        <f>IF('[1]12011069-01600373-00100007'!A90&lt;&gt;"",DATEVALUE(LEFT('[1]12011069-01600373-00100007'!C90,FIND(",",'[1]12011069-01600373-00100007'!C90)-1)),"")</f>
        <v/>
      </c>
      <c r="B88" t="str">
        <f>IF(A88&lt;&gt;"",'[1]12011069-01600373-00100007'!A90,"")</f>
        <v/>
      </c>
      <c r="C88" t="str">
        <f>IF(A88&lt;&gt;"",LEFT('[1]12011069-01600373-00100007'!F90,FIND(",",'[1]12011069-01600373-00100007'!F90))-0,"")</f>
        <v/>
      </c>
    </row>
    <row r="89" spans="1:3" x14ac:dyDescent="0.25">
      <c r="A89" s="36" t="str">
        <f>IF('[1]12011069-01600373-00100007'!A91&lt;&gt;"",DATEVALUE(LEFT('[1]12011069-01600373-00100007'!C91,FIND(",",'[1]12011069-01600373-00100007'!C91)-1)),"")</f>
        <v/>
      </c>
      <c r="B89" t="str">
        <f>IF(A89&lt;&gt;"",'[1]12011069-01600373-00100007'!A91,"")</f>
        <v/>
      </c>
      <c r="C89" t="str">
        <f>IF(A89&lt;&gt;"",LEFT('[1]12011069-01600373-00100007'!F91,FIND(",",'[1]12011069-01600373-00100007'!F91))-0,"")</f>
        <v/>
      </c>
    </row>
    <row r="90" spans="1:3" x14ac:dyDescent="0.25">
      <c r="A90" s="36" t="str">
        <f>IF('[1]12011069-01600373-00100007'!A92&lt;&gt;"",DATEVALUE(LEFT('[1]12011069-01600373-00100007'!C92,FIND(",",'[1]12011069-01600373-00100007'!C92)-1)),"")</f>
        <v/>
      </c>
      <c r="B90" t="str">
        <f>IF(A90&lt;&gt;"",'[1]12011069-01600373-00100007'!A92,"")</f>
        <v/>
      </c>
      <c r="C90" t="str">
        <f>IF(A90&lt;&gt;"",LEFT('[1]12011069-01600373-00100007'!F92,FIND(",",'[1]12011069-01600373-00100007'!F92))-0,"")</f>
        <v/>
      </c>
    </row>
    <row r="91" spans="1:3" x14ac:dyDescent="0.25">
      <c r="A91" s="36" t="str">
        <f>IF('[1]12011069-01600373-00100007'!A93&lt;&gt;"",DATEVALUE(LEFT('[1]12011069-01600373-00100007'!C93,FIND(",",'[1]12011069-01600373-00100007'!C93)-1)),"")</f>
        <v/>
      </c>
      <c r="B91" t="str">
        <f>IF(A91&lt;&gt;"",'[1]12011069-01600373-00100007'!A93,"")</f>
        <v/>
      </c>
      <c r="C91" t="str">
        <f>IF(A91&lt;&gt;"",LEFT('[1]12011069-01600373-00100007'!F93,FIND(",",'[1]12011069-01600373-00100007'!F93))-0,"")</f>
        <v/>
      </c>
    </row>
    <row r="92" spans="1:3" x14ac:dyDescent="0.25">
      <c r="A92" s="36" t="str">
        <f>IF('[1]12011069-01600373-00100007'!A94&lt;&gt;"",DATEVALUE(LEFT('[1]12011069-01600373-00100007'!C94,FIND(",",'[1]12011069-01600373-00100007'!C94)-1)),"")</f>
        <v/>
      </c>
      <c r="B92" t="str">
        <f>IF(A92&lt;&gt;"",'[1]12011069-01600373-00100007'!A94,"")</f>
        <v/>
      </c>
      <c r="C92" t="str">
        <f>IF(A92&lt;&gt;"",LEFT('[1]12011069-01600373-00100007'!F94,FIND(",",'[1]12011069-01600373-00100007'!F94))-0,"")</f>
        <v/>
      </c>
    </row>
    <row r="93" spans="1:3" x14ac:dyDescent="0.25">
      <c r="A93" s="36" t="str">
        <f>IF('[1]12011069-01600373-00100007'!A95&lt;&gt;"",DATEVALUE(LEFT('[1]12011069-01600373-00100007'!C95,FIND(",",'[1]12011069-01600373-00100007'!C95)-1)),"")</f>
        <v/>
      </c>
      <c r="B93" t="str">
        <f>IF(A93&lt;&gt;"",'[1]12011069-01600373-00100007'!A95,"")</f>
        <v/>
      </c>
      <c r="C93" t="str">
        <f>IF(A93&lt;&gt;"",LEFT('[1]12011069-01600373-00100007'!F95,FIND(",",'[1]12011069-01600373-00100007'!F95))-0,"")</f>
        <v/>
      </c>
    </row>
    <row r="94" spans="1:3" x14ac:dyDescent="0.25">
      <c r="A94" s="36" t="str">
        <f>IF('[1]12011069-01600373-00100007'!A96&lt;&gt;"",DATEVALUE(LEFT('[1]12011069-01600373-00100007'!C96,FIND(",",'[1]12011069-01600373-00100007'!C96)-1)),"")</f>
        <v/>
      </c>
      <c r="B94" t="str">
        <f>IF(A94&lt;&gt;"",'[1]12011069-01600373-00100007'!A96,"")</f>
        <v/>
      </c>
      <c r="C94" t="str">
        <f>IF(A94&lt;&gt;"",LEFT('[1]12011069-01600373-00100007'!F96,FIND(",",'[1]12011069-01600373-00100007'!F96))-0,"")</f>
        <v/>
      </c>
    </row>
    <row r="95" spans="1:3" x14ac:dyDescent="0.25">
      <c r="A95" s="36" t="str">
        <f>IF('[1]12011069-01600373-00100007'!A97&lt;&gt;"",DATEVALUE(LEFT('[1]12011069-01600373-00100007'!C97,FIND(",",'[1]12011069-01600373-00100007'!C97)-1)),"")</f>
        <v/>
      </c>
      <c r="B95" t="str">
        <f>IF(A95&lt;&gt;"",'[1]12011069-01600373-00100007'!A97,"")</f>
        <v/>
      </c>
      <c r="C95" t="str">
        <f>IF(A95&lt;&gt;"",LEFT('[1]12011069-01600373-00100007'!F97,FIND(",",'[1]12011069-01600373-00100007'!F97))-0,"")</f>
        <v/>
      </c>
    </row>
    <row r="96" spans="1:3" x14ac:dyDescent="0.25">
      <c r="A96" s="36" t="str">
        <f>IF('[1]12011069-01600373-00100007'!A98&lt;&gt;"",DATEVALUE(LEFT('[1]12011069-01600373-00100007'!C98,FIND(",",'[1]12011069-01600373-00100007'!C98)-1)),"")</f>
        <v/>
      </c>
      <c r="B96" t="str">
        <f>IF(A96&lt;&gt;"",'[1]12011069-01600373-00100007'!A98,"")</f>
        <v/>
      </c>
      <c r="C96" t="str">
        <f>IF(A96&lt;&gt;"",LEFT('[1]12011069-01600373-00100007'!F98,FIND(",",'[1]12011069-01600373-00100007'!F98))-0,"")</f>
        <v/>
      </c>
    </row>
    <row r="97" spans="1:3" x14ac:dyDescent="0.25">
      <c r="A97" s="36" t="str">
        <f>IF('[1]12011069-01600373-00100007'!A99&lt;&gt;"",DATEVALUE(LEFT('[1]12011069-01600373-00100007'!C99,FIND(",",'[1]12011069-01600373-00100007'!C99)-1)),"")</f>
        <v/>
      </c>
      <c r="B97" t="str">
        <f>IF(A97&lt;&gt;"",'[1]12011069-01600373-00100007'!A99,"")</f>
        <v/>
      </c>
      <c r="C97" t="str">
        <f>IF(A97&lt;&gt;"",LEFT('[1]12011069-01600373-00100007'!F99,FIND(",",'[1]12011069-01600373-00100007'!F99))-0,"")</f>
        <v/>
      </c>
    </row>
    <row r="98" spans="1:3" x14ac:dyDescent="0.25">
      <c r="A98" s="36" t="str">
        <f>IF('[1]12011069-01600373-00100007'!A100&lt;&gt;"",DATEVALUE(LEFT('[1]12011069-01600373-00100007'!C100,FIND(",",'[1]12011069-01600373-00100007'!C100)-1)),"")</f>
        <v/>
      </c>
      <c r="B98" t="str">
        <f>IF(A98&lt;&gt;"",'[1]12011069-01600373-00100007'!A100,"")</f>
        <v/>
      </c>
      <c r="C98" t="str">
        <f>IF(A98&lt;&gt;"",LEFT('[1]12011069-01600373-00100007'!F100,FIND(",",'[1]12011069-01600373-00100007'!F100))-0,"")</f>
        <v/>
      </c>
    </row>
    <row r="99" spans="1:3" x14ac:dyDescent="0.25">
      <c r="A99" s="36" t="str">
        <f>IF('[1]12011069-01600373-00100007'!A101&lt;&gt;"",DATEVALUE(LEFT('[1]12011069-01600373-00100007'!C101,FIND(",",'[1]12011069-01600373-00100007'!C101)-1)),"")</f>
        <v/>
      </c>
      <c r="B99" t="str">
        <f>IF(A99&lt;&gt;"",'[1]12011069-01600373-00100007'!A101,"")</f>
        <v/>
      </c>
      <c r="C99" t="str">
        <f>IF(A99&lt;&gt;"",LEFT('[1]12011069-01600373-00100007'!F101,FIND(",",'[1]12011069-01600373-00100007'!F101))-0,"")</f>
        <v/>
      </c>
    </row>
    <row r="100" spans="1:3" x14ac:dyDescent="0.25">
      <c r="A100" s="36" t="str">
        <f>IF('[1]12011069-01600373-00100007'!A102&lt;&gt;"",DATEVALUE(LEFT('[1]12011069-01600373-00100007'!C102,FIND(",",'[1]12011069-01600373-00100007'!C102)-1)),"")</f>
        <v/>
      </c>
      <c r="B100" t="str">
        <f>IF(A100&lt;&gt;"",'[1]12011069-01600373-00100007'!A102,"")</f>
        <v/>
      </c>
      <c r="C100" t="str">
        <f>IF(A100&lt;&gt;"",LEFT('[1]12011069-01600373-00100007'!F102,FIND(",",'[1]12011069-01600373-00100007'!F102))-0,"")</f>
        <v/>
      </c>
    </row>
    <row r="101" spans="1:3" x14ac:dyDescent="0.25">
      <c r="A101" s="36" t="str">
        <f>IF('[1]12011069-01600373-00100007'!A103&lt;&gt;"",DATEVALUE(LEFT('[1]12011069-01600373-00100007'!C103,FIND(",",'[1]12011069-01600373-00100007'!C103)-1)),"")</f>
        <v/>
      </c>
      <c r="B101" t="str">
        <f>IF(A101&lt;&gt;"",'[1]12011069-01600373-00100007'!A103,"")</f>
        <v/>
      </c>
      <c r="C101" t="str">
        <f>IF(A101&lt;&gt;"",LEFT('[1]12011069-01600373-00100007'!F103,FIND(",",'[1]12011069-01600373-00100007'!F103))-0,"")</f>
        <v/>
      </c>
    </row>
    <row r="102" spans="1:3" x14ac:dyDescent="0.25">
      <c r="A102" s="36" t="str">
        <f>IF('[1]12011069-01600373-00100007'!A104&lt;&gt;"",DATEVALUE(LEFT('[1]12011069-01600373-00100007'!C104,FIND(",",'[1]12011069-01600373-00100007'!C104)-1)),"")</f>
        <v/>
      </c>
      <c r="B102" t="str">
        <f>IF(A102&lt;&gt;"",'[1]12011069-01600373-00100007'!A104,"")</f>
        <v/>
      </c>
      <c r="C102" t="str">
        <f>IF(A102&lt;&gt;"",LEFT('[1]12011069-01600373-00100007'!F104,FIND(",",'[1]12011069-01600373-00100007'!F104))-0,"")</f>
        <v/>
      </c>
    </row>
    <row r="103" spans="1:3" x14ac:dyDescent="0.25">
      <c r="A103" s="36" t="str">
        <f>IF('[1]12011069-01600373-00100007'!A105&lt;&gt;"",DATEVALUE(LEFT('[1]12011069-01600373-00100007'!C105,FIND(",",'[1]12011069-01600373-00100007'!C105)-1)),"")</f>
        <v/>
      </c>
      <c r="B103" t="str">
        <f>IF(A103&lt;&gt;"",'[1]12011069-01600373-00100007'!A105,"")</f>
        <v/>
      </c>
      <c r="C103" t="str">
        <f>IF(A103&lt;&gt;"",LEFT('[1]12011069-01600373-00100007'!F105,FIND(",",'[1]12011069-01600373-00100007'!F105))-0,"")</f>
        <v/>
      </c>
    </row>
    <row r="104" spans="1:3" x14ac:dyDescent="0.25">
      <c r="A104" s="36" t="str">
        <f>IF('[1]12011069-01600373-00100007'!A106&lt;&gt;"",DATEVALUE(LEFT('[1]12011069-01600373-00100007'!C106,FIND(",",'[1]12011069-01600373-00100007'!C106)-1)),"")</f>
        <v/>
      </c>
      <c r="B104" t="str">
        <f>IF(A104&lt;&gt;"",'[1]12011069-01600373-00100007'!A106,"")</f>
        <v/>
      </c>
      <c r="C104" t="str">
        <f>IF(A104&lt;&gt;"",LEFT('[1]12011069-01600373-00100007'!F106,FIND(",",'[1]12011069-01600373-00100007'!F106))-0,"")</f>
        <v/>
      </c>
    </row>
    <row r="105" spans="1:3" x14ac:dyDescent="0.25">
      <c r="A105" s="36" t="str">
        <f>IF('[1]12011069-01600373-00100007'!A107&lt;&gt;"",DATEVALUE(LEFT('[1]12011069-01600373-00100007'!C107,FIND(",",'[1]12011069-01600373-00100007'!C107)-1)),"")</f>
        <v/>
      </c>
      <c r="B105" t="str">
        <f>IF(A105&lt;&gt;"",'[1]12011069-01600373-00100007'!A107,"")</f>
        <v/>
      </c>
      <c r="C105" t="str">
        <f>IF(A105&lt;&gt;"",LEFT('[1]12011069-01600373-00100007'!F107,FIND(",",'[1]12011069-01600373-00100007'!F107))-0,"")</f>
        <v/>
      </c>
    </row>
    <row r="106" spans="1:3" x14ac:dyDescent="0.25">
      <c r="A106" s="36" t="str">
        <f>IF('[1]12011069-01600373-00100007'!A108&lt;&gt;"",DATEVALUE(LEFT('[1]12011069-01600373-00100007'!C108,FIND(",",'[1]12011069-01600373-00100007'!C108)-1)),"")</f>
        <v/>
      </c>
      <c r="B106" t="str">
        <f>IF(A106&lt;&gt;"",'[1]12011069-01600373-00100007'!A108,"")</f>
        <v/>
      </c>
      <c r="C106" t="str">
        <f>IF(A106&lt;&gt;"",LEFT('[1]12011069-01600373-00100007'!F108,FIND(",",'[1]12011069-01600373-00100007'!F108))-0,"")</f>
        <v/>
      </c>
    </row>
    <row r="107" spans="1:3" x14ac:dyDescent="0.25">
      <c r="A107" s="36" t="str">
        <f>IF('[1]12011069-01600373-00100007'!A109&lt;&gt;"",DATEVALUE(LEFT('[1]12011069-01600373-00100007'!C109,FIND(",",'[1]12011069-01600373-00100007'!C109)-1)),"")</f>
        <v/>
      </c>
      <c r="B107" t="str">
        <f>IF(A107&lt;&gt;"",'[1]12011069-01600373-00100007'!A109,"")</f>
        <v/>
      </c>
      <c r="C107" t="str">
        <f>IF(A107&lt;&gt;"",LEFT('[1]12011069-01600373-00100007'!F109,FIND(",",'[1]12011069-01600373-00100007'!F109))-0,"")</f>
        <v/>
      </c>
    </row>
    <row r="108" spans="1:3" x14ac:dyDescent="0.25">
      <c r="A108" s="36" t="str">
        <f>IF('[1]12011069-01600373-00100007'!A110&lt;&gt;"",DATEVALUE(LEFT('[1]12011069-01600373-00100007'!C110,FIND(",",'[1]12011069-01600373-00100007'!C110)-1)),"")</f>
        <v/>
      </c>
      <c r="B108" t="str">
        <f>IF(A108&lt;&gt;"",'[1]12011069-01600373-00100007'!A110,"")</f>
        <v/>
      </c>
      <c r="C108" t="str">
        <f>IF(A108&lt;&gt;"",LEFT('[1]12011069-01600373-00100007'!F110,FIND(",",'[1]12011069-01600373-00100007'!F110))-0,"")</f>
        <v/>
      </c>
    </row>
    <row r="109" spans="1:3" x14ac:dyDescent="0.25">
      <c r="A109" s="36" t="str">
        <f>IF('[1]12011069-01600373-00100007'!A111&lt;&gt;"",DATEVALUE(LEFT('[1]12011069-01600373-00100007'!C111,FIND(",",'[1]12011069-01600373-00100007'!C111)-1)),"")</f>
        <v/>
      </c>
      <c r="B109" t="str">
        <f>IF(A109&lt;&gt;"",'[1]12011069-01600373-00100007'!A111,"")</f>
        <v/>
      </c>
      <c r="C109" t="str">
        <f>IF(A109&lt;&gt;"",LEFT('[1]12011069-01600373-00100007'!F111,FIND(",",'[1]12011069-01600373-00100007'!F111))-0,"")</f>
        <v/>
      </c>
    </row>
    <row r="110" spans="1:3" x14ac:dyDescent="0.25">
      <c r="A110" s="36" t="str">
        <f>IF('[1]12011069-01600373-00100007'!A112&lt;&gt;"",DATEVALUE(LEFT('[1]12011069-01600373-00100007'!C112,FIND(",",'[1]12011069-01600373-00100007'!C112)-1)),"")</f>
        <v/>
      </c>
      <c r="B110" t="str">
        <f>IF(A110&lt;&gt;"",'[1]12011069-01600373-00100007'!A112,"")</f>
        <v/>
      </c>
      <c r="C110" t="str">
        <f>IF(A110&lt;&gt;"",LEFT('[1]12011069-01600373-00100007'!F112,FIND(",",'[1]12011069-01600373-00100007'!F112))-0,"")</f>
        <v/>
      </c>
    </row>
    <row r="111" spans="1:3" x14ac:dyDescent="0.25">
      <c r="A111" s="36" t="str">
        <f>IF('[1]12011069-01600373-00100007'!A113&lt;&gt;"",DATEVALUE(LEFT('[1]12011069-01600373-00100007'!C113,FIND(",",'[1]12011069-01600373-00100007'!C113)-1)),"")</f>
        <v/>
      </c>
      <c r="B111" t="str">
        <f>IF(A111&lt;&gt;"",'[1]12011069-01600373-00100007'!A113,"")</f>
        <v/>
      </c>
      <c r="C111" t="str">
        <f>IF(A111&lt;&gt;"",LEFT('[1]12011069-01600373-00100007'!F113,FIND(",",'[1]12011069-01600373-00100007'!F113))-0,"")</f>
        <v/>
      </c>
    </row>
    <row r="112" spans="1:3" x14ac:dyDescent="0.25">
      <c r="A112" s="36" t="str">
        <f>IF('[1]12011069-01600373-00100007'!A114&lt;&gt;"",DATEVALUE(LEFT('[1]12011069-01600373-00100007'!C114,FIND(",",'[1]12011069-01600373-00100007'!C114)-1)),"")</f>
        <v/>
      </c>
      <c r="B112" t="str">
        <f>IF(A112&lt;&gt;"",'[1]12011069-01600373-00100007'!A114,"")</f>
        <v/>
      </c>
      <c r="C112" t="str">
        <f>IF(A112&lt;&gt;"",LEFT('[1]12011069-01600373-00100007'!F114,FIND(",",'[1]12011069-01600373-00100007'!F114))-0,"")</f>
        <v/>
      </c>
    </row>
    <row r="113" spans="1:3" x14ac:dyDescent="0.25">
      <c r="A113" s="36" t="str">
        <f>IF('[1]12011069-01600373-00100007'!A115&lt;&gt;"",DATEVALUE(LEFT('[1]12011069-01600373-00100007'!C115,FIND(",",'[1]12011069-01600373-00100007'!C115)-1)),"")</f>
        <v/>
      </c>
      <c r="B113" t="str">
        <f>IF(A113&lt;&gt;"",'[1]12011069-01600373-00100007'!A115,"")</f>
        <v/>
      </c>
      <c r="C113" t="str">
        <f>IF(A113&lt;&gt;"",LEFT('[1]12011069-01600373-00100007'!F115,FIND(",",'[1]12011069-01600373-00100007'!F115))-0,"")</f>
        <v/>
      </c>
    </row>
    <row r="114" spans="1:3" x14ac:dyDescent="0.25">
      <c r="A114" s="36" t="str">
        <f>IF('[1]12011069-01600373-00100007'!A116&lt;&gt;"",DATEVALUE(LEFT('[1]12011069-01600373-00100007'!C116,FIND(",",'[1]12011069-01600373-00100007'!C116)-1)),"")</f>
        <v/>
      </c>
      <c r="B114" t="str">
        <f>IF(A114&lt;&gt;"",'[1]12011069-01600373-00100007'!A116,"")</f>
        <v/>
      </c>
      <c r="C114" t="str">
        <f>IF(A114&lt;&gt;"",LEFT('[1]12011069-01600373-00100007'!F116,FIND(",",'[1]12011069-01600373-00100007'!F116))-0,"")</f>
        <v/>
      </c>
    </row>
    <row r="115" spans="1:3" x14ac:dyDescent="0.25">
      <c r="A115" s="36" t="str">
        <f>IF('[1]12011069-01600373-00100007'!A117&lt;&gt;"",DATEVALUE(LEFT('[1]12011069-01600373-00100007'!C117,FIND(",",'[1]12011069-01600373-00100007'!C117)-1)),"")</f>
        <v/>
      </c>
      <c r="B115" t="str">
        <f>IF(A115&lt;&gt;"",'[1]12011069-01600373-00100007'!A117,"")</f>
        <v/>
      </c>
      <c r="C115" t="str">
        <f>IF(A115&lt;&gt;"",LEFT('[1]12011069-01600373-00100007'!F117,FIND(",",'[1]12011069-01600373-00100007'!F117))-0,"")</f>
        <v/>
      </c>
    </row>
    <row r="116" spans="1:3" x14ac:dyDescent="0.25">
      <c r="A116" s="36" t="str">
        <f>IF('[1]12011069-01600373-00100007'!A118&lt;&gt;"",DATEVALUE(LEFT('[1]12011069-01600373-00100007'!C118,FIND(",",'[1]12011069-01600373-00100007'!C118)-1)),"")</f>
        <v/>
      </c>
      <c r="B116" t="str">
        <f>IF(A116&lt;&gt;"",'[1]12011069-01600373-00100007'!A118,"")</f>
        <v/>
      </c>
      <c r="C116" t="str">
        <f>IF(A116&lt;&gt;"",LEFT('[1]12011069-01600373-00100007'!F118,FIND(",",'[1]12011069-01600373-00100007'!F118))-0,"")</f>
        <v/>
      </c>
    </row>
    <row r="117" spans="1:3" x14ac:dyDescent="0.25">
      <c r="A117" s="36" t="str">
        <f>IF('[1]12011069-01600373-00100007'!A119&lt;&gt;"",DATEVALUE(LEFT('[1]12011069-01600373-00100007'!C119,FIND(",",'[1]12011069-01600373-00100007'!C119)-1)),"")</f>
        <v/>
      </c>
      <c r="B117" t="str">
        <f>IF(A117&lt;&gt;"",'[1]12011069-01600373-00100007'!A119,"")</f>
        <v/>
      </c>
      <c r="C117" t="str">
        <f>IF(A117&lt;&gt;"",LEFT('[1]12011069-01600373-00100007'!F119,FIND(",",'[1]12011069-01600373-00100007'!F119))-0,"")</f>
        <v/>
      </c>
    </row>
    <row r="118" spans="1:3" x14ac:dyDescent="0.25">
      <c r="A118" s="36" t="str">
        <f>IF('[1]12011069-01600373-00100007'!A120&lt;&gt;"",DATEVALUE(LEFT('[1]12011069-01600373-00100007'!C120,FIND(",",'[1]12011069-01600373-00100007'!C120)-1)),"")</f>
        <v/>
      </c>
      <c r="B118" t="str">
        <f>IF(A118&lt;&gt;"",'[1]12011069-01600373-00100007'!A120,"")</f>
        <v/>
      </c>
      <c r="C118" t="str">
        <f>IF(A118&lt;&gt;"",LEFT('[1]12011069-01600373-00100007'!F120,FIND(",",'[1]12011069-01600373-00100007'!F120))-0,"")</f>
        <v/>
      </c>
    </row>
    <row r="119" spans="1:3" x14ac:dyDescent="0.25">
      <c r="A119" s="36" t="str">
        <f>IF('[1]12011069-01600373-00100007'!A121&lt;&gt;"",DATEVALUE(LEFT('[1]12011069-01600373-00100007'!C121,FIND(",",'[1]12011069-01600373-00100007'!C121)-1)),"")</f>
        <v/>
      </c>
      <c r="B119" t="str">
        <f>IF(A119&lt;&gt;"",'[1]12011069-01600373-00100007'!A121,"")</f>
        <v/>
      </c>
      <c r="C119" t="str">
        <f>IF(A119&lt;&gt;"",LEFT('[1]12011069-01600373-00100007'!F121,FIND(",",'[1]12011069-01600373-00100007'!F121))-0,"")</f>
        <v/>
      </c>
    </row>
    <row r="120" spans="1:3" x14ac:dyDescent="0.25">
      <c r="A120" s="36" t="str">
        <f>IF('[1]12011069-01600373-00100007'!A122&lt;&gt;"",DATEVALUE(LEFT('[1]12011069-01600373-00100007'!C122,FIND(",",'[1]12011069-01600373-00100007'!C122)-1)),"")</f>
        <v/>
      </c>
      <c r="B120" t="str">
        <f>IF(A120&lt;&gt;"",'[1]12011069-01600373-00100007'!A122,"")</f>
        <v/>
      </c>
      <c r="C120" t="str">
        <f>IF(A120&lt;&gt;"",LEFT('[1]12011069-01600373-00100007'!F122,FIND(",",'[1]12011069-01600373-00100007'!F122))-0,"")</f>
        <v/>
      </c>
    </row>
    <row r="121" spans="1:3" x14ac:dyDescent="0.25">
      <c r="A121" s="36" t="str">
        <f>IF('[1]12011069-01600373-00100007'!A123&lt;&gt;"",DATEVALUE(LEFT('[1]12011069-01600373-00100007'!C123,FIND(",",'[1]12011069-01600373-00100007'!C123)-1)),"")</f>
        <v/>
      </c>
      <c r="B121" t="str">
        <f>IF(A121&lt;&gt;"",'[1]12011069-01600373-00100007'!A123,"")</f>
        <v/>
      </c>
      <c r="C121" t="str">
        <f>IF(A121&lt;&gt;"",LEFT('[1]12011069-01600373-00100007'!F123,FIND(",",'[1]12011069-01600373-00100007'!F123))-0,"")</f>
        <v/>
      </c>
    </row>
    <row r="122" spans="1:3" x14ac:dyDescent="0.25">
      <c r="A122" s="36" t="str">
        <f>IF('[1]12011069-01600373-00100007'!A124&lt;&gt;"",DATEVALUE(LEFT('[1]12011069-01600373-00100007'!C124,FIND(",",'[1]12011069-01600373-00100007'!C124)-1)),"")</f>
        <v/>
      </c>
      <c r="B122" t="str">
        <f>IF(A122&lt;&gt;"",'[1]12011069-01600373-00100007'!A124,"")</f>
        <v/>
      </c>
      <c r="C122" t="str">
        <f>IF(A122&lt;&gt;"",LEFT('[1]12011069-01600373-00100007'!F124,FIND(",",'[1]12011069-01600373-00100007'!F124))-0,"")</f>
        <v/>
      </c>
    </row>
    <row r="123" spans="1:3" x14ac:dyDescent="0.25">
      <c r="A123" s="36" t="str">
        <f>IF('[1]12011069-01600373-00100007'!A125&lt;&gt;"",DATEVALUE(LEFT('[1]12011069-01600373-00100007'!C125,FIND(",",'[1]12011069-01600373-00100007'!C125)-1)),"")</f>
        <v/>
      </c>
      <c r="B123" t="str">
        <f>IF(A123&lt;&gt;"",'[1]12011069-01600373-00100007'!A125,"")</f>
        <v/>
      </c>
      <c r="C123" t="str">
        <f>IF(A123&lt;&gt;"",LEFT('[1]12011069-01600373-00100007'!F125,FIND(",",'[1]12011069-01600373-00100007'!F125))-0,"")</f>
        <v/>
      </c>
    </row>
    <row r="124" spans="1:3" x14ac:dyDescent="0.25">
      <c r="A124" s="36" t="str">
        <f>IF('[1]12011069-01600373-00100007'!A126&lt;&gt;"",DATEVALUE(LEFT('[1]12011069-01600373-00100007'!C126,FIND(",",'[1]12011069-01600373-00100007'!C126)-1)),"")</f>
        <v/>
      </c>
      <c r="B124" t="str">
        <f>IF(A124&lt;&gt;"",'[1]12011069-01600373-00100007'!A126,"")</f>
        <v/>
      </c>
      <c r="C124" t="str">
        <f>IF(A124&lt;&gt;"",LEFT('[1]12011069-01600373-00100007'!F126,FIND(",",'[1]12011069-01600373-00100007'!F126))-0,"")</f>
        <v/>
      </c>
    </row>
    <row r="125" spans="1:3" x14ac:dyDescent="0.25">
      <c r="A125" s="36" t="str">
        <f>IF('[1]12011069-01600373-00100007'!A127&lt;&gt;"",DATEVALUE(LEFT('[1]12011069-01600373-00100007'!C127,FIND(",",'[1]12011069-01600373-00100007'!C127)-1)),"")</f>
        <v/>
      </c>
      <c r="B125" t="str">
        <f>IF(A125&lt;&gt;"",'[1]12011069-01600373-00100007'!A127,"")</f>
        <v/>
      </c>
      <c r="C125" t="str">
        <f>IF(A125&lt;&gt;"",LEFT('[1]12011069-01600373-00100007'!F127,FIND(",",'[1]12011069-01600373-00100007'!F127))-0,"")</f>
        <v/>
      </c>
    </row>
    <row r="126" spans="1:3" x14ac:dyDescent="0.25">
      <c r="A126" s="36" t="str">
        <f>IF('[1]12011069-01600373-00100007'!A128&lt;&gt;"",DATEVALUE(LEFT('[1]12011069-01600373-00100007'!C128,FIND(",",'[1]12011069-01600373-00100007'!C128)-1)),"")</f>
        <v/>
      </c>
      <c r="B126" t="str">
        <f>IF(A126&lt;&gt;"",'[1]12011069-01600373-00100007'!A128,"")</f>
        <v/>
      </c>
      <c r="C126" t="str">
        <f>IF(A126&lt;&gt;"",LEFT('[1]12011069-01600373-00100007'!F128,FIND(",",'[1]12011069-01600373-00100007'!F128))-0,"")</f>
        <v/>
      </c>
    </row>
    <row r="127" spans="1:3" x14ac:dyDescent="0.25">
      <c r="A127" s="36" t="str">
        <f>IF('[1]12011069-01600373-00100007'!A129&lt;&gt;"",DATEVALUE(LEFT('[1]12011069-01600373-00100007'!C129,FIND(",",'[1]12011069-01600373-00100007'!C129)-1)),"")</f>
        <v/>
      </c>
      <c r="B127" t="str">
        <f>IF(A127&lt;&gt;"",'[1]12011069-01600373-00100007'!A129,"")</f>
        <v/>
      </c>
      <c r="C127" t="str">
        <f>IF(A127&lt;&gt;"",LEFT('[1]12011069-01600373-00100007'!F129,FIND(",",'[1]12011069-01600373-00100007'!F129))-0,"")</f>
        <v/>
      </c>
    </row>
    <row r="128" spans="1:3" x14ac:dyDescent="0.25">
      <c r="A128" s="36" t="str">
        <f>IF('[1]12011069-01600373-00100007'!A130&lt;&gt;"",DATEVALUE(LEFT('[1]12011069-01600373-00100007'!C130,FIND(",",'[1]12011069-01600373-00100007'!C130)-1)),"")</f>
        <v/>
      </c>
      <c r="B128" t="str">
        <f>IF(A128&lt;&gt;"",'[1]12011069-01600373-00100007'!A130,"")</f>
        <v/>
      </c>
      <c r="C128" t="str">
        <f>IF(A128&lt;&gt;"",LEFT('[1]12011069-01600373-00100007'!F130,FIND(",",'[1]12011069-01600373-00100007'!F130))-0,"")</f>
        <v/>
      </c>
    </row>
    <row r="129" spans="1:3" x14ac:dyDescent="0.25">
      <c r="A129" s="36" t="str">
        <f>IF('[1]12011069-01600373-00100007'!A131&lt;&gt;"",DATEVALUE(LEFT('[1]12011069-01600373-00100007'!C131,FIND(",",'[1]12011069-01600373-00100007'!C131)-1)),"")</f>
        <v/>
      </c>
      <c r="B129" t="str">
        <f>IF(A129&lt;&gt;"",'[1]12011069-01600373-00100007'!A131,"")</f>
        <v/>
      </c>
      <c r="C129" t="str">
        <f>IF(A129&lt;&gt;"",LEFT('[1]12011069-01600373-00100007'!F131,FIND(",",'[1]12011069-01600373-00100007'!F131))-0,"")</f>
        <v/>
      </c>
    </row>
    <row r="130" spans="1:3" x14ac:dyDescent="0.25">
      <c r="A130" s="36" t="str">
        <f>IF('[1]12011069-01600373-00100007'!A132&lt;&gt;"",DATEVALUE(LEFT('[1]12011069-01600373-00100007'!C132,FIND(",",'[1]12011069-01600373-00100007'!C132)-1)),"")</f>
        <v/>
      </c>
      <c r="B130" t="str">
        <f>IF(A130&lt;&gt;"",'[1]12011069-01600373-00100007'!A132,"")</f>
        <v/>
      </c>
      <c r="C130" t="str">
        <f>IF(A130&lt;&gt;"",LEFT('[1]12011069-01600373-00100007'!F132,FIND(",",'[1]12011069-01600373-00100007'!F132))-0,"")</f>
        <v/>
      </c>
    </row>
    <row r="131" spans="1:3" x14ac:dyDescent="0.25">
      <c r="A131" s="36" t="str">
        <f>IF('[1]12011069-01600373-00100007'!A133&lt;&gt;"",DATEVALUE(LEFT('[1]12011069-01600373-00100007'!C133,FIND(",",'[1]12011069-01600373-00100007'!C133)-1)),"")</f>
        <v/>
      </c>
      <c r="B131" t="str">
        <f>IF(A131&lt;&gt;"",'[1]12011069-01600373-00100007'!A133,"")</f>
        <v/>
      </c>
      <c r="C131" t="str">
        <f>IF(A131&lt;&gt;"",LEFT('[1]12011069-01600373-00100007'!F133,FIND(",",'[1]12011069-01600373-00100007'!F133))-0,"")</f>
        <v/>
      </c>
    </row>
    <row r="132" spans="1:3" x14ac:dyDescent="0.25">
      <c r="A132" s="36" t="str">
        <f>IF('[1]12011069-01600373-00100007'!A134&lt;&gt;"",DATEVALUE(LEFT('[1]12011069-01600373-00100007'!C134,FIND(",",'[1]12011069-01600373-00100007'!C134)-1)),"")</f>
        <v/>
      </c>
      <c r="B132" t="str">
        <f>IF(A132&lt;&gt;"",'[1]12011069-01600373-00100007'!A134,"")</f>
        <v/>
      </c>
      <c r="C132" t="str">
        <f>IF(A132&lt;&gt;"",LEFT('[1]12011069-01600373-00100007'!F134,FIND(",",'[1]12011069-01600373-00100007'!F134))-0,"")</f>
        <v/>
      </c>
    </row>
    <row r="133" spans="1:3" x14ac:dyDescent="0.25">
      <c r="A133" s="36" t="str">
        <f>IF('[1]12011069-01600373-00100007'!A135&lt;&gt;"",DATEVALUE(LEFT('[1]12011069-01600373-00100007'!C135,FIND(",",'[1]12011069-01600373-00100007'!C135)-1)),"")</f>
        <v/>
      </c>
      <c r="B133" t="str">
        <f>IF(A133&lt;&gt;"",'[1]12011069-01600373-00100007'!A135,"")</f>
        <v/>
      </c>
      <c r="C133" t="str">
        <f>IF(A133&lt;&gt;"",LEFT('[1]12011069-01600373-00100007'!F135,FIND(",",'[1]12011069-01600373-00100007'!F135))-0,"")</f>
        <v/>
      </c>
    </row>
    <row r="134" spans="1:3" x14ac:dyDescent="0.25">
      <c r="A134" s="36" t="str">
        <f>IF('[1]12011069-01600373-00100007'!A136&lt;&gt;"",DATEVALUE(LEFT('[1]12011069-01600373-00100007'!C136,FIND(",",'[1]12011069-01600373-00100007'!C136)-1)),"")</f>
        <v/>
      </c>
      <c r="B134" t="str">
        <f>IF(A134&lt;&gt;"",'[1]12011069-01600373-00100007'!A136,"")</f>
        <v/>
      </c>
      <c r="C134" t="str">
        <f>IF(A134&lt;&gt;"",LEFT('[1]12011069-01600373-00100007'!F136,FIND(",",'[1]12011069-01600373-00100007'!F136))-0,"")</f>
        <v/>
      </c>
    </row>
    <row r="135" spans="1:3" x14ac:dyDescent="0.25">
      <c r="A135" s="36" t="str">
        <f>IF('[1]12011069-01600373-00100007'!A137&lt;&gt;"",DATEVALUE(LEFT('[1]12011069-01600373-00100007'!C137,FIND(",",'[1]12011069-01600373-00100007'!C137)-1)),"")</f>
        <v/>
      </c>
      <c r="B135" t="str">
        <f>IF(A135&lt;&gt;"",'[1]12011069-01600373-00100007'!A137,"")</f>
        <v/>
      </c>
      <c r="C135" t="str">
        <f>IF(A135&lt;&gt;"",LEFT('[1]12011069-01600373-00100007'!F137,FIND(",",'[1]12011069-01600373-00100007'!F137))-0,"")</f>
        <v/>
      </c>
    </row>
    <row r="136" spans="1:3" x14ac:dyDescent="0.25">
      <c r="A136" s="36" t="str">
        <f>IF('[1]12011069-01600373-00100007'!A138&lt;&gt;"",DATEVALUE(LEFT('[1]12011069-01600373-00100007'!C138,FIND(",",'[1]12011069-01600373-00100007'!C138)-1)),"")</f>
        <v/>
      </c>
      <c r="B136" t="str">
        <f>IF(A136&lt;&gt;"",'[1]12011069-01600373-00100007'!A138,"")</f>
        <v/>
      </c>
      <c r="C136" t="str">
        <f>IF(A136&lt;&gt;"",LEFT('[1]12011069-01600373-00100007'!F138,FIND(",",'[1]12011069-01600373-00100007'!F138))-0,"")</f>
        <v/>
      </c>
    </row>
    <row r="137" spans="1:3" x14ac:dyDescent="0.25">
      <c r="A137" s="36" t="str">
        <f>IF('[1]12011069-01600373-00100007'!A139&lt;&gt;"",DATEVALUE(LEFT('[1]12011069-01600373-00100007'!C139,FIND(",",'[1]12011069-01600373-00100007'!C139)-1)),"")</f>
        <v/>
      </c>
      <c r="B137" t="str">
        <f>IF(A137&lt;&gt;"",'[1]12011069-01600373-00100007'!A139,"")</f>
        <v/>
      </c>
      <c r="C137" t="str">
        <f>IF(A137&lt;&gt;"",LEFT('[1]12011069-01600373-00100007'!F139,FIND(",",'[1]12011069-01600373-00100007'!F139))-0,"")</f>
        <v/>
      </c>
    </row>
    <row r="138" spans="1:3" x14ac:dyDescent="0.25">
      <c r="A138" s="36" t="str">
        <f>IF('[1]12011069-01600373-00100007'!A140&lt;&gt;"",DATEVALUE(LEFT('[1]12011069-01600373-00100007'!C140,FIND(",",'[1]12011069-01600373-00100007'!C140)-1)),"")</f>
        <v/>
      </c>
      <c r="B138" t="str">
        <f>IF(A138&lt;&gt;"",'[1]12011069-01600373-00100007'!A140,"")</f>
        <v/>
      </c>
      <c r="C138" t="str">
        <f>IF(A138&lt;&gt;"",LEFT('[1]12011069-01600373-00100007'!F140,FIND(",",'[1]12011069-01600373-00100007'!F140))-0,"")</f>
        <v/>
      </c>
    </row>
    <row r="139" spans="1:3" x14ac:dyDescent="0.25">
      <c r="A139" s="36" t="str">
        <f>IF('[1]12011069-01600373-00100007'!A141&lt;&gt;"",DATEVALUE(LEFT('[1]12011069-01600373-00100007'!C141,FIND(",",'[1]12011069-01600373-00100007'!C141)-1)),"")</f>
        <v/>
      </c>
      <c r="B139" t="str">
        <f>IF(A139&lt;&gt;"",'[1]12011069-01600373-00100007'!A141,"")</f>
        <v/>
      </c>
      <c r="C139" t="str">
        <f>IF(A139&lt;&gt;"",LEFT('[1]12011069-01600373-00100007'!F141,FIND(",",'[1]12011069-01600373-00100007'!F141))-0,"")</f>
        <v/>
      </c>
    </row>
    <row r="140" spans="1:3" x14ac:dyDescent="0.25">
      <c r="A140" s="36" t="str">
        <f>IF('[1]12011069-01600373-00100007'!A142&lt;&gt;"",DATEVALUE(LEFT('[1]12011069-01600373-00100007'!C142,FIND(",",'[1]12011069-01600373-00100007'!C142)-1)),"")</f>
        <v/>
      </c>
      <c r="B140" t="str">
        <f>IF(A140&lt;&gt;"",'[1]12011069-01600373-00100007'!A142,"")</f>
        <v/>
      </c>
      <c r="C140" t="str">
        <f>IF(A140&lt;&gt;"",LEFT('[1]12011069-01600373-00100007'!F142,FIND(",",'[1]12011069-01600373-00100007'!F142))-0,"")</f>
        <v/>
      </c>
    </row>
    <row r="141" spans="1:3" x14ac:dyDescent="0.25">
      <c r="A141" s="36" t="str">
        <f>IF('[1]12011069-01600373-00100007'!A143&lt;&gt;"",DATEVALUE(LEFT('[1]12011069-01600373-00100007'!C143,FIND(",",'[1]12011069-01600373-00100007'!C143)-1)),"")</f>
        <v/>
      </c>
      <c r="B141" t="str">
        <f>IF(A141&lt;&gt;"",'[1]12011069-01600373-00100007'!A143,"")</f>
        <v/>
      </c>
      <c r="C141" t="str">
        <f>IF(A141&lt;&gt;"",LEFT('[1]12011069-01600373-00100007'!F143,FIND(",",'[1]12011069-01600373-00100007'!F143))-0,"")</f>
        <v/>
      </c>
    </row>
    <row r="142" spans="1:3" x14ac:dyDescent="0.25">
      <c r="A142" s="36" t="str">
        <f>IF('[1]12011069-01600373-00100007'!A144&lt;&gt;"",DATEVALUE(LEFT('[1]12011069-01600373-00100007'!C144,FIND(",",'[1]12011069-01600373-00100007'!C144)-1)),"")</f>
        <v/>
      </c>
      <c r="B142" t="str">
        <f>IF(A142&lt;&gt;"",'[1]12011069-01600373-00100007'!A144,"")</f>
        <v/>
      </c>
      <c r="C142" t="str">
        <f>IF(A142&lt;&gt;"",LEFT('[1]12011069-01600373-00100007'!F144,FIND(",",'[1]12011069-01600373-00100007'!F144))-0,"")</f>
        <v/>
      </c>
    </row>
    <row r="143" spans="1:3" x14ac:dyDescent="0.25">
      <c r="A143" s="36" t="str">
        <f>IF('[1]12011069-01600373-00100007'!A145&lt;&gt;"",DATEVALUE(LEFT('[1]12011069-01600373-00100007'!C145,FIND(",",'[1]12011069-01600373-00100007'!C145)-1)),"")</f>
        <v/>
      </c>
      <c r="B143" t="str">
        <f>IF(A143&lt;&gt;"",'[1]12011069-01600373-00100007'!A145,"")</f>
        <v/>
      </c>
      <c r="C143" t="str">
        <f>IF(A143&lt;&gt;"",LEFT('[1]12011069-01600373-00100007'!F145,FIND(",",'[1]12011069-01600373-00100007'!F145))-0,"")</f>
        <v/>
      </c>
    </row>
    <row r="144" spans="1:3" x14ac:dyDescent="0.25">
      <c r="A144" s="36" t="str">
        <f>IF('[1]12011069-01600373-00100007'!A146&lt;&gt;"",DATEVALUE(LEFT('[1]12011069-01600373-00100007'!C146,FIND(",",'[1]12011069-01600373-00100007'!C146)-1)),"")</f>
        <v/>
      </c>
      <c r="B144" t="str">
        <f>IF(A144&lt;&gt;"",'[1]12011069-01600373-00100007'!A146,"")</f>
        <v/>
      </c>
      <c r="C144" t="str">
        <f>IF(A144&lt;&gt;"",LEFT('[1]12011069-01600373-00100007'!F146,FIND(",",'[1]12011069-01600373-00100007'!F146))-0,"")</f>
        <v/>
      </c>
    </row>
    <row r="145" spans="1:3" x14ac:dyDescent="0.25">
      <c r="A145" s="36" t="str">
        <f>IF('[1]12011069-01600373-00100007'!A147&lt;&gt;"",DATEVALUE(LEFT('[1]12011069-01600373-00100007'!C147,FIND(",",'[1]12011069-01600373-00100007'!C147)-1)),"")</f>
        <v/>
      </c>
      <c r="B145" t="str">
        <f>IF(A145&lt;&gt;"",'[1]12011069-01600373-00100007'!A147,"")</f>
        <v/>
      </c>
      <c r="C145" t="str">
        <f>IF(A145&lt;&gt;"",LEFT('[1]12011069-01600373-00100007'!F147,FIND(",",'[1]12011069-01600373-00100007'!F147))-0,"")</f>
        <v/>
      </c>
    </row>
    <row r="146" spans="1:3" x14ac:dyDescent="0.25">
      <c r="A146" s="36" t="str">
        <f>IF('[1]12011069-01600373-00100007'!A148&lt;&gt;"",DATEVALUE(LEFT('[1]12011069-01600373-00100007'!C148,FIND(",",'[1]12011069-01600373-00100007'!C148)-1)),"")</f>
        <v/>
      </c>
      <c r="B146" t="str">
        <f>IF(A146&lt;&gt;"",'[1]12011069-01600373-00100007'!A148,"")</f>
        <v/>
      </c>
      <c r="C146" t="str">
        <f>IF(A146&lt;&gt;"",LEFT('[1]12011069-01600373-00100007'!F148,FIND(",",'[1]12011069-01600373-00100007'!F148))-0,"")</f>
        <v/>
      </c>
    </row>
    <row r="147" spans="1:3" x14ac:dyDescent="0.25">
      <c r="A147" s="36" t="str">
        <f>IF('[1]12011069-01600373-00100007'!A149&lt;&gt;"",DATEVALUE(LEFT('[1]12011069-01600373-00100007'!C149,FIND(",",'[1]12011069-01600373-00100007'!C149)-1)),"")</f>
        <v/>
      </c>
      <c r="B147" t="str">
        <f>IF(A147&lt;&gt;"",'[1]12011069-01600373-00100007'!A149,"")</f>
        <v/>
      </c>
      <c r="C147" t="str">
        <f>IF(A147&lt;&gt;"",LEFT('[1]12011069-01600373-00100007'!F149,FIND(",",'[1]12011069-01600373-00100007'!F149))-0,"")</f>
        <v/>
      </c>
    </row>
    <row r="148" spans="1:3" x14ac:dyDescent="0.25">
      <c r="A148" s="36" t="str">
        <f>IF('[1]12011069-01600373-00100007'!A150&lt;&gt;"",DATEVALUE(LEFT('[1]12011069-01600373-00100007'!C150,FIND(",",'[1]12011069-01600373-00100007'!C150)-1)),"")</f>
        <v/>
      </c>
      <c r="B148" t="str">
        <f>IF(A148&lt;&gt;"",'[1]12011069-01600373-00100007'!A150,"")</f>
        <v/>
      </c>
      <c r="C148" t="str">
        <f>IF(A148&lt;&gt;"",LEFT('[1]12011069-01600373-00100007'!F150,FIND(",",'[1]12011069-01600373-00100007'!F150))-0,"")</f>
        <v/>
      </c>
    </row>
    <row r="149" spans="1:3" x14ac:dyDescent="0.25">
      <c r="A149" s="36" t="str">
        <f>IF('[1]12011069-01600373-00100007'!A151&lt;&gt;"",DATEVALUE(LEFT('[1]12011069-01600373-00100007'!C151,FIND(",",'[1]12011069-01600373-00100007'!C151)-1)),"")</f>
        <v/>
      </c>
      <c r="B149" t="str">
        <f>IF(A149&lt;&gt;"",'[1]12011069-01600373-00100007'!A151,"")</f>
        <v/>
      </c>
      <c r="C149" t="str">
        <f>IF(A149&lt;&gt;"",LEFT('[1]12011069-01600373-00100007'!F151,FIND(",",'[1]12011069-01600373-00100007'!F151))-0,"")</f>
        <v/>
      </c>
    </row>
    <row r="150" spans="1:3" x14ac:dyDescent="0.25">
      <c r="A150" s="36" t="str">
        <f>IF('[1]12011069-01600373-00100007'!A152&lt;&gt;"",DATEVALUE(LEFT('[1]12011069-01600373-00100007'!C152,FIND(",",'[1]12011069-01600373-00100007'!C152)-1)),"")</f>
        <v/>
      </c>
      <c r="B150" t="str">
        <f>IF(A150&lt;&gt;"",'[1]12011069-01600373-00100007'!A152,"")</f>
        <v/>
      </c>
      <c r="C150" t="str">
        <f>IF(A150&lt;&gt;"",LEFT('[1]12011069-01600373-00100007'!F152,FIND(",",'[1]12011069-01600373-00100007'!F152))-0,"")</f>
        <v/>
      </c>
    </row>
    <row r="151" spans="1:3" x14ac:dyDescent="0.25">
      <c r="A151" s="36" t="str">
        <f>IF('[1]12011069-01600373-00100007'!A153&lt;&gt;"",DATEVALUE(LEFT('[1]12011069-01600373-00100007'!C153,FIND(",",'[1]12011069-01600373-00100007'!C153)-1)),"")</f>
        <v/>
      </c>
      <c r="B151" t="str">
        <f>IF(A151&lt;&gt;"",'[1]12011069-01600373-00100007'!A153,"")</f>
        <v/>
      </c>
      <c r="C151" t="str">
        <f>IF(A151&lt;&gt;"",LEFT('[1]12011069-01600373-00100007'!F153,FIND(",",'[1]12011069-01600373-00100007'!F153))-0,"")</f>
        <v/>
      </c>
    </row>
    <row r="152" spans="1:3" x14ac:dyDescent="0.25">
      <c r="A152" s="36" t="str">
        <f>IF('[1]12011069-01600373-00100007'!A154&lt;&gt;"",DATEVALUE(LEFT('[1]12011069-01600373-00100007'!C154,FIND(",",'[1]12011069-01600373-00100007'!C154)-1)),"")</f>
        <v/>
      </c>
      <c r="B152" t="str">
        <f>IF(A152&lt;&gt;"",'[1]12011069-01600373-00100007'!A154,"")</f>
        <v/>
      </c>
      <c r="C152" t="str">
        <f>IF(A152&lt;&gt;"",LEFT('[1]12011069-01600373-00100007'!F154,FIND(",",'[1]12011069-01600373-00100007'!F154))-0,"")</f>
        <v/>
      </c>
    </row>
    <row r="153" spans="1:3" x14ac:dyDescent="0.25">
      <c r="A153" s="36" t="str">
        <f>IF('[1]12011069-01600373-00100007'!A155&lt;&gt;"",DATEVALUE(LEFT('[1]12011069-01600373-00100007'!C155,FIND(",",'[1]12011069-01600373-00100007'!C155)-1)),"")</f>
        <v/>
      </c>
      <c r="B153" t="str">
        <f>IF(A153&lt;&gt;"",'[1]12011069-01600373-00100007'!A155,"")</f>
        <v/>
      </c>
      <c r="C153" t="str">
        <f>IF(A153&lt;&gt;"",LEFT('[1]12011069-01600373-00100007'!F155,FIND(",",'[1]12011069-01600373-00100007'!F155))-0,"")</f>
        <v/>
      </c>
    </row>
    <row r="154" spans="1:3" x14ac:dyDescent="0.25">
      <c r="A154" s="36" t="str">
        <f>IF('[1]12011069-01600373-00100007'!A156&lt;&gt;"",DATEVALUE(LEFT('[1]12011069-01600373-00100007'!C156,FIND(",",'[1]12011069-01600373-00100007'!C156)-1)),"")</f>
        <v/>
      </c>
      <c r="B154" t="str">
        <f>IF(A154&lt;&gt;"",'[1]12011069-01600373-00100007'!A156,"")</f>
        <v/>
      </c>
      <c r="C154" t="str">
        <f>IF(A154&lt;&gt;"",LEFT('[1]12011069-01600373-00100007'!F156,FIND(",",'[1]12011069-01600373-00100007'!F156))-0,"")</f>
        <v/>
      </c>
    </row>
    <row r="155" spans="1:3" x14ac:dyDescent="0.25">
      <c r="A155" s="36" t="str">
        <f>IF('[1]12011069-01600373-00100007'!A157&lt;&gt;"",DATEVALUE(LEFT('[1]12011069-01600373-00100007'!C157,FIND(",",'[1]12011069-01600373-00100007'!C157)-1)),"")</f>
        <v/>
      </c>
      <c r="B155" t="str">
        <f>IF(A155&lt;&gt;"",'[1]12011069-01600373-00100007'!A157,"")</f>
        <v/>
      </c>
      <c r="C155" t="str">
        <f>IF(A155&lt;&gt;"",LEFT('[1]12011069-01600373-00100007'!F157,FIND(",",'[1]12011069-01600373-00100007'!F157))-0,"")</f>
        <v/>
      </c>
    </row>
    <row r="156" spans="1:3" x14ac:dyDescent="0.25">
      <c r="A156" s="36" t="str">
        <f>IF('[1]12011069-01600373-00100007'!A158&lt;&gt;"",DATEVALUE(LEFT('[1]12011069-01600373-00100007'!C158,FIND(",",'[1]12011069-01600373-00100007'!C158)-1)),"")</f>
        <v/>
      </c>
      <c r="B156" t="str">
        <f>IF(A156&lt;&gt;"",'[1]12011069-01600373-00100007'!A158,"")</f>
        <v/>
      </c>
      <c r="C156" t="str">
        <f>IF(A156&lt;&gt;"",LEFT('[1]12011069-01600373-00100007'!F158,FIND(",",'[1]12011069-01600373-00100007'!F158))-0,"")</f>
        <v/>
      </c>
    </row>
    <row r="157" spans="1:3" x14ac:dyDescent="0.25">
      <c r="A157" s="36" t="str">
        <f>IF('[1]12011069-01600373-00100007'!A159&lt;&gt;"",DATEVALUE(LEFT('[1]12011069-01600373-00100007'!C159,FIND(",",'[1]12011069-01600373-00100007'!C159)-1)),"")</f>
        <v/>
      </c>
      <c r="B157" t="str">
        <f>IF(A157&lt;&gt;"",'[1]12011069-01600373-00100007'!A159,"")</f>
        <v/>
      </c>
      <c r="C157" t="str">
        <f>IF(A157&lt;&gt;"",LEFT('[1]12011069-01600373-00100007'!F159,FIND(",",'[1]12011069-01600373-00100007'!F159))-0,"")</f>
        <v/>
      </c>
    </row>
    <row r="158" spans="1:3" x14ac:dyDescent="0.25">
      <c r="A158" s="36" t="str">
        <f>IF('[1]12011069-01600373-00100007'!A160&lt;&gt;"",DATEVALUE(LEFT('[1]12011069-01600373-00100007'!C160,FIND(",",'[1]12011069-01600373-00100007'!C160)-1)),"")</f>
        <v/>
      </c>
      <c r="B158" t="str">
        <f>IF(A158&lt;&gt;"",'[1]12011069-01600373-00100007'!A160,"")</f>
        <v/>
      </c>
      <c r="C158" t="str">
        <f>IF(A158&lt;&gt;"",LEFT('[1]12011069-01600373-00100007'!F160,FIND(",",'[1]12011069-01600373-00100007'!F160))-0,"")</f>
        <v/>
      </c>
    </row>
    <row r="159" spans="1:3" x14ac:dyDescent="0.25">
      <c r="A159" s="36" t="str">
        <f>IF('[1]12011069-01600373-00100007'!A161&lt;&gt;"",DATEVALUE(LEFT('[1]12011069-01600373-00100007'!C161,FIND(",",'[1]12011069-01600373-00100007'!C161)-1)),"")</f>
        <v/>
      </c>
      <c r="B159" t="str">
        <f>IF(A159&lt;&gt;"",'[1]12011069-01600373-00100007'!A161,"")</f>
        <v/>
      </c>
      <c r="C159" t="str">
        <f>IF(A159&lt;&gt;"",LEFT('[1]12011069-01600373-00100007'!F161,FIND(",",'[1]12011069-01600373-00100007'!F161))-0,"")</f>
        <v/>
      </c>
    </row>
    <row r="160" spans="1:3" x14ac:dyDescent="0.25">
      <c r="A160" s="36" t="str">
        <f>IF('[1]12011069-01600373-00100007'!A162&lt;&gt;"",DATEVALUE(LEFT('[1]12011069-01600373-00100007'!C162,FIND(",",'[1]12011069-01600373-00100007'!C162)-1)),"")</f>
        <v/>
      </c>
      <c r="B160" t="str">
        <f>IF(A160&lt;&gt;"",'[1]12011069-01600373-00100007'!A162,"")</f>
        <v/>
      </c>
      <c r="C160" t="str">
        <f>IF(A160&lt;&gt;"",LEFT('[1]12011069-01600373-00100007'!F162,FIND(",",'[1]12011069-01600373-00100007'!F162))-0,"")</f>
        <v/>
      </c>
    </row>
    <row r="161" spans="1:3" x14ac:dyDescent="0.25">
      <c r="A161" s="36" t="str">
        <f>IF('[1]12011069-01600373-00100007'!A163&lt;&gt;"",DATEVALUE(LEFT('[1]12011069-01600373-00100007'!C163,FIND(",",'[1]12011069-01600373-00100007'!C163)-1)),"")</f>
        <v/>
      </c>
      <c r="B161" t="str">
        <f>IF(A161&lt;&gt;"",'[1]12011069-01600373-00100007'!A163,"")</f>
        <v/>
      </c>
      <c r="C161" t="str">
        <f>IF(A161&lt;&gt;"",LEFT('[1]12011069-01600373-00100007'!F163,FIND(",",'[1]12011069-01600373-00100007'!F163))-0,"")</f>
        <v/>
      </c>
    </row>
    <row r="162" spans="1:3" x14ac:dyDescent="0.25">
      <c r="A162" s="36" t="str">
        <f>IF('[1]12011069-01600373-00100007'!A164&lt;&gt;"",DATEVALUE(LEFT('[1]12011069-01600373-00100007'!C164,FIND(",",'[1]12011069-01600373-00100007'!C164)-1)),"")</f>
        <v/>
      </c>
      <c r="B162" t="str">
        <f>IF(A162&lt;&gt;"",'[1]12011069-01600373-00100007'!A164,"")</f>
        <v/>
      </c>
      <c r="C162" t="str">
        <f>IF(A162&lt;&gt;"",LEFT('[1]12011069-01600373-00100007'!F164,FIND(",",'[1]12011069-01600373-00100007'!F164))-0,"")</f>
        <v/>
      </c>
    </row>
    <row r="163" spans="1:3" x14ac:dyDescent="0.25">
      <c r="A163" s="36" t="str">
        <f>IF('[1]12011069-01600373-00100007'!A165&lt;&gt;"",DATEVALUE(LEFT('[1]12011069-01600373-00100007'!C165,FIND(",",'[1]12011069-01600373-00100007'!C165)-1)),"")</f>
        <v/>
      </c>
      <c r="B163" t="str">
        <f>IF(A163&lt;&gt;"",'[1]12011069-01600373-00100007'!A165,"")</f>
        <v/>
      </c>
      <c r="C163" t="str">
        <f>IF(A163&lt;&gt;"",LEFT('[1]12011069-01600373-00100007'!F165,FIND(",",'[1]12011069-01600373-00100007'!F165))-0,"")</f>
        <v/>
      </c>
    </row>
    <row r="164" spans="1:3" x14ac:dyDescent="0.25">
      <c r="A164" s="36" t="str">
        <f>IF('[1]12011069-01600373-00100007'!A166&lt;&gt;"",DATEVALUE(LEFT('[1]12011069-01600373-00100007'!C166,FIND(",",'[1]12011069-01600373-00100007'!C166)-1)),"")</f>
        <v/>
      </c>
      <c r="B164" t="str">
        <f>IF(A164&lt;&gt;"",'[1]12011069-01600373-00100007'!A166,"")</f>
        <v/>
      </c>
      <c r="C164" t="str">
        <f>IF(A164&lt;&gt;"",LEFT('[1]12011069-01600373-00100007'!F166,FIND(",",'[1]12011069-01600373-00100007'!F166))-0,"")</f>
        <v/>
      </c>
    </row>
    <row r="165" spans="1:3" x14ac:dyDescent="0.25">
      <c r="A165" s="36" t="str">
        <f>IF('[1]12011069-01600373-00100007'!A167&lt;&gt;"",DATEVALUE(LEFT('[1]12011069-01600373-00100007'!C167,FIND(",",'[1]12011069-01600373-00100007'!C167)-1)),"")</f>
        <v/>
      </c>
      <c r="B165" t="str">
        <f>IF(A165&lt;&gt;"",'[1]12011069-01600373-00100007'!A167,"")</f>
        <v/>
      </c>
      <c r="C165" t="str">
        <f>IF(A165&lt;&gt;"",LEFT('[1]12011069-01600373-00100007'!F167,FIND(",",'[1]12011069-01600373-00100007'!F167))-0,"")</f>
        <v/>
      </c>
    </row>
    <row r="166" spans="1:3" x14ac:dyDescent="0.25">
      <c r="A166" s="36" t="str">
        <f>IF('[1]12011069-01600373-00100007'!A168&lt;&gt;"",DATEVALUE(LEFT('[1]12011069-01600373-00100007'!C168,FIND(",",'[1]12011069-01600373-00100007'!C168)-1)),"")</f>
        <v/>
      </c>
      <c r="B166" t="str">
        <f>IF(A166&lt;&gt;"",'[1]12011069-01600373-00100007'!A168,"")</f>
        <v/>
      </c>
      <c r="C166" t="str">
        <f>IF(A166&lt;&gt;"",LEFT('[1]12011069-01600373-00100007'!F168,FIND(",",'[1]12011069-01600373-00100007'!F168))-0,"")</f>
        <v/>
      </c>
    </row>
    <row r="167" spans="1:3" x14ac:dyDescent="0.25">
      <c r="A167" s="36" t="str">
        <f>IF('[1]12011069-01600373-00100007'!A169&lt;&gt;"",DATEVALUE(LEFT('[1]12011069-01600373-00100007'!C169,FIND(",",'[1]12011069-01600373-00100007'!C169)-1)),"")</f>
        <v/>
      </c>
      <c r="B167" t="str">
        <f>IF(A167&lt;&gt;"",'[1]12011069-01600373-00100007'!A169,"")</f>
        <v/>
      </c>
      <c r="C167" t="str">
        <f>IF(A167&lt;&gt;"",LEFT('[1]12011069-01600373-00100007'!F169,FIND(",",'[1]12011069-01600373-00100007'!F169))-0,"")</f>
        <v/>
      </c>
    </row>
    <row r="168" spans="1:3" x14ac:dyDescent="0.25">
      <c r="A168" s="36" t="str">
        <f>IF('[1]12011069-01600373-00100007'!A170&lt;&gt;"",DATEVALUE(LEFT('[1]12011069-01600373-00100007'!C170,FIND(",",'[1]12011069-01600373-00100007'!C170)-1)),"")</f>
        <v/>
      </c>
      <c r="B168" t="str">
        <f>IF(A168&lt;&gt;"",'[1]12011069-01600373-00100007'!A170,"")</f>
        <v/>
      </c>
      <c r="C168" t="str">
        <f>IF(A168&lt;&gt;"",LEFT('[1]12011069-01600373-00100007'!F170,FIND(",",'[1]12011069-01600373-00100007'!F170))-0,"")</f>
        <v/>
      </c>
    </row>
    <row r="169" spans="1:3" x14ac:dyDescent="0.25">
      <c r="A169" s="36" t="str">
        <f>IF('[1]12011069-01600373-00100007'!A171&lt;&gt;"",DATEVALUE(LEFT('[1]12011069-01600373-00100007'!C171,FIND(",",'[1]12011069-01600373-00100007'!C171)-1)),"")</f>
        <v/>
      </c>
      <c r="B169" t="str">
        <f>IF(A169&lt;&gt;"",'[1]12011069-01600373-00100007'!A171,"")</f>
        <v/>
      </c>
      <c r="C169" t="str">
        <f>IF(A169&lt;&gt;"",LEFT('[1]12011069-01600373-00100007'!F171,FIND(",",'[1]12011069-01600373-00100007'!F171))-0,"")</f>
        <v/>
      </c>
    </row>
    <row r="170" spans="1:3" x14ac:dyDescent="0.25">
      <c r="A170" s="36" t="str">
        <f>IF('[1]12011069-01600373-00100007'!A172&lt;&gt;"",DATEVALUE(LEFT('[1]12011069-01600373-00100007'!C172,FIND(",",'[1]12011069-01600373-00100007'!C172)-1)),"")</f>
        <v/>
      </c>
      <c r="B170" t="str">
        <f>IF(A170&lt;&gt;"",'[1]12011069-01600373-00100007'!A172,"")</f>
        <v/>
      </c>
      <c r="C170" t="str">
        <f>IF(A170&lt;&gt;"",LEFT('[1]12011069-01600373-00100007'!F172,FIND(",",'[1]12011069-01600373-00100007'!F172))-0,"")</f>
        <v/>
      </c>
    </row>
    <row r="171" spans="1:3" x14ac:dyDescent="0.25">
      <c r="A171" s="36" t="str">
        <f>IF('[1]12011069-01600373-00100007'!A173&lt;&gt;"",DATEVALUE(LEFT('[1]12011069-01600373-00100007'!C173,FIND(",",'[1]12011069-01600373-00100007'!C173)-1)),"")</f>
        <v/>
      </c>
      <c r="B171" t="str">
        <f>IF(A171&lt;&gt;"",'[1]12011069-01600373-00100007'!A173,"")</f>
        <v/>
      </c>
      <c r="C171" t="str">
        <f>IF(A171&lt;&gt;"",LEFT('[1]12011069-01600373-00100007'!F173,FIND(",",'[1]12011069-01600373-00100007'!F173))-0,"")</f>
        <v/>
      </c>
    </row>
    <row r="172" spans="1:3" x14ac:dyDescent="0.25">
      <c r="A172" s="36" t="str">
        <f>IF('[1]12011069-01600373-00100007'!A174&lt;&gt;"",DATEVALUE(LEFT('[1]12011069-01600373-00100007'!C174,FIND(",",'[1]12011069-01600373-00100007'!C174)-1)),"")</f>
        <v/>
      </c>
      <c r="B172" t="str">
        <f>IF(A172&lt;&gt;"",'[1]12011069-01600373-00100007'!A174,"")</f>
        <v/>
      </c>
      <c r="C172" t="str">
        <f>IF(A172&lt;&gt;"",LEFT('[1]12011069-01600373-00100007'!F174,FIND(",",'[1]12011069-01600373-00100007'!F174))-0,"")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E175"/>
  <sheetViews>
    <sheetView topLeftCell="A20" workbookViewId="0">
      <selection activeCell="B30" sqref="B30"/>
    </sheetView>
  </sheetViews>
  <sheetFormatPr defaultColWidth="9.28515625" defaultRowHeight="15" x14ac:dyDescent="0.25"/>
  <cols>
    <col min="1" max="1" width="10.140625" style="64" bestFit="1" customWidth="1"/>
    <col min="2" max="2" width="163.42578125" style="64" bestFit="1" customWidth="1"/>
    <col min="3" max="3" width="12.7109375" style="64" bestFit="1" customWidth="1"/>
    <col min="4" max="4" width="13.42578125" style="64" bestFit="1" customWidth="1"/>
  </cols>
  <sheetData>
    <row r="1" spans="1:5" x14ac:dyDescent="0.25">
      <c r="A1" s="36">
        <f>IF([2]export!$A5&lt;&gt;"",DATEVALUE([2]export!$E5),"")</f>
        <v>45443</v>
      </c>
      <c r="B1" t="str">
        <f>IF([2]export!$E5&lt;&gt;"",_xlfn.TEXTJOIN(" ",TRUE,[2]export!$F5:$J5),"")</f>
        <v>HUN-Budaors IKEA BUDAORS BEV ECO Áru vissza/befizetés(2024.05.29) Card:5444-0XXX-XX26-4954 MCC5712 HUN-Budaors IKEA BUDAORS BEV ECO 13.980,00 HUF Kártyatranzakció</v>
      </c>
      <c r="C1" s="37">
        <f>_xlfn.NUMBERVALUE(SUBSTITUTE(SUBSTITUTE([2]export!$B5," HUF",""),CHAR(160),""))</f>
        <v>13980</v>
      </c>
      <c r="D1" s="37"/>
      <c r="E1" s="37"/>
    </row>
    <row r="2" spans="1:5" x14ac:dyDescent="0.25">
      <c r="A2" s="36">
        <f>IF([2]export!$A6&lt;&gt;"",DATEVALUE([2]export!$E6),"")</f>
        <v>45443</v>
      </c>
      <c r="B2" t="str">
        <f>IF([2]export!$E6&lt;&gt;"",_xlfn.TEXTJOIN(" ",TRUE,[2]export!$F6:$J6),"")</f>
        <v>Havi zárlati díj</v>
      </c>
      <c r="C2" s="37">
        <f>_xlfn.NUMBERVALUE(SUBSTITUTE(SUBSTITUTE([2]export!$B6," HUF",""),CHAR(160),""))</f>
        <v>-2613</v>
      </c>
    </row>
    <row r="3" spans="1:5" x14ac:dyDescent="0.25">
      <c r="A3" s="36">
        <f>IF([2]export!$A7&lt;&gt;"",DATEVALUE([2]export!$E7),"")</f>
        <v>45443</v>
      </c>
      <c r="B3" t="str">
        <f>IF([2]export!$E7&lt;&gt;"",_xlfn.TEXTJOIN(" ",TRUE,[2]export!$F7:$J7),"")</f>
        <v>HUN-Budapest Kemal Pasa Torok Et Vásárlás(2024.05.29) Card:5444-0XXX-XX26-4954 MCC5812 HUN-Budapest Kemal Pasa Torok Et 2.700,00 HUF Kártyatranzakció</v>
      </c>
      <c r="C3" s="37">
        <f>_xlfn.NUMBERVALUE(SUBSTITUTE(SUBSTITUTE([2]export!$B7," HUF",""),CHAR(160),""))</f>
        <v>-2700</v>
      </c>
    </row>
    <row r="4" spans="1:5" x14ac:dyDescent="0.25">
      <c r="A4" s="36">
        <f>IF([2]export!$A8&lt;&gt;"",DATEVALUE([2]export!$E8),"")</f>
        <v>45443</v>
      </c>
      <c r="B4" t="str">
        <f>IF([2]export!$E8&lt;&gt;"",_xlfn.TEXTJOIN(" ",TRUE,[2]export!$F8:$J8),"")</f>
        <v>HUN-BUDAORS JYSK H824 Vásárlás(2024.05.29) Card:5444-0XXX-XX26-4954 MCC5712 HUN-BUDAORS JYSK H824 20.000,00 HUF Kártyatranzakció</v>
      </c>
      <c r="C4" s="37">
        <f>_xlfn.NUMBERVALUE(SUBSTITUTE(SUBSTITUTE([2]export!$B8," HUF",""),CHAR(160),""))</f>
        <v>-20000</v>
      </c>
    </row>
    <row r="5" spans="1:5" x14ac:dyDescent="0.25">
      <c r="A5" s="36">
        <f>IF([2]export!$A9&lt;&gt;"",DATEVALUE([2]export!$E9),"")</f>
        <v>45442</v>
      </c>
      <c r="B5" t="str">
        <f>IF([2]export!$E9&lt;&gt;"",_xlfn.TEXTJOIN(" ",TRUE,[2]export!$F9:$J9),"")</f>
        <v>LTU-Vilnius VINTED 9596902041 Vásárlás(2024.05.28) Card:5444-0XXX-XX26-4954 MCC5931 LTU-Vilnius VINTED 9596902041 2.735,00 HUF Kártyatranzakció</v>
      </c>
      <c r="C5" s="37">
        <f>_xlfn.NUMBERVALUE(SUBSTITUTE(SUBSTITUTE([2]export!$B9," HUF",""),CHAR(160),""))</f>
        <v>-2735</v>
      </c>
    </row>
    <row r="6" spans="1:5" x14ac:dyDescent="0.25">
      <c r="A6" s="36">
        <f>IF([2]export!$A10&lt;&gt;"",DATEVALUE([2]export!$E10),"")</f>
        <v>45441</v>
      </c>
      <c r="B6" t="str">
        <f>IF([2]export!$E10&lt;&gt;"",_xlfn.TEXTJOIN(" ",TRUE,[2]export!$F10:$J10),"")</f>
        <v>HUN-BALATONLELLE MOL 33040 Vásárlás(2024.05.27) Card:5444-0XXX-XX26-4954 MCC5541 HUN-BALATONLELLE MOL 33040 3.755,00 HUF Kártyatranzakció</v>
      </c>
      <c r="C6" s="37">
        <f>_xlfn.NUMBERVALUE(SUBSTITUTE(SUBSTITUTE([2]export!$B10," HUF",""),CHAR(160),""))</f>
        <v>-3755</v>
      </c>
    </row>
    <row r="7" spans="1:5" x14ac:dyDescent="0.25">
      <c r="A7" s="36">
        <f>IF([2]export!$A11&lt;&gt;"",DATEVALUE([2]export!$E11),"")</f>
        <v>45441</v>
      </c>
      <c r="B7" t="str">
        <f>IF([2]export!$E11&lt;&gt;"",_xlfn.TEXTJOIN(" ",TRUE,[2]export!$F11:$J11),"")</f>
        <v>HUN-Agard LIDL HU 306 Agard Vásárlás(2024.05.27) Card:5444-0XXX-XX26-4954 MCC5411 HUN-Agard LIDL HU 306 Agard 22.850,00 HUF Kártyatranzakció</v>
      </c>
      <c r="C7" s="37">
        <f>_xlfn.NUMBERVALUE(SUBSTITUTE(SUBSTITUTE([2]export!$B11," HUF",""),CHAR(160),""))</f>
        <v>-22850</v>
      </c>
    </row>
    <row r="8" spans="1:5" x14ac:dyDescent="0.25">
      <c r="A8" s="36">
        <f>IF([2]export!$A12&lt;&gt;"",DATEVALUE([2]export!$E12),"")</f>
        <v>45440</v>
      </c>
      <c r="B8" t="str">
        <f>IF([2]export!$E12&lt;&gt;"",_xlfn.TEXTJOIN(" ",TRUE,[2]export!$F12:$J12),"")</f>
        <v>5444 XXXX XXXX 4954 / null</v>
      </c>
      <c r="C8" s="37">
        <f>_xlfn.NUMBERVALUE(SUBSTITUTE(SUBSTITUTE([2]export!$B12," HUF",""),CHAR(160),""))</f>
        <v>-555</v>
      </c>
    </row>
    <row r="9" spans="1:5" x14ac:dyDescent="0.25">
      <c r="A9" s="36">
        <f>IF([2]export!$A13&lt;&gt;"",DATEVALUE([2]export!$E13),"")</f>
        <v>45440</v>
      </c>
      <c r="B9" t="str">
        <f>IF([2]export!$E13&lt;&gt;"",_xlfn.TEXTJOIN(" ",TRUE,[2]export!$F13:$J13),"")</f>
        <v>HUN-BUDAORS OBI 010 BUDAORS Vásárlás(2024.05.26) Card:5444-0XXX-XX26-4954 MCC5200 HUN-BUDAORS OBI 010 BUDAORS 16.042,00 HUF Kártyatranzakció</v>
      </c>
      <c r="C9" s="37">
        <f>_xlfn.NUMBERVALUE(SUBSTITUTE(SUBSTITUTE([2]export!$B13," HUF",""),CHAR(160),""))</f>
        <v>-16042</v>
      </c>
    </row>
    <row r="10" spans="1:5" x14ac:dyDescent="0.25">
      <c r="A10" s="36">
        <f>IF([2]export!$A14&lt;&gt;"",DATEVALUE([2]export!$E14),"")</f>
        <v>45439</v>
      </c>
      <c r="B10" t="str">
        <f>IF([2]export!$E14&lt;&gt;"",_xlfn.TEXTJOIN(" ",TRUE,[2]export!$F14:$J14),"")</f>
        <v>HUN-BARACSKA CSIZ SAJTMUHELY KFT Vásárlás(2024.05.25) Card:5444-0XXX-XX26-4954 MCC5499 HUN-BARACSKA CSIZ SAJTMUHELY KFT 500,00 HUF Kártyatranzakció</v>
      </c>
      <c r="C10" s="37">
        <f>_xlfn.NUMBERVALUE(SUBSTITUTE(SUBSTITUTE([2]export!$B14," HUF",""),CHAR(160),""))</f>
        <v>-500</v>
      </c>
    </row>
    <row r="11" spans="1:5" x14ac:dyDescent="0.25">
      <c r="A11" s="36">
        <f>IF([2]export!$A15&lt;&gt;"",DATEVALUE([2]export!$E15),"")</f>
        <v>45439</v>
      </c>
      <c r="B11" t="str">
        <f>IF([2]export!$E15&lt;&gt;"",_xlfn.TEXTJOIN(" ",TRUE,[2]export!$F15:$J15),"")</f>
        <v>HUN-Martonvasar SASKAEK Kft. Vásárlás(2024.05.24) Card:5444-0XXX-XX26-4954 MCC5411 HUN-Martonvasar SASKAEK Kft. 864,00 HUF Kártyatranzakció</v>
      </c>
      <c r="C11" s="37">
        <f>_xlfn.NUMBERVALUE(SUBSTITUTE(SUBSTITUTE([2]export!$B15," HUF",""),CHAR(160),""))</f>
        <v>-864</v>
      </c>
    </row>
    <row r="12" spans="1:5" x14ac:dyDescent="0.25">
      <c r="A12" s="36">
        <f>IF([2]export!$A16&lt;&gt;"",DATEVALUE([2]export!$E16),"")</f>
        <v>45439</v>
      </c>
      <c r="B12" t="str">
        <f>IF([2]export!$E16&lt;&gt;"",_xlfn.TEXTJOIN(" ",TRUE,[2]export!$F16:$J16),"")</f>
        <v>HUN-Martonvasar SASKAEK Kft. Vásárlás(2024.05.25) Card:5444-0XXX-XX26-4954 MCC5411 HUN-Martonvasar SASKAEK Kft. 1.218,00 HUF Kártyatranzakció</v>
      </c>
      <c r="C12" s="37">
        <f>_xlfn.NUMBERVALUE(SUBSTITUTE(SUBSTITUTE([2]export!$B16," HUF",""),CHAR(160),""))</f>
        <v>-1218</v>
      </c>
    </row>
    <row r="13" spans="1:5" x14ac:dyDescent="0.25">
      <c r="A13" s="36">
        <f>IF([2]export!$A17&lt;&gt;"",DATEVALUE([2]export!$E17),"")</f>
        <v>45439</v>
      </c>
      <c r="B13" t="str">
        <f>IF([2]export!$E17&lt;&gt;"",_xlfn.TEXTJOIN(" ",TRUE,[2]export!$F17:$J17),"")</f>
        <v>HUN-BUDAPEST MAMMUT BEV.KP.PARK.AUT Vásárlás(2024.05.25) Card:5444-0XXX-XX26-4954 MCC7523 HUN-BUDAPEST MAMMUT BEV.KP.PARK.AUT 1.500,00 HUF Kártyatranzakció</v>
      </c>
      <c r="C13" s="37">
        <f>_xlfn.NUMBERVALUE(SUBSTITUTE(SUBSTITUTE([2]export!$B17," HUF",""),CHAR(160),""))</f>
        <v>-1500</v>
      </c>
    </row>
    <row r="14" spans="1:5" x14ac:dyDescent="0.25">
      <c r="A14" s="36">
        <f>IF([2]export!$A18&lt;&gt;"",DATEVALUE([2]export!$E18),"")</f>
        <v>45439</v>
      </c>
      <c r="B14" t="str">
        <f>IF([2]export!$E18&lt;&gt;"",_xlfn.TEXTJOIN(" ",TRUE,[2]export!$F18:$J18),"")</f>
        <v>HUN-MARTONVASAR MARTONVASAR-HUS KFT Vásárlás(2024.05.24) Card:5444-0XXX-XX26-4954 MCC5422 HUN-MARTONVASAR MARTONVASAR-HUS KFT 1.570,00 HUF Kártyatranzakció</v>
      </c>
      <c r="C14" s="37">
        <f>_xlfn.NUMBERVALUE(SUBSTITUTE(SUBSTITUTE([2]export!$B18," HUF",""),CHAR(160),""))</f>
        <v>-1570</v>
      </c>
    </row>
    <row r="15" spans="1:5" x14ac:dyDescent="0.25">
      <c r="A15" s="36">
        <f>IF([2]export!$A19&lt;&gt;"",DATEVALUE([2]export!$E19),"")</f>
        <v>45439</v>
      </c>
      <c r="B15" t="str">
        <f>IF([2]export!$E19&lt;&gt;"",_xlfn.TEXTJOIN(" ",TRUE,[2]export!$F19:$J19),"")</f>
        <v>HUN-MARTONVASAR MARTON FRUIT Vásárlás(2024.05.24) Card:5444-0XXX-XX26-4954 MCC5499 HUN-MARTONVASAR MARTON FRUIT 1.836,00 HUF Kártyatranzakció</v>
      </c>
      <c r="C15" s="37">
        <f>_xlfn.NUMBERVALUE(SUBSTITUTE(SUBSTITUTE([2]export!$B19," HUF",""),CHAR(160),""))</f>
        <v>-1836</v>
      </c>
    </row>
    <row r="16" spans="1:5" x14ac:dyDescent="0.25">
      <c r="A16" s="36">
        <f>IF([2]export!$A20&lt;&gt;"",DATEVALUE([2]export!$E20),"")</f>
        <v>45439</v>
      </c>
      <c r="B16" t="str">
        <f>IF([2]export!$E20&lt;&gt;"",_xlfn.TEXTJOIN(" ",TRUE,[2]export!$F20:$J20),"")</f>
        <v>HUN-BUDAPEST GOURMET  KER Vásárlás(2024.05.25) Card:5444-0XXX-XX26-4954 MCC7999 HUN-BUDAPEST GOURMET  KER 3.900,00 HUF Kártyatranzakció</v>
      </c>
      <c r="C16" s="37">
        <f>_xlfn.NUMBERVALUE(SUBSTITUTE(SUBSTITUTE([2]export!$B20," HUF",""),CHAR(160),""))</f>
        <v>-3900</v>
      </c>
    </row>
    <row r="17" spans="1:3" x14ac:dyDescent="0.25">
      <c r="A17" s="36">
        <f>IF([2]export!$A21&lt;&gt;"",DATEVALUE([2]export!$E21),"")</f>
        <v>45439</v>
      </c>
      <c r="B17" t="str">
        <f>IF([2]export!$E21&lt;&gt;"",_xlfn.TEXTJOIN(" ",TRUE,[2]export!$F21:$J21),"")</f>
        <v>HUN-BUDAPEST GOURMET  KER Vásárlás(2024.05.25) Card:5444-0XXX-XX26-4954 MCC7999 HUN-BUDAPEST GOURMET  KER 3.980,00 HUF Kártyatranzakció</v>
      </c>
      <c r="C17" s="37">
        <f>_xlfn.NUMBERVALUE(SUBSTITUTE(SUBSTITUTE([2]export!$B21," HUF",""),CHAR(160),""))</f>
        <v>-3980</v>
      </c>
    </row>
    <row r="18" spans="1:3" x14ac:dyDescent="0.25">
      <c r="A18" s="36">
        <f>IF([2]export!$A22&lt;&gt;"",DATEVALUE([2]export!$E22),"")</f>
        <v>45439</v>
      </c>
      <c r="B18" t="str">
        <f>IF([2]export!$E22&lt;&gt;"",_xlfn.TEXTJOIN(" ",TRUE,[2]export!$F22:$J22),"")</f>
        <v>HUN-BUDAPEST GOURMET  KER Vásárlás(2024.05.25) Card:5444-0XXX-XX26-4954 MCC7999 HUN-BUDAPEST GOURMET  KER 4.490,00 HUF Kártyatranzakció</v>
      </c>
      <c r="C18" s="37">
        <f>_xlfn.NUMBERVALUE(SUBSTITUTE(SUBSTITUTE([2]export!$B22," HUF",""),CHAR(160),""))</f>
        <v>-4490</v>
      </c>
    </row>
    <row r="19" spans="1:3" x14ac:dyDescent="0.25">
      <c r="A19" s="36">
        <f>IF([2]export!$A23&lt;&gt;"",DATEVALUE([2]export!$E23),"")</f>
        <v>45439</v>
      </c>
      <c r="B19" t="str">
        <f>IF([2]export!$E23&lt;&gt;"",_xlfn.TEXTJOIN(" ",TRUE,[2]export!$F23:$J23),"")</f>
        <v>HUN-BUDAPEST OTPMOBL*EON.HU Vásárlás(2024.05.25) Card:5444-0XXX-XX26-4954 MCC4900 HUN-BUDAPEST OTPMOBL*EON.HU 6.824,00 HUF Kártyatranzakció</v>
      </c>
      <c r="C19" s="37">
        <f>_xlfn.NUMBERVALUE(SUBSTITUTE(SUBSTITUTE([2]export!$B23," HUF",""),CHAR(160),""))</f>
        <v>-6824</v>
      </c>
    </row>
    <row r="20" spans="1:3" x14ac:dyDescent="0.25">
      <c r="A20" s="36">
        <f>IF([2]export!$A24&lt;&gt;"",DATEVALUE([2]export!$E24),"")</f>
        <v>45439</v>
      </c>
      <c r="B20" t="str">
        <f>IF([2]export!$E24&lt;&gt;"",_xlfn.TEXTJOIN(" ",TRUE,[2]export!$F24:$J24),"")</f>
        <v>HUN-MARTONVASAR ROSSMANN 336. Vásárlás(2024.05.24) Card:5444-0XXX-XX26-4954 MCC5977 HUN-MARTONVASAR ROSSMANN 336. 14.938,00 HUF Kártyatranzakció</v>
      </c>
      <c r="C20" s="37">
        <f>_xlfn.NUMBERVALUE(SUBSTITUTE(SUBSTITUTE([2]export!$B24," HUF",""),CHAR(160),""))</f>
        <v>-14938</v>
      </c>
    </row>
    <row r="21" spans="1:3" x14ac:dyDescent="0.25">
      <c r="A21" s="36">
        <f>IF([2]export!$A25&lt;&gt;"",DATEVALUE([2]export!$E25),"")</f>
        <v>45439</v>
      </c>
      <c r="B21" t="str">
        <f>IF([2]export!$E25&lt;&gt;"",_xlfn.TEXTJOIN(" ",TRUE,[2]export!$F25:$J25),"")</f>
        <v>HUN-BUDAPEST OTPMOBL*GOURMETFESZTIV Vásárlás(2024.05.25) Card:5444-0XXX-XX26-4954 MCC7922 HUN-BUDAPEST OTPMOBL*GOURMETFESZTIV 26.775,00 HUF Kártyatranzakció</v>
      </c>
      <c r="C21" s="37">
        <f>_xlfn.NUMBERVALUE(SUBSTITUTE(SUBSTITUTE([2]export!$B25," HUF",""),CHAR(160),""))</f>
        <v>-26775</v>
      </c>
    </row>
    <row r="22" spans="1:3" x14ac:dyDescent="0.25">
      <c r="A22" s="36">
        <f>IF([2]export!$A26&lt;&gt;"",DATEVALUE([2]export!$E26),"")</f>
        <v>45436</v>
      </c>
      <c r="B22" t="str">
        <f>IF([2]export!$E26&lt;&gt;"",_xlfn.TEXTJOIN(" ",TRUE,[2]export!$F26:$J26),"")</f>
        <v>HUN-Budapest New York Bagel Kft Vásárlás(2024.05.22) Card:5444-0XXX-XX26-4954 MCC5812 HUN-Budapest New York Bagel Kft 1.690,00 HUF Kártyatranzakció</v>
      </c>
      <c r="C22" s="37">
        <f>_xlfn.NUMBERVALUE(SUBSTITUTE(SUBSTITUTE([2]export!$B26," HUF",""),CHAR(160),""))</f>
        <v>-1690</v>
      </c>
    </row>
    <row r="23" spans="1:3" x14ac:dyDescent="0.25">
      <c r="A23" s="36">
        <f>IF([2]export!$A27&lt;&gt;"",DATEVALUE([2]export!$E27),"")</f>
        <v>45436</v>
      </c>
      <c r="B23" t="str">
        <f>IF([2]export!$E27&lt;&gt;"",_xlfn.TEXTJOIN(" ",TRUE,[2]export!$F27:$J27),"")</f>
        <v>HUN-Budapest Kemal Pasa Torok Et Vásárlás(2024.05.22) Card:5444-0XXX-XX26-4954 MCC5812 HUN-Budapest Kemal Pasa Torok Et 2.700,00 HUF Kártyatranzakció</v>
      </c>
      <c r="C23" s="37">
        <f>_xlfn.NUMBERVALUE(SUBSTITUTE(SUBSTITUTE([2]export!$B27," HUF",""),CHAR(160),""))</f>
        <v>-2700</v>
      </c>
    </row>
    <row r="24" spans="1:3" x14ac:dyDescent="0.25">
      <c r="A24" s="36">
        <f>IF([2]export!$A28&lt;&gt;"",DATEVALUE([2]export!$E28),"")</f>
        <v>45436</v>
      </c>
      <c r="B24" t="str">
        <f>IF([2]export!$E28&lt;&gt;"",_xlfn.TEXTJOIN(" ",TRUE,[2]export!$F28:$J28),"")</f>
        <v>HUN-BARACSKA CSIZ SAJTMUHELY KFT Vásárlás(2024.05.22) Card:5444-0XXX-XX26-4954 MCC5499 HUN-BARACSKA CSIZ SAJTMUHELY KFT 2.740,00 HUF Kártyatranzakció</v>
      </c>
      <c r="C24" s="37">
        <f>_xlfn.NUMBERVALUE(SUBSTITUTE(SUBSTITUTE([2]export!$B28," HUF",""),CHAR(160),""))</f>
        <v>-2740</v>
      </c>
    </row>
    <row r="25" spans="1:3" x14ac:dyDescent="0.25">
      <c r="A25" s="36">
        <f>IF([2]export!$A29&lt;&gt;"",DATEVALUE([2]export!$E29),"")</f>
        <v>45435</v>
      </c>
      <c r="B25" t="str">
        <f>IF([2]export!$E29&lt;&gt;"",_xlfn.TEXTJOIN(" ",TRUE,[2]export!$F29:$J29),"")</f>
        <v>HUN-Agard LIDL HU 306 Agard Vásárlás(2024.05.21) Card:5444-0XXX-XX26-4954 MCC5411 HUN-Agard LIDL HU 306 Agard 6.389,00 HUF Kártyatranzakció</v>
      </c>
      <c r="C25" s="37">
        <f>_xlfn.NUMBERVALUE(SUBSTITUTE(SUBSTITUTE([2]export!$B29," HUF",""),CHAR(160),""))</f>
        <v>-6389</v>
      </c>
    </row>
    <row r="26" spans="1:3" x14ac:dyDescent="0.25">
      <c r="A26" s="36">
        <f>IF([2]export!$A30&lt;&gt;"",DATEVALUE([2]export!$E30),"")</f>
        <v>45435</v>
      </c>
      <c r="B26" t="str">
        <f>IF([2]export!$E30&lt;&gt;"",_xlfn.TEXTJOIN(" ",TRUE,[2]export!$F30:$J30),"")</f>
        <v>11773353-59010812-00000000 Kovácsné Tonkó Csilla Mária KT-2024-161 Kimenő azonnali megbízás</v>
      </c>
      <c r="C26" s="37">
        <f>_xlfn.NUMBERVALUE(SUBSTITUTE(SUBSTITUTE([2]export!$B30," HUF",""),CHAR(160),""))</f>
        <v>-20000</v>
      </c>
    </row>
    <row r="27" spans="1:3" x14ac:dyDescent="0.25">
      <c r="A27" s="36">
        <f>IF([2]export!$A31&lt;&gt;"",DATEVALUE([2]export!$E31),"")</f>
        <v>45435</v>
      </c>
      <c r="B27" t="str">
        <f>IF([2]export!$E31&lt;&gt;"",_xlfn.TEXTJOIN(" ",TRUE,[2]export!$F31:$J31),"")</f>
        <v>HUN-BUDAPEST OTPMOBL*HERBAFERM.HU Vásárlás(2024.05.21) Card:5444-0XXX-XX26-4954 MCC5499 HUN-BUDAPEST OTPMOBL*HERBAFERM.HU 22.350,00 HUF Kártyatranzakció</v>
      </c>
      <c r="C27" s="37">
        <f>_xlfn.NUMBERVALUE(SUBSTITUTE(SUBSTITUTE([2]export!$B31," HUF",""),CHAR(160),""))</f>
        <v>-22350</v>
      </c>
    </row>
    <row r="28" spans="1:3" x14ac:dyDescent="0.25">
      <c r="A28" s="36">
        <f>IF([2]export!$A32&lt;&gt;"",DATEVALUE([2]export!$E32),"")</f>
        <v>45435</v>
      </c>
      <c r="B28" t="str">
        <f>IF([2]export!$E32&lt;&gt;"",_xlfn.TEXTJOIN(" ",TRUE,[2]export!$F32:$J32),"")</f>
        <v>HUN-AGARD LIDL ARUHAZ 0306.SZ. Vásárlás(2024.05.21) Card:5444-0XXX-XX26-4954 MCC5411 HUN-AGARD LIDL ARUHAZ 0306.SZ. 24.592,00 HUF Kártyatranzakció</v>
      </c>
      <c r="C28" s="37">
        <f>_xlfn.NUMBERVALUE(SUBSTITUTE(SUBSTITUTE([2]export!$B32," HUF",""),CHAR(160),""))</f>
        <v>-24592</v>
      </c>
    </row>
    <row r="29" spans="1:3" x14ac:dyDescent="0.25">
      <c r="A29" s="36">
        <f>IF([2]export!$A33&lt;&gt;"",DATEVALUE([2]export!$E33),"")</f>
        <v>45433</v>
      </c>
      <c r="B29" t="str">
        <f>IF([2]export!$E33&lt;&gt;"",_xlfn.TEXTJOIN(" ",TRUE,[2]export!$F33:$J33),"")</f>
        <v>12011069-01600373-00100007 CZUPRIK GERGELY Bejövő Forint Átutalás</v>
      </c>
      <c r="C29" s="37">
        <f>_xlfn.NUMBERVALUE(SUBSTITUTE(SUBSTITUTE([2]export!$B33," HUF",""),CHAR(160),""))</f>
        <v>400000</v>
      </c>
    </row>
    <row r="30" spans="1:3" x14ac:dyDescent="0.25">
      <c r="A30" s="36">
        <f>IF([2]export!$A34&lt;&gt;"",DATEVALUE([2]export!$E34),"")</f>
        <v>45433</v>
      </c>
      <c r="B30" t="str">
        <f>IF([2]export!$E34&lt;&gt;"",_xlfn.TEXTJOIN(" ",TRUE,[2]export!$F34:$J34),"")</f>
        <v>HUN-MARTONVASAR BARKACSBOLT Vásárlás(2024.05.18) Card:5444-0XXX-XX26-4954 MCC5251 HUN-MARTONVASAR BARKACSBOLT 230,00 HUF Kártyatranzakció</v>
      </c>
      <c r="C30" s="37">
        <f>_xlfn.NUMBERVALUE(SUBSTITUTE(SUBSTITUTE([2]export!$B34," HUF",""),CHAR(160),""))</f>
        <v>-230</v>
      </c>
    </row>
    <row r="31" spans="1:3" x14ac:dyDescent="0.25">
      <c r="A31" s="36">
        <f>IF([2]export!$A35&lt;&gt;"",DATEVALUE([2]export!$E35),"")</f>
        <v>45433</v>
      </c>
      <c r="B31" t="str">
        <f>IF([2]export!$E35&lt;&gt;"",_xlfn.TEXTJOIN(" ",TRUE,[2]export!$F35:$J35),"")</f>
        <v>HUN-Martonvasar SASKAEK Kft. Vásárlás(2024.05.16) Card:5444-0XXX-XX68-8737 MCC5411 HUN-Martonvasar SASKAEK Kft. 799,00 HUF Kártyatranzakció</v>
      </c>
      <c r="C31" s="37">
        <f>_xlfn.NUMBERVALUE(SUBSTITUTE(SUBSTITUTE([2]export!$B35," HUF",""),CHAR(160),""))</f>
        <v>-799</v>
      </c>
    </row>
    <row r="32" spans="1:3" x14ac:dyDescent="0.25">
      <c r="A32" s="36">
        <f>IF([2]export!$A36&lt;&gt;"",DATEVALUE([2]export!$E36),"")</f>
        <v>45433</v>
      </c>
      <c r="B32" t="str">
        <f>IF([2]export!$E36&lt;&gt;"",_xlfn.TEXTJOIN(" ",TRUE,[2]export!$F36:$J36),"")</f>
        <v>HUN-Martonvasar SASKAEK Kft. Vásárlás(2024.05.18) Card:5444-0XXX-XX26-4954 MCC5411 HUN-Martonvasar SASKAEK Kft. 1.329,00 HUF Kártyatranzakció</v>
      </c>
      <c r="C32" s="37">
        <f>_xlfn.NUMBERVALUE(SUBSTITUTE(SUBSTITUTE([2]export!$B36," HUF",""),CHAR(160),""))</f>
        <v>-1329</v>
      </c>
    </row>
    <row r="33" spans="1:3" x14ac:dyDescent="0.25">
      <c r="A33" s="36">
        <f>IF([2]export!$A37&lt;&gt;"",DATEVALUE([2]export!$E37),"")</f>
        <v>45433</v>
      </c>
      <c r="B33" t="str">
        <f>IF([2]export!$E37&lt;&gt;"",_xlfn.TEXTJOIN(" ",TRUE,[2]export!$F37:$J37),"")</f>
        <v>HUN-MARTONVASAR MARTONVASAR-HUS KFT Vásárlás(2024.05.16) Card:5444-0XXX-XX68-8737 MCC5422 HUN-MARTONVASAR MARTONVASAR-HUS KFT 2.110,00 HUF Kártyatranzakció</v>
      </c>
      <c r="C33" s="37">
        <f>_xlfn.NUMBERVALUE(SUBSTITUTE(SUBSTITUTE([2]export!$B37," HUF",""),CHAR(160),""))</f>
        <v>-2110</v>
      </c>
    </row>
    <row r="34" spans="1:3" x14ac:dyDescent="0.25">
      <c r="A34" s="36">
        <f>IF([2]export!$A38&lt;&gt;"",DATEVALUE([2]export!$E38),"")</f>
        <v>45433</v>
      </c>
      <c r="B34" t="str">
        <f>IF([2]export!$E38&lt;&gt;"",_xlfn.TEXTJOIN(" ",TRUE,[2]export!$F38:$J38),"")</f>
        <v>HUN-GARDONY ALDI 5.SZ. Vásárlás(2024.05.17) Card:5444-0XXX-XX26-4954 MCC5411 HUN-GARDONY ALDI 5.SZ. 2.484,00 HUF Kártyatranzakció</v>
      </c>
      <c r="C34" s="37">
        <f>_xlfn.NUMBERVALUE(SUBSTITUTE(SUBSTITUTE([2]export!$B38," HUF",""),CHAR(160),""))</f>
        <v>-2484</v>
      </c>
    </row>
    <row r="35" spans="1:3" x14ac:dyDescent="0.25">
      <c r="A35" s="36">
        <f>IF([2]export!$A39&lt;&gt;"",DATEVALUE([2]export!$E39),"")</f>
        <v>45433</v>
      </c>
      <c r="B35" t="str">
        <f>IF([2]export!$E39&lt;&gt;"",_xlfn.TEXTJOIN(" ",TRUE,[2]export!$F39:$J39),"")</f>
        <v>HUN-MARTONVASAR ROSSMANN 336. Vásárlás(2024.05.18) Card:5444-0XXX-XX26-4954 MCC5977 HUN-MARTONVASAR ROSSMANN 336. 2.548,00 HUF Kártyatranzakció</v>
      </c>
      <c r="C35" s="37">
        <f>_xlfn.NUMBERVALUE(SUBSTITUTE(SUBSTITUTE([2]export!$B39," HUF",""),CHAR(160),""))</f>
        <v>-2548</v>
      </c>
    </row>
    <row r="36" spans="1:3" x14ac:dyDescent="0.25">
      <c r="A36" s="36">
        <f>IF([2]export!$A40&lt;&gt;"",DATEVALUE([2]export!$E40),"")</f>
        <v>45433</v>
      </c>
      <c r="B36" t="str">
        <f>IF([2]export!$E40&lt;&gt;"",_xlfn.TEXTJOIN(" ",TRUE,[2]export!$F40:$J40),"")</f>
        <v>HUN-Martonvasar SASKAEK Kft. Vásárlás(2024.05.18) Card:5444-0XXX-XX26-4954 MCC5411 HUN-Martonvasar SASKAEK Kft. 3.936,00 HUF Kártyatranzakció</v>
      </c>
      <c r="C36" s="37">
        <f>_xlfn.NUMBERVALUE(SUBSTITUTE(SUBSTITUTE([2]export!$B40," HUF",""),CHAR(160),""))</f>
        <v>-3936</v>
      </c>
    </row>
    <row r="37" spans="1:3" x14ac:dyDescent="0.25">
      <c r="A37" s="36">
        <f>IF([2]export!$A41&lt;&gt;"",DATEVALUE([2]export!$E41),"")</f>
        <v>45433</v>
      </c>
      <c r="B37" t="str">
        <f>IF([2]export!$E41&lt;&gt;"",_xlfn.TEXTJOIN(" ",TRUE,[2]export!$F41:$J41),"")</f>
        <v>HUN-GARDONY DM 316.SZ. Vásárlás(2024.05.17) Card:5444-0XXX-XX26-4954 MCC5977 HUN-GARDONY DM 316.SZ. 13.550,00 HUF Kártyatranzakció</v>
      </c>
      <c r="C37" s="37">
        <f>_xlfn.NUMBERVALUE(SUBSTITUTE(SUBSTITUTE([2]export!$B41," HUF",""),CHAR(160),""))</f>
        <v>-13550</v>
      </c>
    </row>
    <row r="38" spans="1:3" x14ac:dyDescent="0.25">
      <c r="A38" s="36">
        <f>IF([2]export!$A42&lt;&gt;"",DATEVALUE([2]export!$E42),"")</f>
        <v>45433</v>
      </c>
      <c r="B38" t="str">
        <f>IF([2]export!$E42&lt;&gt;"",_xlfn.TEXTJOIN(" ",TRUE,[2]export!$F42:$J42),"")</f>
        <v>HUN-BUDAPEST OTPMOBL*dermo.hu Vásárlás(2024.05.17) Card:5444-0XXX-XX26-4954 MCC5977 HUN-BUDAPEST OTPMOBL*dermo.hu 16.657,00 HUF Kártyatranzakció</v>
      </c>
      <c r="C38" s="37">
        <f>_xlfn.NUMBERVALUE(SUBSTITUTE(SUBSTITUTE([2]export!$B42," HUF",""),CHAR(160),""))</f>
        <v>-16657</v>
      </c>
    </row>
    <row r="39" spans="1:3" x14ac:dyDescent="0.25">
      <c r="A39" s="36">
        <f>IF([2]export!$A43&lt;&gt;"",DATEVALUE([2]export!$E43),"")</f>
        <v>45433</v>
      </c>
      <c r="B39" t="str">
        <f>IF([2]export!$E43&lt;&gt;"",_xlfn.TEXTJOIN(" ",TRUE,[2]export!$F43:$J43),"")</f>
        <v>HUN-Agard LIDL HU 306 Agard Vásárlás(2024.05.17) Card:5444-0XXX-XX26-4954 MCC5411 HUN-Agard LIDL HU 306 Agard 18.725,00 HUF Kártyatranzakció</v>
      </c>
      <c r="C39" s="37">
        <f>_xlfn.NUMBERVALUE(SUBSTITUTE(SUBSTITUTE([2]export!$B43," HUF",""),CHAR(160),""))</f>
        <v>-18725</v>
      </c>
    </row>
    <row r="40" spans="1:3" x14ac:dyDescent="0.25">
      <c r="A40" s="36">
        <f>IF([2]export!$A44&lt;&gt;"",DATEVALUE([2]export!$E44),"")</f>
        <v>45433</v>
      </c>
      <c r="B40" t="str">
        <f>IF([2]export!$E44&lt;&gt;"",_xlfn.TEXTJOIN(" ",TRUE,[2]export!$F44:$J44),"")</f>
        <v>HUN-KAPOLNASNYEK AUTOMATA TO:LTO"A' Vásárlás(2024.05.17) Card:5444-0XXX-XX26-4954 MCC5542 HUN-KAPOLNASNYEK AUTOMATA TO:LTO"A' LLOM 37.845,00 HUF Kártyatranzakció</v>
      </c>
      <c r="C40" s="37">
        <f>_xlfn.NUMBERVALUE(SUBSTITUTE(SUBSTITUTE([2]export!$B44," HUF",""),CHAR(160),""))</f>
        <v>-37845</v>
      </c>
    </row>
    <row r="41" spans="1:3" x14ac:dyDescent="0.25">
      <c r="A41" s="36">
        <f>IF([2]export!$A45&lt;&gt;"",DATEVALUE([2]export!$E45),"")</f>
        <v>45433</v>
      </c>
      <c r="B41" t="str">
        <f>IF([2]export!$E45&lt;&gt;"",_xlfn.TEXTJOIN(" ",TRUE,[2]export!$F45:$J45),"")</f>
        <v>HUN-Budapest BB105 Vásárlás(2024.05.17) Card:5444-0XXX-XX26-4954 MCC8021 HUN-Budapest BB105 80.300,00 HUF Kártyatranzakció</v>
      </c>
      <c r="C41" s="37">
        <f>_xlfn.NUMBERVALUE(SUBSTITUTE(SUBSTITUTE([2]export!$B45," HUF",""),CHAR(160),""))</f>
        <v>-80300</v>
      </c>
    </row>
    <row r="42" spans="1:3" x14ac:dyDescent="0.25">
      <c r="A42" s="36">
        <f>IF([2]export!$A46&lt;&gt;"",DATEVALUE([2]export!$E46),"")</f>
        <v>45430</v>
      </c>
      <c r="B42" t="str">
        <f>IF([2]export!$E46&lt;&gt;"",_xlfn.TEXTJOIN(" ",TRUE,[2]export!$F46:$J46),"")</f>
        <v>reformvirag@gmail.com Kimenő azonnali megbízás</v>
      </c>
      <c r="C42" s="37">
        <f>_xlfn.NUMBERVALUE(SUBSTITUTE(SUBSTITUTE([2]export!$B46," HUF",""),CHAR(160),""))</f>
        <v>-5970</v>
      </c>
    </row>
    <row r="43" spans="1:3" x14ac:dyDescent="0.25">
      <c r="A43" s="36">
        <f>IF([2]export!$A47&lt;&gt;"",DATEVALUE([2]export!$E47),"")</f>
        <v>45429</v>
      </c>
      <c r="B43" t="str">
        <f>IF([2]export!$E47&lt;&gt;"",_xlfn.TEXTJOIN(" ",TRUE,[2]export!$F47:$J47),"")</f>
        <v>HUN-MARTONVASAR MARTON MARKET Vásárlás(2024.05.15) Card:5444-0XXX-XX68-8737 MCC5411 HUN-MARTONVASAR MARTON MARKET 899,00 HUF Kártyatranzakció</v>
      </c>
      <c r="C43" s="37">
        <f>_xlfn.NUMBERVALUE(SUBSTITUTE(SUBSTITUTE([2]export!$B47," HUF",""),CHAR(160),""))</f>
        <v>-899</v>
      </c>
    </row>
    <row r="44" spans="1:3" x14ac:dyDescent="0.25">
      <c r="A44" s="36">
        <f>IF([2]export!$A48&lt;&gt;"",DATEVALUE([2]export!$E48),"")</f>
        <v>45429</v>
      </c>
      <c r="B44" t="str">
        <f>IF([2]export!$E48&lt;&gt;"",_xlfn.TEXTJOIN(" ",TRUE,[2]export!$F48:$J48),"")</f>
        <v>HUN-BUDAPEST WHITE HOUSE Vásárlás(2024.05.15) Card:5444-0XXX-XX68-8737 MCC5812 HUN-BUDAPEST WHITE HOUSE 1.090,00 HUF Kártyatranzakció</v>
      </c>
      <c r="C44" s="37">
        <f>_xlfn.NUMBERVALUE(SUBSTITUTE(SUBSTITUTE([2]export!$B48," HUF",""),CHAR(160),""))</f>
        <v>-1090</v>
      </c>
    </row>
    <row r="45" spans="1:3" x14ac:dyDescent="0.25">
      <c r="A45" s="36">
        <f>IF([2]export!$A49&lt;&gt;"",DATEVALUE([2]export!$E49),"")</f>
        <v>45429</v>
      </c>
      <c r="B45" t="str">
        <f>IF([2]export!$E49&lt;&gt;"",_xlfn.TEXTJOIN(" ",TRUE,[2]export!$F49:$J49),"")</f>
        <v>HUN-BUDAPEST WHITE HOUSE Vásárlás(2024.05.15) Card:5444-0XXX-XX68-8737 MCC5812 HUN-BUDAPEST WHITE HOUSE 1.630,00 HUF Kártyatranzakció</v>
      </c>
      <c r="C45" s="37">
        <f>_xlfn.NUMBERVALUE(SUBSTITUTE(SUBSTITUTE([2]export!$B49," HUF",""),CHAR(160),""))</f>
        <v>-1630</v>
      </c>
    </row>
    <row r="46" spans="1:3" x14ac:dyDescent="0.25">
      <c r="A46" s="36">
        <f>IF([2]export!$A50&lt;&gt;"",DATEVALUE([2]export!$E50),"")</f>
        <v>45429</v>
      </c>
      <c r="B46" t="str">
        <f>IF([2]export!$E50&lt;&gt;"",_xlfn.TEXTJOIN(" ",TRUE,[2]export!$F50:$J50),"")</f>
        <v>HUN-BUDAORS PRAKTIKER 333. Vásárlás(2024.05.15) Card:5444-0XXX-XX68-8737 MCC5200 HUN-BUDAORS PRAKTIKER 333. 8.681,00 HUF Kártyatranzakció</v>
      </c>
      <c r="C46" s="37">
        <f>_xlfn.NUMBERVALUE(SUBSTITUTE(SUBSTITUTE([2]export!$B50," HUF",""),CHAR(160),""))</f>
        <v>-8681</v>
      </c>
    </row>
    <row r="47" spans="1:3" x14ac:dyDescent="0.25">
      <c r="A47" s="36">
        <f>IF([2]export!$A51&lt;&gt;"",DATEVALUE([2]export!$E51),"")</f>
        <v>45429</v>
      </c>
      <c r="B47" t="str">
        <f>IF([2]export!$E51&lt;&gt;"",_xlfn.TEXTJOIN(" ",TRUE,[2]export!$F51:$J51),"")</f>
        <v>HUN-BUDAPEST MOL 60400 Vásárlás(2024.05.15) Card:5444-0XXX-XX68-8737 MCC5541 HUN-BUDAPEST MOL 60400 26.638,00 HUF Kártyatranzakció</v>
      </c>
      <c r="C47" s="37">
        <f>_xlfn.NUMBERVALUE(SUBSTITUTE(SUBSTITUTE([2]export!$B51," HUF",""),CHAR(160),""))</f>
        <v>-26638</v>
      </c>
    </row>
    <row r="48" spans="1:3" x14ac:dyDescent="0.25">
      <c r="A48" s="36">
        <f>IF([2]export!$A52&lt;&gt;"",DATEVALUE([2]export!$E52),"")</f>
        <v>45428</v>
      </c>
      <c r="B48" t="str">
        <f>IF([2]export!$E52&lt;&gt;"",_xlfn.TEXTJOIN(" ",TRUE,[2]export!$F52:$J52),"")</f>
        <v>HUN-BUDAPEST WHITE HOUSE Vásárlás(2024.05.14) Card:5444-0XXX-XX68-8737 MCC5812 HUN-BUDAPEST WHITE HOUSE 850,00 HUF Kártyatranzakció</v>
      </c>
      <c r="C48" s="37">
        <f>_xlfn.NUMBERVALUE(SUBSTITUTE(SUBSTITUTE([2]export!$B52," HUF",""),CHAR(160),""))</f>
        <v>-850</v>
      </c>
    </row>
    <row r="49" spans="1:3" x14ac:dyDescent="0.25">
      <c r="A49" s="36">
        <f>IF([2]export!$A53&lt;&gt;"",DATEVALUE([2]export!$E53),"")</f>
        <v>45428</v>
      </c>
      <c r="B49" t="str">
        <f>IF([2]export!$E53&lt;&gt;"",_xlfn.TEXTJOIN(" ",TRUE,[2]export!$F53:$J53),"")</f>
        <v>HUN-BUDAORS PRAKTIKER 333. Vásárlás(2024.05.14) Card:5444-0XXX-XX68-8737 MCC5200 HUN-BUDAORS PRAKTIKER 333. 1.999,00 HUF Kártyatranzakció</v>
      </c>
      <c r="C49" s="37">
        <f>_xlfn.NUMBERVALUE(SUBSTITUTE(SUBSTITUTE([2]export!$B53," HUF",""),CHAR(160),""))</f>
        <v>-1999</v>
      </c>
    </row>
    <row r="50" spans="1:3" x14ac:dyDescent="0.25">
      <c r="A50" s="36">
        <f>IF([2]export!$A54&lt;&gt;"",DATEVALUE([2]export!$E54),"")</f>
        <v>45428</v>
      </c>
      <c r="B50" t="str">
        <f>IF([2]export!$E54&lt;&gt;"",_xlfn.TEXTJOIN(" ",TRUE,[2]export!$F54:$J54),"")</f>
        <v>HUN-Budapest Kemal Pasa Torok Et Vásárlás(2024.05.14) Card:5444-0XXX-XX68-8737 MCC5812 HUN-Budapest Kemal Pasa Torok Et 2.500,00 HUF Kártyatranzakció</v>
      </c>
      <c r="C50" s="37">
        <f>_xlfn.NUMBERVALUE(SUBSTITUTE(SUBSTITUTE([2]export!$B54," HUF",""),CHAR(160),""))</f>
        <v>-2500</v>
      </c>
    </row>
    <row r="51" spans="1:3" x14ac:dyDescent="0.25">
      <c r="A51" s="36">
        <f>IF([2]export!$A55&lt;&gt;"",DATEVALUE([2]export!$E55),"")</f>
        <v>45428</v>
      </c>
      <c r="B51" t="str">
        <f>IF([2]export!$E55&lt;&gt;"",_xlfn.TEXTJOIN(" ",TRUE,[2]export!$F55:$J55),"")</f>
        <v>HUN-Martonvasar Medicz Gyogyszertar Vásárlás(2024.05.14) Card:5444-0XXX-XX68-8737 MCC5912 HUN-Martonvasar Medicz Gyogyszertar 3.850,00 HUF Kártyatranzakció</v>
      </c>
      <c r="C51" s="37">
        <f>_xlfn.NUMBERVALUE(SUBSTITUTE(SUBSTITUTE([2]export!$B55," HUF",""),CHAR(160),""))</f>
        <v>-3850</v>
      </c>
    </row>
    <row r="52" spans="1:3" x14ac:dyDescent="0.25">
      <c r="A52" s="36">
        <f>IF([2]export!$A56&lt;&gt;"",DATEVALUE([2]export!$E56),"")</f>
        <v>45428</v>
      </c>
      <c r="B52" t="str">
        <f>IF([2]export!$E56&lt;&gt;"",_xlfn.TEXTJOIN(" ",TRUE,[2]export!$F56:$J56),"")</f>
        <v>HUN-BUDAORS PRAKTIKER 333. Vásárlás(2024.05.14) Card:5444-0XXX-XX68-8737 MCC5200 HUN-BUDAORS PRAKTIKER 333. 11.638,00 HUF Kártyatranzakció</v>
      </c>
      <c r="C52" s="37">
        <f>_xlfn.NUMBERVALUE(SUBSTITUTE(SUBSTITUTE([2]export!$B56," HUF",""),CHAR(160),""))</f>
        <v>-11638</v>
      </c>
    </row>
    <row r="53" spans="1:3" x14ac:dyDescent="0.25">
      <c r="A53" s="36">
        <f>IF([2]export!$A57&lt;&gt;"",DATEVALUE([2]export!$E57),"")</f>
        <v>45428</v>
      </c>
      <c r="B53" t="str">
        <f>IF([2]export!$E57&lt;&gt;"",_xlfn.TEXTJOIN(" ",TRUE,[2]export!$F57:$J57),"")</f>
        <v>HUN-MARTONVASAR ROSSMANN 336. Vásárlás(2024.05.14) Card:5444-0XXX-XX68-8737 MCC5977 HUN-MARTONVASAR ROSSMANN 336. 14.346,00 HUF Kártyatranzakció</v>
      </c>
      <c r="C53" s="37">
        <f>_xlfn.NUMBERVALUE(SUBSTITUTE(SUBSTITUTE([2]export!$B57," HUF",""),CHAR(160),""))</f>
        <v>-14346</v>
      </c>
    </row>
    <row r="54" spans="1:3" x14ac:dyDescent="0.25">
      <c r="A54" s="36">
        <f>IF([2]export!$A58&lt;&gt;"",DATEVALUE([2]export!$E58),"")</f>
        <v>45427</v>
      </c>
      <c r="B54" t="str">
        <f>IF([2]export!$E58&lt;&gt;"",_xlfn.TEXTJOIN(" ",TRUE,[2]export!$F58:$J58),"")</f>
        <v>HUN-MARTONVASAR VIANNI U:ZLET Vásárlás(2024.05.13) Card:5444-0XXX-XX68-8737 MCC5399 HUN-MARTONVASAR VIANNI U:ZLET 750,00 HUF Kártyatranzakció</v>
      </c>
      <c r="C54" s="37">
        <f>_xlfn.NUMBERVALUE(SUBSTITUTE(SUBSTITUTE([2]export!$B58," HUF",""),CHAR(160),""))</f>
        <v>-750</v>
      </c>
    </row>
    <row r="55" spans="1:3" x14ac:dyDescent="0.25">
      <c r="A55" s="36">
        <f>IF([2]export!$A59&lt;&gt;"",DATEVALUE([2]export!$E59),"")</f>
        <v>45427</v>
      </c>
      <c r="B55" t="str">
        <f>IF([2]export!$E59&lt;&gt;"",_xlfn.TEXTJOIN(" ",TRUE,[2]export!$F59:$J59),"")</f>
        <v>HUN-Solymr LO-RE 2005 Kft Vásárlás(2024.05.13) Card:5444-0XXX-XX68-8737 MCC7542 HUN-Solymr LO-RE 2005 Kft 1.200,00 HUF Kártyatranzakció</v>
      </c>
      <c r="C55" s="37">
        <f>_xlfn.NUMBERVALUE(SUBSTITUTE(SUBSTITUTE([2]export!$B59," HUF",""),CHAR(160),""))</f>
        <v>-1200</v>
      </c>
    </row>
    <row r="56" spans="1:3" x14ac:dyDescent="0.25">
      <c r="A56" s="36">
        <f>IF([2]export!$A60&lt;&gt;"",DATEVALUE([2]export!$E60),"")</f>
        <v>45427</v>
      </c>
      <c r="B56" t="str">
        <f>IF([2]export!$E60&lt;&gt;"",_xlfn.TEXTJOIN(" ",TRUE,[2]export!$F60:$J60),"")</f>
        <v>HUN-Solymr LO-RE 2005 Kft Vásárlás(2024.05.13) Card:5444-0XXX-XX68-8737 MCC7542 HUN-Solymr LO-RE 2005 Kft 1.200,00 HUF Kártyatranzakció</v>
      </c>
      <c r="C56" s="37">
        <f>_xlfn.NUMBERVALUE(SUBSTITUTE(SUBSTITUTE([2]export!$B60," HUF",""),CHAR(160),""))</f>
        <v>-1200</v>
      </c>
    </row>
    <row r="57" spans="1:3" x14ac:dyDescent="0.25">
      <c r="A57" s="36">
        <f>IF([2]export!$A61&lt;&gt;"",DATEVALUE([2]export!$E61),"")</f>
        <v>45427</v>
      </c>
      <c r="B57" t="str">
        <f>IF([2]export!$E61&lt;&gt;"",_xlfn.TEXTJOIN(" ",TRUE,[2]export!$F61:$J61),"")</f>
        <v>HUN-BUDAPEST WHITE HOUSE Vásárlás(2024.05.13) Card:5444-0XXX-XX68-8737 MCC5812 HUN-BUDAPEST WHITE HOUSE 1.245,00 HUF Kártyatranzakció</v>
      </c>
      <c r="C57" s="37">
        <f>_xlfn.NUMBERVALUE(SUBSTITUTE(SUBSTITUTE([2]export!$B61," HUF",""),CHAR(160),""))</f>
        <v>-1245</v>
      </c>
    </row>
    <row r="58" spans="1:3" x14ac:dyDescent="0.25">
      <c r="A58" s="36">
        <f>IF([2]export!$A62&lt;&gt;"",DATEVALUE([2]export!$E62),"")</f>
        <v>45427</v>
      </c>
      <c r="B58" t="str">
        <f>IF([2]export!$E62&lt;&gt;"",_xlfn.TEXTJOIN(" ",TRUE,[2]export!$F62:$J62),"")</f>
        <v>HUN-Budapest Atrium Etterem Vásárlás(2024.05.13) Card:5444-0XXX-XX68-8737 MCC5812 HUN-Budapest Atrium Etterem 2.590,00 HUF Kártyatranzakció</v>
      </c>
      <c r="C58" s="37">
        <f>_xlfn.NUMBERVALUE(SUBSTITUTE(SUBSTITUTE([2]export!$B62," HUF",""),CHAR(160),""))</f>
        <v>-2590</v>
      </c>
    </row>
    <row r="59" spans="1:3" x14ac:dyDescent="0.25">
      <c r="A59" s="36">
        <f>IF([2]export!$A63&lt;&gt;"",DATEVALUE([2]export!$E63),"")</f>
        <v>45427</v>
      </c>
      <c r="B59" t="str">
        <f>IF([2]export!$E63&lt;&gt;"",_xlfn.TEXTJOIN(" ",TRUE,[2]export!$F63:$J63),"")</f>
        <v>HUN-BARACSKA CSIZ SAJTMUHELY KFT Vásárlás(2024.05.14) Card:5444-0XXX-XX68-8737 MCC5499 HUN-BARACSKA CSIZ SAJTMUHELY KFT 2.910,00 HUF Kártyatranzakció</v>
      </c>
      <c r="C59" s="37">
        <f>_xlfn.NUMBERVALUE(SUBSTITUTE(SUBSTITUTE([2]export!$B63," HUF",""),CHAR(160),""))</f>
        <v>-2910</v>
      </c>
    </row>
    <row r="60" spans="1:3" x14ac:dyDescent="0.25">
      <c r="A60" s="36">
        <f>IF([2]export!$A64&lt;&gt;"",DATEVALUE([2]export!$E64),"")</f>
        <v>45427</v>
      </c>
      <c r="B60" t="str">
        <f>IF([2]export!$E64&lt;&gt;"",_xlfn.TEXTJOIN(" ",TRUE,[2]export!$F64:$J64),"")</f>
        <v>HUN-Agard LIDL HU 306 Agard Vásárlás(2024.05.13) Card:5444-0XXX-XX68-8737 MCC5411 HUN-Agard LIDL HU 306 Agard 16.918,00 HUF Kártyatranzakció</v>
      </c>
      <c r="C60" s="37">
        <f>_xlfn.NUMBERVALUE(SUBSTITUTE(SUBSTITUTE([2]export!$B64," HUF",""),CHAR(160),""))</f>
        <v>-16918</v>
      </c>
    </row>
    <row r="61" spans="1:3" x14ac:dyDescent="0.25">
      <c r="A61" s="36">
        <f>IF([2]export!$A65&lt;&gt;"",DATEVALUE([2]export!$E65),"")</f>
        <v>45426</v>
      </c>
      <c r="B61" t="str">
        <f>IF([2]export!$E65&lt;&gt;"",_xlfn.TEXTJOIN(" ",TRUE,[2]export!$F65:$J65),"")</f>
        <v>HUN-BUDAPEST MU'ZEUM ME'LYGARA'ZS Vásárlás(2024.05.12) Card:5444-0XXX-XX68-8737 MCC7523 HUN-BUDAPEST MU'ZEUM ME'LYGARA'ZS 1.000,00 HUF Kártyatranzakció</v>
      </c>
      <c r="C61" s="37">
        <f>_xlfn.NUMBERVALUE(SUBSTITUTE(SUBSTITUTE([2]export!$B65," HUF",""),CHAR(160),""))</f>
        <v>-1000</v>
      </c>
    </row>
    <row r="62" spans="1:3" x14ac:dyDescent="0.25">
      <c r="A62" s="36">
        <f>IF([2]export!$A66&lt;&gt;"",DATEVALUE([2]export!$E66),"")</f>
        <v>45425</v>
      </c>
      <c r="B62" t="str">
        <f>IF([2]export!$E66&lt;&gt;"",_xlfn.TEXTJOIN(" ",TRUE,[2]export!$F66:$J66),"")</f>
        <v>HUN-BALATONFURED FU:REDI FAGYIZO' Vásárlás(2024.05.11) Card:5444-0XXX-XX68-8737 MCC5441 HUN-BALATONFURED FU:REDI FAGYIZO' 1.300,00 HUF Kártyatranzakció</v>
      </c>
      <c r="C62" s="37">
        <f>_xlfn.NUMBERVALUE(SUBSTITUTE(SUBSTITUTE([2]export!$B66," HUF",""),CHAR(160),""))</f>
        <v>-1300</v>
      </c>
    </row>
    <row r="63" spans="1:3" x14ac:dyDescent="0.25">
      <c r="A63" s="36">
        <f>IF([2]export!$A67&lt;&gt;"",DATEVALUE([2]export!$E67),"")</f>
        <v>45425</v>
      </c>
      <c r="B63" t="str">
        <f>IF([2]export!$E67&lt;&gt;"",_xlfn.TEXTJOIN(" ",TRUE,[2]export!$F67:$J67),"")</f>
        <v>HUN-MARTONVASAR TESCO 44089 O:NKISZ Vásárlás(2024.05.09) Card:5444-0XXX-XX68-8737 MCC5311 HUN-MARTONVASAR TESCO 44089 O:NKISZ OLG 1.547,00 HUF Kártyatranzakció</v>
      </c>
      <c r="C63" s="37">
        <f>_xlfn.NUMBERVALUE(SUBSTITUTE(SUBSTITUTE([2]export!$B67," HUF",""),CHAR(160),""))</f>
        <v>-1547</v>
      </c>
    </row>
    <row r="64" spans="1:3" x14ac:dyDescent="0.25">
      <c r="A64" s="36">
        <f>IF([2]export!$A68&lt;&gt;"",DATEVALUE([2]export!$E68),"")</f>
        <v>45425</v>
      </c>
      <c r="B64" t="str">
        <f>IF([2]export!$E68&lt;&gt;"",_xlfn.TEXTJOIN(" ",TRUE,[2]export!$F68:$J68),"")</f>
        <v>HUN-VELENCE DOLCE VENEZIA KFT. Vásárlás(2024.05.09) Card:5444-0XXX-XX68-8737 MCC5441 HUN-VELENCE DOLCE VENEZIA KFT. 2.200,00 HUF Kártyatranzakció</v>
      </c>
      <c r="C64" s="37">
        <f>_xlfn.NUMBERVALUE(SUBSTITUTE(SUBSTITUTE([2]export!$B68," HUF",""),CHAR(160),""))</f>
        <v>-2200</v>
      </c>
    </row>
    <row r="65" spans="1:3" x14ac:dyDescent="0.25">
      <c r="A65" s="36">
        <f>IF([2]export!$A69&lt;&gt;"",DATEVALUE([2]export!$E69),"")</f>
        <v>45425</v>
      </c>
      <c r="B65" t="str">
        <f>IF([2]export!$E69&lt;&gt;"",_xlfn.TEXTJOIN(" ",TRUE,[2]export!$F69:$J69),"")</f>
        <v>HUN-BUDAORS REGIO JA'TE'K BU. Vásárlás(2024.05.10) Card:5444-0XXX-XX68-8737 MCC5945 HUN-BUDAORS REGIO JA'TE'K BU. 5.495,00 HUF Kártyatranzakció</v>
      </c>
      <c r="C65" s="37">
        <f>_xlfn.NUMBERVALUE(SUBSTITUTE(SUBSTITUTE([2]export!$B69," HUF",""),CHAR(160),""))</f>
        <v>-5495</v>
      </c>
    </row>
    <row r="66" spans="1:3" x14ac:dyDescent="0.25">
      <c r="A66" s="36">
        <f>IF([2]export!$A70&lt;&gt;"",DATEVALUE([2]export!$E70),"")</f>
        <v>45425</v>
      </c>
      <c r="B66" t="str">
        <f>IF([2]export!$E70&lt;&gt;"",_xlfn.TEXTJOIN(" ",TRUE,[2]export!$F70:$J70),"")</f>
        <v>HUN-BALATONFURED KAROLINA KAVEHAZ Vásárlás(2024.05.11) Card:5444-0XXX-XX68-8737 MCC5811 HUN-BALATONFURED KAROLINA KAVEHAZ 21.253,00 HUF Kártyatranzakció</v>
      </c>
      <c r="C66" s="37">
        <f>_xlfn.NUMBERVALUE(SUBSTITUTE(SUBSTITUTE([2]export!$B70," HUF",""),CHAR(160),""))</f>
        <v>-21253</v>
      </c>
    </row>
    <row r="67" spans="1:3" x14ac:dyDescent="0.25">
      <c r="A67" s="36">
        <f>IF([2]export!$A71&lt;&gt;"",DATEVALUE([2]export!$E71),"")</f>
        <v>45422</v>
      </c>
      <c r="B67" t="str">
        <f>IF([2]export!$E71&lt;&gt;"",_xlfn.TEXTJOIN(" ",TRUE,[2]export!$F71:$J71),"")</f>
        <v>HUN-BARACSKA CSIZ SAJTMUHELY KFT Vásárlás(2024.05.08) Card:5444-0XXX-XX68-8737 MCC5499 HUN-BARACSKA CSIZ SAJTMUHELY KFT 1.440,00 HUF Kártyatranzakció</v>
      </c>
      <c r="C67" s="37">
        <f>_xlfn.NUMBERVALUE(SUBSTITUTE(SUBSTITUTE([2]export!$B71," HUF",""),CHAR(160),""))</f>
        <v>-1440</v>
      </c>
    </row>
    <row r="68" spans="1:3" x14ac:dyDescent="0.25">
      <c r="A68" s="36">
        <f>IF([2]export!$A72&lt;&gt;"",DATEVALUE([2]export!$E72),"")</f>
        <v>45422</v>
      </c>
      <c r="B68" t="str">
        <f>IF([2]export!$E72&lt;&gt;"",_xlfn.TEXTJOIN(" ",TRUE,[2]export!$F72:$J72),"")</f>
        <v>HUN-BUDAPEST SUPER WOK Vásárlás(2024.05.08) Card:5444-0XXX-XX68-8737 MCC5812 HUN-BUDAPEST SUPER WOK 1.800,00 HUF Kártyatranzakció</v>
      </c>
      <c r="C68" s="37">
        <f>_xlfn.NUMBERVALUE(SUBSTITUTE(SUBSTITUTE([2]export!$B72," HUF",""),CHAR(160),""))</f>
        <v>-1800</v>
      </c>
    </row>
    <row r="69" spans="1:3" x14ac:dyDescent="0.25">
      <c r="A69" s="36">
        <f>IF([2]export!$A73&lt;&gt;"",DATEVALUE([2]export!$E73),"")</f>
        <v>45422</v>
      </c>
      <c r="B69" t="str">
        <f>IF([2]export!$E73&lt;&gt;"",_xlfn.TEXTJOIN(" ",TRUE,[2]export!$F73:$J73),"")</f>
        <v>PL:I/10MAY24 Kamatfizetés  Hitel /21-41194/</v>
      </c>
      <c r="C69" s="37">
        <f>_xlfn.NUMBERVALUE(SUBSTITUTE(SUBSTITUTE([2]export!$B73," HUF",""),CHAR(160),""))</f>
        <v>-40217.68</v>
      </c>
    </row>
    <row r="70" spans="1:3" x14ac:dyDescent="0.25">
      <c r="A70" s="36">
        <f>IF([2]export!$A74&lt;&gt;"",DATEVALUE([2]export!$E74),"")</f>
        <v>45422</v>
      </c>
      <c r="B70" t="str">
        <f>IF([2]export!$E74&lt;&gt;"",_xlfn.TEXTJOIN(" ",TRUE,[2]export!$F74:$J74),"")</f>
        <v>PL:P/10MAY24 Tőkefizetés Hitel /21-41194/</v>
      </c>
      <c r="C70" s="37">
        <f>_xlfn.NUMBERVALUE(SUBSTITUTE(SUBSTITUTE([2]export!$B74," HUF",""),CHAR(160),""))</f>
        <v>-221587.11</v>
      </c>
    </row>
    <row r="71" spans="1:3" x14ac:dyDescent="0.25">
      <c r="A71" s="36">
        <f>IF([2]export!$A75&lt;&gt;"",DATEVALUE([2]export!$E75),"")</f>
        <v>45420</v>
      </c>
      <c r="B71" t="str">
        <f>IF([2]export!$E75&lt;&gt;"",_xlfn.TEXTJOIN(" ",TRUE,[2]export!$F75:$J75),"")</f>
        <v>HUN-Martonvasar SASKAEK Kft. Vásárlás(2024.05.06) Card:5444-0XXX-XX68-8737 MCC5411 HUN-Martonvasar SASKAEK Kft. 4.980,00 HUF Kártyatranzakció</v>
      </c>
      <c r="C71" s="37">
        <f>_xlfn.NUMBERVALUE(SUBSTITUTE(SUBSTITUTE([2]export!$B75," HUF",""),CHAR(160),""))</f>
        <v>-4980</v>
      </c>
    </row>
    <row r="72" spans="1:3" x14ac:dyDescent="0.25">
      <c r="A72" s="36">
        <f>IF([2]export!$A76&lt;&gt;"",DATEVALUE([2]export!$E76),"")</f>
        <v>45420</v>
      </c>
      <c r="B72" t="str">
        <f>IF([2]export!$E76&lt;&gt;"",_xlfn.TEXTJOIN(" ",TRUE,[2]export!$F76:$J76),"")</f>
        <v>HUN-BUDAPEST WWW.IMOCARWASH.COM Vásárlás(2024.05.06) Card:5444-0XXX-XX68-8737 MCC7542 HUN-BUDAPEST WWW.IMOCARWASH.COM 5.390,00 HUF Kártyatranzakció</v>
      </c>
      <c r="C72" s="37">
        <f>_xlfn.NUMBERVALUE(SUBSTITUTE(SUBSTITUTE([2]export!$B76," HUF",""),CHAR(160),""))</f>
        <v>-5390</v>
      </c>
    </row>
    <row r="73" spans="1:3" x14ac:dyDescent="0.25">
      <c r="A73" s="36">
        <f>IF([2]export!$A77&lt;&gt;"",DATEVALUE([2]export!$E77),"")</f>
        <v>45420</v>
      </c>
      <c r="B73" t="str">
        <f>IF([2]export!$E77&lt;&gt;"",_xlfn.TEXTJOIN(" ",TRUE,[2]export!$F77:$J77),"")</f>
        <v>reformvirag@gmail.com Kimenő azonnali megbízás</v>
      </c>
      <c r="C73" s="37">
        <f>_xlfn.NUMBERVALUE(SUBSTITUTE(SUBSTITUTE([2]export!$B77," HUF",""),CHAR(160),""))</f>
        <v>-6340</v>
      </c>
    </row>
    <row r="74" spans="1:3" x14ac:dyDescent="0.25">
      <c r="A74" s="36">
        <f>IF([2]export!$A78&lt;&gt;"",DATEVALUE([2]export!$E78),"")</f>
        <v>45420</v>
      </c>
      <c r="B74" t="str">
        <f>IF([2]export!$E78&lt;&gt;"",_xlfn.TEXTJOIN(" ",TRUE,[2]export!$F78:$J78),"")</f>
        <v>HUN-MARTONVASAR ROSSMANN 336. Vásárlás(2024.05.06) Card:5444-0XXX-XX68-8737 MCC5977 HUN-MARTONVASAR ROSSMANN 336. 24.847,00 HUF Kártyatranzakció</v>
      </c>
      <c r="C74" s="37">
        <f>_xlfn.NUMBERVALUE(SUBSTITUTE(SUBSTITUTE([2]export!$B78," HUF",""),CHAR(160),""))</f>
        <v>-24847</v>
      </c>
    </row>
    <row r="75" spans="1:3" x14ac:dyDescent="0.25">
      <c r="A75" s="36">
        <f>IF([2]export!$A79&lt;&gt;"",DATEVALUE([2]export!$E79),"")</f>
        <v>45419</v>
      </c>
      <c r="B75" t="str">
        <f>IF([2]export!$E79&lt;&gt;"",_xlfn.TEXTJOIN(" ",TRUE,[2]export!$F79:$J79),"")</f>
        <v>HUN-Budapest Pan ni Vásárlás(2024.05.05) Card:5444-0XXX-XX68-8737 MCC5462 HUN-Budapest Pan ni 7.650,00 HUF Kártyatranzakció</v>
      </c>
      <c r="C75" s="37">
        <f>_xlfn.NUMBERVALUE(SUBSTITUTE(SUBSTITUTE([2]export!$B79," HUF",""),CHAR(160),""))</f>
        <v>-7650</v>
      </c>
    </row>
    <row r="76" spans="1:3" x14ac:dyDescent="0.25">
      <c r="A76" s="36">
        <f>IF([2]export!$A80&lt;&gt;"",DATEVALUE([2]export!$E80),"")</f>
        <v>45418</v>
      </c>
      <c r="B76" t="str">
        <f>IF([2]export!$E80&lt;&gt;"",_xlfn.TEXTJOIN(" ",TRUE,[2]export!$F80:$J80),"")</f>
        <v>12011069-01600373-00100007 CZUPRIK GERGELY Bejövő Forint Átutalás</v>
      </c>
      <c r="C76" s="37">
        <f>_xlfn.NUMBERVALUE(SUBSTITUTE(SUBSTITUTE([2]export!$B80," HUF",""),CHAR(160),""))</f>
        <v>400000</v>
      </c>
    </row>
    <row r="77" spans="1:3" x14ac:dyDescent="0.25">
      <c r="A77" s="36">
        <f>IF([2]export!$A81&lt;&gt;"",DATEVALUE([2]export!$E81),"")</f>
        <v>45418</v>
      </c>
      <c r="B77" t="str">
        <f>IF([2]export!$E81&lt;&gt;"",_xlfn.TEXTJOIN(" ",TRUE,[2]export!$F81:$J81),"")</f>
        <v>HUN-Martonvasar SASKAEK Kft. Vásárlás(2024.05.04) Card:5444-0XXX-XX68-8737 MCC5411 HUN-Martonvasar SASKAEK Kft. 251,00 HUF Kártyatranzakció</v>
      </c>
      <c r="C77" s="37">
        <f>_xlfn.NUMBERVALUE(SUBSTITUTE(SUBSTITUTE([2]export!$B81," HUF",""),CHAR(160),""))</f>
        <v>-251</v>
      </c>
    </row>
    <row r="78" spans="1:3" x14ac:dyDescent="0.25">
      <c r="A78" s="36">
        <f>IF([2]export!$A82&lt;&gt;"",DATEVALUE([2]export!$E82),"")</f>
        <v>45418</v>
      </c>
      <c r="B78" t="str">
        <f>IF([2]export!$E82&lt;&gt;"",_xlfn.TEXTJOIN(" ",TRUE,[2]export!$F82:$J82),"")</f>
        <v>HUN-MARTONVASAR WIN PLUS HD MARKET Vásárlás(2024.05.04) Card:5444-0XXX-XX68-8737 MCC5499 HUN-MARTONVASAR WIN PLUS HD MARKET 590,00 HUF Kártyatranzakció</v>
      </c>
      <c r="C78" s="37">
        <f>_xlfn.NUMBERVALUE(SUBSTITUTE(SUBSTITUTE([2]export!$B82," HUF",""),CHAR(160),""))</f>
        <v>-590</v>
      </c>
    </row>
    <row r="79" spans="1:3" x14ac:dyDescent="0.25">
      <c r="A79" s="36">
        <f>IF([2]export!$A83&lt;&gt;"",DATEVALUE([2]export!$E83),"")</f>
        <v>45418</v>
      </c>
      <c r="B79" t="str">
        <f>IF([2]export!$E83&lt;&gt;"",_xlfn.TEXTJOIN(" ",TRUE,[2]export!$F83:$J83),"")</f>
        <v>HUN-MARTONVASAR VIZ-, GAZ SZERELVEN Vásárlás(2024.05.02) Card:5444-0XXX-XX68-8737 MCC5074 HUN-MARTONVASAR VIZ-, GAZ SZERELVEN YB 1.918,00 HUF Kártyatranzakció</v>
      </c>
      <c r="C79" s="37">
        <f>_xlfn.NUMBERVALUE(SUBSTITUTE(SUBSTITUTE([2]export!$B83," HUF",""),CHAR(160),""))</f>
        <v>-1918</v>
      </c>
    </row>
    <row r="80" spans="1:3" x14ac:dyDescent="0.25">
      <c r="A80" s="36">
        <f>IF([2]export!$A84&lt;&gt;"",DATEVALUE([2]export!$E84),"")</f>
        <v>45418</v>
      </c>
      <c r="B80" t="str">
        <f>IF([2]export!$E84&lt;&gt;"",_xlfn.TEXTJOIN(" ",TRUE,[2]export!$F84:$J84),"")</f>
        <v>HUN-MARTONVASAR MARTON MARKET Vásárlás(2024.05.04) Card:5444-0XXX-XX68-8737 MCC5411 HUN-MARTONVASAR MARTON MARKET 1.948,00 HUF Kártyatranzakció</v>
      </c>
      <c r="C80" s="37">
        <f>_xlfn.NUMBERVALUE(SUBSTITUTE(SUBSTITUTE([2]export!$B84," HUF",""),CHAR(160),""))</f>
        <v>-1948</v>
      </c>
    </row>
    <row r="81" spans="1:3" x14ac:dyDescent="0.25">
      <c r="A81" s="36">
        <f>IF([2]export!$A85&lt;&gt;"",DATEVALUE([2]export!$E85),"")</f>
        <v>45418</v>
      </c>
      <c r="B81" t="str">
        <f>IF([2]export!$E85&lt;&gt;"",_xlfn.TEXTJOIN(" ",TRUE,[2]export!$F85:$J85),"")</f>
        <v>HUN-Hernad SumUp  *Danasz Diamand Vásárlás(2024.05.04) Card:5444-0XXX-XX68-8737 MCC5411 HUN-Hernad SumUp  *Danasz Diamand 1.980,00 HUF Kártyatranzakció</v>
      </c>
      <c r="C81" s="37">
        <f>_xlfn.NUMBERVALUE(SUBSTITUTE(SUBSTITUTE([2]export!$B85," HUF",""),CHAR(160),""))</f>
        <v>-1980</v>
      </c>
    </row>
    <row r="82" spans="1:3" x14ac:dyDescent="0.25">
      <c r="A82" s="36">
        <f>IF([2]export!$A86&lt;&gt;"",DATEVALUE([2]export!$E86),"")</f>
        <v>45418</v>
      </c>
      <c r="B82" t="str">
        <f>IF([2]export!$E86&lt;&gt;"",_xlfn.TEXTJOIN(" ",TRUE,[2]export!$F86:$J86),"")</f>
        <v>SWE-Stockholm Spotify Vásárlás(2024.05.02) Card:5444-0XXX-XX68-8737 MCC4899 SWE-Stockholm Spotify 1.990,00 HUF Kártyatranzakció</v>
      </c>
      <c r="C82" s="37">
        <f>_xlfn.NUMBERVALUE(SUBSTITUTE(SUBSTITUTE([2]export!$B86," HUF",""),CHAR(160),""))</f>
        <v>-1990</v>
      </c>
    </row>
    <row r="83" spans="1:3" x14ac:dyDescent="0.25">
      <c r="A83" s="36">
        <f>IF([2]export!$A87&lt;&gt;"",DATEVALUE([2]export!$E87),"")</f>
        <v>45418</v>
      </c>
      <c r="B83" t="str">
        <f>IF([2]export!$E87&lt;&gt;"",_xlfn.TEXTJOIN(" ",TRUE,[2]export!$F87:$J87),"")</f>
        <v>HUN-MARTONVASAR ROSSMANN 336. Vásárlás(2024.05.02) Card:5444-0XXX-XX68-8737 MCC5977 HUN-MARTONVASAR ROSSMANN 336. 2.099,00 HUF Kártyatranzakció</v>
      </c>
      <c r="C83" s="37">
        <f>_xlfn.NUMBERVALUE(SUBSTITUTE(SUBSTITUTE([2]export!$B87," HUF",""),CHAR(160),""))</f>
        <v>-2099</v>
      </c>
    </row>
    <row r="84" spans="1:3" x14ac:dyDescent="0.25">
      <c r="A84" s="36">
        <f>IF([2]export!$A88&lt;&gt;"",DATEVALUE([2]export!$E88),"")</f>
        <v>45418</v>
      </c>
      <c r="B84" t="str">
        <f>IF([2]export!$E88&lt;&gt;"",_xlfn.TEXTJOIN(" ",TRUE,[2]export!$F88:$J88),"")</f>
        <v>HUN-BARACSKA CSIZ SAJTMUHELY KFT Vásárlás(2024.05.03) Card:5444-0XXX-XX68-8737 MCC5499 HUN-BARACSKA CSIZ SAJTMUHELY KFT 2.340,00 HUF Kártyatranzakció</v>
      </c>
      <c r="C84" s="37">
        <f>_xlfn.NUMBERVALUE(SUBSTITUTE(SUBSTITUTE([2]export!$B88," HUF",""),CHAR(160),""))</f>
        <v>-2340</v>
      </c>
    </row>
    <row r="85" spans="1:3" x14ac:dyDescent="0.25">
      <c r="A85" s="36">
        <f>IF([2]export!$A89&lt;&gt;"",DATEVALUE([2]export!$E89),"")</f>
        <v>45418</v>
      </c>
      <c r="B85" t="str">
        <f>IF([2]export!$E89&lt;&gt;"",_xlfn.TEXTJOIN(" ",TRUE,[2]export!$F89:$J89),"")</f>
        <v>HUN-Budapest, XXI SumUp  *Mennyei t Vásárlás(2024.05.04) Card:5444-0XXX-XX68-8737 MCC5499 HUN-Budapest, XXI SumUp  *Mennyei t ermek 2.750,00 HUF Kártyatranzakció</v>
      </c>
      <c r="C85" s="37">
        <f>_xlfn.NUMBERVALUE(SUBSTITUTE(SUBSTITUTE([2]export!$B89," HUF",""),CHAR(160),""))</f>
        <v>-2750</v>
      </c>
    </row>
    <row r="86" spans="1:3" x14ac:dyDescent="0.25">
      <c r="A86" s="36">
        <f>IF([2]export!$A90&lt;&gt;"",DATEVALUE([2]export!$E90),"")</f>
        <v>45418</v>
      </c>
      <c r="B86" t="str">
        <f>IF([2]export!$E90&lt;&gt;"",_xlfn.TEXTJOIN(" ",TRUE,[2]export!$F90:$J90),"")</f>
        <v>HUN-RAD KEKSZ-KALMAN ESZTER EV Vásárlás(2024.05.04) Card:5444-0XXX-XX68-8737 MCC5399 HUN-RAD KEKSZ-KALMAN ESZTER EV 3.300,00 HUF Kártyatranzakció</v>
      </c>
      <c r="C86" s="37">
        <f>_xlfn.NUMBERVALUE(SUBSTITUTE(SUBSTITUTE([2]export!$B90," HUF",""),CHAR(160),""))</f>
        <v>-3300</v>
      </c>
    </row>
    <row r="87" spans="1:3" x14ac:dyDescent="0.25">
      <c r="A87" s="36">
        <f>IF([2]export!$A91&lt;&gt;"",DATEVALUE([2]export!$E91),"")</f>
        <v>45418</v>
      </c>
      <c r="B87" t="str">
        <f>IF([2]export!$E91&lt;&gt;"",_xlfn.TEXTJOIN(" ",TRUE,[2]export!$F91:$J91),"")</f>
        <v>HUN-Martonvasar SASKAEK Kft. Vásárlás(2024.05.02) Card:5444-0XXX-XX68-8737 MCC5411 HUN-Martonvasar SASKAEK Kft. 3.546,00 HUF Kártyatranzakció</v>
      </c>
      <c r="C87" s="37">
        <f>_xlfn.NUMBERVALUE(SUBSTITUTE(SUBSTITUTE([2]export!$B91," HUF",""),CHAR(160),""))</f>
        <v>-3546</v>
      </c>
    </row>
    <row r="88" spans="1:3" x14ac:dyDescent="0.25">
      <c r="A88" s="36">
        <f>IF([2]export!$A92&lt;&gt;"",DATEVALUE([2]export!$E92),"")</f>
        <v>45418</v>
      </c>
      <c r="B88" t="str">
        <f>IF([2]export!$E92&lt;&gt;"",_xlfn.TEXTJOIN(" ",TRUE,[2]export!$F92:$J92),"")</f>
        <v>HUN-BUDAORS LIBRI BUDAO:RS Vásárlás(2024.05.04) Card:5444-0XXX-XX68-8737 MCC5942 HUN-BUDAORS LIBRI BUDAO:RS 3.572,00 HUF Kártyatranzakció</v>
      </c>
      <c r="C88" s="37">
        <f>_xlfn.NUMBERVALUE(SUBSTITUTE(SUBSTITUTE([2]export!$B92," HUF",""),CHAR(160),""))</f>
        <v>-3572</v>
      </c>
    </row>
    <row r="89" spans="1:3" x14ac:dyDescent="0.25">
      <c r="A89" s="36">
        <f>IF([2]export!$A93&lt;&gt;"",DATEVALUE([2]export!$E93),"")</f>
        <v>45418</v>
      </c>
      <c r="B89" t="str">
        <f>IF([2]export!$E93&lt;&gt;"",_xlfn.TEXTJOIN(" ",TRUE,[2]export!$F93:$J93),"")</f>
        <v>HUN-BUDAORS DM 449 Vásárlás(2024.05.04) Card:5444-0XXX-XX68-8737 MCC5977 HUN-BUDAORS DM 449 8.459,00 HUF Kártyatranzakció</v>
      </c>
      <c r="C89" s="37">
        <f>_xlfn.NUMBERVALUE(SUBSTITUTE(SUBSTITUTE([2]export!$B93," HUF",""),CHAR(160),""))</f>
        <v>-8459</v>
      </c>
    </row>
    <row r="90" spans="1:3" x14ac:dyDescent="0.25">
      <c r="A90" s="36">
        <f>IF([2]export!$A94&lt;&gt;"",DATEVALUE([2]export!$E94),"")</f>
        <v>45418</v>
      </c>
      <c r="B90" t="str">
        <f>IF([2]export!$E94&lt;&gt;"",_xlfn.TEXTJOIN(" ",TRUE,[2]export!$F94:$J94),"")</f>
        <v>Kártya Tagsági díj Card:5444-0XXX-XX68-8737</v>
      </c>
      <c r="C90" s="37">
        <f>_xlfn.NUMBERVALUE(SUBSTITUTE(SUBSTITUTE([2]export!$B94," HUF",""),CHAR(160),""))</f>
        <v>-8608</v>
      </c>
    </row>
    <row r="91" spans="1:3" x14ac:dyDescent="0.25">
      <c r="A91" s="36">
        <f>IF([2]export!$A95&lt;&gt;"",DATEVALUE([2]export!$E95),"")</f>
        <v>45418</v>
      </c>
      <c r="B91" t="str">
        <f>IF([2]export!$E95&lt;&gt;"",_xlfn.TEXTJOIN(" ",TRUE,[2]export!$F95:$J95),"")</f>
        <v>HUN-Hernad SumUp  *Danasz Diamand Vásárlás(2024.05.04) Card:5444-0XXX-XX68-8737 MCC5411 HUN-Hernad SumUp  *Danasz Diamand 11.530,00 HUF Kártyatranzakció</v>
      </c>
      <c r="C91" s="37">
        <f>_xlfn.NUMBERVALUE(SUBSTITUTE(SUBSTITUTE([2]export!$B95," HUF",""),CHAR(160),""))</f>
        <v>-11530</v>
      </c>
    </row>
    <row r="92" spans="1:3" x14ac:dyDescent="0.25">
      <c r="A92" s="36">
        <f>IF([2]export!$A96&lt;&gt;"",DATEVALUE([2]export!$E96),"")</f>
        <v>45418</v>
      </c>
      <c r="B92" t="str">
        <f>IF([2]export!$E96&lt;&gt;"",_xlfn.TEXTJOIN(" ",TRUE,[2]export!$F96:$J96),"")</f>
        <v>HUN-Budaors LIDL HU 349 Budaors Vásárlás(2024.05.04) Card:5444-0XXX-XX68-8737 MCC5411 HUN-Budaors LIDL HU 349 Budaors 13.648,00 HUF Kártyatranzakció</v>
      </c>
      <c r="C92" s="37">
        <f>_xlfn.NUMBERVALUE(SUBSTITUTE(SUBSTITUTE([2]export!$B96," HUF",""),CHAR(160),""))</f>
        <v>-13648</v>
      </c>
    </row>
    <row r="93" spans="1:3" x14ac:dyDescent="0.25">
      <c r="A93" s="36">
        <f>IF([2]export!$A97&lt;&gt;"",DATEVALUE([2]export!$E97),"")</f>
        <v>45417</v>
      </c>
      <c r="B93" t="str">
        <f>IF([2]export!$E97&lt;&gt;"",_xlfn.TEXTJOIN(" ",TRUE,[2]export!$F97:$J97),"")</f>
        <v>Cr Forgalmi kedvezmény</v>
      </c>
      <c r="C93" s="37">
        <f>_xlfn.NUMBERVALUE(SUBSTITUTE(SUBSTITUTE([2]export!$B97," HUF",""),CHAR(160),""))</f>
        <v>2250</v>
      </c>
    </row>
    <row r="94" spans="1:3" x14ac:dyDescent="0.25">
      <c r="A94" s="36">
        <f>IF([2]export!$A98&lt;&gt;"",DATEVALUE([2]export!$E98),"")</f>
        <v>45415</v>
      </c>
      <c r="B94" t="str">
        <f>IF([2]export!$E98&lt;&gt;"",_xlfn.TEXTJOIN(" ",TRUE,[2]export!$F98:$J98),"")</f>
        <v>10032000-00282637-00000000 OKTATÁSI HIVATAL MUNKABÉR UTALÁS Bejövő Forint Átutalás</v>
      </c>
      <c r="C94" s="37">
        <f>_xlfn.NUMBERVALUE(SUBSTITUTE(SUBSTITUTE([2]export!$B98," HUF",""),CHAR(160),""))</f>
        <v>252090</v>
      </c>
    </row>
    <row r="95" spans="1:3" x14ac:dyDescent="0.25">
      <c r="A95" s="36">
        <f>IF([2]export!$A99&lt;&gt;"",DATEVALUE([2]export!$E99),"")</f>
        <v>45415</v>
      </c>
      <c r="B95" t="str">
        <f>IF([2]export!$E99&lt;&gt;"",_xlfn.TEXTJOIN(" ",TRUE,[2]export!$F99:$J99),"")</f>
        <v>HUN-Dorog Korken Medmark Kft. Vásárlás(2024.05.01) Card:5444-0XXX-XX68-8737 MCC5977 HUN-Dorog Korken Medmark Kft. 8.389,00 HUF Kártyatranzakció</v>
      </c>
      <c r="C95" s="37">
        <f>_xlfn.NUMBERVALUE(SUBSTITUTE(SUBSTITUTE([2]export!$B99," HUF",""),CHAR(160),""))</f>
        <v>-8389</v>
      </c>
    </row>
    <row r="96" spans="1:3" x14ac:dyDescent="0.25">
      <c r="A96" s="36">
        <f>IF([2]export!$A100&lt;&gt;"",DATEVALUE([2]export!$E100),"")</f>
        <v>45414</v>
      </c>
      <c r="B96" t="str">
        <f>IF([2]export!$E100&lt;&gt;"",_xlfn.TEXTJOIN(" ",TRUE,[2]export!$F100:$J100),"")</f>
        <v>HUN-BUDAPEST BARIONP*TornaDora Áru vissza/befizetés(2024.04.30) Card:5444-0XXX-XX68-8737 MCC5641 HUN-BUDAPEST BARIONP*TornaDora 31.980,00 HUF Kártyatranzakció</v>
      </c>
      <c r="C96" s="37">
        <f>_xlfn.NUMBERVALUE(SUBSTITUTE(SUBSTITUTE([2]export!$B100," HUF",""),CHAR(160),""))</f>
        <v>31980</v>
      </c>
    </row>
    <row r="97" spans="1:3" x14ac:dyDescent="0.25">
      <c r="A97" s="36">
        <f>IF([2]export!$A101&lt;&gt;"",DATEVALUE([2]export!$E101),"")</f>
        <v>45414</v>
      </c>
      <c r="B97" t="str">
        <f>IF([2]export!$E101&lt;&gt;"",_xlfn.TEXTJOIN(" ",TRUE,[2]export!$F101:$J101),"")</f>
        <v>HUN-Martonvasar SASKAEK Kft. Vásárlás(2024.04.29) Card:5444-0XXX-XX68-8737 MCC5411 HUN-Martonvasar SASKAEK Kft. 1.357,00 HUF Kártyatranzakció</v>
      </c>
      <c r="C97" s="37">
        <f>_xlfn.NUMBERVALUE(SUBSTITUTE(SUBSTITUTE([2]export!$B101," HUF",""),CHAR(160),""))</f>
        <v>-1357</v>
      </c>
    </row>
    <row r="98" spans="1:3" x14ac:dyDescent="0.25">
      <c r="A98" s="36">
        <f>IF([2]export!$A102&lt;&gt;"",DATEVALUE([2]export!$E102),"")</f>
        <v>45414</v>
      </c>
      <c r="B98" t="str">
        <f>IF([2]export!$E102&lt;&gt;"",_xlfn.TEXTJOIN(" ",TRUE,[2]export!$F102:$J102),"")</f>
        <v>HUN-BUDAPEST ADVANCE KANTIN Vásárlás(2024.04.30) Card:5444-0XXX-XX68-8737 MCC5812 HUN-BUDAPEST ADVANCE KANTIN 2.550,00 HUF Kártyatranzakció</v>
      </c>
      <c r="C98" s="37">
        <f>_xlfn.NUMBERVALUE(SUBSTITUTE(SUBSTITUTE([2]export!$B102," HUF",""),CHAR(160),""))</f>
        <v>-2550</v>
      </c>
    </row>
    <row r="99" spans="1:3" x14ac:dyDescent="0.25">
      <c r="A99" s="36">
        <f>IF([2]export!$A103&lt;&gt;"",DATEVALUE([2]export!$E103),"")</f>
        <v>45414</v>
      </c>
      <c r="B99" t="str">
        <f>IF([2]export!$E103&lt;&gt;"",_xlfn.TEXTJOIN(" ",TRUE,[2]export!$F103:$J103),"")</f>
        <v>HUN-MARTONVASAR POSTAKOCSI E'TTEREM Vásárlás(2024.04.30) Card:5444-0XXX-XX68-8737 MCC5812 HUN-MARTONVASAR POSTAKOCSI E'TTEREM 7.980,00 HUF Kártyatranzakció</v>
      </c>
      <c r="C99" s="37">
        <f>_xlfn.NUMBERVALUE(SUBSTITUTE(SUBSTITUTE([2]export!$B103," HUF",""),CHAR(160),""))</f>
        <v>-7980</v>
      </c>
    </row>
    <row r="100" spans="1:3" x14ac:dyDescent="0.25">
      <c r="A100" s="36">
        <f>IF([2]export!$A104&lt;&gt;"",DATEVALUE([2]export!$E104),"")</f>
        <v>45414</v>
      </c>
      <c r="B100" t="str">
        <f>IF([2]export!$E104&lt;&gt;"",_xlfn.TEXTJOIN(" ",TRUE,[2]export!$F104:$J104),"")</f>
        <v>HUN-Martonvasar Gazda-SAGI Bolt Vásárlás(2024.04.29) Card:5444-0XXX-XX68-8737 MCC5261 HUN-Martonvasar Gazda-SAGI Bolt 9.050,00 HUF Kártyatranzakció</v>
      </c>
      <c r="C100" s="37">
        <f>_xlfn.NUMBERVALUE(SUBSTITUTE(SUBSTITUTE([2]export!$B104," HUF",""),CHAR(160),""))</f>
        <v>-9050</v>
      </c>
    </row>
    <row r="101" spans="1:3" x14ac:dyDescent="0.25">
      <c r="A101" s="36">
        <f>IF([2]export!$A105&lt;&gt;"",DATEVALUE([2]export!$E105),"")</f>
        <v>45414</v>
      </c>
      <c r="B101" t="str">
        <f>IF([2]export!$E105&lt;&gt;"",_xlfn.TEXTJOIN(" ",TRUE,[2]export!$F105:$J105),"")</f>
        <v>HUN-MARTONVASAR ROSSMANN 336. Vásárlás(2024.04.29) Card:5444-0XXX-XX68-8737 MCC5977 HUN-MARTONVASAR ROSSMANN 336. 21.597,00 HUF Kártyatranzakció</v>
      </c>
      <c r="C101" s="37">
        <f>_xlfn.NUMBERVALUE(SUBSTITUTE(SUBSTITUTE([2]export!$B105," HUF",""),CHAR(160),""))</f>
        <v>-21597</v>
      </c>
    </row>
    <row r="102" spans="1:3" x14ac:dyDescent="0.25">
      <c r="A102" s="36">
        <f>IF([2]export!$A106&lt;&gt;"",DATEVALUE([2]export!$E106),"")</f>
        <v>45414</v>
      </c>
      <c r="B102" t="str">
        <f>IF([2]export!$E106&lt;&gt;"",_xlfn.TEXTJOIN(" ",TRUE,[2]export!$F106:$J106),"")</f>
        <v>HUN-BUDAPEST OTPMOBL*webkincstar Vásárlás(2024.04.30) Card:5444-0XXX-XX68-8737 MCC9399 HUN-BUDAPEST OTPMOBL*webkincstar 52.561,00 HUF Kártyatranzakció</v>
      </c>
      <c r="C102" s="37">
        <f>_xlfn.NUMBERVALUE(SUBSTITUTE(SUBSTITUTE([2]export!$B106," HUF",""),CHAR(160),""))</f>
        <v>-52561</v>
      </c>
    </row>
    <row r="103" spans="1:3" x14ac:dyDescent="0.25">
      <c r="A103" s="36" t="str">
        <f>IF([2]export!$A107&lt;&gt;"",DATEVALUE([2]export!$E107),"")</f>
        <v/>
      </c>
      <c r="B103" t="str">
        <f>IF([2]export!$E107&lt;&gt;"",_xlfn.TEXTJOIN(" ",TRUE,[2]export!$F107:$J107),"")</f>
        <v/>
      </c>
      <c r="C103" s="37">
        <f>_xlfn.NUMBERVALUE(SUBSTITUTE(SUBSTITUTE([2]export!$B107," HUF",""),CHAR(160),""))</f>
        <v>0</v>
      </c>
    </row>
    <row r="104" spans="1:3" x14ac:dyDescent="0.25">
      <c r="A104" s="36" t="str">
        <f>IF([2]export!$A108&lt;&gt;"",DATEVALUE([2]export!$E108),"")</f>
        <v/>
      </c>
      <c r="B104" t="str">
        <f>IF([2]export!$E108&lt;&gt;"",_xlfn.TEXTJOIN(" ",TRUE,[2]export!$F108:$J108),"")</f>
        <v/>
      </c>
      <c r="C104" s="37">
        <f>_xlfn.NUMBERVALUE(SUBSTITUTE(SUBSTITUTE([2]export!$B108," HUF",""),CHAR(160),""))</f>
        <v>0</v>
      </c>
    </row>
    <row r="105" spans="1:3" x14ac:dyDescent="0.25">
      <c r="A105" s="36" t="str">
        <f>IF([2]export!$A109&lt;&gt;"",DATEVALUE([2]export!$E109),"")</f>
        <v/>
      </c>
      <c r="B105" t="str">
        <f>IF([2]export!$E109&lt;&gt;"",_xlfn.TEXTJOIN(" ",TRUE,[2]export!$F109:$J109),"")</f>
        <v/>
      </c>
      <c r="C105" s="37">
        <f>_xlfn.NUMBERVALUE(SUBSTITUTE(SUBSTITUTE([2]export!$B109," HUF",""),CHAR(160),""))</f>
        <v>0</v>
      </c>
    </row>
    <row r="106" spans="1:3" x14ac:dyDescent="0.25">
      <c r="A106" s="36" t="str">
        <f>IF([2]export!$A110&lt;&gt;"",DATEVALUE([2]export!$E110),"")</f>
        <v/>
      </c>
      <c r="B106" t="str">
        <f>IF([2]export!$E110&lt;&gt;"",_xlfn.TEXTJOIN(" ",TRUE,[2]export!$F110:$J110),"")</f>
        <v/>
      </c>
      <c r="C106" s="37">
        <f>_xlfn.NUMBERVALUE(SUBSTITUTE(SUBSTITUTE([2]export!$B110," HUF",""),CHAR(160),""))</f>
        <v>0</v>
      </c>
    </row>
    <row r="107" spans="1:3" x14ac:dyDescent="0.25">
      <c r="A107" s="36" t="str">
        <f>IF([2]export!$A111&lt;&gt;"",DATEVALUE([2]export!$E111),"")</f>
        <v/>
      </c>
      <c r="B107" t="str">
        <f>IF([2]export!$E111&lt;&gt;"",_xlfn.TEXTJOIN(" ",TRUE,[2]export!$F111:$J111),"")</f>
        <v/>
      </c>
      <c r="C107" s="37">
        <f>_xlfn.NUMBERVALUE(SUBSTITUTE(SUBSTITUTE([2]export!$B111," HUF",""),CHAR(160),""))</f>
        <v>0</v>
      </c>
    </row>
    <row r="108" spans="1:3" x14ac:dyDescent="0.25">
      <c r="A108" s="36" t="str">
        <f>IF([2]export!$A112&lt;&gt;"",DATEVALUE([2]export!$E112),"")</f>
        <v/>
      </c>
      <c r="B108" t="str">
        <f>IF([2]export!$E112&lt;&gt;"",_xlfn.TEXTJOIN(" ",TRUE,[2]export!$F112:$J112),"")</f>
        <v/>
      </c>
      <c r="C108" s="37">
        <f>_xlfn.NUMBERVALUE(SUBSTITUTE(SUBSTITUTE([2]export!$B112," HUF",""),CHAR(160),""))</f>
        <v>0</v>
      </c>
    </row>
    <row r="109" spans="1:3" x14ac:dyDescent="0.25">
      <c r="A109" s="36" t="str">
        <f>IF([2]export!$A113&lt;&gt;"",DATEVALUE([2]export!$E113),"")</f>
        <v/>
      </c>
      <c r="B109" t="str">
        <f>IF([2]export!$E113&lt;&gt;"",_xlfn.TEXTJOIN(" ",TRUE,[2]export!$F113:$J113),"")</f>
        <v/>
      </c>
      <c r="C109" s="37">
        <f>_xlfn.NUMBERVALUE(SUBSTITUTE(SUBSTITUTE([2]export!$B113," HUF",""),CHAR(160),""))</f>
        <v>0</v>
      </c>
    </row>
    <row r="110" spans="1:3" x14ac:dyDescent="0.25">
      <c r="A110" s="36" t="str">
        <f>IF([2]export!$A114&lt;&gt;"",DATEVALUE([2]export!$E114),"")</f>
        <v/>
      </c>
      <c r="B110" t="str">
        <f>IF([2]export!$E114&lt;&gt;"",_xlfn.TEXTJOIN(" ",TRUE,[2]export!$F114:$J114),"")</f>
        <v/>
      </c>
      <c r="C110" s="37">
        <f>_xlfn.NUMBERVALUE(SUBSTITUTE(SUBSTITUTE([2]export!$B114," HUF",""),CHAR(160),""))</f>
        <v>0</v>
      </c>
    </row>
    <row r="111" spans="1:3" x14ac:dyDescent="0.25">
      <c r="A111" s="36" t="str">
        <f>IF([2]export!$A115&lt;&gt;"",DATEVALUE([2]export!$E115),"")</f>
        <v/>
      </c>
      <c r="B111" t="str">
        <f>IF([2]export!$E115&lt;&gt;"",_xlfn.TEXTJOIN(" ",TRUE,[2]export!$F115:$J115),"")</f>
        <v/>
      </c>
      <c r="C111" s="37">
        <f>_xlfn.NUMBERVALUE(SUBSTITUTE(SUBSTITUTE([2]export!$B115," HUF",""),CHAR(160),""))</f>
        <v>0</v>
      </c>
    </row>
    <row r="112" spans="1:3" x14ac:dyDescent="0.25">
      <c r="A112" s="36" t="str">
        <f>IF([2]export!$A116&lt;&gt;"",DATEVALUE([2]export!$E116),"")</f>
        <v/>
      </c>
      <c r="B112" t="str">
        <f>IF([2]export!$E116&lt;&gt;"",_xlfn.TEXTJOIN(" ",TRUE,[2]export!$F116:$J116),"")</f>
        <v/>
      </c>
      <c r="C112" s="37">
        <f>_xlfn.NUMBERVALUE(SUBSTITUTE(SUBSTITUTE([2]export!$B116," HUF",""),CHAR(160),""))</f>
        <v>0</v>
      </c>
    </row>
    <row r="113" spans="1:3" x14ac:dyDescent="0.25">
      <c r="A113" s="36" t="str">
        <f>IF([2]export!$A117&lt;&gt;"",DATEVALUE([2]export!$E117),"")</f>
        <v/>
      </c>
      <c r="B113" t="str">
        <f>IF([2]export!$E117&lt;&gt;"",_xlfn.TEXTJOIN(" ",TRUE,[2]export!$F117:$J117),"")</f>
        <v/>
      </c>
      <c r="C113" s="37">
        <f>_xlfn.NUMBERVALUE(SUBSTITUTE(SUBSTITUTE([2]export!$B117," HUF",""),CHAR(160),""))</f>
        <v>0</v>
      </c>
    </row>
    <row r="114" spans="1:3" x14ac:dyDescent="0.25">
      <c r="A114" s="36" t="str">
        <f>IF([2]export!$A118&lt;&gt;"",DATEVALUE([2]export!$E118),"")</f>
        <v/>
      </c>
      <c r="B114" t="str">
        <f>IF([2]export!$E118&lt;&gt;"",_xlfn.TEXTJOIN(" ",TRUE,[2]export!$F118:$J118),"")</f>
        <v/>
      </c>
      <c r="C114" s="37">
        <f>_xlfn.NUMBERVALUE(SUBSTITUTE(SUBSTITUTE([2]export!$B118," HUF",""),CHAR(160),""))</f>
        <v>0</v>
      </c>
    </row>
    <row r="115" spans="1:3" x14ac:dyDescent="0.25">
      <c r="A115" s="36" t="str">
        <f>IF([2]export!$A119&lt;&gt;"",DATEVALUE([2]export!$E119),"")</f>
        <v/>
      </c>
      <c r="B115" t="str">
        <f>IF([2]export!$E119&lt;&gt;"",_xlfn.TEXTJOIN(" ",TRUE,[2]export!$F119:$J119),"")</f>
        <v/>
      </c>
      <c r="C115" s="37">
        <f>_xlfn.NUMBERVALUE(SUBSTITUTE(SUBSTITUTE([2]export!$B119," HUF",""),CHAR(160),""))</f>
        <v>0</v>
      </c>
    </row>
    <row r="116" spans="1:3" x14ac:dyDescent="0.25">
      <c r="A116" s="36" t="str">
        <f>IF([2]export!$A120&lt;&gt;"",DATEVALUE([2]export!$E120),"")</f>
        <v/>
      </c>
      <c r="B116" t="str">
        <f>IF([2]export!$E120&lt;&gt;"",_xlfn.TEXTJOIN(" ",TRUE,[2]export!$F120:$J120),"")</f>
        <v/>
      </c>
      <c r="C116" s="37">
        <f>_xlfn.NUMBERVALUE(SUBSTITUTE(SUBSTITUTE([2]export!$B120," HUF",""),CHAR(160),""))</f>
        <v>0</v>
      </c>
    </row>
    <row r="117" spans="1:3" x14ac:dyDescent="0.25">
      <c r="A117" s="36" t="str">
        <f>IF([2]export!$A121&lt;&gt;"",DATEVALUE([2]export!$E121),"")</f>
        <v/>
      </c>
      <c r="B117" t="str">
        <f>IF([2]export!$E121&lt;&gt;"",_xlfn.TEXTJOIN(" ",TRUE,[2]export!$F121:$J121),"")</f>
        <v/>
      </c>
      <c r="C117" s="37">
        <f>_xlfn.NUMBERVALUE(SUBSTITUTE(SUBSTITUTE([2]export!$B121," HUF",""),CHAR(160),""))</f>
        <v>0</v>
      </c>
    </row>
    <row r="118" spans="1:3" x14ac:dyDescent="0.25">
      <c r="A118" s="36" t="str">
        <f>IF([2]export!$A122&lt;&gt;"",DATEVALUE([2]export!$E122),"")</f>
        <v/>
      </c>
      <c r="B118" t="str">
        <f>IF([2]export!$E122&lt;&gt;"",_xlfn.TEXTJOIN(" ",TRUE,[2]export!$F122:$J122),"")</f>
        <v/>
      </c>
      <c r="C118" s="37">
        <f>_xlfn.NUMBERVALUE(SUBSTITUTE(SUBSTITUTE([2]export!$B122," HUF",""),CHAR(160),""))</f>
        <v>0</v>
      </c>
    </row>
    <row r="119" spans="1:3" x14ac:dyDescent="0.25">
      <c r="A119" s="36" t="str">
        <f>IF([2]export!$A123&lt;&gt;"",DATEVALUE([2]export!$E123),"")</f>
        <v/>
      </c>
      <c r="B119" t="str">
        <f>IF([2]export!$E123&lt;&gt;"",_xlfn.TEXTJOIN(" ",TRUE,[2]export!$F123:$J123),"")</f>
        <v/>
      </c>
      <c r="C119" s="37">
        <f>_xlfn.NUMBERVALUE(SUBSTITUTE(SUBSTITUTE([2]export!$B123," HUF",""),CHAR(160),""))</f>
        <v>0</v>
      </c>
    </row>
    <row r="120" spans="1:3" x14ac:dyDescent="0.25">
      <c r="A120" s="36" t="str">
        <f>IF([2]export!$A124&lt;&gt;"",DATEVALUE([2]export!$E124),"")</f>
        <v/>
      </c>
      <c r="B120" t="str">
        <f>IF([2]export!$E124&lt;&gt;"",_xlfn.TEXTJOIN(" ",TRUE,[2]export!$F124:$J124),"")</f>
        <v/>
      </c>
      <c r="C120" s="37">
        <f>_xlfn.NUMBERVALUE(SUBSTITUTE(SUBSTITUTE([2]export!$B124," HUF",""),CHAR(160),""))</f>
        <v>0</v>
      </c>
    </row>
    <row r="121" spans="1:3" x14ac:dyDescent="0.25">
      <c r="A121" s="36" t="str">
        <f>IF([2]export!$A125&lt;&gt;"",DATEVALUE([2]export!$E125),"")</f>
        <v/>
      </c>
      <c r="B121" t="str">
        <f>IF([2]export!$E125&lt;&gt;"",_xlfn.TEXTJOIN(" ",TRUE,[2]export!$F125:$J125),"")</f>
        <v/>
      </c>
      <c r="C121" s="37">
        <f>_xlfn.NUMBERVALUE(SUBSTITUTE(SUBSTITUTE([2]export!$B125," HUF",""),CHAR(160),""))</f>
        <v>0</v>
      </c>
    </row>
    <row r="122" spans="1:3" x14ac:dyDescent="0.25">
      <c r="A122" s="36" t="str">
        <f>IF([2]export!$A126&lt;&gt;"",DATEVALUE([2]export!$E126),"")</f>
        <v/>
      </c>
      <c r="B122" t="str">
        <f>IF([2]export!$E126&lt;&gt;"",_xlfn.TEXTJOIN(" ",TRUE,[2]export!$F126:$J126),"")</f>
        <v/>
      </c>
      <c r="C122" s="37">
        <f>_xlfn.NUMBERVALUE(SUBSTITUTE(SUBSTITUTE([2]export!$B126," HUF",""),CHAR(160),""))</f>
        <v>0</v>
      </c>
    </row>
    <row r="123" spans="1:3" x14ac:dyDescent="0.25">
      <c r="A123" s="36" t="str">
        <f>IF([2]export!$A127&lt;&gt;"",DATEVALUE([2]export!$E127),"")</f>
        <v/>
      </c>
      <c r="B123" t="str">
        <f>IF([2]export!$E127&lt;&gt;"",_xlfn.TEXTJOIN(" ",TRUE,[2]export!$F127:$J127),"")</f>
        <v/>
      </c>
      <c r="C123" s="37">
        <f>_xlfn.NUMBERVALUE(SUBSTITUTE(SUBSTITUTE([2]export!$B127," HUF",""),CHAR(160),""))</f>
        <v>0</v>
      </c>
    </row>
    <row r="124" spans="1:3" x14ac:dyDescent="0.25">
      <c r="A124" s="36" t="str">
        <f>IF([2]export!$A128&lt;&gt;"",DATEVALUE([2]export!$E128),"")</f>
        <v/>
      </c>
      <c r="B124" t="str">
        <f>IF([2]export!$E128&lt;&gt;"",_xlfn.TEXTJOIN(" ",TRUE,[2]export!$F128:$J128),"")</f>
        <v/>
      </c>
      <c r="C124" s="37">
        <f>_xlfn.NUMBERVALUE(SUBSTITUTE(SUBSTITUTE([2]export!$B128," HUF",""),CHAR(160),""))</f>
        <v>0</v>
      </c>
    </row>
    <row r="125" spans="1:3" x14ac:dyDescent="0.25">
      <c r="A125" s="36" t="str">
        <f>IF([2]export!$A129&lt;&gt;"",DATEVALUE([2]export!$E129),"")</f>
        <v/>
      </c>
      <c r="B125" t="str">
        <f>IF([2]export!$E129&lt;&gt;"",_xlfn.TEXTJOIN(" ",TRUE,[2]export!$F129:$J129),"")</f>
        <v/>
      </c>
      <c r="C125" s="37">
        <f>_xlfn.NUMBERVALUE(SUBSTITUTE(SUBSTITUTE([2]export!$B129," HUF",""),CHAR(160),""))</f>
        <v>0</v>
      </c>
    </row>
    <row r="126" spans="1:3" x14ac:dyDescent="0.25">
      <c r="A126" s="36" t="str">
        <f>IF([2]export!$A130&lt;&gt;"",DATEVALUE([2]export!$E130),"")</f>
        <v/>
      </c>
      <c r="B126" t="str">
        <f>IF([2]export!$E130&lt;&gt;"",_xlfn.TEXTJOIN(" ",TRUE,[2]export!$F130:$J130),"")</f>
        <v/>
      </c>
      <c r="C126" s="37">
        <f>_xlfn.NUMBERVALUE(SUBSTITUTE(SUBSTITUTE([2]export!$B130," HUF",""),CHAR(160),""))</f>
        <v>0</v>
      </c>
    </row>
    <row r="127" spans="1:3" x14ac:dyDescent="0.25">
      <c r="A127" s="36" t="str">
        <f>IF([2]export!$A131&lt;&gt;"",DATEVALUE([2]export!$E131),"")</f>
        <v/>
      </c>
      <c r="B127" t="str">
        <f>IF([2]export!$E131&lt;&gt;"",_xlfn.TEXTJOIN(" ",TRUE,[2]export!$F131:$J131),"")</f>
        <v/>
      </c>
      <c r="C127" s="37">
        <f>_xlfn.NUMBERVALUE(SUBSTITUTE(SUBSTITUTE([2]export!$B131," HUF",""),CHAR(160),""))</f>
        <v>0</v>
      </c>
    </row>
    <row r="128" spans="1:3" x14ac:dyDescent="0.25">
      <c r="A128" s="36" t="str">
        <f>IF([2]export!$A132&lt;&gt;"",DATEVALUE([2]export!$E132),"")</f>
        <v/>
      </c>
      <c r="B128" t="str">
        <f>IF([2]export!$E132&lt;&gt;"",_xlfn.TEXTJOIN(" ",TRUE,[2]export!$F132:$J132),"")</f>
        <v/>
      </c>
      <c r="C128" s="37">
        <f>_xlfn.NUMBERVALUE(SUBSTITUTE(SUBSTITUTE([2]export!$B132," HUF",""),CHAR(160),""))</f>
        <v>0</v>
      </c>
    </row>
    <row r="129" spans="1:3" x14ac:dyDescent="0.25">
      <c r="A129" s="36" t="str">
        <f>IF([2]export!$A133&lt;&gt;"",DATEVALUE([2]export!$E133),"")</f>
        <v/>
      </c>
      <c r="B129" t="str">
        <f>IF([2]export!$E133&lt;&gt;"",_xlfn.TEXTJOIN(" ",TRUE,[2]export!$F133:$J133),"")</f>
        <v/>
      </c>
      <c r="C129" s="37">
        <f>_xlfn.NUMBERVALUE(SUBSTITUTE(SUBSTITUTE([2]export!$B133," HUF",""),CHAR(160),""))</f>
        <v>0</v>
      </c>
    </row>
    <row r="130" spans="1:3" x14ac:dyDescent="0.25">
      <c r="A130" s="36" t="str">
        <f>IF([2]export!$A134&lt;&gt;"",DATEVALUE([2]export!$E134),"")</f>
        <v/>
      </c>
      <c r="B130" t="str">
        <f>IF([2]export!$E134&lt;&gt;"",_xlfn.TEXTJOIN(" ",TRUE,[2]export!$F134:$J134),"")</f>
        <v/>
      </c>
      <c r="C130" s="37">
        <f>_xlfn.NUMBERVALUE(SUBSTITUTE(SUBSTITUTE([2]export!$B134," HUF",""),CHAR(160),""))</f>
        <v>0</v>
      </c>
    </row>
    <row r="131" spans="1:3" x14ac:dyDescent="0.25">
      <c r="A131" s="36" t="str">
        <f>IF([2]export!$A135&lt;&gt;"",DATEVALUE([2]export!$E135),"")</f>
        <v/>
      </c>
      <c r="B131" t="str">
        <f>IF([2]export!$E135&lt;&gt;"",_xlfn.TEXTJOIN(" ",TRUE,[2]export!$F135:$J135),"")</f>
        <v/>
      </c>
      <c r="C131" s="37">
        <f>_xlfn.NUMBERVALUE(SUBSTITUTE(SUBSTITUTE([2]export!$B135," HUF",""),CHAR(160),""))</f>
        <v>0</v>
      </c>
    </row>
    <row r="132" spans="1:3" x14ac:dyDescent="0.25">
      <c r="A132" s="36" t="str">
        <f>IF([2]export!$A136&lt;&gt;"",DATEVALUE([2]export!$E136),"")</f>
        <v/>
      </c>
      <c r="B132" t="str">
        <f>IF([2]export!$E136&lt;&gt;"",_xlfn.TEXTJOIN(" ",TRUE,[2]export!$F136:$J136),"")</f>
        <v/>
      </c>
      <c r="C132" s="37">
        <f>_xlfn.NUMBERVALUE(SUBSTITUTE(SUBSTITUTE([2]export!$B136," HUF",""),CHAR(160),""))</f>
        <v>0</v>
      </c>
    </row>
    <row r="133" spans="1:3" x14ac:dyDescent="0.25">
      <c r="A133" s="36" t="str">
        <f>IF([2]export!$A137&lt;&gt;"",DATEVALUE([2]export!$E137),"")</f>
        <v/>
      </c>
      <c r="B133" t="str">
        <f>IF([2]export!$E137&lt;&gt;"",_xlfn.TEXTJOIN(" ",TRUE,[2]export!$F137:$J137),"")</f>
        <v/>
      </c>
      <c r="C133" s="37">
        <f>_xlfn.NUMBERVALUE(SUBSTITUTE(SUBSTITUTE([2]export!$B137," HUF",""),CHAR(160),""))</f>
        <v>0</v>
      </c>
    </row>
    <row r="134" spans="1:3" x14ac:dyDescent="0.25">
      <c r="A134" s="36" t="str">
        <f>IF([2]export!$A138&lt;&gt;"",DATEVALUE([2]export!$E138),"")</f>
        <v/>
      </c>
      <c r="B134" t="str">
        <f>IF([2]export!$E138&lt;&gt;"",_xlfn.TEXTJOIN(" ",TRUE,[2]export!$F138:$J138),"")</f>
        <v/>
      </c>
      <c r="C134" s="37">
        <f>_xlfn.NUMBERVALUE(SUBSTITUTE(SUBSTITUTE([2]export!$B138," HUF",""),CHAR(160),""))</f>
        <v>0</v>
      </c>
    </row>
    <row r="135" spans="1:3" x14ac:dyDescent="0.25">
      <c r="A135" s="36" t="str">
        <f>IF([2]export!$A139&lt;&gt;"",DATEVALUE([2]export!$E139),"")</f>
        <v/>
      </c>
      <c r="B135" t="str">
        <f>IF([2]export!$E139&lt;&gt;"",_xlfn.TEXTJOIN(" ",TRUE,[2]export!$F139:$J139),"")</f>
        <v/>
      </c>
      <c r="C135" s="37">
        <f>_xlfn.NUMBERVALUE(SUBSTITUTE(SUBSTITUTE([2]export!$B139," HUF",""),CHAR(160),""))</f>
        <v>0</v>
      </c>
    </row>
    <row r="136" spans="1:3" x14ac:dyDescent="0.25">
      <c r="A136" s="36" t="str">
        <f>IF([2]export!$A140&lt;&gt;"",DATEVALUE([2]export!$E140),"")</f>
        <v/>
      </c>
      <c r="B136" t="str">
        <f>IF([2]export!$E140&lt;&gt;"",_xlfn.TEXTJOIN(" ",TRUE,[2]export!$F140:$J140),"")</f>
        <v/>
      </c>
      <c r="C136" s="37">
        <f>_xlfn.NUMBERVALUE(SUBSTITUTE(SUBSTITUTE([2]export!$B140," HUF",""),CHAR(160),""))</f>
        <v>0</v>
      </c>
    </row>
    <row r="137" spans="1:3" x14ac:dyDescent="0.25">
      <c r="A137" s="36" t="str">
        <f>IF([2]export!$A141&lt;&gt;"",DATEVALUE([2]export!$E141),"")</f>
        <v/>
      </c>
      <c r="B137" t="str">
        <f>IF([2]export!$E141&lt;&gt;"",_xlfn.TEXTJOIN(" ",TRUE,[2]export!$F141:$J141),"")</f>
        <v/>
      </c>
      <c r="C137" s="37">
        <f>_xlfn.NUMBERVALUE(SUBSTITUTE(SUBSTITUTE([2]export!$B141," HUF",""),CHAR(160),""))</f>
        <v>0</v>
      </c>
    </row>
    <row r="138" spans="1:3" x14ac:dyDescent="0.25">
      <c r="A138" s="36" t="str">
        <f>IF([2]export!$A142&lt;&gt;"",DATEVALUE([2]export!$E142),"")</f>
        <v/>
      </c>
      <c r="B138" t="str">
        <f>IF([2]export!$E142&lt;&gt;"",_xlfn.TEXTJOIN(" ",TRUE,[2]export!$F142:$J142),"")</f>
        <v/>
      </c>
      <c r="C138" s="37">
        <f>_xlfn.NUMBERVALUE(SUBSTITUTE(SUBSTITUTE([2]export!$B142," HUF",""),CHAR(160),""))</f>
        <v>0</v>
      </c>
    </row>
    <row r="139" spans="1:3" x14ac:dyDescent="0.25">
      <c r="A139" s="36" t="str">
        <f>IF([2]export!$A143&lt;&gt;"",DATEVALUE([2]export!$E143),"")</f>
        <v/>
      </c>
      <c r="B139" t="str">
        <f>IF([2]export!$E143&lt;&gt;"",_xlfn.TEXTJOIN(" ",TRUE,[2]export!$F143:$J143),"")</f>
        <v/>
      </c>
      <c r="C139" s="37">
        <f>_xlfn.NUMBERVALUE(SUBSTITUTE(SUBSTITUTE([2]export!$B143," HUF",""),CHAR(160),""))</f>
        <v>0</v>
      </c>
    </row>
    <row r="140" spans="1:3" x14ac:dyDescent="0.25">
      <c r="A140" s="36" t="str">
        <f>IF([2]export!$A144&lt;&gt;"",DATEVALUE([2]export!$E144),"")</f>
        <v/>
      </c>
      <c r="B140" t="str">
        <f>IF([2]export!$E144&lt;&gt;"",_xlfn.TEXTJOIN(" ",TRUE,[2]export!$F144:$J144),"")</f>
        <v/>
      </c>
      <c r="C140" s="37">
        <f>_xlfn.NUMBERVALUE(SUBSTITUTE(SUBSTITUTE([2]export!$B144," HUF",""),CHAR(160),""))</f>
        <v>0</v>
      </c>
    </row>
    <row r="141" spans="1:3" x14ac:dyDescent="0.25">
      <c r="A141" s="36" t="str">
        <f>IF([2]export!$A145&lt;&gt;"",DATEVALUE([2]export!$E145),"")</f>
        <v/>
      </c>
      <c r="B141" t="str">
        <f>IF([2]export!$E145&lt;&gt;"",_xlfn.TEXTJOIN(" ",TRUE,[2]export!$F145:$J145),"")</f>
        <v/>
      </c>
      <c r="C141" s="37">
        <f>_xlfn.NUMBERVALUE(SUBSTITUTE(SUBSTITUTE([2]export!$B145," HUF",""),CHAR(160),""))</f>
        <v>0</v>
      </c>
    </row>
    <row r="142" spans="1:3" x14ac:dyDescent="0.25">
      <c r="A142" s="36" t="str">
        <f>IF([2]export!$A146&lt;&gt;"",DATEVALUE([2]export!$E146),"")</f>
        <v/>
      </c>
      <c r="B142" t="str">
        <f>IF([2]export!$E146&lt;&gt;"",_xlfn.TEXTJOIN(" ",TRUE,[2]export!$F146:$J146),"")</f>
        <v/>
      </c>
      <c r="C142" s="37">
        <f>_xlfn.NUMBERVALUE(SUBSTITUTE(SUBSTITUTE([2]export!$B146," HUF",""),CHAR(160),""))</f>
        <v>0</v>
      </c>
    </row>
    <row r="143" spans="1:3" x14ac:dyDescent="0.25">
      <c r="A143" s="36" t="str">
        <f>IF([2]export!$A147&lt;&gt;"",DATEVALUE([2]export!$E147),"")</f>
        <v/>
      </c>
      <c r="B143" t="str">
        <f>IF([2]export!$E147&lt;&gt;"",_xlfn.TEXTJOIN(" ",TRUE,[2]export!$F147:$J147),"")</f>
        <v/>
      </c>
      <c r="C143" s="37">
        <f>_xlfn.NUMBERVALUE(SUBSTITUTE(SUBSTITUTE([2]export!$B147," HUF",""),CHAR(160),""))</f>
        <v>0</v>
      </c>
    </row>
    <row r="144" spans="1:3" x14ac:dyDescent="0.25">
      <c r="A144" s="36" t="str">
        <f>IF([2]export!$A148&lt;&gt;"",DATEVALUE([2]export!$E148),"")</f>
        <v/>
      </c>
      <c r="B144" t="str">
        <f>IF([2]export!$E148&lt;&gt;"",_xlfn.TEXTJOIN(" ",TRUE,[2]export!$F148:$J148),"")</f>
        <v/>
      </c>
      <c r="C144" s="37">
        <f>_xlfn.NUMBERVALUE(SUBSTITUTE(SUBSTITUTE([2]export!$B148," HUF",""),CHAR(160),""))</f>
        <v>0</v>
      </c>
    </row>
    <row r="145" spans="1:3" x14ac:dyDescent="0.25">
      <c r="A145" s="36" t="str">
        <f>IF([2]export!$A149&lt;&gt;"",DATEVALUE([2]export!$E149),"")</f>
        <v/>
      </c>
      <c r="B145" t="str">
        <f>IF([2]export!$E149&lt;&gt;"",_xlfn.TEXTJOIN(" ",TRUE,[2]export!$F149:$J149),"")</f>
        <v/>
      </c>
      <c r="C145" s="37">
        <f>_xlfn.NUMBERVALUE(SUBSTITUTE(SUBSTITUTE([2]export!$B149," HUF",""),CHAR(160),""))</f>
        <v>0</v>
      </c>
    </row>
    <row r="146" spans="1:3" x14ac:dyDescent="0.25">
      <c r="A146" s="36" t="str">
        <f>IF([2]export!$A150&lt;&gt;"",DATEVALUE([2]export!$E150),"")</f>
        <v/>
      </c>
      <c r="B146" t="str">
        <f>IF([2]export!$E150&lt;&gt;"",_xlfn.TEXTJOIN(" ",TRUE,[2]export!$F150:$J150),"")</f>
        <v/>
      </c>
      <c r="C146" s="37">
        <f>_xlfn.NUMBERVALUE(SUBSTITUTE(SUBSTITUTE([2]export!$B150," HUF",""),CHAR(160),""))</f>
        <v>0</v>
      </c>
    </row>
    <row r="147" spans="1:3" x14ac:dyDescent="0.25">
      <c r="A147" s="36" t="str">
        <f>IF([2]export!$A151&lt;&gt;"",DATEVALUE([2]export!$E151),"")</f>
        <v/>
      </c>
      <c r="B147" t="str">
        <f>IF([2]export!$E151&lt;&gt;"",_xlfn.TEXTJOIN(" ",TRUE,[2]export!$F151:$J151),"")</f>
        <v/>
      </c>
      <c r="C147" s="37">
        <f>_xlfn.NUMBERVALUE(SUBSTITUTE(SUBSTITUTE([2]export!$B151," HUF",""),CHAR(160),""))</f>
        <v>0</v>
      </c>
    </row>
    <row r="148" spans="1:3" x14ac:dyDescent="0.25">
      <c r="A148" s="36" t="str">
        <f>IF([2]export!$A152&lt;&gt;"",DATEVALUE([2]export!$E152),"")</f>
        <v/>
      </c>
      <c r="B148" t="str">
        <f>IF([2]export!$E152&lt;&gt;"",_xlfn.TEXTJOIN(" ",TRUE,[2]export!$F152:$J152),"")</f>
        <v/>
      </c>
      <c r="C148" s="37">
        <f>_xlfn.NUMBERVALUE(SUBSTITUTE(SUBSTITUTE([2]export!$B152," HUF",""),CHAR(160),""))</f>
        <v>0</v>
      </c>
    </row>
    <row r="149" spans="1:3" x14ac:dyDescent="0.25">
      <c r="A149" s="36" t="str">
        <f>IF([2]export!$A153&lt;&gt;"",DATEVALUE([2]export!$E153),"")</f>
        <v/>
      </c>
      <c r="B149" t="str">
        <f>IF([2]export!$E153&lt;&gt;"",_xlfn.TEXTJOIN(" ",TRUE,[2]export!$F153:$J153),"")</f>
        <v/>
      </c>
      <c r="C149" s="37">
        <f>_xlfn.NUMBERVALUE(SUBSTITUTE(SUBSTITUTE([2]export!$B153," HUF",""),CHAR(160),""))</f>
        <v>0</v>
      </c>
    </row>
    <row r="150" spans="1:3" x14ac:dyDescent="0.25">
      <c r="A150" s="36" t="str">
        <f>IF([2]export!$A154&lt;&gt;"",DATEVALUE([2]export!$E154),"")</f>
        <v/>
      </c>
      <c r="B150" t="str">
        <f>IF([2]export!$E154&lt;&gt;"",_xlfn.TEXTJOIN(" ",TRUE,[2]export!$F154:$J154),"")</f>
        <v/>
      </c>
      <c r="C150" s="37">
        <f>_xlfn.NUMBERVALUE(SUBSTITUTE(SUBSTITUTE([2]export!$B154," HUF",""),CHAR(160),""))</f>
        <v>0</v>
      </c>
    </row>
    <row r="151" spans="1:3" x14ac:dyDescent="0.25">
      <c r="A151" s="36" t="str">
        <f>IF([2]export!$A155&lt;&gt;"",DATEVALUE([2]export!$E155),"")</f>
        <v/>
      </c>
      <c r="B151" t="str">
        <f>IF([2]export!$E155&lt;&gt;"",_xlfn.TEXTJOIN(" ",TRUE,[2]export!$F155:$J155),"")</f>
        <v/>
      </c>
      <c r="C151" s="37">
        <f>_xlfn.NUMBERVALUE(SUBSTITUTE(SUBSTITUTE([2]export!$B155," HUF",""),CHAR(160),""))</f>
        <v>0</v>
      </c>
    </row>
    <row r="152" spans="1:3" x14ac:dyDescent="0.25">
      <c r="A152" s="36" t="str">
        <f>IF([2]export!$A156&lt;&gt;"",DATEVALUE([2]export!$E156),"")</f>
        <v/>
      </c>
      <c r="B152" t="str">
        <f>IF([2]export!$E156&lt;&gt;"",_xlfn.TEXTJOIN(" ",TRUE,[2]export!$F156:$J156),"")</f>
        <v/>
      </c>
      <c r="C152" s="37">
        <f>_xlfn.NUMBERVALUE(SUBSTITUTE(SUBSTITUTE([2]export!$B156," HUF",""),CHAR(160),""))</f>
        <v>0</v>
      </c>
    </row>
    <row r="153" spans="1:3" x14ac:dyDescent="0.25">
      <c r="A153" s="36" t="str">
        <f>IF([2]export!$A157&lt;&gt;"",DATEVALUE([2]export!$E157),"")</f>
        <v/>
      </c>
      <c r="B153" t="str">
        <f>IF([2]export!$E157&lt;&gt;"",_xlfn.TEXTJOIN(" ",TRUE,[2]export!$F157:$J157),"")</f>
        <v/>
      </c>
      <c r="C153" s="37">
        <f>_xlfn.NUMBERVALUE(SUBSTITUTE(SUBSTITUTE([2]export!$B157," HUF",""),CHAR(160),""))</f>
        <v>0</v>
      </c>
    </row>
    <row r="154" spans="1:3" x14ac:dyDescent="0.25">
      <c r="A154" s="36" t="str">
        <f>IF([2]export!$A158&lt;&gt;"",DATEVALUE([2]export!$E158),"")</f>
        <v/>
      </c>
      <c r="B154" t="str">
        <f>IF([2]export!$E158&lt;&gt;"",_xlfn.TEXTJOIN(" ",TRUE,[2]export!$F158:$J158),"")</f>
        <v/>
      </c>
      <c r="C154" s="37">
        <f>_xlfn.NUMBERVALUE(SUBSTITUTE(SUBSTITUTE([2]export!$B158," HUF",""),CHAR(160),""))</f>
        <v>0</v>
      </c>
    </row>
    <row r="155" spans="1:3" x14ac:dyDescent="0.25">
      <c r="A155" s="36" t="str">
        <f>IF([2]export!$A159&lt;&gt;"",DATEVALUE([2]export!$E159),"")</f>
        <v/>
      </c>
      <c r="B155" t="str">
        <f>IF([2]export!$E159&lt;&gt;"",_xlfn.TEXTJOIN(" ",TRUE,[2]export!$F159:$J159),"")</f>
        <v/>
      </c>
      <c r="C155" s="37">
        <f>_xlfn.NUMBERVALUE(SUBSTITUTE(SUBSTITUTE([2]export!$B159," HUF",""),CHAR(160),""))</f>
        <v>0</v>
      </c>
    </row>
    <row r="156" spans="1:3" x14ac:dyDescent="0.25">
      <c r="A156" s="36" t="str">
        <f>IF([2]export!$A160&lt;&gt;"",DATEVALUE([2]export!$E160),"")</f>
        <v/>
      </c>
      <c r="B156" t="str">
        <f>IF([2]export!$E160&lt;&gt;"",_xlfn.TEXTJOIN(" ",TRUE,[2]export!$F160:$J160),"")</f>
        <v/>
      </c>
      <c r="C156" s="37">
        <f>_xlfn.NUMBERVALUE(SUBSTITUTE(SUBSTITUTE([2]export!$B160," HUF",""),CHAR(160),""))</f>
        <v>0</v>
      </c>
    </row>
    <row r="157" spans="1:3" x14ac:dyDescent="0.25">
      <c r="A157" s="36" t="str">
        <f>IF([2]export!$A161&lt;&gt;"",DATEVALUE([2]export!$E161),"")</f>
        <v/>
      </c>
      <c r="B157" t="str">
        <f>IF([2]export!$E161&lt;&gt;"",_xlfn.TEXTJOIN(" ",TRUE,[2]export!$F161:$J161),"")</f>
        <v/>
      </c>
      <c r="C157" s="37">
        <f>_xlfn.NUMBERVALUE(SUBSTITUTE(SUBSTITUTE([2]export!$B161," HUF",""),CHAR(160),""))</f>
        <v>0</v>
      </c>
    </row>
    <row r="158" spans="1:3" x14ac:dyDescent="0.25">
      <c r="A158" s="36" t="str">
        <f>IF([2]export!$A162&lt;&gt;"",DATEVALUE([2]export!$E162),"")</f>
        <v/>
      </c>
      <c r="B158" t="str">
        <f>IF([2]export!$E162&lt;&gt;"",_xlfn.TEXTJOIN(" ",TRUE,[2]export!$F162:$J162),"")</f>
        <v/>
      </c>
      <c r="C158" s="37">
        <f>_xlfn.NUMBERVALUE(SUBSTITUTE(SUBSTITUTE([2]export!$B162," HUF",""),CHAR(160),""))</f>
        <v>0</v>
      </c>
    </row>
    <row r="159" spans="1:3" x14ac:dyDescent="0.25">
      <c r="A159" s="36" t="str">
        <f>IF([2]export!$A163&lt;&gt;"",DATEVALUE([2]export!$E163),"")</f>
        <v/>
      </c>
      <c r="B159" t="str">
        <f>IF([2]export!$E163&lt;&gt;"",_xlfn.TEXTJOIN(" ",TRUE,[2]export!$F163:$J163),"")</f>
        <v/>
      </c>
      <c r="C159" s="37">
        <f>_xlfn.NUMBERVALUE(SUBSTITUTE(SUBSTITUTE([2]export!$B163," HUF",""),CHAR(160),""))</f>
        <v>0</v>
      </c>
    </row>
    <row r="160" spans="1:3" x14ac:dyDescent="0.25">
      <c r="A160" s="36" t="str">
        <f>IF([2]export!$A164&lt;&gt;"",DATEVALUE([2]export!$E164),"")</f>
        <v/>
      </c>
      <c r="B160" t="str">
        <f>IF([2]export!$E164&lt;&gt;"",_xlfn.TEXTJOIN(" ",TRUE,[2]export!$F164:$J164),"")</f>
        <v/>
      </c>
      <c r="C160" s="37">
        <f>_xlfn.NUMBERVALUE(SUBSTITUTE(SUBSTITUTE([2]export!$B164," HUF",""),CHAR(160),""))</f>
        <v>0</v>
      </c>
    </row>
    <row r="161" spans="1:3" x14ac:dyDescent="0.25">
      <c r="A161" s="36" t="str">
        <f>IF([2]export!$A165&lt;&gt;"",DATEVALUE([2]export!$E165),"")</f>
        <v/>
      </c>
      <c r="B161" t="str">
        <f>IF([2]export!$E165&lt;&gt;"",_xlfn.TEXTJOIN(" ",TRUE,[2]export!$F165:$J165),"")</f>
        <v/>
      </c>
      <c r="C161" s="37">
        <f>_xlfn.NUMBERVALUE(SUBSTITUTE(SUBSTITUTE([2]export!$B165," HUF",""),CHAR(160),""))</f>
        <v>0</v>
      </c>
    </row>
    <row r="162" spans="1:3" x14ac:dyDescent="0.25">
      <c r="A162" s="36" t="str">
        <f>IF([2]export!$A166&lt;&gt;"",DATEVALUE([2]export!$E166),"")</f>
        <v/>
      </c>
      <c r="B162" t="str">
        <f>IF([2]export!$E166&lt;&gt;"",_xlfn.TEXTJOIN(" ",TRUE,[2]export!$F166:$J166),"")</f>
        <v/>
      </c>
      <c r="C162" s="37">
        <f>_xlfn.NUMBERVALUE(SUBSTITUTE(SUBSTITUTE([2]export!$B166," HUF",""),CHAR(160),""))</f>
        <v>0</v>
      </c>
    </row>
    <row r="163" spans="1:3" x14ac:dyDescent="0.25">
      <c r="A163" s="36" t="str">
        <f>IF([2]export!$A167&lt;&gt;"",DATEVALUE([2]export!$E167),"")</f>
        <v/>
      </c>
      <c r="B163" t="str">
        <f>IF([2]export!$E167&lt;&gt;"",_xlfn.TEXTJOIN(" ",TRUE,[2]export!$F167:$J167),"")</f>
        <v/>
      </c>
      <c r="C163" s="37">
        <f>_xlfn.NUMBERVALUE(SUBSTITUTE(SUBSTITUTE([2]export!$B167," HUF",""),CHAR(160),""))</f>
        <v>0</v>
      </c>
    </row>
    <row r="164" spans="1:3" x14ac:dyDescent="0.25">
      <c r="A164" s="36" t="str">
        <f>IF([2]export!$A168&lt;&gt;"",DATEVALUE([2]export!$E168),"")</f>
        <v/>
      </c>
      <c r="B164" t="str">
        <f>IF([2]export!$E168&lt;&gt;"",_xlfn.TEXTJOIN(" ",TRUE,[2]export!$F168:$J168),"")</f>
        <v/>
      </c>
      <c r="C164" s="37">
        <f>_xlfn.NUMBERVALUE(SUBSTITUTE(SUBSTITUTE([2]export!$B168," HUF",""),CHAR(160),""))</f>
        <v>0</v>
      </c>
    </row>
    <row r="165" spans="1:3" x14ac:dyDescent="0.25">
      <c r="A165" s="36" t="str">
        <f>IF([2]export!$A169&lt;&gt;"",DATEVALUE([2]export!$E169),"")</f>
        <v/>
      </c>
      <c r="B165" t="str">
        <f>IF([2]export!$E169&lt;&gt;"",_xlfn.TEXTJOIN(" ",TRUE,[2]export!$F169:$J169),"")</f>
        <v/>
      </c>
      <c r="C165" s="37">
        <f>_xlfn.NUMBERVALUE(SUBSTITUTE(SUBSTITUTE([2]export!$B169," HUF",""),CHAR(160),""))</f>
        <v>0</v>
      </c>
    </row>
    <row r="166" spans="1:3" x14ac:dyDescent="0.25">
      <c r="A166" s="36" t="str">
        <f>IF([2]export!$A170&lt;&gt;"",DATEVALUE([2]export!$E170),"")</f>
        <v/>
      </c>
      <c r="B166" t="str">
        <f>IF([2]export!$E170&lt;&gt;"",_xlfn.TEXTJOIN(" ",TRUE,[2]export!$F170:$J170),"")</f>
        <v/>
      </c>
      <c r="C166" s="37">
        <f>_xlfn.NUMBERVALUE(SUBSTITUTE(SUBSTITUTE([2]export!$B170," HUF",""),CHAR(160),""))</f>
        <v>0</v>
      </c>
    </row>
    <row r="167" spans="1:3" x14ac:dyDescent="0.25">
      <c r="A167" s="36" t="str">
        <f>IF([2]export!$A171&lt;&gt;"",DATEVALUE([2]export!$E171),"")</f>
        <v/>
      </c>
      <c r="B167" t="str">
        <f>IF([2]export!$E171&lt;&gt;"",_xlfn.TEXTJOIN(" ",TRUE,[2]export!$F171:$J171),"")</f>
        <v/>
      </c>
      <c r="C167" s="37">
        <f>_xlfn.NUMBERVALUE(SUBSTITUTE(SUBSTITUTE([2]export!$B171," HUF",""),CHAR(160),""))</f>
        <v>0</v>
      </c>
    </row>
    <row r="168" spans="1:3" x14ac:dyDescent="0.25">
      <c r="A168" s="36" t="str">
        <f>IF([2]export!$A172&lt;&gt;"",DATEVALUE([2]export!$E172),"")</f>
        <v/>
      </c>
      <c r="B168" t="str">
        <f>IF([2]export!$E172&lt;&gt;"",_xlfn.TEXTJOIN(" ",TRUE,[2]export!$F172:$J172),"")</f>
        <v/>
      </c>
      <c r="C168" s="37">
        <f>_xlfn.NUMBERVALUE(SUBSTITUTE(SUBSTITUTE([2]export!$B172," HUF",""),CHAR(160),""))</f>
        <v>0</v>
      </c>
    </row>
    <row r="169" spans="1:3" x14ac:dyDescent="0.25">
      <c r="A169" s="36" t="str">
        <f>IF([2]export!$A173&lt;&gt;"",DATEVALUE([2]export!$E173),"")</f>
        <v/>
      </c>
      <c r="B169" t="str">
        <f>IF([2]export!$E173&lt;&gt;"",_xlfn.TEXTJOIN(" ",TRUE,[2]export!$F173:$J173),"")</f>
        <v/>
      </c>
      <c r="C169" s="37">
        <f>_xlfn.NUMBERVALUE(SUBSTITUTE(SUBSTITUTE([2]export!$B173," HUF",""),CHAR(160),""))</f>
        <v>0</v>
      </c>
    </row>
    <row r="170" spans="1:3" x14ac:dyDescent="0.25">
      <c r="A170" s="36" t="str">
        <f>IF([2]export!$A174&lt;&gt;"",DATEVALUE([2]export!$E174),"")</f>
        <v/>
      </c>
      <c r="B170" t="str">
        <f>IF([2]export!$E174&lt;&gt;"",_xlfn.TEXTJOIN(" ",TRUE,[2]export!$F174:$J174),"")</f>
        <v/>
      </c>
      <c r="C170" s="37">
        <f>_xlfn.NUMBERVALUE(SUBSTITUTE(SUBSTITUTE([2]export!$B174," HUF",""),CHAR(160),""))</f>
        <v>0</v>
      </c>
    </row>
    <row r="171" spans="1:3" x14ac:dyDescent="0.25">
      <c r="A171" s="36" t="str">
        <f>IF([2]export!$A175&lt;&gt;"",DATEVALUE([2]export!$E175),"")</f>
        <v/>
      </c>
      <c r="B171" t="str">
        <f>IF([2]export!$E175&lt;&gt;"",_xlfn.TEXTJOIN(" ",TRUE,[2]export!$F175:$J175),"")</f>
        <v/>
      </c>
      <c r="C171" s="37">
        <f>_xlfn.NUMBERVALUE(SUBSTITUTE(SUBSTITUTE([2]export!$B175," HUF",""),CHAR(160),""))</f>
        <v>0</v>
      </c>
    </row>
    <row r="172" spans="1:3" x14ac:dyDescent="0.25">
      <c r="A172" s="36" t="str">
        <f>IF([2]export!$A176&lt;&gt;"",DATEVALUE([2]export!$E176),"")</f>
        <v/>
      </c>
      <c r="B172" t="str">
        <f>IF([2]export!$E176&lt;&gt;"",_xlfn.TEXTJOIN(" ",TRUE,[2]export!$F176:$J176),"")</f>
        <v/>
      </c>
      <c r="C172" s="37">
        <f>_xlfn.NUMBERVALUE(SUBSTITUTE(SUBSTITUTE([2]export!$B176," HUF",""),CHAR(160),""))</f>
        <v>0</v>
      </c>
    </row>
    <row r="173" spans="1:3" x14ac:dyDescent="0.25">
      <c r="A173" s="36" t="str">
        <f>IF([2]export!$A177&lt;&gt;"",DATEVALUE([2]export!$E177),"")</f>
        <v/>
      </c>
      <c r="B173" t="str">
        <f>IF([2]export!$E177&lt;&gt;"",_xlfn.TEXTJOIN(" ",TRUE,[2]export!$F177:$J177),"")</f>
        <v/>
      </c>
      <c r="C173" s="37">
        <f>_xlfn.NUMBERVALUE(SUBSTITUTE(SUBSTITUTE([2]export!$B177," HUF",""),CHAR(160),""))</f>
        <v>0</v>
      </c>
    </row>
    <row r="174" spans="1:3" x14ac:dyDescent="0.25">
      <c r="A174" s="36" t="str">
        <f>IF([2]export!$A178&lt;&gt;"",DATEVALUE([2]export!$E178),"")</f>
        <v/>
      </c>
      <c r="B174" t="str">
        <f>IF([2]export!$E178&lt;&gt;"",_xlfn.TEXTJOIN(" ",TRUE,[2]export!$F178:$J178),"")</f>
        <v/>
      </c>
      <c r="C174" s="37">
        <f>_xlfn.NUMBERVALUE(SUBSTITUTE(SUBSTITUTE([2]export!$B178," HUF",""),CHAR(160),""))</f>
        <v>0</v>
      </c>
    </row>
    <row r="175" spans="1:3" x14ac:dyDescent="0.25">
      <c r="A175" s="36" t="str">
        <f>IF([2]export!$A179&lt;&gt;"",DATEVALUE([2]export!$E179),"")</f>
        <v/>
      </c>
      <c r="B175" t="str">
        <f>IF([2]export!$E179&lt;&gt;"",_xlfn.TEXTJOIN(" ",TRUE,[2]export!$F179:$J179),"")</f>
        <v/>
      </c>
      <c r="C175" s="37">
        <f>_xlfn.NUMBERVALUE(SUBSTITUTE(SUBSTITUTE([2]export!$B179," HUF",""),CHAR(160),""))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92D050"/>
  </sheetPr>
  <dimension ref="A1:BT20"/>
  <sheetViews>
    <sheetView zoomScale="90" zoomScaleNormal="90" workbookViewId="0">
      <pane xSplit="1" ySplit="1" topLeftCell="BA2" activePane="bottomRight" state="frozen"/>
      <selection pane="topRight" activeCell="B1" sqref="B1"/>
      <selection pane="bottomLeft" activeCell="A3" sqref="A3"/>
      <selection pane="bottomRight" activeCell="BA15" sqref="BA15"/>
    </sheetView>
  </sheetViews>
  <sheetFormatPr defaultRowHeight="15" outlineLevelCol="2" x14ac:dyDescent="0.25"/>
  <cols>
    <col min="1" max="1" width="30.85546875" style="64" bestFit="1" customWidth="1"/>
    <col min="2" max="12" width="21.5703125" style="64" hidden="1" customWidth="1" outlineLevel="1"/>
    <col min="13" max="13" width="21.5703125" style="64" customWidth="1" collapsed="1"/>
    <col min="14" max="24" width="21.5703125" style="64" hidden="1" customWidth="1" outlineLevel="2"/>
    <col min="25" max="25" width="21.5703125" style="64" hidden="1" customWidth="1" outlineLevel="1" collapsed="1"/>
    <col min="26" max="36" width="21.5703125" style="64" hidden="1" customWidth="1" outlineLevel="1"/>
    <col min="37" max="37" width="21.5703125" style="57" customWidth="1" collapsed="1"/>
    <col min="38" max="44" width="21.5703125" style="64" customWidth="1"/>
    <col min="45" max="45" width="20.42578125" style="64" bestFit="1" customWidth="1"/>
    <col min="46" max="46" width="20.5703125" style="64" bestFit="1" customWidth="1"/>
    <col min="47" max="47" width="21" style="64" bestFit="1" customWidth="1"/>
    <col min="48" max="48" width="21.140625" style="64" bestFit="1" customWidth="1"/>
    <col min="49" max="49" width="20.7109375" style="64" bestFit="1" customWidth="1"/>
    <col min="50" max="50" width="21.28515625" style="64" bestFit="1" customWidth="1"/>
    <col min="51" max="51" width="21.140625" style="64" bestFit="1" customWidth="1"/>
    <col min="52" max="52" width="20.7109375" style="64" bestFit="1" customWidth="1"/>
    <col min="53" max="54" width="21" style="64" bestFit="1" customWidth="1"/>
    <col min="55" max="56" width="21.140625" style="64" bestFit="1" customWidth="1"/>
    <col min="57" max="57" width="20.28515625" style="64" bestFit="1" customWidth="1"/>
    <col min="58" max="58" width="21.140625" style="64" bestFit="1" customWidth="1"/>
    <col min="59" max="59" width="22.7109375" style="64" customWidth="1"/>
    <col min="60" max="60" width="21.28515625" style="64" customWidth="1"/>
    <col min="61" max="61" width="20.5703125" style="64" bestFit="1" customWidth="1"/>
    <col min="62" max="62" width="20.7109375" style="64" bestFit="1" customWidth="1"/>
    <col min="63" max="63" width="20.42578125" style="64" bestFit="1" customWidth="1"/>
    <col min="64" max="64" width="20.7109375" style="64" bestFit="1" customWidth="1"/>
    <col min="65" max="66" width="20.42578125" style="64" bestFit="1" customWidth="1"/>
    <col min="67" max="67" width="20.28515625" style="64" bestFit="1" customWidth="1"/>
    <col min="68" max="68" width="20.5703125" style="64" bestFit="1" customWidth="1"/>
    <col min="69" max="69" width="20.7109375" style="64" bestFit="1" customWidth="1"/>
    <col min="70" max="70" width="21.42578125" style="64" bestFit="1" customWidth="1"/>
    <col min="71" max="71" width="21.140625" style="64" bestFit="1" customWidth="1"/>
    <col min="72" max="72" width="20.7109375" style="64" bestFit="1" customWidth="1"/>
  </cols>
  <sheetData>
    <row r="1" spans="1:72" ht="18" customHeight="1" thickBot="1" x14ac:dyDescent="0.35">
      <c r="A1" s="6"/>
      <c r="B1" s="1">
        <f>Részletes!B1</f>
        <v>43862</v>
      </c>
      <c r="C1" s="1">
        <f>Részletes!C1</f>
        <v>43891</v>
      </c>
      <c r="D1" s="1">
        <f>Részletes!D1</f>
        <v>43922</v>
      </c>
      <c r="E1" s="1">
        <f>Részletes!E1</f>
        <v>43952</v>
      </c>
      <c r="F1" s="1">
        <f>Részletes!F1</f>
        <v>43983</v>
      </c>
      <c r="G1" s="1">
        <f>Részletes!G1</f>
        <v>44013</v>
      </c>
      <c r="H1" s="1">
        <f>Részletes!H1</f>
        <v>44044</v>
      </c>
      <c r="I1" s="1">
        <f>Részletes!I1</f>
        <v>44075</v>
      </c>
      <c r="J1" s="1">
        <f>Részletes!J1</f>
        <v>44105</v>
      </c>
      <c r="K1" s="1">
        <f>Részletes!K1</f>
        <v>44136</v>
      </c>
      <c r="L1" s="1">
        <f>Részletes!L1</f>
        <v>44166</v>
      </c>
      <c r="M1" s="1">
        <f>Részletes!M1</f>
        <v>44197</v>
      </c>
      <c r="N1" s="1">
        <f>Részletes!N1</f>
        <v>44228</v>
      </c>
      <c r="O1" s="1">
        <f>Részletes!O1</f>
        <v>44256</v>
      </c>
      <c r="P1" s="1">
        <f>Részletes!P1</f>
        <v>44287</v>
      </c>
      <c r="Q1" s="1">
        <f>Részletes!Q1</f>
        <v>44317</v>
      </c>
      <c r="R1" s="1">
        <f>Részletes!R1</f>
        <v>44348</v>
      </c>
      <c r="S1" s="1">
        <f>Részletes!S1</f>
        <v>44378</v>
      </c>
      <c r="T1" s="1">
        <f>Részletes!T1</f>
        <v>44409</v>
      </c>
      <c r="U1" s="1">
        <f>Részletes!U1</f>
        <v>44440</v>
      </c>
      <c r="V1" s="1">
        <f>Részletes!V1</f>
        <v>44470</v>
      </c>
      <c r="W1" s="1">
        <f>Részletes!W1</f>
        <v>44501</v>
      </c>
      <c r="X1" s="1">
        <f>Részletes!X1</f>
        <v>44531</v>
      </c>
      <c r="Y1" s="1">
        <f>Részletes!Y1</f>
        <v>44562</v>
      </c>
      <c r="Z1" s="1">
        <f>Részletes!Z1</f>
        <v>44593</v>
      </c>
      <c r="AA1" s="1">
        <f>Részletes!AA1</f>
        <v>44621</v>
      </c>
      <c r="AB1" s="1">
        <f>Részletes!AB1</f>
        <v>44652</v>
      </c>
      <c r="AC1" s="1">
        <f>Részletes!AC1</f>
        <v>44682</v>
      </c>
      <c r="AD1" s="1">
        <f>Részletes!AD1</f>
        <v>44713</v>
      </c>
      <c r="AE1" s="1">
        <f>Részletes!AE1</f>
        <v>44743</v>
      </c>
      <c r="AF1" s="1">
        <f>Részletes!AF1</f>
        <v>44774</v>
      </c>
      <c r="AG1" s="1">
        <f>Részletes!AG1</f>
        <v>44805</v>
      </c>
      <c r="AH1" s="1">
        <f>Részletes!AH1</f>
        <v>44835</v>
      </c>
      <c r="AI1" s="1">
        <f>Részletes!AI1</f>
        <v>44866</v>
      </c>
      <c r="AJ1" s="1">
        <f>Részletes!AJ1</f>
        <v>44896</v>
      </c>
      <c r="AK1" s="47">
        <f>Részletes!AK1</f>
        <v>44927</v>
      </c>
      <c r="AL1" s="1">
        <f>Részletes!AL1</f>
        <v>44958</v>
      </c>
      <c r="AM1" s="1">
        <f>Részletes!AM1</f>
        <v>44986</v>
      </c>
      <c r="AN1" s="1">
        <f>Részletes!AN1</f>
        <v>45017</v>
      </c>
      <c r="AO1" s="1">
        <f>Részletes!AO1</f>
        <v>45047</v>
      </c>
      <c r="AP1" s="1">
        <f>Részletes!AP1</f>
        <v>45078</v>
      </c>
      <c r="AQ1" s="1">
        <f>Részletes!AQ1</f>
        <v>45108</v>
      </c>
      <c r="AR1" s="1">
        <f>Részletes!AR1</f>
        <v>45139</v>
      </c>
      <c r="AS1" s="1">
        <f>Részletes!AS1</f>
        <v>45170</v>
      </c>
      <c r="AT1" s="1">
        <f>Részletes!AT1</f>
        <v>45200</v>
      </c>
      <c r="AU1" s="1">
        <f>Részletes!AU1</f>
        <v>45231</v>
      </c>
      <c r="AV1" s="1">
        <f>Részletes!AV1</f>
        <v>45261</v>
      </c>
      <c r="AW1" s="1">
        <f>Részletes!AW1</f>
        <v>45292</v>
      </c>
      <c r="AX1" s="1">
        <f>Részletes!AX1</f>
        <v>45323</v>
      </c>
      <c r="AY1" s="1">
        <f>Részletes!AY1</f>
        <v>45352</v>
      </c>
      <c r="AZ1" s="1">
        <f>Részletes!AZ1</f>
        <v>45383</v>
      </c>
      <c r="BA1" s="1">
        <f>Részletes!BA1</f>
        <v>45413</v>
      </c>
      <c r="BB1" s="1">
        <f>Részletes!BB1</f>
        <v>45444</v>
      </c>
      <c r="BC1" s="1">
        <f>Részletes!BC1</f>
        <v>45474</v>
      </c>
      <c r="BD1" s="1">
        <f>Részletes!BD1</f>
        <v>45505</v>
      </c>
      <c r="BE1" s="1">
        <f>Részletes!BE1</f>
        <v>45536</v>
      </c>
      <c r="BF1" s="1">
        <f>Részletes!BF1</f>
        <v>45566</v>
      </c>
      <c r="BG1" s="1">
        <f>Részletes!BG1</f>
        <v>45597</v>
      </c>
      <c r="BH1" s="1">
        <f>Részletes!BH1</f>
        <v>45627</v>
      </c>
      <c r="BI1" s="1">
        <f>Részletes!BI1</f>
        <v>45658</v>
      </c>
      <c r="BJ1" s="1">
        <f>Részletes!BJ1</f>
        <v>45689</v>
      </c>
      <c r="BK1" s="1">
        <f>Részletes!BK1</f>
        <v>45717</v>
      </c>
      <c r="BL1" s="1">
        <f>Részletes!BL1</f>
        <v>45748</v>
      </c>
      <c r="BM1" s="1">
        <f>Részletes!BM1</f>
        <v>45778</v>
      </c>
      <c r="BN1" s="1">
        <f>Részletes!BN1</f>
        <v>45809</v>
      </c>
      <c r="BO1" s="1">
        <f>Részletes!BO1</f>
        <v>45839</v>
      </c>
      <c r="BP1" s="1">
        <f>Részletes!BP1</f>
        <v>45870</v>
      </c>
      <c r="BQ1" s="1">
        <f>Részletes!BQ1</f>
        <v>45901</v>
      </c>
      <c r="BR1" s="1">
        <f>Részletes!BR1</f>
        <v>45931</v>
      </c>
      <c r="BS1" s="1">
        <f>Részletes!BS1</f>
        <v>45962</v>
      </c>
      <c r="BT1" s="1">
        <f>Részletes!BT1</f>
        <v>45992</v>
      </c>
    </row>
    <row r="2" spans="1:72" ht="15.75" customHeight="1" thickTop="1" x14ac:dyDescent="0.25">
      <c r="A2" s="9" t="s">
        <v>0</v>
      </c>
      <c r="B2" s="10">
        <f>Részletes!B8</f>
        <v>967421</v>
      </c>
      <c r="C2" s="10">
        <f>Részletes!C8</f>
        <v>670093</v>
      </c>
      <c r="D2" s="10">
        <f>Részletes!D8</f>
        <v>1000138</v>
      </c>
      <c r="E2" s="10">
        <f>Részletes!E8</f>
        <v>1422277</v>
      </c>
      <c r="F2" s="10">
        <f>Részletes!F8</f>
        <v>1405104</v>
      </c>
      <c r="G2" s="10">
        <f>Részletes!G8</f>
        <v>1985660</v>
      </c>
      <c r="H2" s="10">
        <f>Részletes!H8</f>
        <v>2414579</v>
      </c>
      <c r="I2" s="10">
        <f>Részletes!I8</f>
        <v>2962998</v>
      </c>
      <c r="J2" s="10">
        <f>Részletes!J8</f>
        <v>1137574</v>
      </c>
      <c r="K2" s="10">
        <f>Részletes!K8</f>
        <v>750517</v>
      </c>
      <c r="L2" s="10">
        <f>Részletes!L8</f>
        <v>1513101</v>
      </c>
      <c r="M2" s="10">
        <f>Részletes!M8</f>
        <v>1639808</v>
      </c>
      <c r="N2" s="10">
        <f>Részletes!N8</f>
        <v>1018058</v>
      </c>
      <c r="O2" s="10">
        <f>Részletes!O8</f>
        <v>1838933</v>
      </c>
      <c r="P2" s="10">
        <f>Részletes!P8</f>
        <v>1680160</v>
      </c>
      <c r="Q2" s="10">
        <f>Részletes!Q8</f>
        <v>2471310</v>
      </c>
      <c r="R2" s="10">
        <f>Részletes!R8</f>
        <v>445513</v>
      </c>
      <c r="S2" s="10">
        <f>Részletes!S8</f>
        <v>1868145</v>
      </c>
      <c r="T2" s="10">
        <f>Részletes!T8</f>
        <v>1466345</v>
      </c>
      <c r="U2" s="10">
        <f>Részletes!U8</f>
        <v>253812</v>
      </c>
      <c r="V2" s="10">
        <f>Részletes!V8</f>
        <v>506676</v>
      </c>
      <c r="W2" s="10">
        <f>Részletes!W8</f>
        <v>576442</v>
      </c>
      <c r="X2" s="10">
        <f>Részletes!X8</f>
        <v>1272931</v>
      </c>
      <c r="Y2" s="10">
        <f>Részletes!Y8</f>
        <v>1692233</v>
      </c>
      <c r="Z2" s="10">
        <f>Részletes!Z8</f>
        <v>1592995</v>
      </c>
      <c r="AA2" s="10">
        <f>Részletes!AA8</f>
        <v>1860919</v>
      </c>
      <c r="AB2" s="10">
        <f>Részletes!AB8</f>
        <v>2154886</v>
      </c>
      <c r="AC2" s="10">
        <f>Részletes!AC8</f>
        <v>12439789</v>
      </c>
      <c r="AD2" s="10">
        <f>Részletes!AD8</f>
        <v>2326276</v>
      </c>
      <c r="AE2" s="10">
        <f>Részletes!AE8</f>
        <v>1945919</v>
      </c>
      <c r="AF2" s="10">
        <f>Részletes!AF8</f>
        <v>1867132.2999999998</v>
      </c>
      <c r="AG2" s="10">
        <f>Részletes!AG8</f>
        <v>1995090.71</v>
      </c>
      <c r="AH2" s="10">
        <f>Részletes!AH8</f>
        <v>1939429.79</v>
      </c>
      <c r="AI2" s="10">
        <f>Részletes!AI8</f>
        <v>1713203</v>
      </c>
      <c r="AJ2" s="10">
        <f>Részletes!AJ8</f>
        <v>1837830.0300000003</v>
      </c>
      <c r="AK2" s="48">
        <f>Részletes!AK8</f>
        <v>2284797</v>
      </c>
      <c r="AL2" s="10">
        <f>Részletes!AL8</f>
        <v>3442664</v>
      </c>
      <c r="AM2" s="10">
        <f>Részletes!AM8</f>
        <v>3160457</v>
      </c>
      <c r="AN2" s="10">
        <f>Részletes!AN8</f>
        <v>4251437</v>
      </c>
      <c r="AO2" s="10">
        <f>Részletes!AO8</f>
        <v>8109004</v>
      </c>
      <c r="AP2" s="10">
        <f>Részletes!AP8</f>
        <v>1226397</v>
      </c>
      <c r="AQ2" s="10">
        <f>Részletes!AQ8</f>
        <v>1351681.5754</v>
      </c>
      <c r="AR2" s="10">
        <f>Részletes!AR8</f>
        <v>1977514</v>
      </c>
      <c r="AS2" s="10">
        <f>Részletes!AS8</f>
        <v>1831378.8007333335</v>
      </c>
      <c r="AT2" s="10">
        <f>Részletes!AT8</f>
        <v>1813663</v>
      </c>
      <c r="AU2" s="10">
        <f>Részletes!AU8</f>
        <v>2042469</v>
      </c>
      <c r="AV2" s="10">
        <f>Részletes!AV8</f>
        <v>908158</v>
      </c>
      <c r="AW2" s="10">
        <f>Részletes!AW8</f>
        <v>960832</v>
      </c>
      <c r="AX2" s="10">
        <f>Részletes!AX8</f>
        <v>1323460.79</v>
      </c>
      <c r="AY2" s="10">
        <f>Részletes!AY8</f>
        <v>1234135</v>
      </c>
      <c r="AZ2" s="10">
        <f>Részletes!AZ8</f>
        <v>911212</v>
      </c>
      <c r="BA2" s="10">
        <f>Részletes!BA8</f>
        <v>1129766</v>
      </c>
      <c r="BB2" s="10">
        <f>Részletes!BB8</f>
        <v>1377744</v>
      </c>
      <c r="BC2" s="10">
        <f>Részletes!BC8</f>
        <v>1231608.8007333335</v>
      </c>
      <c r="BD2" s="10">
        <f>Részletes!BD8</f>
        <v>1085473.6014666669</v>
      </c>
      <c r="BE2" s="10">
        <f>Részletes!BE8</f>
        <v>939338.40220000048</v>
      </c>
      <c r="BF2" s="10">
        <f>Részletes!BF8</f>
        <v>793203.20293333405</v>
      </c>
      <c r="BG2" s="10">
        <f>Részletes!BG8</f>
        <v>647068.00366666762</v>
      </c>
      <c r="BH2" s="10">
        <f>Részletes!BH8</f>
        <v>500932.80440000119</v>
      </c>
      <c r="BI2" s="10">
        <f>Részletes!BI8</f>
        <v>354797.60513333476</v>
      </c>
      <c r="BJ2" s="10">
        <f>Részletes!BJ8</f>
        <v>208662.40586666833</v>
      </c>
      <c r="BK2" s="10">
        <f>Részletes!BK8</f>
        <v>62527.206600001897</v>
      </c>
      <c r="BL2" s="10">
        <f>Részletes!BL8</f>
        <v>-83607.992666664533</v>
      </c>
      <c r="BM2" s="10">
        <f>Részletes!BM8</f>
        <v>-229743.19193333096</v>
      </c>
      <c r="BN2" s="10">
        <f>Részletes!BN8</f>
        <v>-375878.39119999739</v>
      </c>
      <c r="BO2" s="10">
        <f>Részletes!BO8</f>
        <v>-522013.59046666382</v>
      </c>
      <c r="BP2" s="10">
        <f>Részletes!BP8</f>
        <v>-668148.78973333025</v>
      </c>
      <c r="BQ2" s="10">
        <f>Részletes!BQ8</f>
        <v>-814283.98899999668</v>
      </c>
      <c r="BR2" s="10">
        <f>Részletes!BR8</f>
        <v>-960419.18826666311</v>
      </c>
      <c r="BS2" s="10">
        <f>Részletes!BS8</f>
        <v>-1106554.3875333294</v>
      </c>
      <c r="BT2" s="10">
        <f>Részletes!BT8</f>
        <v>-1252689.586799996</v>
      </c>
    </row>
    <row r="3" spans="1:72" hidden="1" x14ac:dyDescent="0.25">
      <c r="A3" s="11" t="s">
        <v>1</v>
      </c>
      <c r="B3" s="10">
        <f>Részletes!B16</f>
        <v>5000510</v>
      </c>
      <c r="C3" s="10">
        <f>Részletes!C16</f>
        <v>5000510</v>
      </c>
      <c r="D3" s="10">
        <f>Részletes!D16</f>
        <v>5000573</v>
      </c>
      <c r="E3" s="10">
        <f>Részletes!E16</f>
        <v>5000573</v>
      </c>
      <c r="F3" s="10">
        <f>Részletes!F16</f>
        <v>5000573</v>
      </c>
      <c r="G3" s="10">
        <f>Részletes!G16</f>
        <v>5000634</v>
      </c>
      <c r="H3" s="10">
        <f>Részletes!H16</f>
        <v>5000637</v>
      </c>
      <c r="I3" s="10">
        <f>Részletes!I16</f>
        <v>3000634</v>
      </c>
      <c r="J3" s="10">
        <f>Részletes!J16</f>
        <v>0</v>
      </c>
      <c r="K3" s="10">
        <f>Részletes!K16</f>
        <v>0</v>
      </c>
      <c r="L3" s="10">
        <f>Részletes!L16</f>
        <v>0</v>
      </c>
      <c r="M3" s="10">
        <f>Részletes!M16</f>
        <v>0</v>
      </c>
      <c r="N3" s="10">
        <f>Részletes!N16</f>
        <v>0</v>
      </c>
      <c r="O3" s="10">
        <f>Részletes!O16</f>
        <v>0</v>
      </c>
      <c r="P3" s="10">
        <f>Részletes!P16</f>
        <v>0</v>
      </c>
      <c r="Q3" s="10">
        <f>Részletes!Q16</f>
        <v>0</v>
      </c>
      <c r="R3" s="10">
        <f>Részletes!R16</f>
        <v>0</v>
      </c>
      <c r="S3" s="10">
        <f>Részletes!S16</f>
        <v>0</v>
      </c>
      <c r="T3" s="10">
        <f>Részletes!T16</f>
        <v>0</v>
      </c>
      <c r="U3" s="10">
        <f>Részletes!U16</f>
        <v>0</v>
      </c>
      <c r="V3" s="10">
        <f>Részletes!V16</f>
        <v>0</v>
      </c>
      <c r="W3" s="10">
        <f>Részletes!W16</f>
        <v>0</v>
      </c>
      <c r="X3" s="10">
        <f>Részletes!X16</f>
        <v>0</v>
      </c>
      <c r="Y3" s="10">
        <f>Részletes!Y16</f>
        <v>0</v>
      </c>
      <c r="Z3" s="10">
        <f>Részletes!Z16</f>
        <v>0</v>
      </c>
      <c r="AA3" s="10">
        <f>Részletes!AA16</f>
        <v>0</v>
      </c>
      <c r="AB3" s="10">
        <f>Részletes!AB16</f>
        <v>0</v>
      </c>
      <c r="AC3" s="10">
        <f>Részletes!AC16</f>
        <v>0</v>
      </c>
      <c r="AD3" s="10">
        <f>Részletes!AD16</f>
        <v>0</v>
      </c>
      <c r="AE3" s="10">
        <f>Részletes!AE16</f>
        <v>0</v>
      </c>
      <c r="AF3" s="10">
        <f>Részletes!AF16</f>
        <v>0</v>
      </c>
      <c r="AG3" s="10">
        <f>Részletes!AG16</f>
        <v>0</v>
      </c>
      <c r="AH3" s="10">
        <f>Részletes!AH16</f>
        <v>0</v>
      </c>
      <c r="AI3" s="10">
        <f>Részletes!AI16</f>
        <v>0</v>
      </c>
      <c r="AJ3" s="10">
        <f>Részletes!AJ16</f>
        <v>0</v>
      </c>
      <c r="AK3" s="48">
        <f>Részletes!AK16</f>
        <v>0</v>
      </c>
      <c r="AL3" s="10">
        <f>Részletes!AL16</f>
        <v>0</v>
      </c>
      <c r="AM3" s="10">
        <f>Részletes!AM16</f>
        <v>0</v>
      </c>
      <c r="AN3" s="10">
        <f>Részletes!AN16</f>
        <v>0</v>
      </c>
      <c r="AO3" s="10">
        <f>Részletes!AO16</f>
        <v>0</v>
      </c>
      <c r="AP3" s="10">
        <f>Részletes!AP16</f>
        <v>0</v>
      </c>
      <c r="AQ3" s="10">
        <f>Részletes!AQ16</f>
        <v>0</v>
      </c>
      <c r="AR3" s="10">
        <f>Részletes!AR16</f>
        <v>0</v>
      </c>
      <c r="AS3" s="10">
        <f>Részletes!AS16</f>
        <v>0</v>
      </c>
      <c r="AT3" s="10">
        <f>Részletes!AT16</f>
        <v>0</v>
      </c>
      <c r="AU3" s="10">
        <f>Részletes!AU16</f>
        <v>0</v>
      </c>
      <c r="AV3" s="10">
        <f>Részletes!AV16</f>
        <v>0</v>
      </c>
      <c r="AW3" s="10">
        <f>Részletes!AW16</f>
        <v>0</v>
      </c>
      <c r="AX3" s="10">
        <f>Részletes!AX16</f>
        <v>0</v>
      </c>
      <c r="AY3" s="10">
        <f>Részletes!AY16</f>
        <v>0</v>
      </c>
      <c r="AZ3" s="10">
        <f>Részletes!AZ16</f>
        <v>0</v>
      </c>
      <c r="BA3" s="10">
        <f>Részletes!BA16</f>
        <v>0</v>
      </c>
      <c r="BB3" s="10">
        <f>Részletes!BB16</f>
        <v>0</v>
      </c>
      <c r="BC3" s="10">
        <f>Részletes!BC16</f>
        <v>0</v>
      </c>
      <c r="BD3" s="10">
        <f>Részletes!BD16</f>
        <v>0</v>
      </c>
      <c r="BE3" s="10">
        <f>Részletes!BE16</f>
        <v>0</v>
      </c>
      <c r="BF3" s="10">
        <f>Részletes!BF16</f>
        <v>0</v>
      </c>
      <c r="BG3" s="10">
        <f>Részletes!BG16</f>
        <v>0</v>
      </c>
      <c r="BH3" s="10">
        <f>Részletes!BH16</f>
        <v>0</v>
      </c>
      <c r="BI3" s="10">
        <f>Részletes!BI16</f>
        <v>0</v>
      </c>
      <c r="BJ3" s="10">
        <f>Részletes!BJ16</f>
        <v>0</v>
      </c>
      <c r="BK3" s="10">
        <f>Részletes!BK16</f>
        <v>0</v>
      </c>
      <c r="BL3" s="10">
        <f>Részletes!BL16</f>
        <v>0</v>
      </c>
      <c r="BM3" s="10">
        <f>Részletes!BM16</f>
        <v>0</v>
      </c>
      <c r="BN3" s="10">
        <f>Részletes!BN16</f>
        <v>0</v>
      </c>
      <c r="BO3" s="10">
        <f>Részletes!BO16</f>
        <v>0</v>
      </c>
      <c r="BP3" s="10">
        <f>Részletes!BP16</f>
        <v>0</v>
      </c>
      <c r="BQ3" s="10">
        <f>Részletes!BQ16</f>
        <v>0</v>
      </c>
      <c r="BR3" s="10">
        <f>Részletes!BR16</f>
        <v>0</v>
      </c>
      <c r="BS3" s="10">
        <f>Részletes!BS16</f>
        <v>0</v>
      </c>
      <c r="BT3" s="10">
        <f>Részletes!BT16</f>
        <v>0</v>
      </c>
    </row>
    <row r="4" spans="1:72" x14ac:dyDescent="0.25">
      <c r="A4" s="11" t="s">
        <v>2</v>
      </c>
      <c r="B4" s="10">
        <f>Részletes!B24</f>
        <v>1851839</v>
      </c>
      <c r="C4" s="10">
        <f>Részletes!C24</f>
        <v>1852473</v>
      </c>
      <c r="D4" s="10">
        <f>Részletes!D24</f>
        <v>1696098</v>
      </c>
      <c r="E4" s="10">
        <f>Részletes!E24</f>
        <v>1776614</v>
      </c>
      <c r="F4" s="10">
        <f>Részletes!F24</f>
        <v>1867551</v>
      </c>
      <c r="G4" s="10">
        <f>Részletes!G24</f>
        <v>1896046</v>
      </c>
      <c r="H4" s="10">
        <f>Részletes!H24</f>
        <v>1926046</v>
      </c>
      <c r="I4" s="10">
        <f>Részletes!I24</f>
        <v>1057679</v>
      </c>
      <c r="J4" s="10">
        <f>Részletes!J24</f>
        <v>1050706</v>
      </c>
      <c r="K4" s="10">
        <f>Részletes!K24</f>
        <v>1050397</v>
      </c>
      <c r="L4" s="10">
        <f>Részletes!L24</f>
        <v>1088069</v>
      </c>
      <c r="M4" s="10">
        <f>Részletes!M24</f>
        <v>1110024</v>
      </c>
      <c r="N4" s="10">
        <f>Részletes!N24</f>
        <v>1306726</v>
      </c>
      <c r="O4" s="10">
        <f>Részletes!O24</f>
        <v>1314713</v>
      </c>
      <c r="P4" s="10">
        <f>Részletes!P24</f>
        <v>195353</v>
      </c>
      <c r="Q4" s="10">
        <f>Részletes!Q24</f>
        <v>199173</v>
      </c>
      <c r="R4" s="10">
        <f>Részletes!R24</f>
        <v>191153</v>
      </c>
      <c r="S4" s="10">
        <f>Részletes!S24</f>
        <v>191153</v>
      </c>
      <c r="T4" s="10">
        <f>Részletes!T24</f>
        <v>191153</v>
      </c>
      <c r="U4" s="10">
        <f>Részletes!U24</f>
        <v>191153</v>
      </c>
      <c r="V4" s="10">
        <f>Részletes!V24</f>
        <v>220000</v>
      </c>
      <c r="W4" s="10">
        <f>Részletes!W24</f>
        <v>213000</v>
      </c>
      <c r="X4" s="10">
        <f>Részletes!X24</f>
        <v>213000</v>
      </c>
      <c r="Y4" s="10">
        <f>Részletes!Y24</f>
        <v>206727</v>
      </c>
      <c r="Z4" s="10">
        <f>Részletes!Z24</f>
        <v>137385</v>
      </c>
      <c r="AA4" s="10">
        <f>Részletes!AA24</f>
        <v>142252</v>
      </c>
      <c r="AB4" s="10">
        <f>Részletes!AB24</f>
        <v>121000</v>
      </c>
      <c r="AC4" s="10">
        <f>Részletes!AC24</f>
        <v>102244</v>
      </c>
      <c r="AD4" s="10">
        <f>Részletes!AD24</f>
        <v>102470</v>
      </c>
      <c r="AE4" s="10">
        <f>Részletes!AE24</f>
        <v>1090141</v>
      </c>
      <c r="AF4" s="10">
        <f>Részletes!AF24</f>
        <v>1113435</v>
      </c>
      <c r="AG4" s="10">
        <f>Részletes!AG24</f>
        <v>1113435</v>
      </c>
      <c r="AH4" s="10">
        <f>Részletes!AH24</f>
        <v>1113435</v>
      </c>
      <c r="AI4" s="10">
        <f>Részletes!AI24</f>
        <v>1093411</v>
      </c>
      <c r="AJ4" s="10">
        <f>Részletes!AJ24</f>
        <v>1093411</v>
      </c>
      <c r="AK4" s="48">
        <f>Részletes!AK24</f>
        <v>1035681</v>
      </c>
      <c r="AL4" s="10">
        <f>Részletes!AL24</f>
        <v>1004366</v>
      </c>
      <c r="AM4" s="10">
        <f>Részletes!AM24</f>
        <v>652011</v>
      </c>
      <c r="AN4" s="10">
        <f>Részletes!AN24</f>
        <v>650044</v>
      </c>
      <c r="AO4" s="10">
        <f>Részletes!AO24</f>
        <v>642866</v>
      </c>
      <c r="AP4" s="10">
        <f>Részletes!AP24</f>
        <v>651702</v>
      </c>
      <c r="AQ4" s="10">
        <f>Részletes!AQ24</f>
        <v>651702</v>
      </c>
      <c r="AR4" s="10">
        <f>Részletes!AR24</f>
        <v>680618</v>
      </c>
      <c r="AS4" s="10">
        <f>Részletes!AS24</f>
        <v>680618</v>
      </c>
      <c r="AT4" s="10">
        <f>Részletes!AT24</f>
        <v>689344</v>
      </c>
      <c r="AU4" s="10">
        <f>Részletes!AU24</f>
        <v>665912</v>
      </c>
      <c r="AV4" s="10">
        <f>Részletes!AV24</f>
        <v>660590</v>
      </c>
      <c r="AW4" s="10">
        <f>Részletes!AW24</f>
        <v>660770</v>
      </c>
      <c r="AX4" s="10">
        <f>Részletes!AX24</f>
        <v>660770</v>
      </c>
      <c r="AY4" s="10">
        <f>Részletes!AY24</f>
        <v>688144</v>
      </c>
      <c r="AZ4" s="10">
        <f>Részletes!AZ24</f>
        <v>686058</v>
      </c>
      <c r="BA4" s="10">
        <f>Részletes!BA24</f>
        <v>678659</v>
      </c>
      <c r="BB4" s="10">
        <f>Részletes!BB24</f>
        <v>676543</v>
      </c>
      <c r="BC4" s="10">
        <f>Részletes!BC24</f>
        <v>676543</v>
      </c>
      <c r="BD4" s="10">
        <f>Részletes!BD24</f>
        <v>676543</v>
      </c>
      <c r="BE4" s="10">
        <f>Részletes!BE24</f>
        <v>676543</v>
      </c>
      <c r="BF4" s="10">
        <f>Részletes!BF24</f>
        <v>676543</v>
      </c>
      <c r="BG4" s="10">
        <f>Részletes!BG24</f>
        <v>676543</v>
      </c>
      <c r="BH4" s="10">
        <f>Részletes!BH24</f>
        <v>676543</v>
      </c>
      <c r="BI4" s="10">
        <f>Részletes!BI24</f>
        <v>676543</v>
      </c>
      <c r="BJ4" s="10">
        <f>Részletes!BJ24</f>
        <v>676543</v>
      </c>
      <c r="BK4" s="10">
        <f>Részletes!BK24</f>
        <v>676543</v>
      </c>
      <c r="BL4" s="10">
        <f>Részletes!BL24</f>
        <v>676543</v>
      </c>
      <c r="BM4" s="10">
        <f>Részletes!BM24</f>
        <v>676543</v>
      </c>
      <c r="BN4" s="10">
        <f>Részletes!BN24</f>
        <v>676543</v>
      </c>
      <c r="BO4" s="10">
        <f>Részletes!BO24</f>
        <v>676543</v>
      </c>
      <c r="BP4" s="10">
        <f>Részletes!BP24</f>
        <v>676543</v>
      </c>
      <c r="BQ4" s="10">
        <f>Részletes!BQ24</f>
        <v>676543</v>
      </c>
      <c r="BR4" s="10">
        <f>Részletes!BR24</f>
        <v>676543</v>
      </c>
      <c r="BS4" s="10">
        <f>Részletes!BS24</f>
        <v>676543</v>
      </c>
      <c r="BT4" s="10">
        <f>Részletes!BT24</f>
        <v>676543</v>
      </c>
    </row>
    <row r="5" spans="1:72" x14ac:dyDescent="0.25">
      <c r="A5" s="12" t="s">
        <v>3</v>
      </c>
      <c r="B5" s="13">
        <f>IF(INDEX(Részletes!$A$1:$X$104,MATCH($A5,Részletes!$A:$A,0)+1,MATCH(B$1,Részletes!$A$1:$X$1,0))&lt;&gt;"",INDEX(Részletes!$A$1:$X$104,MATCH($A5,Részletes!$A:$A,0)+1,MATCH(B$1,Részletes!$A$1:$X$1,0)),"blabla")</f>
        <v>2400000</v>
      </c>
      <c r="C5" s="13">
        <f>IF(INDEX(Részletes!$A$1:$X$104,MATCH($A5,Részletes!$A:$A,0)+1,MATCH(C$1,Részletes!$A$1:$X$1,0))&lt;&gt;"",INDEX(Részletes!$A$1:$X$104,MATCH($A5,Részletes!$A:$A,0)+1,MATCH(C$1,Részletes!$A$1:$X$1,0)),INDEX(Részletes!$A$1:$X$104,MATCH($A5,Részletes!$A:$A,0)+5,MATCH(C$1,Részletes!$A$1:$X$1,0)))</f>
        <v>2400000</v>
      </c>
      <c r="D5" s="13">
        <f>IF(INDEX(Részletes!$A$1:$X$104,MATCH($A5,Részletes!$A:$A,0)+1,MATCH(D$1,Részletes!$A$1:$X$1,0))&lt;&gt;"",INDEX(Részletes!$A$1:$X$104,MATCH($A5,Részletes!$A:$A,0)+1,MATCH(D$1,Részletes!$A$1:$X$1,0)),INDEX(Részletes!$A$1:$X$104,MATCH($A5,Részletes!$A:$A,0)+5,MATCH(D$1,Részletes!$A$1:$X$1,0)))</f>
        <v>2414000</v>
      </c>
      <c r="E5" s="13">
        <f>IF(INDEX(Részletes!$A$1:$X$104,MATCH($A5,Részletes!$A:$A,0)+1,MATCH(E$1,Részletes!$A$1:$X$1,0))&lt;&gt;"",INDEX(Részletes!$A$1:$X$104,MATCH($A5,Részletes!$A:$A,0)+1,MATCH(E$1,Részletes!$A$1:$X$1,0)),INDEX(Részletes!$A$1:$X$104,MATCH($A5,Részletes!$A:$A,0)+5,MATCH(E$1,Részletes!$A$1:$X$1,0)))</f>
        <v>2414000</v>
      </c>
      <c r="F5" s="13">
        <f>IF(INDEX(Részletes!$A$1:$X$104,MATCH($A5,Részletes!$A:$A,0)+1,MATCH(F$1,Részletes!$A$1:$X$1,0))&lt;&gt;"",INDEX(Részletes!$A$1:$X$104,MATCH($A5,Részletes!$A:$A,0)+1,MATCH(F$1,Részletes!$A$1:$X$1,0)),INDEX(Részletes!$A$1:$X$104,MATCH($A5,Részletes!$A:$A,0)+5,MATCH(F$1,Részletes!$A$1:$X$1,0)))</f>
        <v>2441102</v>
      </c>
      <c r="G5" s="13">
        <f>IF(INDEX(Részletes!$A$1:$X$104,MATCH($A5,Részletes!$A:$A,0)+1,MATCH(G$1,Részletes!$A$1:$X$1,0))&lt;&gt;"",INDEX(Részletes!$A$1:$X$104,MATCH($A5,Részletes!$A:$A,0)+1,MATCH(G$1,Részletes!$A$1:$X$1,0)),INDEX(Részletes!$A$1:$X$104,MATCH($A5,Részletes!$A:$A,0)+5,MATCH(G$1,Részletes!$A$1:$X$1,0)))</f>
        <v>2445292</v>
      </c>
      <c r="H5" s="13">
        <f>IF(INDEX(Részletes!$A$1:$X$104,MATCH($A5,Részletes!$A:$A,0)+1,MATCH(H$1,Részletes!$A$1:$X$1,0))&lt;&gt;"",INDEX(Részletes!$A$1:$X$104,MATCH($A5,Részletes!$A:$A,0)+1,MATCH(H$1,Részletes!$A$1:$X$1,0)),INDEX(Részletes!$A$1:$X$104,MATCH($A5,Részletes!$A:$A,0)+5,MATCH(H$1,Részletes!$A$1:$X$1,0)))</f>
        <v>2456247</v>
      </c>
      <c r="I5" s="13">
        <f>IF(INDEX(Részletes!$A$1:$X$104,MATCH($A5,Részletes!$A:$A,0)+1,MATCH(I$1,Részletes!$A$1:$X$1,0))&lt;&gt;"",INDEX(Részletes!$A$1:$X$104,MATCH($A5,Részletes!$A:$A,0)+1,MATCH(I$1,Részletes!$A$1:$X$1,0)),INDEX(Részletes!$A$1:$X$104,MATCH($A5,Részletes!$A:$A,0)+5,MATCH(I$1,Részletes!$A$1:$X$1,0)))</f>
        <v>8452365</v>
      </c>
      <c r="J5" s="13">
        <f>IF(INDEX(Részletes!$A$1:$X$104,MATCH($A5,Részletes!$A:$A,0)+1,MATCH(J$1,Részletes!$A$1:$X$1,0))&lt;&gt;"",INDEX(Részletes!$A$1:$X$104,MATCH($A5,Részletes!$A:$A,0)+1,MATCH(J$1,Részletes!$A$1:$X$1,0)),INDEX(Részletes!$A$1:$X$104,MATCH($A5,Részletes!$A:$A,0)+5,MATCH(J$1,Részletes!$A$1:$X$1,0)))</f>
        <v>13956266</v>
      </c>
      <c r="K5" s="13">
        <f>IF(INDEX(Részletes!$A$1:$X$104,MATCH($A5,Részletes!$A:$A,0)+1,MATCH(K$1,Részletes!$A$1:$X$1,0))&lt;&gt;"",INDEX(Részletes!$A$1:$X$104,MATCH($A5,Részletes!$A:$A,0)+1,MATCH(K$1,Részletes!$A$1:$X$1,0)),INDEX(Részletes!$A$1:$X$104,MATCH($A5,Részletes!$A:$A,0)+5,MATCH(K$1,Részletes!$A$1:$X$1,0)))</f>
        <v>14986351</v>
      </c>
      <c r="L5" s="13">
        <f>IF(INDEX(Részletes!$A$1:$X$104,MATCH($A5,Részletes!$A:$A,0)+1,MATCH(L$1,Részletes!$A$1:$X$1,0))&lt;&gt;"",INDEX(Részletes!$A$1:$X$104,MATCH($A5,Részletes!$A:$A,0)+1,MATCH(L$1,Részletes!$A$1:$X$1,0)),INDEX(Részletes!$A$1:$X$104,MATCH($A5,Részletes!$A:$A,0)+5,MATCH(L$1,Részletes!$A$1:$X$1,0)))</f>
        <v>15050000</v>
      </c>
      <c r="M5" s="13">
        <f>IF(INDEX(Részletes!$A$1:$X$104,MATCH($A5,Részletes!$A:$A,0)+1,MATCH(M$1,Részletes!$A$1:$X$1,0))&lt;&gt;"",INDEX(Részletes!$A$1:$X$104,MATCH($A5,Részletes!$A:$A,0)+1,MATCH(M$1,Részletes!$A$1:$X$1,0)),INDEX(Részletes!$A$1:$X$104,MATCH($A5,Részletes!$A:$A,0)+5,MATCH(M$1,Részletes!$A$1:$X$1,0)))</f>
        <v>15266611</v>
      </c>
      <c r="N5" s="13">
        <f>IF(INDEX(Részletes!$A$1:$X$104,MATCH($A5,Részletes!$A:$A,0)+1,MATCH(N$1,Részletes!$A$1:$X$1,0))&lt;&gt;"",INDEX(Részletes!$A$1:$X$104,MATCH($A5,Részletes!$A:$A,0)+1,MATCH(N$1,Részletes!$A$1:$X$1,0)),INDEX(Részletes!$A$1:$X$104,MATCH($A5,Részletes!$A:$A,0)+5,MATCH(N$1,Részletes!$A$1:$X$1,0)))</f>
        <v>16323357</v>
      </c>
      <c r="O5" s="13">
        <f>IF(INDEX(Részletes!$A$1:$X$104,MATCH($A5,Részletes!$A:$A,0)+1,MATCH(O$1,Részletes!$A$1:$X$1,0))&lt;&gt;"",INDEX(Részletes!$A$1:$X$104,MATCH($A5,Részletes!$A:$A,0)+1,MATCH(O$1,Részletes!$A$1:$X$1,0)),INDEX(Részletes!$A$1:$X$104,MATCH($A5,Részletes!$A:$A,0)+5,MATCH(O$1,Részletes!$A$1:$X$1,0)))</f>
        <v>16382080</v>
      </c>
      <c r="P5" s="13">
        <f>IF(INDEX(Részletes!$A$1:$X$104,MATCH($A5,Részletes!$A:$A,0)+1,MATCH(P$1,Részletes!$A$1:$X$1,0))&lt;&gt;"",INDEX(Részletes!$A$1:$X$104,MATCH($A5,Részletes!$A:$A,0)+1,MATCH(P$1,Részletes!$A$1:$X$1,0)),INDEX(Részletes!$A$1:$X$104,MATCH($A5,Részletes!$A:$A,0)+5,MATCH(P$1,Részletes!$A$1:$X$1,0)))</f>
        <v>10147193</v>
      </c>
      <c r="Q5" s="13">
        <f>IF(INDEX(Részletes!$A$1:$X$104,MATCH($A5,Részletes!$A:$A,0)+1,MATCH(Q$1,Részletes!$A$1:$X$1,0))&lt;&gt;"",INDEX(Részletes!$A$1:$X$104,MATCH($A5,Részletes!$A:$A,0)+1,MATCH(Q$1,Részletes!$A$1:$X$1,0)),INDEX(Részletes!$A$1:$X$104,MATCH($A5,Részletes!$A:$A,0)+5,MATCH(Q$1,Részletes!$A$1:$X$1,0)))</f>
        <v>10681191</v>
      </c>
      <c r="R5" s="13">
        <f>IF(INDEX(Részletes!$A$1:$X$104,MATCH($A5,Részletes!$A:$A,0)+1,MATCH(R$1,Részletes!$A$1:$X$1,0))&lt;&gt;"",INDEX(Részletes!$A$1:$X$104,MATCH($A5,Részletes!$A:$A,0)+1,MATCH(R$1,Részletes!$A$1:$X$1,0)),INDEX(Részletes!$A$1:$X$104,MATCH($A5,Részletes!$A:$A,0)+5,MATCH(R$1,Részletes!$A$1:$X$1,0)))</f>
        <v>7184415</v>
      </c>
      <c r="S5" s="13">
        <f>IF(INDEX(Részletes!$A$1:$X$104,MATCH($A5,Részletes!$A:$A,0)+1,MATCH(S$1,Részletes!$A$1:$X$1,0))&lt;&gt;"",INDEX(Részletes!$A$1:$X$104,MATCH($A5,Részletes!$A:$A,0)+1,MATCH(S$1,Részletes!$A$1:$X$1,0)),INDEX(Részletes!$A$1:$X$104,MATCH($A5,Részletes!$A:$A,0)+5,MATCH(S$1,Részletes!$A$1:$X$1,0)))</f>
        <v>7026244</v>
      </c>
      <c r="T5" s="13">
        <f>IF(INDEX(Részletes!$A$1:$X$104,MATCH($A5,Részletes!$A:$A,0)+1,MATCH(T$1,Részletes!$A$1:$X$1,0))&lt;&gt;"",INDEX(Részletes!$A$1:$X$104,MATCH($A5,Részletes!$A:$A,0)+1,MATCH(T$1,Részletes!$A$1:$X$1,0)),INDEX(Részletes!$A$1:$X$104,MATCH($A5,Részletes!$A:$A,0)+5,MATCH(T$1,Részletes!$A$1:$X$1,0)))</f>
        <v>6823964</v>
      </c>
      <c r="U5" s="13">
        <f>IF(INDEX(Részletes!$A$1:$X$104,MATCH($A5,Részletes!$A:$A,0)+1,MATCH(U$1,Részletes!$A$1:$X$1,0))&lt;&gt;"",INDEX(Részletes!$A$1:$X$104,MATCH($A5,Részletes!$A:$A,0)+1,MATCH(U$1,Részletes!$A$1:$X$1,0)),INDEX(Részletes!$A$1:$X$104,MATCH($A5,Részletes!$A:$A,0)+5,MATCH(U$1,Részletes!$A$1:$X$1,0)))</f>
        <v>5823264</v>
      </c>
      <c r="V5" s="13">
        <f>IF(INDEX(Részletes!$A$1:$X$104,MATCH($A5,Részletes!$A:$A,0)+1,MATCH(V$1,Részletes!$A$1:$X$1,0))&lt;&gt;"",INDEX(Részletes!$A$1:$X$104,MATCH($A5,Részletes!$A:$A,0)+1,MATCH(V$1,Részletes!$A$1:$X$1,0)),INDEX(Részletes!$A$1:$X$104,MATCH($A5,Részletes!$A:$A,0)+5,MATCH(V$1,Részletes!$A$1:$X$1,0)))</f>
        <v>4625721</v>
      </c>
      <c r="W5" s="13">
        <f>IF(INDEX(Részletes!$A$1:$X$104,MATCH($A5,Részletes!$A:$A,0)+1,MATCH(W$1,Részletes!$A$1:$X$1,0))&lt;&gt;"",INDEX(Részletes!$A$1:$X$104,MATCH($A5,Részletes!$A:$A,0)+1,MATCH(W$1,Részletes!$A$1:$X$1,0)),INDEX(Részletes!$A$1:$X$104,MATCH($A5,Részletes!$A:$A,0)+5,MATCH(W$1,Részletes!$A$1:$X$1,0)))</f>
        <v>4625721</v>
      </c>
      <c r="X5" s="13">
        <f>IF(INDEX(Részletes!$A$1:$BW$104,MATCH($A5,Részletes!$A:$A,0)+1,MATCH(X$1,Részletes!$A$1:$BW$1,0))&lt;&gt;"",INDEX(Részletes!$A$1:$BW$104,MATCH($A5,Részletes!$A:$A,0)+1,MATCH(X$1,Részletes!$A$1:$BW$1,0)),INDEX(Részletes!$A$1:$BW$104,MATCH($A5,Részletes!$A:$A,0)+5,MATCH(X$1,Részletes!$A$1:$BW$1,0)))</f>
        <v>4725721</v>
      </c>
      <c r="Y5" s="13">
        <f>IF(INDEX(Részletes!$A$1:$BW$104,MATCH($A5,Részletes!$A:$A,0)+1,MATCH(Y$1,Részletes!$A$1:$BW$1,0))&lt;&gt;"",INDEX(Részletes!$A$1:$BW$104,MATCH($A5,Részletes!$A:$A,0)+1,MATCH(Y$1,Részletes!$A$1:$BW$1,0)),INDEX(Részletes!$A$1:$BW$104,MATCH($A5,Részletes!$A:$A,0)+5,MATCH(Y$1,Részletes!$A$1:$BW$1,0)))</f>
        <v>4823462</v>
      </c>
      <c r="Z5" s="13">
        <f>IF(INDEX(Részletes!$A$1:$BW$104,MATCH($A5,Részletes!$A:$A,0)+1,MATCH(Z$1,Részletes!$A$1:$BW$1,0))&lt;&gt;"",INDEX(Részletes!$A$1:$BW$104,MATCH($A5,Részletes!$A:$A,0)+1,MATCH(Z$1,Részletes!$A$1:$BW$1,0)),INDEX(Részletes!$A$1:$BW$104,MATCH($A5,Részletes!$A:$A,0)+5,MATCH(Z$1,Részletes!$A$1:$BW$1,0)))</f>
        <v>4838823</v>
      </c>
      <c r="AA5" s="13">
        <f>IF(INDEX(Részletes!$A$1:$BW$104,MATCH($A5,Részletes!$A:$A,0)+1,MATCH(AA$1,Részletes!$A$1:$BW$1,0))&lt;&gt;"",INDEX(Részletes!$A$1:$BW$104,MATCH($A5,Részletes!$A:$A,0)+1,MATCH(AA$1,Részletes!$A$1:$BW$1,0)),INDEX(Részletes!$A$1:$BW$104,MATCH($A5,Részletes!$A:$A,0)+5,MATCH(AA$1,Részletes!$A$1:$BW$1,0)))</f>
        <v>4862666</v>
      </c>
      <c r="AB5" s="13">
        <f>IF(INDEX(Részletes!$A$1:$BW$104,MATCH($A5,Részletes!$A:$A,0)+1,MATCH(AB$1,Részletes!$A$1:$BW$1,0))&lt;&gt;"",INDEX(Részletes!$A$1:$BW$104,MATCH($A5,Részletes!$A:$A,0)+1,MATCH(AB$1,Részletes!$A$1:$BW$1,0)),INDEX(Részletes!$A$1:$BW$104,MATCH($A5,Részletes!$A:$A,0)+5,MATCH(AB$1,Részletes!$A$1:$BW$1,0)))</f>
        <v>4863152</v>
      </c>
      <c r="AC5" s="13">
        <f>IF(INDEX(Részletes!$A$1:$BW$104,MATCH($A5,Részletes!$A:$A,0)+1,MATCH(AC$1,Részletes!$A$1:$BW$1,0))&lt;&gt;"",INDEX(Részletes!$A$1:$BW$104,MATCH($A5,Részletes!$A:$A,0)+1,MATCH(AC$1,Részletes!$A$1:$BW$1,0)),INDEX(Részletes!$A$1:$BW$104,MATCH($A5,Részletes!$A:$A,0)+5,MATCH(AC$1,Részletes!$A$1:$BW$1,0)))</f>
        <v>4863152</v>
      </c>
      <c r="AD5" s="13">
        <f>IF(INDEX(Részletes!$A$1:$BW$104,MATCH($A5,Részletes!$A:$A,0)+1,MATCH(AD$1,Részletes!$A$1:$BW$1,0))&lt;&gt;"",INDEX(Részletes!$A$1:$BW$104,MATCH($A5,Részletes!$A:$A,0)+1,MATCH(AD$1,Részletes!$A$1:$BW$1,0)),INDEX(Részletes!$A$1:$BW$104,MATCH($A5,Részletes!$A:$A,0)+5,MATCH(AD$1,Részletes!$A$1:$BW$1,0)))</f>
        <v>14882425</v>
      </c>
      <c r="AE5" s="13">
        <f>IF(INDEX(Részletes!$A$1:$BW$104,MATCH($A5,Részletes!$A:$A,0)+1,MATCH(AE$1,Részletes!$A$1:$BW$1,0))&lt;&gt;"",INDEX(Részletes!$A$1:$BW$104,MATCH($A5,Részletes!$A:$A,0)+1,MATCH(AE$1,Részletes!$A$1:$BW$1,0)),INDEX(Részletes!$A$1:$BW$104,MATCH($A5,Részletes!$A:$A,0)+5,MATCH(AE$1,Részletes!$A$1:$BW$1,0)))</f>
        <v>15031569</v>
      </c>
      <c r="AF5" s="13">
        <f>IF(INDEX(Részletes!$A$1:$BW$104,MATCH($A5,Részletes!$A:$A,0)+1,MATCH(AF$1,Részletes!$A$1:$BW$1,0))&lt;&gt;"",INDEX(Részletes!$A$1:$BW$104,MATCH($A5,Részletes!$A:$A,0)+1,MATCH(AF$1,Részletes!$A$1:$BW$1,0)),INDEX(Részletes!$A$1:$BW$104,MATCH($A5,Részletes!$A:$A,0)+5,MATCH(AF$1,Részletes!$A$1:$BW$1,0)))</f>
        <v>15124031</v>
      </c>
      <c r="AG5" s="13">
        <f>IF(INDEX(Részletes!$A$1:$BW$104,MATCH($A5,Részletes!$A:$A,0)+1,MATCH(AG$1,Részletes!$A$1:$BW$1,0))&lt;&gt;"",INDEX(Részletes!$A$1:$BW$104,MATCH($A5,Részletes!$A:$A,0)+1,MATCH(AG$1,Részletes!$A$1:$BW$1,0)),INDEX(Részletes!$A$1:$BW$104,MATCH($A5,Részletes!$A:$A,0)+5,MATCH(AG$1,Részletes!$A$1:$BW$1,0)))</f>
        <v>15187047.795833332</v>
      </c>
      <c r="AH5" s="13">
        <f>IF(INDEX(Részletes!$A$1:$BW$104,MATCH($A5,Részletes!$A:$A,0)+1,MATCH(AH$1,Részletes!$A$1:$BW$1,0))&lt;&gt;"",INDEX(Részletes!$A$1:$BW$104,MATCH($A5,Részletes!$A:$A,0)+1,MATCH(AH$1,Részletes!$A$1:$BW$1,0)),INDEX(Részletes!$A$1:$BW$104,MATCH($A5,Részletes!$A:$A,0)+5,MATCH(AH$1,Részletes!$A$1:$BW$1,0)))</f>
        <v>15250327.161649305</v>
      </c>
      <c r="AI5" s="13">
        <f>IF(INDEX(Részletes!$A$1:$BW$104,MATCH($A5,Részletes!$A:$A,0)+1,MATCH(AI$1,Részletes!$A$1:$BW$1,0))&lt;&gt;"",INDEX(Részletes!$A$1:$BW$104,MATCH($A5,Részletes!$A:$A,0)+1,MATCH(AI$1,Részletes!$A$1:$BW$1,0)),INDEX(Részletes!$A$1:$BW$104,MATCH($A5,Részletes!$A:$A,0)+5,MATCH(AI$1,Részletes!$A$1:$BW$1,0)))</f>
        <v>15230849</v>
      </c>
      <c r="AJ5" s="13">
        <f>IF(INDEX(Részletes!$A$1:$BW$104,MATCH($A5,Részletes!$A:$A,0)+1,MATCH(AJ$1,Részletes!$A$1:$BW$1,0))&lt;&gt;"",INDEX(Részletes!$A$1:$BW$104,MATCH($A5,Részletes!$A:$A,0)+1,MATCH(AJ$1,Részletes!$A$1:$BW$1,0)),INDEX(Részletes!$A$1:$BW$104,MATCH($A5,Részletes!$A:$A,0)+5,MATCH(AJ$1,Részletes!$A$1:$BW$1,0)))</f>
        <v>15294310.870833334</v>
      </c>
      <c r="AK5" s="49">
        <f>IF(INDEX(Részletes!$A$1:$BW$104,MATCH($A5,Részletes!$A:$A,0)+1,MATCH(AK$1,Részletes!$A$1:$BW$1,0))&lt;&gt;"",INDEX(Részletes!$A$1:$BW$104,MATCH($A5,Részletes!$A:$A,0)+1,MATCH(AK$1,Részletes!$A$1:$BW$1,0)),INDEX(Részletes!$A$1:$BW$104,MATCH($A5,Részletes!$A:$A,0)+5,MATCH(AK$1,Részletes!$A$1:$BW$1,0)))</f>
        <v>15390307</v>
      </c>
      <c r="AL5" s="13">
        <f>IF(INDEX(Részletes!$A$1:$BW$104,MATCH($A5,Részletes!$A:$A,0)+1,MATCH(AL$1,Részletes!$A$1:$BW$1,0))&lt;&gt;"",INDEX(Részletes!$A$1:$BW$104,MATCH($A5,Részletes!$A:$A,0)+1,MATCH(AL$1,Részletes!$A$1:$BW$1,0)),INDEX(Részletes!$A$1:$BW$104,MATCH($A5,Részletes!$A:$A,0)+5,MATCH(AL$1,Részletes!$A$1:$BW$1,0)))</f>
        <v>16106000</v>
      </c>
      <c r="AM5" s="13">
        <f>IF(INDEX(Részletes!$A$1:$BW$104,MATCH($A5,Részletes!$A:$A,0)+1,MATCH(AM$1,Részletes!$A$1:$BW$1,0))&lt;&gt;"",INDEX(Részletes!$A$1:$BW$104,MATCH($A5,Részletes!$A:$A,0)+1,MATCH(AM$1,Részletes!$A$1:$BW$1,0)),INDEX(Részletes!$A$1:$BW$104,MATCH($A5,Részletes!$A:$A,0)+5,MATCH(AM$1,Részletes!$A$1:$BW$1,0)))</f>
        <v>16894858</v>
      </c>
      <c r="AN5" s="13">
        <f>IF(INDEX(Részletes!$A$1:$BW$104,MATCH($A5,Részletes!$A:$A,0)+1,MATCH(AN$1,Részletes!$A$1:$BW$1,0))&lt;&gt;"",INDEX(Részletes!$A$1:$BW$104,MATCH($A5,Részletes!$A:$A,0)+1,MATCH(AN$1,Részletes!$A$1:$BW$1,0)),INDEX(Részletes!$A$1:$BW$104,MATCH($A5,Részletes!$A:$A,0)+5,MATCH(AN$1,Részletes!$A$1:$BW$1,0)))</f>
        <v>17151035</v>
      </c>
      <c r="AO5" s="13">
        <f>IF(INDEX(Részletes!$A$1:$BW$104,MATCH($A5,Részletes!$A:$A,0)+1,MATCH(AO$1,Részletes!$A$1:$BW$1,0))&lt;&gt;"",INDEX(Részletes!$A$1:$BW$104,MATCH($A5,Részletes!$A:$A,0)+1,MATCH(AO$1,Részletes!$A$1:$BW$1,0)),INDEX(Részletes!$A$1:$BW$104,MATCH($A5,Részletes!$A:$A,0)+5,MATCH(AO$1,Részletes!$A$1:$BW$1,0)))</f>
        <v>16603631</v>
      </c>
      <c r="AP5" s="13">
        <f>IF(INDEX(Részletes!$A$1:$BW$104,MATCH($A5,Részletes!$A:$A,0)+1,MATCH(AP$1,Részletes!$A$1:$BW$1,0))&lt;&gt;"",INDEX(Részletes!$A$1:$BW$104,MATCH($A5,Részletes!$A:$A,0)+1,MATCH(AP$1,Részletes!$A$1:$BW$1,0)),INDEX(Részletes!$A$1:$BW$104,MATCH($A5,Részletes!$A:$A,0)+5,MATCH(AP$1,Részletes!$A$1:$BW$1,0)))</f>
        <v>17564259</v>
      </c>
      <c r="AQ5" s="13">
        <f>IF(INDEX(Részletes!$A$1:$BW$104,MATCH($A5,Részletes!$A:$A,0)+1,MATCH(AQ$1,Részletes!$A$1:$BW$1,0))&lt;&gt;"",INDEX(Részletes!$A$1:$BW$104,MATCH($A5,Részletes!$A:$A,0)+1,MATCH(AQ$1,Részletes!$A$1:$BW$1,0)),INDEX(Részletes!$A$1:$BW$104,MATCH($A5,Részletes!$A:$A,0)+5,MATCH(AQ$1,Részletes!$A$1:$BW$1,0)))</f>
        <v>17783812.237500001</v>
      </c>
      <c r="AR5" s="13">
        <f>IF(INDEX(Részletes!$A$1:$BW$104,MATCH($A5,Részletes!$A:$A,0)+1,MATCH(AR$1,Részletes!$A$1:$BW$1,0))&lt;&gt;"",INDEX(Részletes!$A$1:$BW$104,MATCH($A5,Részletes!$A:$A,0)+1,MATCH(AR$1,Részletes!$A$1:$BW$1,0)),INDEX(Részletes!$A$1:$BW$104,MATCH($A5,Részletes!$A:$A,0)+5,MATCH(AR$1,Részletes!$A$1:$BW$1,0)))</f>
        <v>18611755</v>
      </c>
      <c r="AS5" s="13">
        <f>IF(INDEX(Részletes!$A$1:$BW$104,MATCH($A5,Részletes!$A:$A,0)+1,MATCH(AS$1,Részletes!$A$1:$BW$1,0))&lt;&gt;"",INDEX(Részletes!$A$1:$BW$104,MATCH($A5,Részletes!$A:$A,0)+1,MATCH(AS$1,Részletes!$A$1:$BW$1,0)),INDEX(Részletes!$A$1:$BW$104,MATCH($A5,Részletes!$A:$A,0)+5,MATCH(AS$1,Részletes!$A$1:$BW$1,0)))</f>
        <v>18816099</v>
      </c>
      <c r="AT5" s="13">
        <f>IF(INDEX(Részletes!$A$1:$BW$104,MATCH($A5,Részletes!$A:$A,0)+1,MATCH(AT$1,Részletes!$A$1:$BW$1,0))&lt;&gt;"",INDEX(Részletes!$A$1:$BW$104,MATCH($A5,Részletes!$A:$A,0)+1,MATCH(AT$1,Részletes!$A$1:$BW$1,0)),INDEX(Részletes!$A$1:$BW$104,MATCH($A5,Részletes!$A:$A,0)+5,MATCH(AT$1,Részletes!$A$1:$BW$1,0)))</f>
        <v>19027738</v>
      </c>
      <c r="AU5" s="13">
        <f>IF(INDEX(Részletes!$A$1:$BW$104,MATCH($A5,Részletes!$A:$A,0)+1,MATCH(AU$1,Részletes!$A$1:$BW$1,0))&lt;&gt;"",INDEX(Részletes!$A$1:$BW$104,MATCH($A5,Részletes!$A:$A,0)+1,MATCH(AU$1,Részletes!$A$1:$BW$1,0)),INDEX(Részletes!$A$1:$BW$104,MATCH($A5,Részletes!$A:$A,0)+5,MATCH(AU$1,Részletes!$A$1:$BW$1,0)))</f>
        <v>19275870</v>
      </c>
      <c r="AV5" s="13">
        <f>IF(INDEX(Részletes!$A$1:$BW$104,MATCH($A5,Részletes!$A:$A,0)+1,MATCH(AV$1,Részletes!$A$1:$BW$1,0))&lt;&gt;"",INDEX(Részletes!$A$1:$BW$104,MATCH($A5,Részletes!$A:$A,0)+1,MATCH(AV$1,Részletes!$A$1:$BW$1,0)),INDEX(Részletes!$A$1:$BW$104,MATCH($A5,Részletes!$A:$A,0)+5,MATCH(AV$1,Részletes!$A$1:$BW$1,0)))</f>
        <v>20416316</v>
      </c>
      <c r="AW5" s="13">
        <f>IF(INDEX(Részletes!$A$1:$BW$104,MATCH($A5,Részletes!$A:$A,0)+1,MATCH(AW$1,Részletes!$A$1:$BW$1,0))&lt;&gt;"",INDEX(Részletes!$A$1:$BW$104,MATCH($A5,Részletes!$A:$A,0)+1,MATCH(AW$1,Részletes!$A$1:$BW$1,0)),INDEX(Részletes!$A$1:$BW$104,MATCH($A5,Részletes!$A:$A,0)+5,MATCH(AW$1,Részletes!$A$1:$BW$1,0)))</f>
        <v>20638516</v>
      </c>
      <c r="AX5" s="13">
        <f>IF(INDEX(Részletes!$A$1:$BW$104,MATCH($A5,Részletes!$A:$A,0)+1,MATCH(AX$1,Részletes!$A$1:$BW$1,0))&lt;&gt;"",INDEX(Részletes!$A$1:$BW$104,MATCH($A5,Részletes!$A:$A,0)+1,MATCH(AX$1,Részletes!$A$1:$BW$1,0)),INDEX(Részletes!$A$1:$BW$104,MATCH($A5,Részletes!$A:$A,0)+5,MATCH(AX$1,Részletes!$A$1:$BW$1,0)))</f>
        <v>18242002.213333335</v>
      </c>
      <c r="AY5" s="13">
        <f>IF(INDEX(Részletes!$A$1:$BW$104,MATCH($A5,Részletes!$A:$A,0)+1,MATCH(AY$1,Részletes!$A$1:$BW$1,0))&lt;&gt;"",INDEX(Részletes!$A$1:$BW$104,MATCH($A5,Részletes!$A:$A,0)+1,MATCH(AY$1,Részletes!$A$1:$BW$1,0)),INDEX(Részletes!$A$1:$BW$104,MATCH($A5,Részletes!$A:$A,0)+5,MATCH(AY$1,Részletes!$A$1:$BW$1,0)))</f>
        <v>18268671</v>
      </c>
      <c r="AZ5" s="13">
        <f>IF(INDEX(Részletes!$A$1:$BW$104,MATCH($A5,Részletes!$A:$A,0)+1,MATCH(AZ$1,Részletes!$A$1:$BW$1,0))&lt;&gt;"",INDEX(Részletes!$A$1:$BW$104,MATCH($A5,Részletes!$A:$A,0)+1,MATCH(AZ$1,Részletes!$A$1:$BW$1,0)),INDEX(Részletes!$A$1:$BW$104,MATCH($A5,Részletes!$A:$A,0)+5,MATCH(AZ$1,Részletes!$A$1:$BW$1,0)))</f>
        <v>18539373</v>
      </c>
      <c r="BA5" s="13">
        <f>IF(INDEX(Részletes!$A$1:$BW$104,MATCH($A5,Részletes!$A:$A,0)+1,MATCH(BA$1,Részletes!$A$1:$BW$1,0))&lt;&gt;"",INDEX(Részletes!$A$1:$BW$104,MATCH($A5,Részletes!$A:$A,0)+1,MATCH(BA$1,Részletes!$A$1:$BW$1,0)),INDEX(Részletes!$A$1:$BW$104,MATCH($A5,Részletes!$A:$A,0)+5,MATCH(BA$1,Részletes!$A$1:$BW$1,0)))</f>
        <v>18815962</v>
      </c>
      <c r="BB5" s="13">
        <f>IF(INDEX(Részletes!$A$1:$BW$104,MATCH($A5,Részletes!$A:$A,0)+1,MATCH(BB$1,Részletes!$A$1:$BW$1,0))&lt;&gt;"",INDEX(Részletes!$A$1:$BW$104,MATCH($A5,Részletes!$A:$A,0)+1,MATCH(BB$1,Részletes!$A$1:$BW$1,0)),INDEX(Részletes!$A$1:$BW$104,MATCH($A5,Részletes!$A:$A,0)+5,MATCH(BB$1,Részletes!$A$1:$BW$1,0)))</f>
        <v>19020363</v>
      </c>
      <c r="BC5" s="13">
        <f>IF(INDEX(Részletes!$A$1:$BW$104,MATCH($A5,Részletes!$A:$A,0)+1,MATCH(BC$1,Részletes!$A$1:$BW$1,0))&lt;&gt;"",INDEX(Részletes!$A$1:$BW$104,MATCH($A5,Részletes!$A:$A,0)+1,MATCH(BC$1,Részletes!$A$1:$BW$1,0)),INDEX(Részletes!$A$1:$BW$104,MATCH($A5,Részletes!$A:$A,0)+5,MATCH(BC$1,Részletes!$A$1:$BW$1,0)))</f>
        <v>19273967.84</v>
      </c>
      <c r="BD5" s="13">
        <f>IF(INDEX(Részletes!$A$1:$BW$104,MATCH($A5,Részletes!$A:$A,0)+1,MATCH(BD$1,Részletes!$A$1:$BW$1,0))&lt;&gt;"",INDEX(Részletes!$A$1:$BW$104,MATCH($A5,Részletes!$A:$A,0)+1,MATCH(BD$1,Részletes!$A$1:$BW$1,0)),INDEX(Részletes!$A$1:$BW$104,MATCH($A5,Részletes!$A:$A,0)+5,MATCH(BD$1,Részletes!$A$1:$BW$1,0)))</f>
        <v>19530954.077866666</v>
      </c>
      <c r="BE5" s="13">
        <f>IF(INDEX(Részletes!$A$1:$BW$104,MATCH($A5,Részletes!$A:$A,0)+1,MATCH(BE$1,Részletes!$A$1:$BW$1,0))&lt;&gt;"",INDEX(Részletes!$A$1:$BW$104,MATCH($A5,Részletes!$A:$A,0)+1,MATCH(BE$1,Részletes!$A$1:$BW$1,0)),INDEX(Részletes!$A$1:$BW$104,MATCH($A5,Részletes!$A:$A,0)+5,MATCH(BE$1,Részletes!$A$1:$BW$1,0)))</f>
        <v>19791366.798904888</v>
      </c>
      <c r="BF5" s="13">
        <f>IF(INDEX(Részletes!$A$1:$BW$104,MATCH($A5,Részletes!$A:$A,0)+1,MATCH(BF$1,Részletes!$A$1:$BW$1,0))&lt;&gt;"",INDEX(Részletes!$A$1:$BW$104,MATCH($A5,Részletes!$A:$A,0)+1,MATCH(BF$1,Részletes!$A$1:$BW$1,0)),INDEX(Részletes!$A$1:$BW$104,MATCH($A5,Részletes!$A:$A,0)+5,MATCH(BF$1,Részletes!$A$1:$BW$1,0)))</f>
        <v>20055251.689556953</v>
      </c>
      <c r="BG5" s="13">
        <f>IF(INDEX(Részletes!$A$1:$BW$104,MATCH($A5,Részletes!$A:$A,0)+1,MATCH(BG$1,Részletes!$A$1:$BW$1,0))&lt;&gt;"",INDEX(Részletes!$A$1:$BW$104,MATCH($A5,Részletes!$A:$A,0)+1,MATCH(BG$1,Részletes!$A$1:$BW$1,0)),INDEX(Részletes!$A$1:$BW$104,MATCH($A5,Részletes!$A:$A,0)+5,MATCH(BG$1,Részletes!$A$1:$BW$1,0)))</f>
        <v>20322655.045417711</v>
      </c>
      <c r="BH5" s="13">
        <f>IF(INDEX(Részletes!$A$1:$BW$104,MATCH($A5,Részletes!$A:$A,0)+1,MATCH(BH$1,Részletes!$A$1:$BW$1,0))&lt;&gt;"",INDEX(Részletes!$A$1:$BW$104,MATCH($A5,Részletes!$A:$A,0)+1,MATCH(BH$1,Részletes!$A$1:$BW$1,0)),INDEX(Részletes!$A$1:$BW$104,MATCH($A5,Részletes!$A:$A,0)+5,MATCH(BH$1,Részletes!$A$1:$BW$1,0)))</f>
        <v>20593623.779356614</v>
      </c>
      <c r="BI5" s="13">
        <f>IF(INDEX(Részletes!$A$1:$BW$104,MATCH($A5,Részletes!$A:$A,0)+1,MATCH(BI$1,Részletes!$A$1:$BW$1,0))&lt;&gt;"",INDEX(Részletes!$A$1:$BW$104,MATCH($A5,Részletes!$A:$A,0)+1,MATCH(BI$1,Részletes!$A$1:$BW$1,0)),INDEX(Részletes!$A$1:$BW$104,MATCH($A5,Részletes!$A:$A,0)+5,MATCH(BI$1,Részletes!$A$1:$BW$1,0)))</f>
        <v>20868205.429748036</v>
      </c>
      <c r="BJ5" s="13">
        <f>IF(INDEX(Részletes!$A$1:$BW$104,MATCH($A5,Részletes!$A:$A,0)+1,MATCH(BJ$1,Részletes!$A$1:$BW$1,0))&lt;&gt;"",INDEX(Részletes!$A$1:$BW$104,MATCH($A5,Részletes!$A:$A,0)+1,MATCH(BJ$1,Részletes!$A$1:$BW$1,0)),INDEX(Részletes!$A$1:$BW$104,MATCH($A5,Részletes!$A:$A,0)+5,MATCH(BJ$1,Részletes!$A$1:$BW$1,0)))</f>
        <v>21146448.168811344</v>
      </c>
      <c r="BK5" s="13">
        <f>IF(INDEX(Részletes!$A$1:$BW$104,MATCH($A5,Részletes!$A:$A,0)+1,MATCH(BK$1,Részletes!$A$1:$BW$1,0))&lt;&gt;"",INDEX(Részletes!$A$1:$BW$104,MATCH($A5,Részletes!$A:$A,0)+1,MATCH(BK$1,Részletes!$A$1:$BW$1,0)),INDEX(Részletes!$A$1:$BW$104,MATCH($A5,Részletes!$A:$A,0)+5,MATCH(BK$1,Részletes!$A$1:$BW$1,0)))</f>
        <v>21428400.811062161</v>
      </c>
      <c r="BL5" s="13">
        <f>IF(INDEX(Részletes!$A$1:$BW$104,MATCH($A5,Részletes!$A:$A,0)+1,MATCH(BL$1,Részletes!$A$1:$BW$1,0))&lt;&gt;"",INDEX(Részletes!$A$1:$BW$104,MATCH($A5,Részletes!$A:$A,0)+1,MATCH(BL$1,Részletes!$A$1:$BW$1,0)),INDEX(Részletes!$A$1:$BW$104,MATCH($A5,Részletes!$A:$A,0)+5,MATCH(BL$1,Részletes!$A$1:$BW$1,0)))</f>
        <v>21714112.821876325</v>
      </c>
      <c r="BM5" s="13">
        <f>IF(INDEX(Részletes!$A$1:$BW$104,MATCH($A5,Részletes!$A:$A,0)+1,MATCH(BM$1,Részletes!$A$1:$BW$1,0))&lt;&gt;"",INDEX(Részletes!$A$1:$BW$104,MATCH($A5,Részletes!$A:$A,0)+1,MATCH(BM$1,Részletes!$A$1:$BW$1,0)),INDEX(Részletes!$A$1:$BW$104,MATCH($A5,Részletes!$A:$A,0)+5,MATCH(BM$1,Részletes!$A$1:$BW$1,0)))</f>
        <v>22003634.326168008</v>
      </c>
      <c r="BN5" s="13">
        <f>IF(INDEX(Részletes!$A$1:$BW$104,MATCH($A5,Részletes!$A:$A,0)+1,MATCH(BN$1,Részletes!$A$1:$BW$1,0))&lt;&gt;"",INDEX(Részletes!$A$1:$BW$104,MATCH($A5,Részletes!$A:$A,0)+1,MATCH(BN$1,Részletes!$A$1:$BW$1,0)),INDEX(Részletes!$A$1:$BW$104,MATCH($A5,Részletes!$A:$A,0)+5,MATCH(BN$1,Részletes!$A$1:$BW$1,0)))</f>
        <v>22150325.221675795</v>
      </c>
      <c r="BO5" s="13">
        <f>IF(INDEX(Részletes!$A$1:$BW$104,MATCH($A5,Részletes!$A:$A,0)+1,MATCH(BO$1,Részletes!$A$1:$BW$1,0))&lt;&gt;"",INDEX(Részletes!$A$1:$BW$104,MATCH($A5,Részletes!$A:$A,0)+1,MATCH(BO$1,Részletes!$A$1:$BW$1,0)),INDEX(Részletes!$A$1:$BW$104,MATCH($A5,Részletes!$A:$A,0)+5,MATCH(BO$1,Részletes!$A$1:$BW$1,0)))</f>
        <v>22297994.056486968</v>
      </c>
      <c r="BP5" s="13">
        <f>IF(INDEX(Részletes!$A$1:$BW$104,MATCH($A5,Részletes!$A:$A,0)+1,MATCH(BP$1,Részletes!$A$1:$BW$1,0))&lt;&gt;"",INDEX(Részletes!$A$1:$BW$104,MATCH($A5,Részletes!$A:$A,0)+1,MATCH(BP$1,Részletes!$A$1:$BW$1,0)),INDEX(Részletes!$A$1:$BW$104,MATCH($A5,Részletes!$A:$A,0)+5,MATCH(BP$1,Részletes!$A$1:$BW$1,0)))</f>
        <v>22446647.350196879</v>
      </c>
      <c r="BQ5" s="13">
        <f>IF(INDEX(Részletes!$A$1:$BW$104,MATCH($A5,Részletes!$A:$A,0)+1,MATCH(BQ$1,Részletes!$A$1:$BW$1,0))&lt;&gt;"",INDEX(Részletes!$A$1:$BW$104,MATCH($A5,Részletes!$A:$A,0)+1,MATCH(BQ$1,Részletes!$A$1:$BW$1,0)),INDEX(Részletes!$A$1:$BW$104,MATCH($A5,Részletes!$A:$A,0)+5,MATCH(BQ$1,Részletes!$A$1:$BW$1,0)))</f>
        <v>22596291.665864859</v>
      </c>
      <c r="BR5" s="13">
        <f>IF(INDEX(Részletes!$A$1:$BW$104,MATCH($A5,Részletes!$A:$A,0)+1,MATCH(BR$1,Részletes!$A$1:$BW$1,0))&lt;&gt;"",INDEX(Részletes!$A$1:$BW$104,MATCH($A5,Részletes!$A:$A,0)+1,MATCH(BR$1,Részletes!$A$1:$BW$1,0)),INDEX(Részletes!$A$1:$BW$104,MATCH($A5,Részletes!$A:$A,0)+5,MATCH(BR$1,Részletes!$A$1:$BW$1,0)))</f>
        <v>22746933.610303957</v>
      </c>
      <c r="BS5" s="13">
        <f>IF(INDEX(Részletes!$A$1:$BW$104,MATCH($A5,Részletes!$A:$A,0)+1,MATCH(BS$1,Részletes!$A$1:$BW$1,0))&lt;&gt;"",INDEX(Részletes!$A$1:$BW$104,MATCH($A5,Részletes!$A:$A,0)+1,MATCH(BS$1,Részletes!$A$1:$BW$1,0)),INDEX(Részletes!$A$1:$BW$104,MATCH($A5,Részletes!$A:$A,0)+5,MATCH(BS$1,Részletes!$A$1:$BW$1,0)))</f>
        <v>22898579.834372651</v>
      </c>
      <c r="BT5" s="13">
        <f>IF(INDEX(Részletes!$A$1:$BW$104,MATCH($A5,Részletes!$A:$A,0)+1,MATCH(BT$1,Részletes!$A$1:$BW$1,0))&lt;&gt;"",INDEX(Részletes!$A$1:$BW$104,MATCH($A5,Részletes!$A:$A,0)+1,MATCH(BT$1,Részletes!$A$1:$BW$1,0)),INDEX(Részletes!$A$1:$BW$104,MATCH($A5,Részletes!$A:$A,0)+5,MATCH(BT$1,Részletes!$A$1:$BW$1,0)))</f>
        <v>23051237.03326847</v>
      </c>
    </row>
    <row r="6" spans="1:72" x14ac:dyDescent="0.25">
      <c r="A6" s="14" t="s">
        <v>4</v>
      </c>
      <c r="B6" s="15">
        <f>IF(INDEX(Részletes!$A$1:$X$104,MATCH($A6,Részletes!$A:$A,0)+1,MATCH(B$1,Részletes!$A$1:$X$1,0))&lt;&gt;"",INDEX(Részletes!$A$1:$X$104,MATCH($A6,Részletes!$A:$A,0)+1,MATCH(B$1,Részletes!$A$1:$X$1,0)),"blabla")</f>
        <v>133362</v>
      </c>
      <c r="C6" s="15">
        <f>IF(INDEX(Részletes!$A$1:$X$104,MATCH($A6,Részletes!$A:$A,0)+1,MATCH(C$1,Részletes!$A$1:$X$1,0))&lt;&gt;"",INDEX(Részletes!$A$1:$X$104,MATCH($A6,Részletes!$A:$A,0)+1,MATCH(C$1,Részletes!$A$1:$X$1,0)),B6)</f>
        <v>91884</v>
      </c>
      <c r="D6" s="15">
        <f>IF(INDEX(Részletes!$A$1:$X$104,MATCH($A6,Részletes!$A:$A,0)+1,MATCH(D$1,Részletes!$A$1:$X$1,0))&lt;&gt;"",INDEX(Részletes!$A$1:$X$104,MATCH($A6,Részletes!$A:$A,0)+1,MATCH(D$1,Részletes!$A$1:$X$1,0)),C6)</f>
        <v>135329</v>
      </c>
      <c r="E6" s="15">
        <f>IF(INDEX(Részletes!$A$1:$X$104,MATCH($A6,Részletes!$A:$A,0)+1,MATCH(E$1,Részletes!$A$1:$X$1,0))&lt;&gt;"",INDEX(Részletes!$A$1:$X$104,MATCH($A6,Részletes!$A:$A,0)+1,MATCH(E$1,Részletes!$A$1:$X$1,0)),D6)</f>
        <v>125069</v>
      </c>
      <c r="F6" s="15">
        <f>IF(INDEX(Részletes!$A$1:$X$104,MATCH($A6,Részletes!$A:$A,0)+1,MATCH(F$1,Részletes!$A$1:$X$1,0))&lt;&gt;"",INDEX(Részletes!$A$1:$X$104,MATCH($A6,Részletes!$A:$A,0)+1,MATCH(F$1,Részletes!$A$1:$X$1,0)),E6)</f>
        <v>85067</v>
      </c>
      <c r="G6" s="15">
        <f>IF(INDEX(Részletes!$A$1:$X$104,MATCH($A6,Részletes!$A:$A,0)+1,MATCH(G$1,Részletes!$A$1:$X$1,0))&lt;&gt;"",INDEX(Részletes!$A$1:$X$104,MATCH($A6,Részletes!$A:$A,0)+1,MATCH(G$1,Részletes!$A$1:$X$1,0)),F6)</f>
        <v>77797</v>
      </c>
      <c r="H6" s="15">
        <f>IF(INDEX(Részletes!$A$1:$X$104,MATCH($A6,Részletes!$A:$A,0)+1,MATCH(H$1,Részletes!$A$1:$X$1,0))&lt;&gt;"",INDEX(Részletes!$A$1:$X$104,MATCH($A6,Részletes!$A:$A,0)+1,MATCH(H$1,Részletes!$A$1:$X$1,0)),G6)</f>
        <v>43868</v>
      </c>
      <c r="I6" s="15">
        <f>IF(INDEX(Részletes!$A$1:$X$104,MATCH($A6,Részletes!$A:$A,0)+1,MATCH(I$1,Részletes!$A$1:$X$1,0))&lt;&gt;"",INDEX(Részletes!$A$1:$X$104,MATCH($A6,Részletes!$A:$A,0)+1,MATCH(I$1,Részletes!$A$1:$X$1,0)),H6)</f>
        <v>49758</v>
      </c>
      <c r="J6" s="15">
        <f>IF(INDEX(Részletes!$A$1:$X$104,MATCH($A6,Részletes!$A:$A,0)+1,MATCH(J$1,Részletes!$A$1:$X$1,0))&lt;&gt;"",INDEX(Részletes!$A$1:$X$104,MATCH($A6,Részletes!$A:$A,0)+1,MATCH(J$1,Részletes!$A$1:$X$1,0)),I6)</f>
        <v>54708</v>
      </c>
      <c r="K6" s="15">
        <f>IF(INDEX(Részletes!$A$1:$X$104,MATCH($A6,Részletes!$A:$A,0)+1,MATCH(K$1,Részletes!$A$1:$X$1,0))&lt;&gt;"",INDEX(Részletes!$A$1:$X$104,MATCH($A6,Részletes!$A:$A,0)+1,MATCH(K$1,Részletes!$A$1:$X$1,0)),J6)</f>
        <v>58438</v>
      </c>
      <c r="L6" s="15">
        <f>IF(INDEX(Részletes!$A$1:$X$104,MATCH($A6,Részletes!$A:$A,0)+1,MATCH(L$1,Részletes!$A$1:$X$1,0))&lt;&gt;"",INDEX(Részletes!$A$1:$X$104,MATCH($A6,Részletes!$A:$A,0)+1,MATCH(L$1,Részletes!$A$1:$X$1,0)),K6)</f>
        <v>71908</v>
      </c>
      <c r="M6" s="15">
        <f>IF(INDEX(Részletes!$A$1:$X$104,MATCH($A6,Részletes!$A:$A,0)+1,MATCH(M$1,Részletes!$A$1:$X$1,0))&lt;&gt;"",INDEX(Részletes!$A$1:$X$104,MATCH($A6,Részletes!$A:$A,0)+1,MATCH(M$1,Részletes!$A$1:$X$1,0)),L6)</f>
        <v>81249</v>
      </c>
      <c r="N6" s="15">
        <f>IF(INDEX(Részletes!$A$1:$X$104,MATCH($A6,Részletes!$A:$A,0)+1,MATCH(N$1,Részletes!$A$1:$X$1,0))&lt;&gt;"",INDEX(Részletes!$A$1:$X$104,MATCH($A6,Részletes!$A:$A,0)+1,MATCH(N$1,Részletes!$A$1:$X$1,0)),M6)</f>
        <v>81249</v>
      </c>
      <c r="O6" s="15">
        <f>IF(INDEX(Részletes!$A$1:$X$104,MATCH($A6,Részletes!$A:$A,0)+1,MATCH(O$1,Részletes!$A$1:$X$1,0))&lt;&gt;"",INDEX(Részletes!$A$1:$X$104,MATCH($A6,Részletes!$A:$A,0)+1,MATCH(O$1,Részletes!$A$1:$X$1,0)),N6)</f>
        <v>89154</v>
      </c>
      <c r="P6" s="15">
        <f>IF(INDEX(Részletes!$A$1:$X$104,MATCH($A6,Részletes!$A:$A,0)+1,MATCH(P$1,Részletes!$A$1:$X$1,0))&lt;&gt;"",INDEX(Részletes!$A$1:$X$104,MATCH($A6,Részletes!$A:$A,0)+1,MATCH(P$1,Részletes!$A$1:$X$1,0)),O6)</f>
        <v>90639</v>
      </c>
      <c r="Q6" s="15">
        <f>IF(INDEX(Részletes!$A$1:$X$104,MATCH($A6,Részletes!$A:$A,0)+1,MATCH(Q$1,Részletes!$A$1:$X$1,0))&lt;&gt;"",INDEX(Részletes!$A$1:$X$104,MATCH($A6,Részletes!$A:$A,0)+1,MATCH(Q$1,Részletes!$A$1:$X$1,0)),P6)</f>
        <v>118508</v>
      </c>
      <c r="R6" s="15">
        <f>IF(INDEX(Részletes!$A$1:$X$104,MATCH($A6,Részletes!$A:$A,0)+1,MATCH(R$1,Részletes!$A$1:$X$1,0))&lt;&gt;"",INDEX(Részletes!$A$1:$X$104,MATCH($A6,Részletes!$A:$A,0)+1,MATCH(R$1,Részletes!$A$1:$X$1,0)),Q6)</f>
        <v>122693</v>
      </c>
      <c r="S6" s="15">
        <f>IF(INDEX(Részletes!$A$1:$X$104,MATCH($A6,Részletes!$A:$A,0)+1,MATCH(S$1,Részletes!$A$1:$X$1,0))&lt;&gt;"",INDEX(Részletes!$A$1:$X$104,MATCH($A6,Részletes!$A:$A,0)+1,MATCH(S$1,Részletes!$A$1:$X$1,0)),R6)</f>
        <v>115228</v>
      </c>
      <c r="T6" s="15">
        <f>IF(INDEX(Részletes!$A$1:$X$104,MATCH($A6,Részletes!$A:$A,0)+1,MATCH(T$1,Részletes!$A$1:$X$1,0))&lt;&gt;"",INDEX(Részletes!$A$1:$X$104,MATCH($A6,Részletes!$A:$A,0)+1,MATCH(T$1,Részletes!$A$1:$X$1,0)),S6)</f>
        <v>148777</v>
      </c>
      <c r="U6" s="15">
        <f>IF(INDEX(Részletes!$A$1:$X$104,MATCH($A6,Részletes!$A:$A,0)+1,MATCH(U$1,Részletes!$A$1:$X$1,0))&lt;&gt;"",INDEX(Részletes!$A$1:$X$104,MATCH($A6,Részletes!$A:$A,0)+1,MATCH(U$1,Részletes!$A$1:$X$1,0)),T6)</f>
        <v>168052</v>
      </c>
      <c r="V6" s="15">
        <f>IF(INDEX(Részletes!$A$1:$X$104,MATCH($A6,Részletes!$A:$A,0)+1,MATCH(V$1,Részletes!$A$1:$X$1,0))&lt;&gt;"",INDEX(Részletes!$A$1:$X$104,MATCH($A6,Részletes!$A:$A,0)+1,MATCH(V$1,Részletes!$A$1:$X$1,0)),U6)</f>
        <v>50327</v>
      </c>
      <c r="W6" s="15">
        <f>IF(INDEX(Részletes!$A$1:$X$104,MATCH($A6,Részletes!$A:$A,0)+1,MATCH(W$1,Részletes!$A$1:$X$1,0))&lt;&gt;"",INDEX(Részletes!$A$1:$X$104,MATCH($A6,Részletes!$A:$A,0)+1,MATCH(W$1,Részletes!$A$1:$X$1,0)),V6)</f>
        <v>69602</v>
      </c>
      <c r="X6" s="15">
        <f>IF(INDEX(Részletes!$A$1:$BW$104,MATCH($A6,Részletes!$A:$A,0)+1,MATCH(X$1,Részletes!$A$1:$BW$1,0))&lt;&gt;"",INDEX(Részletes!$A$1:$BW$104,MATCH($A6,Részletes!$A:$A,0)+1,MATCH(X$1,Részletes!$A$1:$BW$1,0)),W6)</f>
        <v>88877</v>
      </c>
      <c r="Y6" s="15">
        <f>IF(INDEX(Részletes!$A$1:$BW$104,MATCH($A6,Részletes!$A:$A,0)+1,MATCH(Y$1,Részletes!$A$1:$BW$1,0))&lt;&gt;"",INDEX(Részletes!$A$1:$BW$104,MATCH($A6,Részletes!$A:$A,0)+1,MATCH(Y$1,Részletes!$A$1:$BW$1,0)),X6)</f>
        <v>101012</v>
      </c>
      <c r="Z6" s="15">
        <f>IF(INDEX(Részletes!$A$1:$BW$104,MATCH($A6,Részletes!$A:$A,0)+1,MATCH(Z$1,Részletes!$A$1:$BW$1,0))&lt;&gt;"",INDEX(Részletes!$A$1:$BW$104,MATCH($A6,Részletes!$A:$A,0)+1,MATCH(Z$1,Részletes!$A$1:$BW$1,0)),Y6)</f>
        <v>73242</v>
      </c>
      <c r="AA6" s="15">
        <f>IF(INDEX(Részletes!$A$1:$BW$104,MATCH($A6,Részletes!$A:$A,0)+1,MATCH(AA$1,Részletes!$A$1:$BW$1,0))&lt;&gt;"",INDEX(Részletes!$A$1:$BW$104,MATCH($A6,Részletes!$A:$A,0)+1,MATCH(AA$1,Részletes!$A$1:$BW$1,0)),Z6)</f>
        <v>82614</v>
      </c>
      <c r="AB6" s="15">
        <f>IF(INDEX(Részletes!$A$1:$BW$104,MATCH($A6,Részletes!$A:$A,0)+1,MATCH(AB$1,Részletes!$A$1:$BW$1,0))&lt;&gt;"",INDEX(Részletes!$A$1:$BW$104,MATCH($A6,Részletes!$A:$A,0)+1,MATCH(AB$1,Részletes!$A$1:$BW$1,0)),AA6)</f>
        <v>53720</v>
      </c>
      <c r="AC6" s="15">
        <f>IF(INDEX(Részletes!$A$1:$BW$104,MATCH($A6,Részletes!$A:$A,0)+1,MATCH(AC$1,Részletes!$A$1:$BW$1,0))&lt;&gt;"",INDEX(Részletes!$A$1:$BW$104,MATCH($A6,Részletes!$A:$A,0)+1,MATCH(AC$1,Részletes!$A$1:$BW$1,0)),AB6)</f>
        <v>66106</v>
      </c>
      <c r="AD6" s="15">
        <f>IF(INDEX(Részletes!$A$1:$BW$104,MATCH($A6,Részletes!$A:$A,0)+1,MATCH(AD$1,Részletes!$A$1:$BW$1,0))&lt;&gt;"",INDEX(Részletes!$A$1:$BW$104,MATCH($A6,Részletes!$A:$A,0)+1,MATCH(AD$1,Részletes!$A$1:$BW$1,0)),AC6)</f>
        <v>69662</v>
      </c>
      <c r="AE6" s="15">
        <f>IF(INDEX(Részletes!$A$1:$BW$104,MATCH($A6,Részletes!$A:$A,0)+1,MATCH(AE$1,Részletes!$A$1:$BW$1,0))&lt;&gt;"",INDEX(Részletes!$A$1:$BW$104,MATCH($A6,Részletes!$A:$A,0)+1,MATCH(AE$1,Részletes!$A$1:$BW$1,0)),AD6)</f>
        <v>76118</v>
      </c>
      <c r="AF6" s="15">
        <f>IF(INDEX(Részletes!$A$1:$BW$104,MATCH($A6,Részletes!$A:$A,0)+1,MATCH(AF$1,Részletes!$A$1:$BW$1,0))&lt;&gt;"",INDEX(Részletes!$A$1:$BW$104,MATCH($A6,Részletes!$A:$A,0)+1,MATCH(AF$1,Részletes!$A$1:$BW$1,0)),AE6)</f>
        <v>52419</v>
      </c>
      <c r="AG6" s="15">
        <f>IF(INDEX(Részletes!$A$1:$BW$104,MATCH($A6,Részletes!$A:$A,0)+1,MATCH(AG$1,Részletes!$A$1:$BW$1,0))&lt;&gt;"",INDEX(Részletes!$A$1:$BW$104,MATCH($A6,Részletes!$A:$A,0)+1,MATCH(AG$1,Részletes!$A$1:$BW$1,0)),AF6)</f>
        <v>67385</v>
      </c>
      <c r="AH6" s="15">
        <f>IF(INDEX(Részletes!$A$1:$BW$104,MATCH($A6,Részletes!$A:$A,0)+1,MATCH(AH$1,Részletes!$A$1:$BW$1,0))&lt;&gt;"",INDEX(Részletes!$A$1:$BW$104,MATCH($A6,Részletes!$A:$A,0)+1,MATCH(AH$1,Részletes!$A$1:$BW$1,0)),AG6)</f>
        <v>80972</v>
      </c>
      <c r="AI6" s="15">
        <f>IF(INDEX(Részletes!$A$1:$BW$104,MATCH($A6,Részletes!$A:$A,0)+1,MATCH(AI$1,Részletes!$A$1:$BW$1,0))&lt;&gt;"",INDEX(Részletes!$A$1:$BW$104,MATCH($A6,Részletes!$A:$A,0)+1,MATCH(AI$1,Részletes!$A$1:$BW$1,0)),AH6)</f>
        <v>99225</v>
      </c>
      <c r="AJ6" s="15">
        <f>IF(INDEX(Részletes!$A$1:$BW$104,MATCH($A6,Részletes!$A:$A,0)+1,MATCH(AJ$1,Részletes!$A$1:$BW$1,0))&lt;&gt;"",INDEX(Részletes!$A$1:$BW$104,MATCH($A6,Részletes!$A:$A,0)+1,MATCH(AJ$1,Részletes!$A$1:$BW$1,0)),AI6)</f>
        <v>110613</v>
      </c>
      <c r="AK6" s="50">
        <f>IF(INDEX(Részletes!$A$1:$BW$104,MATCH($A6,Részletes!$A:$A,0)+1,MATCH(AK$1,Részletes!$A$1:$BW$1,0))&lt;&gt;"",INDEX(Részletes!$A$1:$BW$104,MATCH($A6,Részletes!$A:$A,0)+1,MATCH(AK$1,Részletes!$A$1:$BW$1,0)),AJ6)</f>
        <v>121440</v>
      </c>
      <c r="AL6" s="15">
        <f>IF(INDEX(Részletes!$A$1:$BW$104,MATCH($A6,Részletes!$A:$A,0)+1,MATCH(AL$1,Részletes!$A$1:$BW$1,0))&lt;&gt;"",INDEX(Részletes!$A$1:$BW$104,MATCH($A6,Részletes!$A:$A,0)+1,MATCH(AL$1,Részletes!$A$1:$BW$1,0)),AK6)</f>
        <v>114770</v>
      </c>
      <c r="AM6" s="15">
        <f>IF(INDEX(Részletes!$A$1:$BW$104,MATCH($A6,Részletes!$A:$A,0)+1,MATCH(AM$1,Részletes!$A$1:$BW$1,0))&lt;&gt;"",INDEX(Részletes!$A$1:$BW$104,MATCH($A6,Részletes!$A:$A,0)+1,MATCH(AM$1,Részletes!$A$1:$BW$1,0)),AL6)</f>
        <v>115460</v>
      </c>
      <c r="AN6" s="15">
        <f>IF(INDEX(Részletes!$A$1:$BW$104,MATCH($A6,Részletes!$A:$A,0)+1,MATCH(AN$1,Részletes!$A$1:$BW$1,0))&lt;&gt;"",INDEX(Részletes!$A$1:$BW$104,MATCH($A6,Részletes!$A:$A,0)+1,MATCH(AN$1,Részletes!$A$1:$BW$1,0)),AM6)</f>
        <v>101270</v>
      </c>
      <c r="AO6" s="15">
        <f>IF(INDEX(Részletes!$A$1:$BW$104,MATCH($A6,Részletes!$A:$A,0)+1,MATCH(AO$1,Részletes!$A$1:$BW$1,0))&lt;&gt;"",INDEX(Részletes!$A$1:$BW$104,MATCH($A6,Részletes!$A:$A,0)+1,MATCH(AO$1,Részletes!$A$1:$BW$1,0)),AN6)</f>
        <v>98720</v>
      </c>
      <c r="AP6" s="15">
        <f>IF(INDEX(Részletes!$A$1:$BW$104,MATCH($A6,Részletes!$A:$A,0)+1,MATCH(AP$1,Részletes!$A$1:$BW$1,0))&lt;&gt;"",INDEX(Részletes!$A$1:$BW$104,MATCH($A6,Részletes!$A:$A,0)+1,MATCH(AP$1,Részletes!$A$1:$BW$1,0)),AO6)</f>
        <v>87210</v>
      </c>
      <c r="AQ6" s="15">
        <f>IF(INDEX(Részletes!$A$1:$BW$104,MATCH($A6,Részletes!$A:$A,0)+1,MATCH(AQ$1,Részletes!$A$1:$BW$1,0))&lt;&gt;"",INDEX(Részletes!$A$1:$BW$104,MATCH($A6,Részletes!$A:$A,0)+1,MATCH(AQ$1,Részletes!$A$1:$BW$1,0)),AP6)</f>
        <v>76020</v>
      </c>
      <c r="AR6" s="15">
        <f>IF(INDEX(Részletes!$A$1:$BW$104,MATCH($A6,Részletes!$A:$A,0)+1,MATCH(AR$1,Részletes!$A$1:$BW$1,0))&lt;&gt;"",INDEX(Részletes!$A$1:$BW$104,MATCH($A6,Részletes!$A:$A,0)+1,MATCH(AR$1,Részletes!$A$1:$BW$1,0)),AQ6)</f>
        <v>80575</v>
      </c>
      <c r="AS6" s="15">
        <f>IF(INDEX(Részletes!$A$1:$BW$104,MATCH($A6,Részletes!$A:$A,0)+1,MATCH(AS$1,Részletes!$A$1:$BW$1,0))&lt;&gt;"",INDEX(Részletes!$A$1:$BW$104,MATCH($A6,Részletes!$A:$A,0)+1,MATCH(AS$1,Részletes!$A$1:$BW$1,0)),AR6)</f>
        <v>96535</v>
      </c>
      <c r="AT6" s="15">
        <f>IF(INDEX(Részletes!$A$1:$BW$104,MATCH($A6,Részletes!$A:$A,0)+1,MATCH(AT$1,Részletes!$A$1:$BW$1,0))&lt;&gt;"",INDEX(Részletes!$A$1:$BW$104,MATCH($A6,Részletes!$A:$A,0)+1,MATCH(AT$1,Részletes!$A$1:$BW$1,0)),AS6)</f>
        <v>61946</v>
      </c>
      <c r="AU6" s="15">
        <f>IF(INDEX(Részletes!$A$1:$BW$104,MATCH($A6,Részletes!$A:$A,0)+1,MATCH(AU$1,Részletes!$A$1:$BW$1,0))&lt;&gt;"",INDEX(Részletes!$A$1:$BW$104,MATCH($A6,Részletes!$A:$A,0)+1,MATCH(AU$1,Részletes!$A$1:$BW$1,0)),AT6)</f>
        <v>47531</v>
      </c>
      <c r="AV6" s="15">
        <f>IF(INDEX(Részletes!$A$1:$BW$104,MATCH($A6,Részletes!$A:$A,0)+1,MATCH(AV$1,Részletes!$A$1:$BW$1,0))&lt;&gt;"",INDEX(Részletes!$A$1:$BW$104,MATCH($A6,Részletes!$A:$A,0)+1,MATCH(AV$1,Részletes!$A$1:$BW$1,0)),AU6)</f>
        <v>34136</v>
      </c>
      <c r="AW6" s="15">
        <f>IF(INDEX(Részletes!$A$1:$BW$104,MATCH($A6,Részletes!$A:$A,0)+1,MATCH(AW$1,Részletes!$A$1:$BW$1,0))&lt;&gt;"",INDEX(Részletes!$A$1:$BW$104,MATCH($A6,Részletes!$A:$A,0)+1,MATCH(AW$1,Részletes!$A$1:$BW$1,0)),AV6)</f>
        <v>39956</v>
      </c>
      <c r="AX6" s="15">
        <f>IF(INDEX(Részletes!$A$1:$BW$104,MATCH($A6,Részletes!$A:$A,0)+1,MATCH(AX$1,Részletes!$A$1:$BW$1,0))&lt;&gt;"",INDEX(Részletes!$A$1:$BW$104,MATCH($A6,Részletes!$A:$A,0)+1,MATCH(AX$1,Részletes!$A$1:$BW$1,0)),AW6)</f>
        <v>39956</v>
      </c>
      <c r="AY6" s="15">
        <f>IF(INDEX(Részletes!$A$1:$BW$104,MATCH($A6,Részletes!$A:$A,0)+1,MATCH(AY$1,Részletes!$A$1:$BW$1,0))&lt;&gt;"",INDEX(Részletes!$A$1:$BW$104,MATCH($A6,Részletes!$A:$A,0)+1,MATCH(AY$1,Részletes!$A$1:$BW$1,0)),AX6)</f>
        <v>39956</v>
      </c>
      <c r="AZ6" s="15">
        <f>IF(INDEX(Részletes!$A$1:$BW$104,MATCH($A6,Részletes!$A:$A,0)+1,MATCH(AZ$1,Részletes!$A$1:$BW$1,0))&lt;&gt;"",INDEX(Részletes!$A$1:$BW$104,MATCH($A6,Részletes!$A:$A,0)+1,MATCH(AZ$1,Részletes!$A$1:$BW$1,0)),AY6)</f>
        <v>39956</v>
      </c>
      <c r="BA6" s="15">
        <f>IF(INDEX(Részletes!$A$1:$BW$104,MATCH($A6,Részletes!$A:$A,0)+1,MATCH(BA$1,Részletes!$A$1:$BW$1,0))&lt;&gt;"",INDEX(Részletes!$A$1:$BW$104,MATCH($A6,Részletes!$A:$A,0)+1,MATCH(BA$1,Részletes!$A$1:$BW$1,0)),AZ6)</f>
        <v>39956</v>
      </c>
      <c r="BB6" s="15">
        <f>IF(INDEX(Részletes!$A$1:$BW$104,MATCH($A6,Részletes!$A:$A,0)+1,MATCH(BB$1,Részletes!$A$1:$BW$1,0))&lt;&gt;"",INDEX(Részletes!$A$1:$BW$104,MATCH($A6,Részletes!$A:$A,0)+1,MATCH(BB$1,Részletes!$A$1:$BW$1,0)),BA6)</f>
        <v>39956</v>
      </c>
      <c r="BC6" s="15">
        <f>IF(INDEX(Részletes!$A$1:$BW$104,MATCH($A6,Részletes!$A:$A,0)+1,MATCH(BC$1,Részletes!$A$1:$BW$1,0))&lt;&gt;"",INDEX(Részletes!$A$1:$BW$104,MATCH($A6,Részletes!$A:$A,0)+1,MATCH(BC$1,Részletes!$A$1:$BW$1,0)),BB6)</f>
        <v>39956</v>
      </c>
      <c r="BD6" s="15">
        <f>IF(INDEX(Részletes!$A$1:$BW$104,MATCH($A6,Részletes!$A:$A,0)+1,MATCH(BD$1,Részletes!$A$1:$BW$1,0))&lt;&gt;"",INDEX(Részletes!$A$1:$BW$104,MATCH($A6,Részletes!$A:$A,0)+1,MATCH(BD$1,Részletes!$A$1:$BW$1,0)),BC6)</f>
        <v>39956</v>
      </c>
      <c r="BE6" s="15">
        <f>IF(INDEX(Részletes!$A$1:$BW$104,MATCH($A6,Részletes!$A:$A,0)+1,MATCH(BE$1,Részletes!$A$1:$BW$1,0))&lt;&gt;"",INDEX(Részletes!$A$1:$BW$104,MATCH($A6,Részletes!$A:$A,0)+1,MATCH(BE$1,Részletes!$A$1:$BW$1,0)),BD6)</f>
        <v>39956</v>
      </c>
      <c r="BF6" s="15">
        <f>IF(INDEX(Részletes!$A$1:$BW$104,MATCH($A6,Részletes!$A:$A,0)+1,MATCH(BF$1,Részletes!$A$1:$BW$1,0))&lt;&gt;"",INDEX(Részletes!$A$1:$BW$104,MATCH($A6,Részletes!$A:$A,0)+1,MATCH(BF$1,Részletes!$A$1:$BW$1,0)),BE6)</f>
        <v>39956</v>
      </c>
      <c r="BG6" s="15">
        <f>IF(INDEX(Részletes!$A$1:$BW$104,MATCH($A6,Részletes!$A:$A,0)+1,MATCH(BG$1,Részletes!$A$1:$BW$1,0))&lt;&gt;"",INDEX(Részletes!$A$1:$BW$104,MATCH($A6,Részletes!$A:$A,0)+1,MATCH(BG$1,Részletes!$A$1:$BW$1,0)),BF6)</f>
        <v>39956</v>
      </c>
      <c r="BH6" s="15">
        <f>IF(INDEX(Részletes!$A$1:$BW$104,MATCH($A6,Részletes!$A:$A,0)+1,MATCH(BH$1,Részletes!$A$1:$BW$1,0))&lt;&gt;"",INDEX(Részletes!$A$1:$BW$104,MATCH($A6,Részletes!$A:$A,0)+1,MATCH(BH$1,Részletes!$A$1:$BW$1,0)),BG6)</f>
        <v>39956</v>
      </c>
      <c r="BI6" s="15">
        <f>IF(INDEX(Részletes!$A$1:$BW$104,MATCH($A6,Részletes!$A:$A,0)+1,MATCH(BI$1,Részletes!$A$1:$BW$1,0))&lt;&gt;"",INDEX(Részletes!$A$1:$BW$104,MATCH($A6,Részletes!$A:$A,0)+1,MATCH(BI$1,Részletes!$A$1:$BW$1,0)),BH6)</f>
        <v>39956</v>
      </c>
      <c r="BJ6" s="15">
        <f>IF(INDEX(Részletes!$A$1:$BW$104,MATCH($A6,Részletes!$A:$A,0)+1,MATCH(BJ$1,Részletes!$A$1:$BW$1,0))&lt;&gt;"",INDEX(Részletes!$A$1:$BW$104,MATCH($A6,Részletes!$A:$A,0)+1,MATCH(BJ$1,Részletes!$A$1:$BW$1,0)),BI6)</f>
        <v>39956</v>
      </c>
      <c r="BK6" s="15">
        <f>IF(INDEX(Részletes!$A$1:$BW$104,MATCH($A6,Részletes!$A:$A,0)+1,MATCH(BK$1,Részletes!$A$1:$BW$1,0))&lt;&gt;"",INDEX(Részletes!$A$1:$BW$104,MATCH($A6,Részletes!$A:$A,0)+1,MATCH(BK$1,Részletes!$A$1:$BW$1,0)),BJ6)</f>
        <v>39956</v>
      </c>
      <c r="BL6" s="15">
        <f>IF(INDEX(Részletes!$A$1:$BW$104,MATCH($A6,Részletes!$A:$A,0)+1,MATCH(BL$1,Részletes!$A$1:$BW$1,0))&lt;&gt;"",INDEX(Részletes!$A$1:$BW$104,MATCH($A6,Részletes!$A:$A,0)+1,MATCH(BL$1,Részletes!$A$1:$BW$1,0)),BK6)</f>
        <v>39956</v>
      </c>
      <c r="BM6" s="15">
        <f>IF(INDEX(Részletes!$A$1:$BW$104,MATCH($A6,Részletes!$A:$A,0)+1,MATCH(BM$1,Részletes!$A$1:$BW$1,0))&lt;&gt;"",INDEX(Részletes!$A$1:$BW$104,MATCH($A6,Részletes!$A:$A,0)+1,MATCH(BM$1,Részletes!$A$1:$BW$1,0)),BL6)</f>
        <v>39956</v>
      </c>
      <c r="BN6" s="15">
        <f>IF(INDEX(Részletes!$A$1:$BW$104,MATCH($A6,Részletes!$A:$A,0)+1,MATCH(BN$1,Részletes!$A$1:$BW$1,0))&lt;&gt;"",INDEX(Részletes!$A$1:$BW$104,MATCH($A6,Részletes!$A:$A,0)+1,MATCH(BN$1,Részletes!$A$1:$BW$1,0)),BM6)</f>
        <v>39956</v>
      </c>
      <c r="BO6" s="15">
        <f>IF(INDEX(Részletes!$A$1:$BW$104,MATCH($A6,Részletes!$A:$A,0)+1,MATCH(BO$1,Részletes!$A$1:$BW$1,0))&lt;&gt;"",INDEX(Részletes!$A$1:$BW$104,MATCH($A6,Részletes!$A:$A,0)+1,MATCH(BO$1,Részletes!$A$1:$BW$1,0)),BN6)</f>
        <v>39956</v>
      </c>
      <c r="BP6" s="15">
        <f>IF(INDEX(Részletes!$A$1:$BW$104,MATCH($A6,Részletes!$A:$A,0)+1,MATCH(BP$1,Részletes!$A$1:$BW$1,0))&lt;&gt;"",INDEX(Részletes!$A$1:$BW$104,MATCH($A6,Részletes!$A:$A,0)+1,MATCH(BP$1,Részletes!$A$1:$BW$1,0)),BO6)</f>
        <v>39956</v>
      </c>
      <c r="BQ6" s="15">
        <f>IF(INDEX(Részletes!$A$1:$BW$104,MATCH($A6,Részletes!$A:$A,0)+1,MATCH(BQ$1,Részletes!$A$1:$BW$1,0))&lt;&gt;"",INDEX(Részletes!$A$1:$BW$104,MATCH($A6,Részletes!$A:$A,0)+1,MATCH(BQ$1,Részletes!$A$1:$BW$1,0)),BP6)</f>
        <v>39956</v>
      </c>
      <c r="BR6" s="15">
        <f>IF(INDEX(Részletes!$A$1:$BW$104,MATCH($A6,Részletes!$A:$A,0)+1,MATCH(BR$1,Részletes!$A$1:$BW$1,0))&lt;&gt;"",INDEX(Részletes!$A$1:$BW$104,MATCH($A6,Részletes!$A:$A,0)+1,MATCH(BR$1,Részletes!$A$1:$BW$1,0)),BQ6)</f>
        <v>39956</v>
      </c>
      <c r="BS6" s="15">
        <f>IF(INDEX(Részletes!$A$1:$BW$104,MATCH($A6,Részletes!$A:$A,0)+1,MATCH(BS$1,Részletes!$A$1:$BW$1,0))&lt;&gt;"",INDEX(Részletes!$A$1:$BW$104,MATCH($A6,Részletes!$A:$A,0)+1,MATCH(BS$1,Részletes!$A$1:$BW$1,0)),BR6)</f>
        <v>39956</v>
      </c>
      <c r="BT6" s="15">
        <f>IF(INDEX(Részletes!$A$1:$BW$104,MATCH($A6,Részletes!$A:$A,0)+1,MATCH(BT$1,Részletes!$A$1:$BW$1,0))&lt;&gt;"",INDEX(Részletes!$A$1:$BW$104,MATCH($A6,Részletes!$A:$A,0)+1,MATCH(BT$1,Részletes!$A$1:$BW$1,0)),BS6)</f>
        <v>39956</v>
      </c>
    </row>
    <row r="7" spans="1:72" x14ac:dyDescent="0.25">
      <c r="A7" s="18" t="s">
        <v>5</v>
      </c>
      <c r="B7" s="19">
        <f>IF(INDEX(Részletes!$A$1:$X$104,MATCH($A7,Részletes!$A:$A,0)+1,MATCH(B$1,Részletes!$A$1:$X$1,0))&lt;&gt;"",INDEX(Részletes!$A$1:$X$104,MATCH($A7,Részletes!$A:$A,0)+1,MATCH(B$1,Részletes!$A$1:$X$1,0)),"blabla")</f>
        <v>97854</v>
      </c>
      <c r="C7" s="19">
        <f>IF(INDEX(Részletes!$A$1:$X$104,MATCH($A7,Részletes!$A:$A,0)+1,MATCH(C$1,Részletes!$A$1:$X$1,0))&lt;&gt;"",INDEX(Részletes!$A$1:$X$104,MATCH($A7,Részletes!$A:$A,0)+1,MATCH(C$1,Részletes!$A$1:$X$1,0)),B7)</f>
        <v>97810</v>
      </c>
      <c r="D7" s="19">
        <f>IF(INDEX(Részletes!$A$1:$X$104,MATCH($A7,Részletes!$A:$A,0)+1,MATCH(D$1,Részletes!$A$1:$X$1,0))&lt;&gt;"",INDEX(Részletes!$A$1:$X$104,MATCH($A7,Részletes!$A:$A,0)+1,MATCH(D$1,Részletes!$A$1:$X$1,0)),C7)</f>
        <v>97710</v>
      </c>
      <c r="E7" s="19">
        <f>IF(INDEX(Részletes!$A$1:$X$104,MATCH($A7,Részletes!$A:$A,0)+1,MATCH(E$1,Részletes!$A$1:$X$1,0))&lt;&gt;"",INDEX(Részletes!$A$1:$X$104,MATCH($A7,Részletes!$A:$A,0)+1,MATCH(E$1,Részletes!$A$1:$X$1,0)),D7)</f>
        <v>211610</v>
      </c>
      <c r="F7" s="19">
        <f>IF(INDEX(Részletes!$A$1:$X$104,MATCH($A7,Részletes!$A:$A,0)+1,MATCH(F$1,Részletes!$A$1:$X$1,0))&lt;&gt;"",INDEX(Részletes!$A$1:$X$104,MATCH($A7,Részletes!$A:$A,0)+1,MATCH(F$1,Részletes!$A$1:$X$1,0)),E7)</f>
        <v>211922</v>
      </c>
      <c r="G7" s="19">
        <f>IF(INDEX(Részletes!$A$1:$X$104,MATCH($A7,Részletes!$A:$A,0)+1,MATCH(G$1,Részletes!$A$1:$X$1,0))&lt;&gt;"",INDEX(Részletes!$A$1:$X$104,MATCH($A7,Részletes!$A:$A,0)+1,MATCH(G$1,Részletes!$A$1:$X$1,0)),F7)</f>
        <v>208623</v>
      </c>
      <c r="H7" s="19">
        <f>IF(INDEX(Részletes!$A$1:$X$104,MATCH($A7,Részletes!$A:$A,0)+1,MATCH(H$1,Részletes!$A$1:$X$1,0))&lt;&gt;"",INDEX(Részletes!$A$1:$X$104,MATCH($A7,Részletes!$A:$A,0)+1,MATCH(H$1,Részletes!$A$1:$X$1,0)),G7)</f>
        <v>208523</v>
      </c>
      <c r="I7" s="19">
        <f>IF(INDEX(Részletes!$A$1:$X$104,MATCH($A7,Részletes!$A:$A,0)+1,MATCH(I$1,Részletes!$A$1:$X$1,0))&lt;&gt;"",INDEX(Részletes!$A$1:$X$104,MATCH($A7,Részletes!$A:$A,0)+1,MATCH(I$1,Részletes!$A$1:$X$1,0)),H7)</f>
        <v>208767</v>
      </c>
      <c r="J7" s="19">
        <f>IF(INDEX(Részletes!$A$1:$X$104,MATCH($A7,Részletes!$A:$A,0)+1,MATCH(J$1,Részletes!$A$1:$X$1,0))&lt;&gt;"",INDEX(Részletes!$A$1:$X$104,MATCH($A7,Részletes!$A:$A,0)+1,MATCH(J$1,Részletes!$A$1:$X$1,0)),I7)</f>
        <v>208667</v>
      </c>
      <c r="K7" s="19">
        <f>IF(INDEX(Részletes!$A$1:$X$104,MATCH($A7,Részletes!$A:$A,0)+1,MATCH(K$1,Részletes!$A$1:$X$1,0))&lt;&gt;"",INDEX(Részletes!$A$1:$X$104,MATCH($A7,Részletes!$A:$A,0)+1,MATCH(K$1,Részletes!$A$1:$X$1,0)),J7)</f>
        <v>208567</v>
      </c>
      <c r="L7" s="19">
        <f>IF(INDEX(Részletes!$A$1:$X$104,MATCH($A7,Részletes!$A:$A,0)+1,MATCH(L$1,Részletes!$A$1:$X$1,0))&lt;&gt;"",INDEX(Részletes!$A$1:$X$104,MATCH($A7,Részletes!$A:$A,0)+1,MATCH(L$1,Részletes!$A$1:$X$1,0)),K7)</f>
        <v>543153</v>
      </c>
      <c r="M7" s="19">
        <f>IF(INDEX(Részletes!$A$1:$X$104,MATCH($A7,Részletes!$A:$A,0)+1,MATCH(M$1,Részletes!$A$1:$X$1,0))&lt;&gt;"",INDEX(Részletes!$A$1:$X$104,MATCH($A7,Részletes!$A:$A,0)+1,MATCH(M$1,Részletes!$A$1:$X$1,0)),L7)</f>
        <v>543053</v>
      </c>
      <c r="N7" s="19">
        <f>IF(INDEX(Részletes!$A$1:$X$104,MATCH($A7,Részletes!$A:$A,0)+1,MATCH(N$1,Részletes!$A$1:$X$1,0))&lt;&gt;"",INDEX(Részletes!$A$1:$X$104,MATCH($A7,Részletes!$A:$A,0)+1,MATCH(N$1,Részletes!$A$1:$X$1,0)),M7)</f>
        <v>542953</v>
      </c>
      <c r="O7" s="19">
        <f>IF(INDEX(Részletes!$A$1:$X$104,MATCH($A7,Részletes!$A:$A,0)+1,MATCH(O$1,Részletes!$A$1:$X$1,0))&lt;&gt;"",INDEX(Részletes!$A$1:$X$104,MATCH($A7,Részletes!$A:$A,0)+1,MATCH(O$1,Részletes!$A$1:$X$1,0)),N7)</f>
        <v>545332</v>
      </c>
      <c r="P7" s="19">
        <f>IF(INDEX(Részletes!$A$1:$X$104,MATCH($A7,Részletes!$A:$A,0)+1,MATCH(P$1,Részletes!$A$1:$X$1,0))&lt;&gt;"",INDEX(Részletes!$A$1:$X$104,MATCH($A7,Részletes!$A:$A,0)+1,MATCH(P$1,Részletes!$A$1:$X$1,0)),O7)</f>
        <v>545232</v>
      </c>
      <c r="Q7" s="19">
        <f>IF(INDEX(Részletes!$A$1:$X$104,MATCH($A7,Részletes!$A:$A,0)+1,MATCH(Q$1,Részletes!$A$1:$X$1,0))&lt;&gt;"",INDEX(Részletes!$A$1:$X$104,MATCH($A7,Részletes!$A:$A,0)+1,MATCH(Q$1,Részletes!$A$1:$X$1,0)),P7)</f>
        <v>545132</v>
      </c>
      <c r="R7" s="19">
        <f>IF(INDEX(Részletes!$A$1:$X$104,MATCH($A7,Részletes!$A:$A,0)+1,MATCH(R$1,Részletes!$A$1:$X$1,0))&lt;&gt;"",INDEX(Részletes!$A$1:$X$104,MATCH($A7,Részletes!$A:$A,0)+1,MATCH(R$1,Részletes!$A$1:$X$1,0)),Q7)</f>
        <v>661853</v>
      </c>
      <c r="S7" s="19">
        <f>IF(INDEX(Részletes!$A$1:$X$104,MATCH($A7,Részletes!$A:$A,0)+1,MATCH(S$1,Részletes!$A$1:$X$1,0))&lt;&gt;"",INDEX(Részletes!$A$1:$X$104,MATCH($A7,Részletes!$A:$A,0)+1,MATCH(S$1,Részletes!$A$1:$X$1,0)),R7)</f>
        <v>661753</v>
      </c>
      <c r="T7" s="19">
        <f>IF(INDEX(Részletes!$A$1:$X$104,MATCH($A7,Részletes!$A:$A,0)+1,MATCH(T$1,Részletes!$A$1:$X$1,0))&lt;&gt;"",INDEX(Részletes!$A$1:$X$104,MATCH($A7,Részletes!$A:$A,0)+1,MATCH(T$1,Részletes!$A$1:$X$1,0)),S7)</f>
        <v>661653</v>
      </c>
      <c r="U7" s="19">
        <f>IF(INDEX(Részletes!$A$1:$X$104,MATCH($A7,Részletes!$A:$A,0)+1,MATCH(U$1,Részletes!$A$1:$X$1,0))&lt;&gt;"",INDEX(Részletes!$A$1:$X$104,MATCH($A7,Részletes!$A:$A,0)+1,MATCH(U$1,Részletes!$A$1:$X$1,0)),T7)</f>
        <v>660316</v>
      </c>
      <c r="V7" s="19">
        <f>IF(INDEX(Részletes!$A$1:$X$104,MATCH($A7,Részletes!$A:$A,0)+1,MATCH(V$1,Részletes!$A$1:$X$1,0))&lt;&gt;"",INDEX(Részletes!$A$1:$X$104,MATCH($A7,Részletes!$A:$A,0)+1,MATCH(V$1,Részletes!$A$1:$X$1,0)),U7)</f>
        <v>660216</v>
      </c>
      <c r="W7" s="19">
        <f>IF(INDEX(Részletes!$A$1:$X$104,MATCH($A7,Részletes!$A:$A,0)+1,MATCH(W$1,Részletes!$A$1:$X$1,0))&lt;&gt;"",INDEX(Részletes!$A$1:$X$104,MATCH($A7,Részletes!$A:$A,0)+1,MATCH(W$1,Részletes!$A$1:$X$1,0)),V7)</f>
        <v>660116</v>
      </c>
      <c r="X7" s="19">
        <f>IF(INDEX(Részletes!$A$1:$BW$104,MATCH($A7,Részletes!$A:$A,0)+1,MATCH(X$1,Részletes!$A$1:$BW$1,0))&lt;&gt;"",INDEX(Részletes!$A$1:$BW$104,MATCH($A7,Részletes!$A:$A,0)+1,MATCH(X$1,Részletes!$A$1:$BW$1,0)),W7)</f>
        <v>1189046</v>
      </c>
      <c r="Y7" s="19">
        <f>IF(INDEX(Részletes!$A$1:$BW$104,MATCH($A7,Részletes!$A:$A,0)+1,MATCH(Y$1,Részletes!$A$1:$BW$1,0))&lt;&gt;"",INDEX(Részletes!$A$1:$BW$104,MATCH($A7,Részletes!$A:$A,0)+1,MATCH(Y$1,Részletes!$A$1:$BW$1,0)),X7)</f>
        <v>1189046</v>
      </c>
      <c r="Z7" s="19">
        <f>IF(INDEX(Részletes!$A$1:$BW$104,MATCH($A7,Részletes!$A:$A,0)+1,MATCH(Z$1,Részletes!$A$1:$BW$1,0))&lt;&gt;"",INDEX(Részletes!$A$1:$BW$104,MATCH($A7,Részletes!$A:$A,0)+1,MATCH(Z$1,Részletes!$A$1:$BW$1,0)),Y7)</f>
        <v>1190143</v>
      </c>
      <c r="AA7" s="19">
        <f>IF(INDEX(Részletes!$A$1:$BW$104,MATCH($A7,Részletes!$A:$A,0)+1,MATCH(AA$1,Részletes!$A$1:$BW$1,0))&lt;&gt;"",INDEX(Részletes!$A$1:$BW$104,MATCH($A7,Részletes!$A:$A,0)+1,MATCH(AA$1,Részletes!$A$1:$BW$1,0)),Z7)</f>
        <v>1190143</v>
      </c>
      <c r="AB7" s="19">
        <f>IF(INDEX(Részletes!$A$1:$BW$104,MATCH($A7,Részletes!$A:$A,0)+1,MATCH(AB$1,Részletes!$A$1:$BW$1,0))&lt;&gt;"",INDEX(Részletes!$A$1:$BW$104,MATCH($A7,Részletes!$A:$A,0)+1,MATCH(AB$1,Részletes!$A$1:$BW$1,0)),AA7)</f>
        <v>1190143</v>
      </c>
      <c r="AC7" s="19">
        <f>IF(INDEX(Részletes!$A$1:$BW$104,MATCH($A7,Részletes!$A:$A,0)+1,MATCH(AC$1,Részletes!$A$1:$BW$1,0))&lt;&gt;"",INDEX(Részletes!$A$1:$BW$104,MATCH($A7,Részletes!$A:$A,0)+1,MATCH(AC$1,Részletes!$A$1:$BW$1,0)),AB7)</f>
        <v>1190143</v>
      </c>
      <c r="AD7" s="19">
        <f>IF(INDEX(Részletes!$A$1:$BW$104,MATCH($A7,Részletes!$A:$A,0)+1,MATCH(AD$1,Részletes!$A$1:$BW$1,0))&lt;&gt;"",INDEX(Részletes!$A$1:$BW$104,MATCH($A7,Részletes!$A:$A,0)+1,MATCH(AD$1,Részletes!$A$1:$BW$1,0)),AC7)</f>
        <v>1190143</v>
      </c>
      <c r="AE7" s="19">
        <f>IF(INDEX(Részletes!$A$1:$BW$104,MATCH($A7,Részletes!$A:$A,0)+1,MATCH(AE$1,Részletes!$A$1:$BW$1,0))&lt;&gt;"",INDEX(Részletes!$A$1:$BW$104,MATCH($A7,Részletes!$A:$A,0)+1,MATCH(AE$1,Részletes!$A$1:$BW$1,0)),AD7)</f>
        <v>1190143</v>
      </c>
      <c r="AF7" s="19">
        <f>IF(INDEX(Részletes!$A$1:$BW$104,MATCH($A7,Részletes!$A:$A,0)+1,MATCH(AF$1,Részletes!$A$1:$BW$1,0))&lt;&gt;"",INDEX(Részletes!$A$1:$BW$104,MATCH($A7,Részletes!$A:$A,0)+1,MATCH(AF$1,Részletes!$A$1:$BW$1,0)),AE7)</f>
        <v>1190143</v>
      </c>
      <c r="AG7" s="19">
        <f>IF(INDEX(Részletes!$A$1:$BW$104,MATCH($A7,Részletes!$A:$A,0)+1,MATCH(AG$1,Részletes!$A$1:$BW$1,0))&lt;&gt;"",INDEX(Részletes!$A$1:$BW$104,MATCH($A7,Részletes!$A:$A,0)+1,MATCH(AG$1,Részletes!$A$1:$BW$1,0)),AF7)</f>
        <v>1190143</v>
      </c>
      <c r="AH7" s="19">
        <f>IF(INDEX(Részletes!$A$1:$BW$104,MATCH($A7,Részletes!$A:$A,0)+1,MATCH(AH$1,Részletes!$A$1:$BW$1,0))&lt;&gt;"",INDEX(Részletes!$A$1:$BW$104,MATCH($A7,Részletes!$A:$A,0)+1,MATCH(AH$1,Részletes!$A$1:$BW$1,0)),AG7)</f>
        <v>1190143</v>
      </c>
      <c r="AI7" s="19">
        <f>IF(INDEX(Részletes!$A$1:$BW$104,MATCH($A7,Részletes!$A:$A,0)+1,MATCH(AI$1,Részletes!$A$1:$BW$1,0))&lt;&gt;"",INDEX(Részletes!$A$1:$BW$104,MATCH($A7,Részletes!$A:$A,0)+1,MATCH(AI$1,Részletes!$A$1:$BW$1,0)),AH7)</f>
        <v>1190143</v>
      </c>
      <c r="AJ7" s="19">
        <f>IF(INDEX(Részletes!$A$1:$BW$104,MATCH($A7,Részletes!$A:$A,0)+1,MATCH(AJ$1,Részletes!$A$1:$BW$1,0))&lt;&gt;"",INDEX(Részletes!$A$1:$BW$104,MATCH($A7,Részletes!$A:$A,0)+1,MATCH(AJ$1,Részletes!$A$1:$BW$1,0)),AI7)</f>
        <v>1190143</v>
      </c>
      <c r="AK7" s="51">
        <f>IF(INDEX(Részletes!$A$1:$BW$104,MATCH($A7,Részletes!$A:$A,0)+1,MATCH(AK$1,Részletes!$A$1:$BW$1,0))&lt;&gt;"",INDEX(Részletes!$A$1:$BW$104,MATCH($A7,Részletes!$A:$A,0)+1,MATCH(AK$1,Részletes!$A$1:$BW$1,0)),AJ7)</f>
        <v>1394408</v>
      </c>
      <c r="AL7" s="19">
        <f>IF(INDEX(Részletes!$A$1:$BW$104,MATCH($A7,Részletes!$A:$A,0)+1,MATCH(AL$1,Részletes!$A$1:$BW$1,0))&lt;&gt;"",INDEX(Részletes!$A$1:$BW$104,MATCH($A7,Részletes!$A:$A,0)+1,MATCH(AL$1,Részletes!$A$1:$BW$1,0)),AK7)</f>
        <v>9408</v>
      </c>
      <c r="AM7" s="19">
        <f>IF(INDEX(Részletes!$A$1:$BW$104,MATCH($A7,Részletes!$A:$A,0)+1,MATCH(AM$1,Részletes!$A$1:$BW$1,0))&lt;&gt;"",INDEX(Részletes!$A$1:$BW$104,MATCH($A7,Részletes!$A:$A,0)+1,MATCH(AM$1,Részletes!$A$1:$BW$1,0)),AL7)</f>
        <v>10531</v>
      </c>
      <c r="AN7" s="19">
        <f>IF(INDEX(Részletes!$A$1:$BW$104,MATCH($A7,Részletes!$A:$A,0)+1,MATCH(AN$1,Részletes!$A$1:$BW$1,0))&lt;&gt;"",INDEX(Részletes!$A$1:$BW$104,MATCH($A7,Részletes!$A:$A,0)+1,MATCH(AN$1,Részletes!$A$1:$BW$1,0)),AM7)</f>
        <v>10531</v>
      </c>
      <c r="AO7" s="19">
        <f>IF(INDEX(Részletes!$A$1:$BW$104,MATCH($A7,Részletes!$A:$A,0)+1,MATCH(AO$1,Részletes!$A$1:$BW$1,0))&lt;&gt;"",INDEX(Részletes!$A$1:$BW$104,MATCH($A7,Részletes!$A:$A,0)+1,MATCH(AO$1,Részletes!$A$1:$BW$1,0)),AN7)</f>
        <v>10531</v>
      </c>
      <c r="AP7" s="19">
        <f>IF(INDEX(Részletes!$A$1:$BW$104,MATCH($A7,Részletes!$A:$A,0)+1,MATCH(AP$1,Részletes!$A$1:$BW$1,0))&lt;&gt;"",INDEX(Részletes!$A$1:$BW$104,MATCH($A7,Részletes!$A:$A,0)+1,MATCH(AP$1,Részletes!$A$1:$BW$1,0)),AO7)</f>
        <v>10531</v>
      </c>
      <c r="AQ7" s="19">
        <f>IF(INDEX(Részletes!$A$1:$BW$104,MATCH($A7,Részletes!$A:$A,0)+1,MATCH(AQ$1,Részletes!$A$1:$BW$1,0))&lt;&gt;"",INDEX(Részletes!$A$1:$BW$104,MATCH($A7,Részletes!$A:$A,0)+1,MATCH(AQ$1,Részletes!$A$1:$BW$1,0)),AP7)</f>
        <v>10531</v>
      </c>
      <c r="AR7" s="19">
        <f>IF(INDEX(Részletes!$A$1:$BW$104,MATCH($A7,Részletes!$A:$A,0)+1,MATCH(AR$1,Részletes!$A$1:$BW$1,0))&lt;&gt;"",INDEX(Részletes!$A$1:$BW$104,MATCH($A7,Részletes!$A:$A,0)+1,MATCH(AR$1,Részletes!$A$1:$BW$1,0)),AQ7)</f>
        <v>10531</v>
      </c>
      <c r="AS7" s="19">
        <f>IF(INDEX(Részletes!$A$1:$BW$104,MATCH($A7,Részletes!$A:$A,0)+1,MATCH(AS$1,Részletes!$A$1:$BW$1,0))&lt;&gt;"",INDEX(Részletes!$A$1:$BW$104,MATCH($A7,Részletes!$A:$A,0)+1,MATCH(AS$1,Részletes!$A$1:$BW$1,0)),AR7)</f>
        <v>10531</v>
      </c>
      <c r="AT7" s="19">
        <f>IF(INDEX(Részletes!$A$1:$BW$104,MATCH($A7,Részletes!$A:$A,0)+1,MATCH(AT$1,Részletes!$A$1:$BW$1,0))&lt;&gt;"",INDEX(Részletes!$A$1:$BW$104,MATCH($A7,Részletes!$A:$A,0)+1,MATCH(AT$1,Részletes!$A$1:$BW$1,0)),AS7)</f>
        <v>10531</v>
      </c>
      <c r="AU7" s="19">
        <f>IF(INDEX(Részletes!$A$1:$BW$104,MATCH($A7,Részletes!$A:$A,0)+1,MATCH(AU$1,Részletes!$A$1:$BW$1,0))&lt;&gt;"",INDEX(Részletes!$A$1:$BW$104,MATCH($A7,Részletes!$A:$A,0)+1,MATCH(AU$1,Részletes!$A$1:$BW$1,0)),AT7)</f>
        <v>10531</v>
      </c>
      <c r="AV7" s="19">
        <f>IF(INDEX(Részletes!$A$1:$BW$104,MATCH($A7,Részletes!$A:$A,0)+1,MATCH(AV$1,Részletes!$A$1:$BW$1,0))&lt;&gt;"",INDEX(Részletes!$A$1:$BW$104,MATCH($A7,Részletes!$A:$A,0)+1,MATCH(AV$1,Részletes!$A$1:$BW$1,0)),AU7)</f>
        <v>10531</v>
      </c>
      <c r="AW7" s="19">
        <f>IF(INDEX(Részletes!$A$1:$BW$104,MATCH($A7,Részletes!$A:$A,0)+1,MATCH(AW$1,Részletes!$A$1:$BW$1,0))&lt;&gt;"",INDEX(Részletes!$A$1:$BW$104,MATCH($A7,Részletes!$A:$A,0)+1,MATCH(AW$1,Részletes!$A$1:$BW$1,0)),AV7)</f>
        <v>10531</v>
      </c>
      <c r="AX7" s="19">
        <f>IF(INDEX(Részletes!$A$1:$BW$104,MATCH($A7,Részletes!$A:$A,0)+1,MATCH(AX$1,Részletes!$A$1:$BW$1,0))&lt;&gt;"",INDEX(Részletes!$A$1:$BW$104,MATCH($A7,Részletes!$A:$A,0)+1,MATCH(AX$1,Részletes!$A$1:$BW$1,0)),AW7)</f>
        <v>9231</v>
      </c>
      <c r="AY7" s="19">
        <f>IF(INDEX(Részletes!$A$1:$BW$104,MATCH($A7,Részletes!$A:$A,0)+1,MATCH(AY$1,Részletes!$A$1:$BW$1,0))&lt;&gt;"",INDEX(Részletes!$A$1:$BW$104,MATCH($A7,Részletes!$A:$A,0)+1,MATCH(AY$1,Részletes!$A$1:$BW$1,0)),AX7)</f>
        <v>9231</v>
      </c>
      <c r="AZ7" s="19">
        <f>IF(INDEX(Részletes!$A$1:$BW$104,MATCH($A7,Részletes!$A:$A,0)+1,MATCH(AZ$1,Részletes!$A$1:$BW$1,0))&lt;&gt;"",INDEX(Részletes!$A$1:$BW$104,MATCH($A7,Részletes!$A:$A,0)+1,MATCH(AZ$1,Részletes!$A$1:$BW$1,0)),AY7)</f>
        <v>9231</v>
      </c>
      <c r="BA7" s="19">
        <f>IF(INDEX(Részletes!$A$1:$BW$104,MATCH($A7,Részletes!$A:$A,0)+1,MATCH(BA$1,Részletes!$A$1:$BW$1,0))&lt;&gt;"",INDEX(Részletes!$A$1:$BW$104,MATCH($A7,Részletes!$A:$A,0)+1,MATCH(BA$1,Részletes!$A$1:$BW$1,0)),AZ7)</f>
        <v>9231</v>
      </c>
      <c r="BB7" s="19">
        <f>IF(INDEX(Részletes!$A$1:$BW$104,MATCH($A7,Részletes!$A:$A,0)+1,MATCH(BB$1,Részletes!$A$1:$BW$1,0))&lt;&gt;"",INDEX(Részletes!$A$1:$BW$104,MATCH($A7,Részletes!$A:$A,0)+1,MATCH(BB$1,Részletes!$A$1:$BW$1,0)),BA7)</f>
        <v>9231</v>
      </c>
      <c r="BC7" s="19">
        <f>IF(INDEX(Részletes!$A$1:$BW$104,MATCH($A7,Részletes!$A:$A,0)+1,MATCH(BC$1,Részletes!$A$1:$BW$1,0))&lt;&gt;"",INDEX(Részletes!$A$1:$BW$104,MATCH($A7,Részletes!$A:$A,0)+1,MATCH(BC$1,Részletes!$A$1:$BW$1,0)),BB7)</f>
        <v>9231</v>
      </c>
      <c r="BD7" s="19">
        <f>IF(INDEX(Részletes!$A$1:$BW$104,MATCH($A7,Részletes!$A:$A,0)+1,MATCH(BD$1,Részletes!$A$1:$BW$1,0))&lt;&gt;"",INDEX(Részletes!$A$1:$BW$104,MATCH($A7,Részletes!$A:$A,0)+1,MATCH(BD$1,Részletes!$A$1:$BW$1,0)),BC7)</f>
        <v>9231</v>
      </c>
      <c r="BE7" s="19">
        <f>IF(INDEX(Részletes!$A$1:$BW$104,MATCH($A7,Részletes!$A:$A,0)+1,MATCH(BE$1,Részletes!$A$1:$BW$1,0))&lt;&gt;"",INDEX(Részletes!$A$1:$BW$104,MATCH($A7,Részletes!$A:$A,0)+1,MATCH(BE$1,Részletes!$A$1:$BW$1,0)),BD7)</f>
        <v>9231</v>
      </c>
      <c r="BF7" s="19">
        <f>IF(INDEX(Részletes!$A$1:$BW$104,MATCH($A7,Részletes!$A:$A,0)+1,MATCH(BF$1,Részletes!$A$1:$BW$1,0))&lt;&gt;"",INDEX(Részletes!$A$1:$BW$104,MATCH($A7,Részletes!$A:$A,0)+1,MATCH(BF$1,Részletes!$A$1:$BW$1,0)),BE7)</f>
        <v>9231</v>
      </c>
      <c r="BG7" s="19">
        <f>IF(INDEX(Részletes!$A$1:$BW$104,MATCH($A7,Részletes!$A:$A,0)+1,MATCH(BG$1,Részletes!$A$1:$BW$1,0))&lt;&gt;"",INDEX(Részletes!$A$1:$BW$104,MATCH($A7,Részletes!$A:$A,0)+1,MATCH(BG$1,Részletes!$A$1:$BW$1,0)),BF7)</f>
        <v>9231</v>
      </c>
      <c r="BH7" s="19">
        <f>IF(INDEX(Részletes!$A$1:$BW$104,MATCH($A7,Részletes!$A:$A,0)+1,MATCH(BH$1,Részletes!$A$1:$BW$1,0))&lt;&gt;"",INDEX(Részletes!$A$1:$BW$104,MATCH($A7,Részletes!$A:$A,0)+1,MATCH(BH$1,Részletes!$A$1:$BW$1,0)),BG7)</f>
        <v>9231</v>
      </c>
      <c r="BI7" s="19">
        <f>IF(INDEX(Részletes!$A$1:$BW$104,MATCH($A7,Részletes!$A:$A,0)+1,MATCH(BI$1,Részletes!$A$1:$BW$1,0))&lt;&gt;"",INDEX(Részletes!$A$1:$BW$104,MATCH($A7,Részletes!$A:$A,0)+1,MATCH(BI$1,Részletes!$A$1:$BW$1,0)),BH7)</f>
        <v>9231</v>
      </c>
      <c r="BJ7" s="19">
        <f>IF(INDEX(Részletes!$A$1:$BW$104,MATCH($A7,Részletes!$A:$A,0)+1,MATCH(BJ$1,Részletes!$A$1:$BW$1,0))&lt;&gt;"",INDEX(Részletes!$A$1:$BW$104,MATCH($A7,Részletes!$A:$A,0)+1,MATCH(BJ$1,Részletes!$A$1:$BW$1,0)),BI7)</f>
        <v>9231</v>
      </c>
      <c r="BK7" s="19">
        <f>IF(INDEX(Részletes!$A$1:$BW$104,MATCH($A7,Részletes!$A:$A,0)+1,MATCH(BK$1,Részletes!$A$1:$BW$1,0))&lt;&gt;"",INDEX(Részletes!$A$1:$BW$104,MATCH($A7,Részletes!$A:$A,0)+1,MATCH(BK$1,Részletes!$A$1:$BW$1,0)),BJ7)</f>
        <v>9231</v>
      </c>
      <c r="BL7" s="19">
        <f>IF(INDEX(Részletes!$A$1:$BW$104,MATCH($A7,Részletes!$A:$A,0)+1,MATCH(BL$1,Részletes!$A$1:$BW$1,0))&lt;&gt;"",INDEX(Részletes!$A$1:$BW$104,MATCH($A7,Részletes!$A:$A,0)+1,MATCH(BL$1,Részletes!$A$1:$BW$1,0)),BK7)</f>
        <v>9231</v>
      </c>
      <c r="BM7" s="19">
        <f>IF(INDEX(Részletes!$A$1:$BW$104,MATCH($A7,Részletes!$A:$A,0)+1,MATCH(BM$1,Részletes!$A$1:$BW$1,0))&lt;&gt;"",INDEX(Részletes!$A$1:$BW$104,MATCH($A7,Részletes!$A:$A,0)+1,MATCH(BM$1,Részletes!$A$1:$BW$1,0)),BL7)</f>
        <v>9231</v>
      </c>
      <c r="BN7" s="19">
        <f>IF(INDEX(Részletes!$A$1:$BW$104,MATCH($A7,Részletes!$A:$A,0)+1,MATCH(BN$1,Részletes!$A$1:$BW$1,0))&lt;&gt;"",INDEX(Részletes!$A$1:$BW$104,MATCH($A7,Részletes!$A:$A,0)+1,MATCH(BN$1,Részletes!$A$1:$BW$1,0)),BM7)</f>
        <v>9231</v>
      </c>
      <c r="BO7" s="19">
        <f>IF(INDEX(Részletes!$A$1:$BW$104,MATCH($A7,Részletes!$A:$A,0)+1,MATCH(BO$1,Részletes!$A$1:$BW$1,0))&lt;&gt;"",INDEX(Részletes!$A$1:$BW$104,MATCH($A7,Részletes!$A:$A,0)+1,MATCH(BO$1,Részletes!$A$1:$BW$1,0)),BN7)</f>
        <v>9231</v>
      </c>
      <c r="BP7" s="19">
        <f>IF(INDEX(Részletes!$A$1:$BW$104,MATCH($A7,Részletes!$A:$A,0)+1,MATCH(BP$1,Részletes!$A$1:$BW$1,0))&lt;&gt;"",INDEX(Részletes!$A$1:$BW$104,MATCH($A7,Részletes!$A:$A,0)+1,MATCH(BP$1,Részletes!$A$1:$BW$1,0)),BO7)</f>
        <v>9231</v>
      </c>
      <c r="BQ7" s="19">
        <f>IF(INDEX(Részletes!$A$1:$BW$104,MATCH($A7,Részletes!$A:$A,0)+1,MATCH(BQ$1,Részletes!$A$1:$BW$1,0))&lt;&gt;"",INDEX(Részletes!$A$1:$BW$104,MATCH($A7,Részletes!$A:$A,0)+1,MATCH(BQ$1,Részletes!$A$1:$BW$1,0)),BP7)</f>
        <v>9231</v>
      </c>
      <c r="BR7" s="19">
        <f>IF(INDEX(Részletes!$A$1:$BW$104,MATCH($A7,Részletes!$A:$A,0)+1,MATCH(BR$1,Részletes!$A$1:$BW$1,0))&lt;&gt;"",INDEX(Részletes!$A$1:$BW$104,MATCH($A7,Részletes!$A:$A,0)+1,MATCH(BR$1,Részletes!$A$1:$BW$1,0)),BQ7)</f>
        <v>9231</v>
      </c>
      <c r="BS7" s="19">
        <f>IF(INDEX(Részletes!$A$1:$BW$104,MATCH($A7,Részletes!$A:$A,0)+1,MATCH(BS$1,Részletes!$A$1:$BW$1,0))&lt;&gt;"",INDEX(Részletes!$A$1:$BW$104,MATCH($A7,Részletes!$A:$A,0)+1,MATCH(BS$1,Részletes!$A$1:$BW$1,0)),BR7)</f>
        <v>9231</v>
      </c>
      <c r="BT7" s="19">
        <f>IF(INDEX(Részletes!$A$1:$BW$104,MATCH($A7,Részletes!$A:$A,0)+1,MATCH(BT$1,Részletes!$A$1:$BW$1,0))&lt;&gt;"",INDEX(Részletes!$A$1:$BW$104,MATCH($A7,Részletes!$A:$A,0)+1,MATCH(BT$1,Részletes!$A$1:$BW$1,0)),BS7)</f>
        <v>9231</v>
      </c>
    </row>
    <row r="8" spans="1:72" x14ac:dyDescent="0.25">
      <c r="A8" s="16" t="s">
        <v>6</v>
      </c>
      <c r="B8" s="17">
        <f>IFERROR(IF(INDEX(Részletes!$A$1:$X$104,MATCH($A8,Részletes!$A:$A,0)+1,MATCH(B$1,Részletes!$A$1:$X$1,0))&lt;&gt;"",INDEX(Részletes!$A$1:$X$104,MATCH($A8,Részletes!$A:$A,0)+1,MATCH(B$1,Részletes!$A$1:$X$1,0)),"blabla"),0)</f>
        <v>164181</v>
      </c>
      <c r="C8" s="17">
        <f>IFERROR(IF(INDEX(Részletes!$A$1:$X$104,MATCH($A8,Részletes!$A:$A,0)+1,MATCH(C$1,Részletes!$A$1:$X$1,0))&lt;&gt;"",INDEX(Részletes!$A$1:$X$104,MATCH($A8,Részletes!$A:$A,0)+1,MATCH(C$1,Részletes!$A$1:$X$1,0)),B8),0)</f>
        <v>164181</v>
      </c>
      <c r="D8" s="17">
        <f>IFERROR(IF(INDEX(Részletes!$A$1:$X$104,MATCH($A8,Részletes!$A:$A,0)+1,MATCH(D$1,Részletes!$A$1:$X$1,0))&lt;&gt;"",INDEX(Részletes!$A$1:$X$104,MATCH($A8,Részletes!$A:$A,0)+1,MATCH(D$1,Részletes!$A$1:$X$1,0)),C8),0)</f>
        <v>164181</v>
      </c>
      <c r="E8" s="17">
        <f>IFERROR(IF(INDEX(Részletes!$A$1:$X$104,MATCH($A8,Részletes!$A:$A,0)+1,MATCH(E$1,Részletes!$A$1:$X$1,0))&lt;&gt;"",INDEX(Részletes!$A$1:$X$104,MATCH($A8,Részletes!$A:$A,0)+1,MATCH(E$1,Részletes!$A$1:$X$1,0)),D8),0)</f>
        <v>164181</v>
      </c>
      <c r="F8" s="17">
        <f>IFERROR(IF(INDEX(Részletes!$A$1:$X$104,MATCH($A8,Részletes!$A:$A,0)+1,MATCH(F$1,Részletes!$A$1:$X$1,0))&lt;&gt;"",INDEX(Részletes!$A$1:$X$104,MATCH($A8,Részletes!$A:$A,0)+1,MATCH(F$1,Részletes!$A$1:$X$1,0)),E8),0)</f>
        <v>164181</v>
      </c>
      <c r="G8" s="17">
        <f>IFERROR(IF(INDEX(Részletes!$A$1:$X$104,MATCH($A8,Részletes!$A:$A,0)+1,MATCH(G$1,Részletes!$A$1:$X$1,0))&lt;&gt;"",INDEX(Részletes!$A$1:$X$104,MATCH($A8,Részletes!$A:$A,0)+1,MATCH(G$1,Részletes!$A$1:$X$1,0)),F8),0)</f>
        <v>164181</v>
      </c>
      <c r="H8" s="17">
        <f>IFERROR(IF(INDEX(Részletes!$A$1:$X$104,MATCH($A8,Részletes!$A:$A,0)+1,MATCH(H$1,Részletes!$A$1:$X$1,0))&lt;&gt;"",INDEX(Részletes!$A$1:$X$104,MATCH($A8,Részletes!$A:$A,0)+1,MATCH(H$1,Részletes!$A$1:$X$1,0)),G8),0)</f>
        <v>164181</v>
      </c>
      <c r="I8" s="17">
        <f>IFERROR(IF(INDEX(Részletes!$A$1:$X$104,MATCH($A8,Részletes!$A:$A,0)+1,MATCH(I$1,Részletes!$A$1:$X$1,0))&lt;&gt;"",INDEX(Részletes!$A$1:$X$104,MATCH($A8,Részletes!$A:$A,0)+1,MATCH(I$1,Részletes!$A$1:$X$1,0)),H8),0)</f>
        <v>164181</v>
      </c>
      <c r="J8" s="17">
        <f>IFERROR(IF(INDEX(Részletes!$A$1:$X$104,MATCH($A8,Részletes!$A:$A,0)+1,MATCH(J$1,Részletes!$A$1:$X$1,0))&lt;&gt;"",INDEX(Részletes!$A$1:$X$104,MATCH($A8,Részletes!$A:$A,0)+1,MATCH(J$1,Részletes!$A$1:$X$1,0)),I8),0)</f>
        <v>164181</v>
      </c>
      <c r="K8" s="17">
        <f>IFERROR(IF(INDEX(Részletes!$A$1:$X$104,MATCH($A8,Részletes!$A:$A,0)+1,MATCH(K$1,Részletes!$A$1:$X$1,0))&lt;&gt;"",INDEX(Részletes!$A$1:$X$104,MATCH($A8,Részletes!$A:$A,0)+1,MATCH(K$1,Részletes!$A$1:$X$1,0)),J8),0)</f>
        <v>164181</v>
      </c>
      <c r="L8" s="17">
        <f>IFERROR(IF(INDEX(Részletes!$A$1:$X$104,MATCH($A8,Részletes!$A:$A,0)+1,MATCH(L$1,Részletes!$A$1:$X$1,0))&lt;&gt;"",INDEX(Részletes!$A$1:$X$104,MATCH($A8,Részletes!$A:$A,0)+1,MATCH(L$1,Részletes!$A$1:$X$1,0)),K8),0)</f>
        <v>164181</v>
      </c>
      <c r="M8" s="17">
        <f>IFERROR(IF(INDEX(Részletes!$A$1:$X$104,MATCH($A8,Részletes!$A:$A,0)+1,MATCH(M$1,Részletes!$A$1:$X$1,0))&lt;&gt;"",INDEX(Részletes!$A$1:$X$104,MATCH($A8,Részletes!$A:$A,0)+1,MATCH(M$1,Részletes!$A$1:$X$1,0)),L8),0)</f>
        <v>164181</v>
      </c>
      <c r="N8" s="17">
        <f>IFERROR(IF(INDEX(Részletes!$A$1:$X$104,MATCH($A8,Részletes!$A:$A,0)+1,MATCH(N$1,Részletes!$A$1:$X$1,0))&lt;&gt;"",INDEX(Részletes!$A$1:$X$104,MATCH($A8,Részletes!$A:$A,0)+1,MATCH(N$1,Részletes!$A$1:$X$1,0)),M8),0)</f>
        <v>164181</v>
      </c>
      <c r="O8" s="17">
        <f>IFERROR(IF(INDEX(Részletes!$A$1:$X$104,MATCH($A8,Részletes!$A:$A,0)+1,MATCH(O$1,Részletes!$A$1:$X$1,0))&lt;&gt;"",INDEX(Részletes!$A$1:$X$104,MATCH($A8,Részletes!$A:$A,0)+1,MATCH(O$1,Részletes!$A$1:$X$1,0)),N8),0)</f>
        <v>164181</v>
      </c>
      <c r="P8" s="17">
        <f>IFERROR(IF(INDEX(Részletes!$A$1:$X$104,MATCH($A8,Részletes!$A:$A,0)+1,MATCH(P$1,Részletes!$A$1:$X$1,0))&lt;&gt;"",INDEX(Részletes!$A$1:$X$104,MATCH($A8,Részletes!$A:$A,0)+1,MATCH(P$1,Részletes!$A$1:$X$1,0)),O8),0)</f>
        <v>164181</v>
      </c>
      <c r="Q8" s="17">
        <f>IFERROR(IF(INDEX(Részletes!$A$1:$X$104,MATCH($A8,Részletes!$A:$A,0)+1,MATCH(Q$1,Részletes!$A$1:$X$1,0))&lt;&gt;"",INDEX(Részletes!$A$1:$X$104,MATCH($A8,Részletes!$A:$A,0)+1,MATCH(Q$1,Részletes!$A$1:$X$1,0)),P8),0)</f>
        <v>164181</v>
      </c>
      <c r="R8" s="17">
        <f>IFERROR(IF(INDEX(Részletes!$A$1:$X$104,MATCH($A8,Részletes!$A:$A,0)+1,MATCH(R$1,Részletes!$A$1:$X$1,0))&lt;&gt;"",INDEX(Részletes!$A$1:$X$104,MATCH($A8,Részletes!$A:$A,0)+1,MATCH(R$1,Részletes!$A$1:$X$1,0)),Q8),0)</f>
        <v>164181</v>
      </c>
      <c r="S8" s="17">
        <f>IFERROR(IF(INDEX(Részletes!$A$1:$X$104,MATCH($A8,Részletes!$A:$A,0)+1,MATCH(S$1,Részletes!$A$1:$X$1,0))&lt;&gt;"",INDEX(Részletes!$A$1:$X$104,MATCH($A8,Részletes!$A:$A,0)+1,MATCH(S$1,Részletes!$A$1:$X$1,0)),R8),0)</f>
        <v>164181</v>
      </c>
      <c r="T8" s="17">
        <f>IFERROR(IF(INDEX(Részletes!$A$1:$X$104,MATCH($A8,Részletes!$A:$A,0)+1,MATCH(T$1,Részletes!$A$1:$X$1,0))&lt;&gt;"",INDEX(Részletes!$A$1:$X$104,MATCH($A8,Részletes!$A:$A,0)+1,MATCH(T$1,Részletes!$A$1:$X$1,0)),S8),0)</f>
        <v>164181</v>
      </c>
      <c r="U8" s="17">
        <f>IFERROR(IF(INDEX(Részletes!$A$1:$X$104,MATCH($A8,Részletes!$A:$A,0)+1,MATCH(U$1,Részletes!$A$1:$X$1,0))&lt;&gt;"",INDEX(Részletes!$A$1:$X$104,MATCH($A8,Részletes!$A:$A,0)+1,MATCH(U$1,Részletes!$A$1:$X$1,0)),T8),0)</f>
        <v>164181</v>
      </c>
      <c r="V8" s="17">
        <f>IFERROR(IF(INDEX(Részletes!$A$1:$X$104,MATCH($A8,Részletes!$A:$A,0)+1,MATCH(V$1,Részletes!$A$1:$X$1,0))&lt;&gt;"",INDEX(Részletes!$A$1:$X$104,MATCH($A8,Részletes!$A:$A,0)+1,MATCH(V$1,Részletes!$A$1:$X$1,0)),U8),0)</f>
        <v>164181</v>
      </c>
      <c r="W8" s="17">
        <f>IFERROR(IF(INDEX(Részletes!$A$1:$X$104,MATCH($A8,Részletes!$A:$A,0)+1,MATCH(W$1,Részletes!$A$1:$X$1,0))&lt;&gt;"",INDEX(Részletes!$A$1:$X$104,MATCH($A8,Részletes!$A:$A,0)+1,MATCH(W$1,Részletes!$A$1:$X$1,0)),V8),0)</f>
        <v>164181</v>
      </c>
      <c r="X8" s="17">
        <f>IFERROR(IF(INDEX(Részletes!$A$1:$BW$104,MATCH($A8,Részletes!$A:$A,0)+1,MATCH(X$1,Részletes!$A$1:$BW$1,0))&lt;&gt;"",INDEX(Részletes!$A$1:$BW$104,MATCH($A8,Részletes!$A:$A,0)+1,MATCH(X$1,Részletes!$A$1:$BW$1,0)),W8),0)</f>
        <v>164181</v>
      </c>
      <c r="Y8" s="17">
        <f>IFERROR(IF(INDEX(Részletes!$A$1:$BW$104,MATCH($A8,Részletes!$A:$A,0)+1,MATCH(Y$1,Részletes!$A$1:$BW$1,0))&lt;&gt;"",INDEX(Részletes!$A$1:$BW$104,MATCH($A8,Részletes!$A:$A,0)+1,MATCH(Y$1,Részletes!$A$1:$BW$1,0)),X8),0)</f>
        <v>164181</v>
      </c>
      <c r="Z8" s="17">
        <f>IFERROR(IF(INDEX(Részletes!$A$1:$BW$104,MATCH($A8,Részletes!$A:$A,0)+1,MATCH(Z$1,Részletes!$A$1:$BW$1,0))&lt;&gt;"",INDEX(Részletes!$A$1:$BW$104,MATCH($A8,Részletes!$A:$A,0)+1,MATCH(Z$1,Részletes!$A$1:$BW$1,0)),Y8),0)</f>
        <v>164181</v>
      </c>
      <c r="AA8" s="17">
        <f>IFERROR(IF(INDEX(Részletes!$A$1:$BW$104,MATCH($A8,Részletes!$A:$A,0)+1,MATCH(AA$1,Részletes!$A$1:$BW$1,0))&lt;&gt;"",INDEX(Részletes!$A$1:$BW$104,MATCH($A8,Részletes!$A:$A,0)+1,MATCH(AA$1,Részletes!$A$1:$BW$1,0)),Z8),0)</f>
        <v>164181</v>
      </c>
      <c r="AB8" s="17">
        <f>IFERROR(IF(INDEX(Részletes!$A$1:$BW$104,MATCH($A8,Részletes!$A:$A,0)+1,MATCH(AB$1,Részletes!$A$1:$BW$1,0))&lt;&gt;"",INDEX(Részletes!$A$1:$BW$104,MATCH($A8,Részletes!$A:$A,0)+1,MATCH(AB$1,Részletes!$A$1:$BW$1,0)),AA8),0)</f>
        <v>164181</v>
      </c>
      <c r="AC8" s="17">
        <f>IFERROR(IF(INDEX(Részletes!$A$1:$BW$104,MATCH($A8,Részletes!$A:$A,0)+1,MATCH(AC$1,Részletes!$A$1:$BW$1,0))&lt;&gt;"",INDEX(Részletes!$A$1:$BW$104,MATCH($A8,Részletes!$A:$A,0)+1,MATCH(AC$1,Részletes!$A$1:$BW$1,0)),AB8),0)</f>
        <v>164181</v>
      </c>
      <c r="AD8" s="17">
        <f>IFERROR(IF(INDEX(Részletes!$A$1:$BW$104,MATCH($A8,Részletes!$A:$A,0)+1,MATCH(AD$1,Részletes!$A$1:$BW$1,0))&lt;&gt;"",INDEX(Részletes!$A$1:$BW$104,MATCH($A8,Részletes!$A:$A,0)+1,MATCH(AD$1,Részletes!$A$1:$BW$1,0)),AC8),0)</f>
        <v>164181</v>
      </c>
      <c r="AE8" s="17">
        <f>IFERROR(IF(INDEX(Részletes!$A$1:$BW$104,MATCH($A8,Részletes!$A:$A,0)+1,MATCH(AE$1,Részletes!$A$1:$BW$1,0))&lt;&gt;"",INDEX(Részletes!$A$1:$BW$104,MATCH($A8,Részletes!$A:$A,0)+1,MATCH(AE$1,Részletes!$A$1:$BW$1,0)),AD8),0)</f>
        <v>164181</v>
      </c>
      <c r="AF8" s="17">
        <f>IFERROR(IF(INDEX(Részletes!$A$1:$BW$104,MATCH($A8,Részletes!$A:$A,0)+1,MATCH(AF$1,Részletes!$A$1:$BW$1,0))&lt;&gt;"",INDEX(Részletes!$A$1:$BW$104,MATCH($A8,Részletes!$A:$A,0)+1,MATCH(AF$1,Részletes!$A$1:$BW$1,0)),AE8),0)</f>
        <v>164181</v>
      </c>
      <c r="AG8" s="17">
        <f>IFERROR(IF(INDEX(Részletes!$A$1:$BW$104,MATCH($A8,Részletes!$A:$A,0)+1,MATCH(AG$1,Részletes!$A$1:$BW$1,0))&lt;&gt;"",INDEX(Részletes!$A$1:$BW$104,MATCH($A8,Részletes!$A:$A,0)+1,MATCH(AG$1,Részletes!$A$1:$BW$1,0)),AF8),0)</f>
        <v>164181</v>
      </c>
      <c r="AH8" s="17">
        <f>IFERROR(IF(INDEX(Részletes!$A$1:$BW$104,MATCH($A8,Részletes!$A:$A,0)+1,MATCH(AH$1,Részletes!$A$1:$BW$1,0))&lt;&gt;"",INDEX(Részletes!$A$1:$BW$104,MATCH($A8,Részletes!$A:$A,0)+1,MATCH(AH$1,Részletes!$A$1:$BW$1,0)),AG8),0)</f>
        <v>164181</v>
      </c>
      <c r="AI8" s="17">
        <f>IFERROR(IF(INDEX(Részletes!$A$1:$BW$104,MATCH($A8,Részletes!$A:$A,0)+1,MATCH(AI$1,Részletes!$A$1:$BW$1,0))&lt;&gt;"",INDEX(Részletes!$A$1:$BW$104,MATCH($A8,Részletes!$A:$A,0)+1,MATCH(AI$1,Részletes!$A$1:$BW$1,0)),AH8),0)</f>
        <v>164181</v>
      </c>
      <c r="AJ8" s="17">
        <f>IFERROR(IF(INDEX(Részletes!$A$1:$BW$104,MATCH($A8,Részletes!$A:$A,0)+1,MATCH(AJ$1,Részletes!$A$1:$BW$1,0))&lt;&gt;"",INDEX(Részletes!$A$1:$BW$104,MATCH($A8,Részletes!$A:$A,0)+1,MATCH(AJ$1,Részletes!$A$1:$BW$1,0)),AI8),0)</f>
        <v>164181</v>
      </c>
      <c r="AK8" s="52">
        <f>IFERROR(IF(INDEX(Részletes!$A$1:$BW$104,MATCH($A8,Részletes!$A:$A,0)+1,MATCH(AK$1,Részletes!$A$1:$BW$1,0))&lt;&gt;"",INDEX(Részletes!$A$1:$BW$104,MATCH($A8,Részletes!$A:$A,0)+1,MATCH(AK$1,Részletes!$A$1:$BW$1,0)),AJ8),0)</f>
        <v>164181</v>
      </c>
      <c r="AL8" s="17">
        <f>IFERROR(IF(INDEX(Részletes!$A$1:$BW$104,MATCH($A8,Részletes!$A:$A,0)+1,MATCH(AL$1,Részletes!$A$1:$BW$1,0))&lt;&gt;"",INDEX(Részletes!$A$1:$BW$104,MATCH($A8,Részletes!$A:$A,0)+1,MATCH(AL$1,Részletes!$A$1:$BW$1,0)),AK8),0)</f>
        <v>0</v>
      </c>
      <c r="AM8" s="17">
        <f>IFERROR(IF(INDEX(Részletes!$A$1:$BW$104,MATCH($A8,Részletes!$A:$A,0)+1,MATCH(AM$1,Részletes!$A$1:$BW$1,0))&lt;&gt;"",INDEX(Részletes!$A$1:$BW$104,MATCH($A8,Részletes!$A:$A,0)+1,MATCH(AM$1,Részletes!$A$1:$BW$1,0)),AL8),0)</f>
        <v>0</v>
      </c>
      <c r="AN8" s="17">
        <f>IFERROR(IF(INDEX(Részletes!$A$1:$BW$104,MATCH($A8,Részletes!$A:$A,0)+1,MATCH(AN$1,Részletes!$A$1:$BW$1,0))&lt;&gt;"",INDEX(Részletes!$A$1:$BW$104,MATCH($A8,Részletes!$A:$A,0)+1,MATCH(AN$1,Részletes!$A$1:$BW$1,0)),AM8),0)</f>
        <v>0</v>
      </c>
      <c r="AO8" s="17">
        <f>IFERROR(IF(INDEX(Részletes!$A$1:$BW$104,MATCH($A8,Részletes!$A:$A,0)+1,MATCH(AO$1,Részletes!$A$1:$BW$1,0))&lt;&gt;"",INDEX(Részletes!$A$1:$BW$104,MATCH($A8,Részletes!$A:$A,0)+1,MATCH(AO$1,Részletes!$A$1:$BW$1,0)),AN8),0)</f>
        <v>0</v>
      </c>
      <c r="AP8" s="17">
        <f>IFERROR(IF(INDEX(Részletes!$A$1:$BW$104,MATCH($A8,Részletes!$A:$A,0)+1,MATCH(AP$1,Részletes!$A$1:$BW$1,0))&lt;&gt;"",INDEX(Részletes!$A$1:$BW$104,MATCH($A8,Részletes!$A:$A,0)+1,MATCH(AP$1,Részletes!$A$1:$BW$1,0)),AO8),0)</f>
        <v>0</v>
      </c>
      <c r="AQ8" s="17">
        <f>IFERROR(IF(INDEX(Részletes!$A$1:$BW$104,MATCH($A8,Részletes!$A:$A,0)+1,MATCH(AQ$1,Részletes!$A$1:$BW$1,0))&lt;&gt;"",INDEX(Részletes!$A$1:$BW$104,MATCH($A8,Részletes!$A:$A,0)+1,MATCH(AQ$1,Részletes!$A$1:$BW$1,0)),AP8),0)</f>
        <v>0</v>
      </c>
      <c r="AR8" s="17">
        <f>IFERROR(IF(INDEX(Részletes!$A$1:$BW$104,MATCH($A8,Részletes!$A:$A,0)+1,MATCH(AR$1,Részletes!$A$1:$BW$1,0))&lt;&gt;"",INDEX(Részletes!$A$1:$BW$104,MATCH($A8,Részletes!$A:$A,0)+1,MATCH(AR$1,Részletes!$A$1:$BW$1,0)),AQ8),0)</f>
        <v>0</v>
      </c>
      <c r="AS8" s="17">
        <f>IFERROR(IF(INDEX(Részletes!$A$1:$BW$104,MATCH($A8,Részletes!$A:$A,0)+1,MATCH(AS$1,Részletes!$A$1:$BW$1,0))&lt;&gt;"",INDEX(Részletes!$A$1:$BW$104,MATCH($A8,Részletes!$A:$A,0)+1,MATCH(AS$1,Részletes!$A$1:$BW$1,0)),AR8),0)</f>
        <v>0</v>
      </c>
      <c r="AT8" s="17">
        <f>IFERROR(IF(INDEX(Részletes!$A$1:$BW$104,MATCH($A8,Részletes!$A:$A,0)+1,MATCH(AT$1,Részletes!$A$1:$BW$1,0))&lt;&gt;"",INDEX(Részletes!$A$1:$BW$104,MATCH($A8,Részletes!$A:$A,0)+1,MATCH(AT$1,Részletes!$A$1:$BW$1,0)),AS8),0)</f>
        <v>0</v>
      </c>
      <c r="AU8" s="17">
        <f>IFERROR(IF(INDEX(Részletes!$A$1:$BW$104,MATCH($A8,Részletes!$A:$A,0)+1,MATCH(AU$1,Részletes!$A$1:$BW$1,0))&lt;&gt;"",INDEX(Részletes!$A$1:$BW$104,MATCH($A8,Részletes!$A:$A,0)+1,MATCH(AU$1,Részletes!$A$1:$BW$1,0)),AT8),0)</f>
        <v>0</v>
      </c>
      <c r="AV8" s="17">
        <f>IFERROR(IF(INDEX(Részletes!$A$1:$BW$104,MATCH($A8,Részletes!$A:$A,0)+1,MATCH(AV$1,Részletes!$A$1:$BW$1,0))&lt;&gt;"",INDEX(Részletes!$A$1:$BW$104,MATCH($A8,Részletes!$A:$A,0)+1,MATCH(AV$1,Részletes!$A$1:$BW$1,0)),AU8),0)</f>
        <v>0</v>
      </c>
      <c r="AW8" s="17">
        <f>IFERROR(IF(INDEX(Részletes!$A$1:$BW$104,MATCH($A8,Részletes!$A:$A,0)+1,MATCH(AW$1,Részletes!$A$1:$BW$1,0))&lt;&gt;"",INDEX(Részletes!$A$1:$BW$104,MATCH($A8,Részletes!$A:$A,0)+1,MATCH(AW$1,Részletes!$A$1:$BW$1,0)),AV8),0)</f>
        <v>0</v>
      </c>
      <c r="AX8" s="17">
        <f>IFERROR(IF(INDEX(Részletes!$A$1:$BW$104,MATCH($A8,Részletes!$A:$A,0)+1,MATCH(AX$1,Részletes!$A$1:$BW$1,0))&lt;&gt;"",INDEX(Részletes!$A$1:$BW$104,MATCH($A8,Részletes!$A:$A,0)+1,MATCH(AX$1,Részletes!$A$1:$BW$1,0)),AW8),0)</f>
        <v>0</v>
      </c>
      <c r="AY8" s="17">
        <f>IFERROR(IF(INDEX(Részletes!$A$1:$BW$104,MATCH($A8,Részletes!$A:$A,0)+1,MATCH(AY$1,Részletes!$A$1:$BW$1,0))&lt;&gt;"",INDEX(Részletes!$A$1:$BW$104,MATCH($A8,Részletes!$A:$A,0)+1,MATCH(AY$1,Részletes!$A$1:$BW$1,0)),AX8),0)</f>
        <v>0</v>
      </c>
      <c r="AZ8" s="17">
        <f>IFERROR(IF(INDEX(Részletes!$A$1:$BW$104,MATCH($A8,Részletes!$A:$A,0)+1,MATCH(AZ$1,Részletes!$A$1:$BW$1,0))&lt;&gt;"",INDEX(Részletes!$A$1:$BW$104,MATCH($A8,Részletes!$A:$A,0)+1,MATCH(AZ$1,Részletes!$A$1:$BW$1,0)),AY8),0)</f>
        <v>0</v>
      </c>
      <c r="BA8" s="17">
        <f>IFERROR(IF(INDEX(Részletes!$A$1:$BW$104,MATCH($A8,Részletes!$A:$A,0)+1,MATCH(BA$1,Részletes!$A$1:$BW$1,0))&lt;&gt;"",INDEX(Részletes!$A$1:$BW$104,MATCH($A8,Részletes!$A:$A,0)+1,MATCH(BA$1,Részletes!$A$1:$BW$1,0)),AZ8),0)</f>
        <v>0</v>
      </c>
      <c r="BB8" s="17">
        <f>IFERROR(IF(INDEX(Részletes!$A$1:$BW$104,MATCH($A8,Részletes!$A:$A,0)+1,MATCH(BB$1,Részletes!$A$1:$BW$1,0))&lt;&gt;"",INDEX(Részletes!$A$1:$BW$104,MATCH($A8,Részletes!$A:$A,0)+1,MATCH(BB$1,Részletes!$A$1:$BW$1,0)),BA8),0)</f>
        <v>0</v>
      </c>
      <c r="BC8" s="17">
        <f>IFERROR(IF(INDEX(Részletes!$A$1:$BW$104,MATCH($A8,Részletes!$A:$A,0)+1,MATCH(BC$1,Részletes!$A$1:$BW$1,0))&lt;&gt;"",INDEX(Részletes!$A$1:$BW$104,MATCH($A8,Részletes!$A:$A,0)+1,MATCH(BC$1,Részletes!$A$1:$BW$1,0)),BB8),0)</f>
        <v>0</v>
      </c>
      <c r="BD8" s="17">
        <f>IFERROR(IF(INDEX(Részletes!$A$1:$BW$104,MATCH($A8,Részletes!$A:$A,0)+1,MATCH(BD$1,Részletes!$A$1:$BW$1,0))&lt;&gt;"",INDEX(Részletes!$A$1:$BW$104,MATCH($A8,Részletes!$A:$A,0)+1,MATCH(BD$1,Részletes!$A$1:$BW$1,0)),BC8),0)</f>
        <v>0</v>
      </c>
      <c r="BE8" s="17">
        <f>IFERROR(IF(INDEX(Részletes!$A$1:$BW$104,MATCH($A8,Részletes!$A:$A,0)+1,MATCH(BE$1,Részletes!$A$1:$BW$1,0))&lt;&gt;"",INDEX(Részletes!$A$1:$BW$104,MATCH($A8,Részletes!$A:$A,0)+1,MATCH(BE$1,Részletes!$A$1:$BW$1,0)),BD8),0)</f>
        <v>0</v>
      </c>
      <c r="BF8" s="17">
        <f>IFERROR(IF(INDEX(Részletes!$A$1:$BW$104,MATCH($A8,Részletes!$A:$A,0)+1,MATCH(BF$1,Részletes!$A$1:$BW$1,0))&lt;&gt;"",INDEX(Részletes!$A$1:$BW$104,MATCH($A8,Részletes!$A:$A,0)+1,MATCH(BF$1,Részletes!$A$1:$BW$1,0)),BE8),0)</f>
        <v>0</v>
      </c>
      <c r="BG8" s="17">
        <f>IFERROR(IF(INDEX(Részletes!$A$1:$BW$104,MATCH($A8,Részletes!$A:$A,0)+1,MATCH(BG$1,Részletes!$A$1:$BW$1,0))&lt;&gt;"",INDEX(Részletes!$A$1:$BW$104,MATCH($A8,Részletes!$A:$A,0)+1,MATCH(BG$1,Részletes!$A$1:$BW$1,0)),BF8),0)</f>
        <v>0</v>
      </c>
      <c r="BH8" s="17">
        <f>IFERROR(IF(INDEX(Részletes!$A$1:$BW$104,MATCH($A8,Részletes!$A:$A,0)+1,MATCH(BH$1,Részletes!$A$1:$BW$1,0))&lt;&gt;"",INDEX(Részletes!$A$1:$BW$104,MATCH($A8,Részletes!$A:$A,0)+1,MATCH(BH$1,Részletes!$A$1:$BW$1,0)),BG8),0)</f>
        <v>0</v>
      </c>
      <c r="BI8" s="17">
        <f>IFERROR(IF(INDEX(Részletes!$A$1:$BW$104,MATCH($A8,Részletes!$A:$A,0)+1,MATCH(BI$1,Részletes!$A$1:$BW$1,0))&lt;&gt;"",INDEX(Részletes!$A$1:$BW$104,MATCH($A8,Részletes!$A:$A,0)+1,MATCH(BI$1,Részletes!$A$1:$BW$1,0)),BH8),0)</f>
        <v>0</v>
      </c>
      <c r="BJ8" s="17">
        <f>IFERROR(IF(INDEX(Részletes!$A$1:$BW$104,MATCH($A8,Részletes!$A:$A,0)+1,MATCH(BJ$1,Részletes!$A$1:$BW$1,0))&lt;&gt;"",INDEX(Részletes!$A$1:$BW$104,MATCH($A8,Részletes!$A:$A,0)+1,MATCH(BJ$1,Részletes!$A$1:$BW$1,0)),BI8),0)</f>
        <v>0</v>
      </c>
      <c r="BK8" s="17">
        <f>IFERROR(IF(INDEX(Részletes!$A$1:$BW$104,MATCH($A8,Részletes!$A:$A,0)+1,MATCH(BK$1,Részletes!$A$1:$BW$1,0))&lt;&gt;"",INDEX(Részletes!$A$1:$BW$104,MATCH($A8,Részletes!$A:$A,0)+1,MATCH(BK$1,Részletes!$A$1:$BW$1,0)),BJ8),0)</f>
        <v>0</v>
      </c>
      <c r="BL8" s="17">
        <f>IFERROR(IF(INDEX(Részletes!$A$1:$BW$104,MATCH($A8,Részletes!$A:$A,0)+1,MATCH(BL$1,Részletes!$A$1:$BW$1,0))&lt;&gt;"",INDEX(Részletes!$A$1:$BW$104,MATCH($A8,Részletes!$A:$A,0)+1,MATCH(BL$1,Részletes!$A$1:$BW$1,0)),BK8),0)</f>
        <v>0</v>
      </c>
      <c r="BM8" s="17">
        <f>IFERROR(IF(INDEX(Részletes!$A$1:$BW$104,MATCH($A8,Részletes!$A:$A,0)+1,MATCH(BM$1,Részletes!$A$1:$BW$1,0))&lt;&gt;"",INDEX(Részletes!$A$1:$BW$104,MATCH($A8,Részletes!$A:$A,0)+1,MATCH(BM$1,Részletes!$A$1:$BW$1,0)),BL8),0)</f>
        <v>0</v>
      </c>
      <c r="BN8" s="17">
        <f>IFERROR(IF(INDEX(Részletes!$A$1:$BW$104,MATCH($A8,Részletes!$A:$A,0)+1,MATCH(BN$1,Részletes!$A$1:$BW$1,0))&lt;&gt;"",INDEX(Részletes!$A$1:$BW$104,MATCH($A8,Részletes!$A:$A,0)+1,MATCH(BN$1,Részletes!$A$1:$BW$1,0)),BM8),0)</f>
        <v>0</v>
      </c>
      <c r="BO8" s="17">
        <f>IFERROR(IF(INDEX(Részletes!$A$1:$BW$104,MATCH($A8,Részletes!$A:$A,0)+1,MATCH(BO$1,Részletes!$A$1:$BW$1,0))&lt;&gt;"",INDEX(Részletes!$A$1:$BW$104,MATCH($A8,Részletes!$A:$A,0)+1,MATCH(BO$1,Részletes!$A$1:$BW$1,0)),BN8),0)</f>
        <v>0</v>
      </c>
      <c r="BP8" s="17">
        <f>IFERROR(IF(INDEX(Részletes!$A$1:$BW$104,MATCH($A8,Részletes!$A:$A,0)+1,MATCH(BP$1,Részletes!$A$1:$BW$1,0))&lt;&gt;"",INDEX(Részletes!$A$1:$BW$104,MATCH($A8,Részletes!$A:$A,0)+1,MATCH(BP$1,Részletes!$A$1:$BW$1,0)),BO8),0)</f>
        <v>0</v>
      </c>
      <c r="BQ8" s="17">
        <f>IFERROR(IF(INDEX(Részletes!$A$1:$BW$104,MATCH($A8,Részletes!$A:$A,0)+1,MATCH(BQ$1,Részletes!$A$1:$BW$1,0))&lt;&gt;"",INDEX(Részletes!$A$1:$BW$104,MATCH($A8,Részletes!$A:$A,0)+1,MATCH(BQ$1,Részletes!$A$1:$BW$1,0)),BP8),0)</f>
        <v>0</v>
      </c>
      <c r="BR8" s="17">
        <f>IFERROR(IF(INDEX(Részletes!$A$1:$BW$104,MATCH($A8,Részletes!$A:$A,0)+1,MATCH(BR$1,Részletes!$A$1:$BW$1,0))&lt;&gt;"",INDEX(Részletes!$A$1:$BW$104,MATCH($A8,Részletes!$A:$A,0)+1,MATCH(BR$1,Részletes!$A$1:$BW$1,0)),BQ8),0)</f>
        <v>0</v>
      </c>
      <c r="BS8" s="17">
        <f>IFERROR(IF(INDEX(Részletes!$A$1:$BW$104,MATCH($A8,Részletes!$A:$A,0)+1,MATCH(BS$1,Részletes!$A$1:$BW$1,0))&lt;&gt;"",INDEX(Részletes!$A$1:$BW$104,MATCH($A8,Részletes!$A:$A,0)+1,MATCH(BS$1,Részletes!$A$1:$BW$1,0)),BR8),0)</f>
        <v>0</v>
      </c>
      <c r="BT8" s="17">
        <f>IFERROR(IF(INDEX(Részletes!$A$1:$BW$104,MATCH($A8,Részletes!$A:$A,0)+1,MATCH(BT$1,Részletes!$A$1:$BW$1,0))&lt;&gt;"",INDEX(Részletes!$A$1:$BW$104,MATCH($A8,Részletes!$A:$A,0)+1,MATCH(BT$1,Részletes!$A$1:$BW$1,0)),BS8),0)</f>
        <v>0</v>
      </c>
    </row>
    <row r="9" spans="1:72" x14ac:dyDescent="0.25">
      <c r="A9" s="7" t="s">
        <v>7</v>
      </c>
      <c r="B9" s="8">
        <f>Részletes!B55</f>
        <v>1668000</v>
      </c>
      <c r="C9" s="8">
        <f>Részletes!C55</f>
        <v>1558000</v>
      </c>
      <c r="D9" s="8">
        <f>Részletes!D55</f>
        <v>1448000</v>
      </c>
      <c r="E9" s="8">
        <f>Részletes!E55</f>
        <v>1338000</v>
      </c>
      <c r="F9" s="8">
        <f>Részletes!F55</f>
        <v>1258000</v>
      </c>
      <c r="G9" s="8">
        <f>Részletes!G55</f>
        <v>1297000</v>
      </c>
      <c r="H9" s="8">
        <f>Részletes!H55</f>
        <v>1336000</v>
      </c>
      <c r="I9" s="8">
        <f>Részletes!I55</f>
        <v>1336000</v>
      </c>
      <c r="J9" s="8">
        <f>Részletes!J55</f>
        <v>1336000</v>
      </c>
      <c r="K9" s="8">
        <f>Részletes!K55</f>
        <v>1226000</v>
      </c>
      <c r="L9" s="8">
        <f>Részletes!L55</f>
        <v>1045000</v>
      </c>
      <c r="M9" s="8">
        <f>Részletes!M55</f>
        <v>935000</v>
      </c>
      <c r="N9" s="8">
        <f>Részletes!N55</f>
        <v>425000</v>
      </c>
      <c r="O9" s="8">
        <f>Részletes!O55</f>
        <v>315000</v>
      </c>
      <c r="P9" s="8">
        <f>Részletes!P55</f>
        <v>205000</v>
      </c>
      <c r="Q9" s="8">
        <f>Részletes!Q55</f>
        <v>215000</v>
      </c>
      <c r="R9" s="8">
        <f>Részletes!R55</f>
        <v>234000</v>
      </c>
      <c r="S9" s="8">
        <f>Részletes!S55</f>
        <v>334000</v>
      </c>
      <c r="T9" s="8">
        <f>Részletes!T55</f>
        <v>1798000</v>
      </c>
      <c r="U9" s="8">
        <f>Részletes!U55</f>
        <v>1798000</v>
      </c>
      <c r="V9" s="8">
        <f>Részletes!V55</f>
        <v>1500000</v>
      </c>
      <c r="W9" s="8">
        <f>Részletes!W55</f>
        <v>1487000</v>
      </c>
      <c r="X9" s="8">
        <f>Részletes!X55</f>
        <v>1123000</v>
      </c>
      <c r="Y9" s="8">
        <f>Részletes!Y55</f>
        <v>1017000</v>
      </c>
      <c r="Z9" s="8">
        <f>Részletes!Z55</f>
        <v>1017000</v>
      </c>
      <c r="AA9" s="8">
        <f>Részletes!AA55</f>
        <v>1017000</v>
      </c>
      <c r="AB9" s="8">
        <f>Részletes!AB55</f>
        <v>1017000</v>
      </c>
      <c r="AC9" s="8">
        <f>Részletes!AC55</f>
        <v>1017000</v>
      </c>
      <c r="AD9" s="8">
        <f>Részletes!AD55</f>
        <v>100000</v>
      </c>
      <c r="AE9" s="8">
        <f>Részletes!AE55</f>
        <v>0</v>
      </c>
      <c r="AF9" s="8">
        <f>Részletes!AF55</f>
        <v>180000</v>
      </c>
      <c r="AG9" s="8">
        <f>Részletes!AG55</f>
        <v>180000</v>
      </c>
      <c r="AH9" s="8">
        <f>Részletes!AH55</f>
        <v>180000</v>
      </c>
      <c r="AI9" s="8">
        <f>Részletes!AI55</f>
        <v>280000</v>
      </c>
      <c r="AJ9" s="8">
        <f>Részletes!AJ55</f>
        <v>0</v>
      </c>
      <c r="AK9" s="53">
        <f>Részletes!AK55</f>
        <v>0</v>
      </c>
      <c r="AL9" s="8">
        <f>Részletes!AL55</f>
        <v>0</v>
      </c>
      <c r="AM9" s="8">
        <f>Részletes!AM55</f>
        <v>130000</v>
      </c>
      <c r="AN9" s="8">
        <f>Részletes!AN55</f>
        <v>130000</v>
      </c>
      <c r="AO9" s="8">
        <f>Részletes!AO55</f>
        <v>130000</v>
      </c>
      <c r="AP9" s="8">
        <f>Részletes!AP55</f>
        <v>130000</v>
      </c>
      <c r="AQ9" s="8">
        <f>Részletes!AQ55</f>
        <v>130000</v>
      </c>
      <c r="AR9" s="8">
        <f>Részletes!AR55</f>
        <v>60000</v>
      </c>
      <c r="AS9" s="8">
        <f>Részletes!AS55</f>
        <v>60000</v>
      </c>
      <c r="AT9" s="8">
        <f>Részletes!AT55</f>
        <v>60000</v>
      </c>
      <c r="AU9" s="8">
        <f>Részletes!AU55</f>
        <v>60000</v>
      </c>
      <c r="AV9" s="8">
        <f>Részletes!AV55</f>
        <v>1360000</v>
      </c>
      <c r="AW9" s="8">
        <f>Részletes!AW55</f>
        <v>1360000</v>
      </c>
      <c r="AX9" s="8">
        <f>Részletes!AX55</f>
        <v>1360000</v>
      </c>
      <c r="AY9" s="8">
        <f>Részletes!AY55</f>
        <v>1360000</v>
      </c>
      <c r="AZ9" s="8">
        <f>Részletes!AZ55</f>
        <v>760000</v>
      </c>
      <c r="BA9" s="8">
        <f>Részletes!BA55</f>
        <v>760000</v>
      </c>
      <c r="BB9" s="8">
        <f>Részletes!BB55</f>
        <v>760000</v>
      </c>
      <c r="BC9" s="8">
        <f>Részletes!BC55</f>
        <v>760000</v>
      </c>
      <c r="BD9" s="8">
        <f>Részletes!BD55</f>
        <v>760000</v>
      </c>
      <c r="BE9" s="8">
        <f>Részletes!BE55</f>
        <v>760000</v>
      </c>
      <c r="BF9" s="8">
        <f>Részletes!BF55</f>
        <v>760000</v>
      </c>
      <c r="BG9" s="8">
        <f>Részletes!BG55</f>
        <v>760000</v>
      </c>
      <c r="BH9" s="8">
        <f>Részletes!BH55</f>
        <v>760000</v>
      </c>
      <c r="BI9" s="8">
        <f>Részletes!BI55</f>
        <v>760000</v>
      </c>
      <c r="BJ9" s="8">
        <f>Részletes!BJ55</f>
        <v>760000</v>
      </c>
      <c r="BK9" s="8">
        <f>Részletes!BK55</f>
        <v>760000</v>
      </c>
      <c r="BL9" s="8">
        <f>Részletes!BL55</f>
        <v>760000</v>
      </c>
      <c r="BM9" s="8">
        <f>Részletes!BM55</f>
        <v>760000</v>
      </c>
      <c r="BN9" s="8">
        <f>Részletes!BN55</f>
        <v>760000</v>
      </c>
      <c r="BO9" s="8">
        <f>Részletes!BO55</f>
        <v>760000</v>
      </c>
      <c r="BP9" s="8">
        <f>Részletes!BP55</f>
        <v>760000</v>
      </c>
      <c r="BQ9" s="8">
        <f>Részletes!BQ55</f>
        <v>760000</v>
      </c>
      <c r="BR9" s="8">
        <f>Részletes!BR55</f>
        <v>760000</v>
      </c>
      <c r="BS9" s="8">
        <f>Részletes!BS55</f>
        <v>760000</v>
      </c>
      <c r="BT9" s="8">
        <f>Részletes!BT55</f>
        <v>760000</v>
      </c>
    </row>
    <row r="10" spans="1:72" x14ac:dyDescent="0.25">
      <c r="A10" s="30" t="s">
        <v>8</v>
      </c>
      <c r="B10" s="31">
        <f>Részletes!B75</f>
        <v>-310099.28000000003</v>
      </c>
      <c r="C10" s="31">
        <f>Részletes!C75</f>
        <v>187525.58999999991</v>
      </c>
      <c r="D10" s="31">
        <f>Részletes!D75</f>
        <v>321988.44</v>
      </c>
      <c r="E10" s="31">
        <f>Részletes!E75</f>
        <v>14985.099999999977</v>
      </c>
      <c r="F10" s="31">
        <f>Részletes!F75</f>
        <v>634365.71</v>
      </c>
      <c r="G10" s="31">
        <f>Részletes!G75</f>
        <v>539232.97</v>
      </c>
      <c r="H10" s="31">
        <f>Részletes!H75</f>
        <v>3581089.4399999995</v>
      </c>
      <c r="I10" s="31">
        <f>Részletes!I75</f>
        <v>678274.91999999993</v>
      </c>
      <c r="J10" s="31">
        <f>Részletes!J75</f>
        <v>612880</v>
      </c>
      <c r="K10" s="31">
        <f>Részletes!K75</f>
        <v>610964.41999999993</v>
      </c>
      <c r="L10" s="31">
        <f>Részletes!L75</f>
        <v>451338.16999999993</v>
      </c>
      <c r="M10" s="59">
        <f>Részletes!M75</f>
        <v>662755.51</v>
      </c>
      <c r="N10" s="59">
        <f>Részletes!N75</f>
        <v>318724</v>
      </c>
      <c r="O10" s="59">
        <f>Részletes!O75</f>
        <v>-7647285.5299999993</v>
      </c>
      <c r="P10" s="59">
        <f>Részletes!P75</f>
        <v>631688</v>
      </c>
      <c r="Q10" s="59">
        <f>Részletes!Q75</f>
        <v>-5404157.129999999</v>
      </c>
      <c r="R10" s="59">
        <f>Részletes!R75</f>
        <v>422553.3599999994</v>
      </c>
      <c r="S10" s="59">
        <f>Részletes!S75</f>
        <v>-476231.33000000007</v>
      </c>
      <c r="T10" s="59">
        <f>Részletes!T75</f>
        <v>-730456.47999999952</v>
      </c>
      <c r="U10" s="59">
        <f>Részletes!U75</f>
        <v>-4806590.88</v>
      </c>
      <c r="V10" s="59">
        <f>Részletes!V75</f>
        <v>357848.69999999995</v>
      </c>
      <c r="W10" s="59">
        <f>Részletes!W75</f>
        <v>377925</v>
      </c>
      <c r="X10" s="59">
        <f>Részletes!X75</f>
        <v>291509.81999999983</v>
      </c>
      <c r="Y10" s="59">
        <f>Részletes!Y75</f>
        <v>-25072.090000000084</v>
      </c>
      <c r="Z10" s="59">
        <f>Részletes!Z75</f>
        <v>266762.20999999996</v>
      </c>
      <c r="AA10" s="59">
        <f>Részletes!AA75</f>
        <v>265073.13999999978</v>
      </c>
      <c r="AB10" s="59">
        <f>Részletes!AB75</f>
        <v>10297289.210000001</v>
      </c>
      <c r="AC10" s="59">
        <f>Részletes!AC75</f>
        <v>-90683.890000000596</v>
      </c>
      <c r="AD10" s="59">
        <f>Részletes!AD75</f>
        <v>-358669.34000000008</v>
      </c>
      <c r="AE10" s="59">
        <f>Részletes!AE75</f>
        <v>470402.45999999996</v>
      </c>
      <c r="AF10" s="59">
        <f>Részletes!AF75</f>
        <v>322924.41000000015</v>
      </c>
      <c r="AG10" s="59">
        <f>Részletes!AG75</f>
        <v>-42073.919999999925</v>
      </c>
      <c r="AH10" s="59">
        <f>Részletes!AH75</f>
        <v>-207973.79000000004</v>
      </c>
      <c r="AI10" s="59">
        <f>Részletes!AI75</f>
        <v>108864.20999999996</v>
      </c>
      <c r="AJ10" s="59">
        <f>Részletes!AJ75</f>
        <v>457793.96999999974</v>
      </c>
      <c r="AK10" s="60">
        <f>Részletes!AK75</f>
        <v>725887.66999999993</v>
      </c>
      <c r="AL10" s="59">
        <f>Részletes!AL75</f>
        <v>399035.93999999994</v>
      </c>
      <c r="AM10" s="59">
        <f>Részletes!AM75</f>
        <v>1208686.3599999999</v>
      </c>
      <c r="AN10" s="59">
        <f>Részletes!AN75</f>
        <v>257899.02000000002</v>
      </c>
      <c r="AO10" s="59">
        <f>Részletes!AO75</f>
        <v>-6194115.79</v>
      </c>
      <c r="AP10" s="59">
        <f>Részletes!AP75</f>
        <v>81698.339999999851</v>
      </c>
      <c r="AQ10" s="59">
        <f>Részletes!AQ75</f>
        <v>1154888.21</v>
      </c>
      <c r="AR10" s="59">
        <f>Részletes!AR75</f>
        <v>-413739.79000000004</v>
      </c>
      <c r="AS10" s="59">
        <f>Részletes!AS75</f>
        <v>360205.15999999992</v>
      </c>
      <c r="AT10" s="59">
        <f>Részletes!AT75</f>
        <v>72394.179999999935</v>
      </c>
      <c r="AU10" s="59">
        <f>Részletes!AU75</f>
        <v>-159474.79000000004</v>
      </c>
      <c r="AV10" s="59">
        <f>Részletes!AV75</f>
        <v>1337342.3599999999</v>
      </c>
      <c r="AW10" s="59">
        <f>Részletes!AW75</f>
        <v>397575.13000000012</v>
      </c>
      <c r="AX10" s="59">
        <f>Részletes!AX75</f>
        <v>-89325.790000000037</v>
      </c>
      <c r="AY10" s="59">
        <f>Részletes!AY75</f>
        <v>-322923.77</v>
      </c>
      <c r="AZ10" s="59">
        <f>Részletes!AZ75</f>
        <v>-296759.02</v>
      </c>
      <c r="BA10" s="59">
        <f>Részletes!BA75</f>
        <v>315694.20999999996</v>
      </c>
      <c r="BB10" s="59">
        <f>Részletes!BB75</f>
        <v>0</v>
      </c>
      <c r="BC10" s="59">
        <f>Részletes!BC75</f>
        <v>0</v>
      </c>
      <c r="BD10" s="59">
        <f>Részletes!BD75</f>
        <v>0</v>
      </c>
      <c r="BE10" s="59">
        <f>Részletes!BE75</f>
        <v>0</v>
      </c>
      <c r="BF10" s="59">
        <f>Részletes!BF75</f>
        <v>0</v>
      </c>
      <c r="BG10" s="59">
        <f>Részletes!BG75</f>
        <v>0</v>
      </c>
      <c r="BH10" s="59">
        <f>Részletes!BH75</f>
        <v>0</v>
      </c>
      <c r="BI10" s="59">
        <f>Részletes!BI75</f>
        <v>0</v>
      </c>
      <c r="BJ10" s="59">
        <f>Részletes!BJ75</f>
        <v>0</v>
      </c>
      <c r="BK10" s="59">
        <f>Részletes!BK75</f>
        <v>0</v>
      </c>
      <c r="BL10" s="59">
        <f>Részletes!BL75</f>
        <v>0</v>
      </c>
      <c r="BM10" s="59">
        <f>Részletes!BM75</f>
        <v>0</v>
      </c>
      <c r="BN10" s="59">
        <f>Részletes!BN75</f>
        <v>0</v>
      </c>
      <c r="BO10" s="59">
        <f>Részletes!BO75</f>
        <v>0</v>
      </c>
      <c r="BP10" s="59">
        <f>Részletes!BP75</f>
        <v>0</v>
      </c>
      <c r="BQ10" s="59">
        <f>Részletes!BQ75</f>
        <v>0</v>
      </c>
      <c r="BR10" s="59">
        <f>Részletes!BR75</f>
        <v>0</v>
      </c>
      <c r="BS10" s="59">
        <f>Részletes!BS75</f>
        <v>0</v>
      </c>
      <c r="BT10" s="59">
        <f>Részletes!BT75</f>
        <v>0</v>
      </c>
    </row>
    <row r="11" spans="1:72" s="46" customFormat="1" ht="18.75" customHeight="1" x14ac:dyDescent="0.3">
      <c r="A11" s="44" t="s">
        <v>9</v>
      </c>
      <c r="B11" s="45">
        <f t="shared" ref="B11:AG11" si="0">SUM(B2:B9)</f>
        <v>12283167</v>
      </c>
      <c r="C11" s="45">
        <f t="shared" si="0"/>
        <v>11834951</v>
      </c>
      <c r="D11" s="45">
        <f t="shared" si="0"/>
        <v>11956029</v>
      </c>
      <c r="E11" s="45">
        <f t="shared" si="0"/>
        <v>12452324</v>
      </c>
      <c r="F11" s="45">
        <f t="shared" si="0"/>
        <v>12433500</v>
      </c>
      <c r="G11" s="45">
        <f t="shared" si="0"/>
        <v>13075233</v>
      </c>
      <c r="H11" s="45">
        <f t="shared" si="0"/>
        <v>13550081</v>
      </c>
      <c r="I11" s="45">
        <f t="shared" si="0"/>
        <v>17232382</v>
      </c>
      <c r="J11" s="45">
        <f t="shared" si="0"/>
        <v>17908102</v>
      </c>
      <c r="K11" s="45">
        <f t="shared" si="0"/>
        <v>18444451</v>
      </c>
      <c r="L11" s="45">
        <f t="shared" si="0"/>
        <v>19475412</v>
      </c>
      <c r="M11" s="45">
        <f t="shared" si="0"/>
        <v>19739926</v>
      </c>
      <c r="N11" s="45">
        <f t="shared" si="0"/>
        <v>19861524</v>
      </c>
      <c r="O11" s="45">
        <f t="shared" si="0"/>
        <v>20649393</v>
      </c>
      <c r="P11" s="45">
        <f t="shared" si="0"/>
        <v>13027758</v>
      </c>
      <c r="Q11" s="45">
        <f t="shared" si="0"/>
        <v>14394495</v>
      </c>
      <c r="R11" s="45">
        <f t="shared" si="0"/>
        <v>9003808</v>
      </c>
      <c r="S11" s="45">
        <f t="shared" si="0"/>
        <v>10360704</v>
      </c>
      <c r="T11" s="45">
        <f t="shared" si="0"/>
        <v>11254073</v>
      </c>
      <c r="U11" s="45">
        <f t="shared" si="0"/>
        <v>9058778</v>
      </c>
      <c r="V11" s="45">
        <f t="shared" si="0"/>
        <v>7727121</v>
      </c>
      <c r="W11" s="45">
        <f t="shared" si="0"/>
        <v>7796062</v>
      </c>
      <c r="X11" s="45">
        <f t="shared" si="0"/>
        <v>8776756</v>
      </c>
      <c r="Y11" s="45">
        <f t="shared" si="0"/>
        <v>9193661</v>
      </c>
      <c r="Z11" s="45">
        <f t="shared" si="0"/>
        <v>9013769</v>
      </c>
      <c r="AA11" s="45">
        <f t="shared" si="0"/>
        <v>9319775</v>
      </c>
      <c r="AB11" s="45">
        <f t="shared" si="0"/>
        <v>9564082</v>
      </c>
      <c r="AC11" s="45">
        <f t="shared" si="0"/>
        <v>19842615</v>
      </c>
      <c r="AD11" s="45">
        <f t="shared" si="0"/>
        <v>18835157</v>
      </c>
      <c r="AE11" s="45">
        <f t="shared" si="0"/>
        <v>19498071</v>
      </c>
      <c r="AF11" s="45">
        <f t="shared" si="0"/>
        <v>19691341.300000001</v>
      </c>
      <c r="AG11" s="45">
        <f t="shared" si="0"/>
        <v>19897282.505833331</v>
      </c>
      <c r="AH11" s="45">
        <f t="shared" ref="AH11:BM11" si="1">SUM(AH2:AH9)</f>
        <v>19918487.951649304</v>
      </c>
      <c r="AI11" s="45">
        <f t="shared" si="1"/>
        <v>19771012</v>
      </c>
      <c r="AJ11" s="45">
        <f t="shared" si="1"/>
        <v>19690488.900833335</v>
      </c>
      <c r="AK11" s="54">
        <f t="shared" si="1"/>
        <v>20390814</v>
      </c>
      <c r="AL11" s="45">
        <f t="shared" si="1"/>
        <v>20677208</v>
      </c>
      <c r="AM11" s="45">
        <f t="shared" si="1"/>
        <v>20963317</v>
      </c>
      <c r="AN11" s="45">
        <f t="shared" si="1"/>
        <v>22294317</v>
      </c>
      <c r="AO11" s="45">
        <f t="shared" si="1"/>
        <v>25594752</v>
      </c>
      <c r="AP11" s="45">
        <f t="shared" si="1"/>
        <v>19670099</v>
      </c>
      <c r="AQ11" s="45">
        <f t="shared" si="1"/>
        <v>20003746.812899999</v>
      </c>
      <c r="AR11" s="45">
        <f t="shared" si="1"/>
        <v>21420993</v>
      </c>
      <c r="AS11" s="45">
        <f t="shared" si="1"/>
        <v>21495161.800733335</v>
      </c>
      <c r="AT11" s="45">
        <f t="shared" si="1"/>
        <v>21663222</v>
      </c>
      <c r="AU11" s="45">
        <f t="shared" si="1"/>
        <v>22102313</v>
      </c>
      <c r="AV11" s="45">
        <f t="shared" si="1"/>
        <v>23389731</v>
      </c>
      <c r="AW11" s="45">
        <f t="shared" si="1"/>
        <v>23670605</v>
      </c>
      <c r="AX11" s="45">
        <f t="shared" si="1"/>
        <v>21635420.003333334</v>
      </c>
      <c r="AY11" s="45">
        <f t="shared" si="1"/>
        <v>21600137</v>
      </c>
      <c r="AZ11" s="45">
        <f t="shared" si="1"/>
        <v>20945830</v>
      </c>
      <c r="BA11" s="45">
        <f t="shared" si="1"/>
        <v>21433574</v>
      </c>
      <c r="BB11" s="45">
        <f t="shared" si="1"/>
        <v>21883837</v>
      </c>
      <c r="BC11" s="45">
        <f t="shared" si="1"/>
        <v>21991306.640733331</v>
      </c>
      <c r="BD11" s="45">
        <f t="shared" si="1"/>
        <v>22102157.679333333</v>
      </c>
      <c r="BE11" s="45">
        <f t="shared" si="1"/>
        <v>22216435.201104887</v>
      </c>
      <c r="BF11" s="45">
        <f t="shared" si="1"/>
        <v>22334184.892490286</v>
      </c>
      <c r="BG11" s="45">
        <f t="shared" si="1"/>
        <v>22455453.04908438</v>
      </c>
      <c r="BH11" s="45">
        <f t="shared" si="1"/>
        <v>22580286.583756614</v>
      </c>
      <c r="BI11" s="45">
        <f t="shared" si="1"/>
        <v>22708733.034881372</v>
      </c>
      <c r="BJ11" s="45">
        <f t="shared" si="1"/>
        <v>22840840.574678011</v>
      </c>
      <c r="BK11" s="45">
        <f t="shared" si="1"/>
        <v>22976658.017662164</v>
      </c>
      <c r="BL11" s="45">
        <f t="shared" si="1"/>
        <v>23116234.829209659</v>
      </c>
      <c r="BM11" s="45">
        <f t="shared" si="1"/>
        <v>23259621.134234678</v>
      </c>
      <c r="BN11" s="45">
        <f t="shared" ref="BN11:BT11" si="2">SUM(BN2:BN9)</f>
        <v>23260176.830475796</v>
      </c>
      <c r="BO11" s="45">
        <f t="shared" si="2"/>
        <v>23261710.466020305</v>
      </c>
      <c r="BP11" s="45">
        <f t="shared" si="2"/>
        <v>23264228.560463548</v>
      </c>
      <c r="BQ11" s="45">
        <f t="shared" si="2"/>
        <v>23267737.676864862</v>
      </c>
      <c r="BR11" s="45">
        <f t="shared" si="2"/>
        <v>23272244.422037292</v>
      </c>
      <c r="BS11" s="45">
        <f t="shared" si="2"/>
        <v>23277755.446839321</v>
      </c>
      <c r="BT11" s="45">
        <f t="shared" si="2"/>
        <v>23284277.446468472</v>
      </c>
    </row>
    <row r="12" spans="1:72" s="43" customFormat="1" x14ac:dyDescent="0.25">
      <c r="A12" s="41" t="s">
        <v>10</v>
      </c>
      <c r="B12" s="42">
        <f>Részletes!B58</f>
        <v>0</v>
      </c>
      <c r="C12" s="42">
        <f>Részletes!C58</f>
        <v>0</v>
      </c>
      <c r="D12" s="42">
        <f>Részletes!D58</f>
        <v>0</v>
      </c>
      <c r="E12" s="42">
        <f>Részletes!E58</f>
        <v>0</v>
      </c>
      <c r="F12" s="42">
        <f>Részletes!F58</f>
        <v>0</v>
      </c>
      <c r="G12" s="42">
        <f>Részletes!G58</f>
        <v>0</v>
      </c>
      <c r="H12" s="42">
        <f>Részletes!H58</f>
        <v>0</v>
      </c>
      <c r="I12" s="42">
        <f>Részletes!I58</f>
        <v>0</v>
      </c>
      <c r="J12" s="42">
        <f>Részletes!J58</f>
        <v>0</v>
      </c>
      <c r="K12" s="42">
        <f>Részletes!K58</f>
        <v>0</v>
      </c>
      <c r="L12" s="42">
        <f>Részletes!L58</f>
        <v>0</v>
      </c>
      <c r="M12" s="67">
        <f>Részletes!M64</f>
        <v>0</v>
      </c>
      <c r="N12" s="67">
        <f>Részletes!N64</f>
        <v>0</v>
      </c>
      <c r="O12" s="67">
        <f>Részletes!O64</f>
        <v>0</v>
      </c>
      <c r="P12" s="67">
        <f>Részletes!P64</f>
        <v>0</v>
      </c>
      <c r="Q12" s="67">
        <f>Részletes!Q64</f>
        <v>0</v>
      </c>
      <c r="R12" s="67">
        <f>Részletes!R64</f>
        <v>-26900000</v>
      </c>
      <c r="S12" s="67">
        <f>Részletes!S64</f>
        <v>-27085471.389999997</v>
      </c>
      <c r="T12" s="67">
        <f>Részletes!T64</f>
        <v>-27085471.389999997</v>
      </c>
      <c r="U12" s="67">
        <f>Részletes!U64</f>
        <v>-26879552.709999997</v>
      </c>
      <c r="V12" s="67">
        <f>Részletes!V64</f>
        <v>-26673215.559999999</v>
      </c>
      <c r="W12" s="67">
        <f>Részletes!W64</f>
        <v>-26673215.559999999</v>
      </c>
      <c r="X12" s="67">
        <f>Részletes!X64</f>
        <v>-26466035.559999999</v>
      </c>
      <c r="Y12" s="67">
        <f>Részletes!Y64</f>
        <v>-26256685.559999999</v>
      </c>
      <c r="Z12" s="67">
        <f>Részletes!Z64</f>
        <v>-26048658.82</v>
      </c>
      <c r="AA12" s="67">
        <f>Részletes!AA64</f>
        <v>-25840209.32</v>
      </c>
      <c r="AB12" s="67">
        <f>Részletes!AB64</f>
        <v>-25626213.789999999</v>
      </c>
      <c r="AC12" s="67">
        <f>Részletes!AC64</f>
        <v>-35416905.789999999</v>
      </c>
      <c r="AD12" s="67">
        <f>Részletes!AD64</f>
        <v>-35159659.609999999</v>
      </c>
      <c r="AE12" s="67">
        <f>Részletes!AE64</f>
        <v>-34736395</v>
      </c>
      <c r="AF12" s="67">
        <f>Részletes!AF64</f>
        <v>-34523238.243500002</v>
      </c>
      <c r="AG12" s="67">
        <f>Részletes!AG64</f>
        <v>-34309662.27871222</v>
      </c>
      <c r="AH12" s="67">
        <f>Részletes!AH64</f>
        <v>-34095666.281193689</v>
      </c>
      <c r="AI12" s="67">
        <f>Részletes!AI64</f>
        <v>-34311454</v>
      </c>
      <c r="AJ12" s="67">
        <f>Részletes!AJ64</f>
        <v>-34097461.526199996</v>
      </c>
      <c r="AK12" s="68">
        <f>Részletes!AK64</f>
        <v>-33884813</v>
      </c>
      <c r="AL12" s="67">
        <f>Részletes!AL64</f>
        <v>-33671632</v>
      </c>
      <c r="AM12" s="67">
        <f>Részletes!AM64</f>
        <v>-33456381.209600002</v>
      </c>
      <c r="AN12" s="67">
        <f>Részletes!AN64</f>
        <v>-33239348</v>
      </c>
      <c r="AO12" s="67">
        <f>Részletes!AO64</f>
        <v>-33024855</v>
      </c>
      <c r="AP12" s="67">
        <f>Részletes!AP64</f>
        <v>-32808415</v>
      </c>
      <c r="AQ12" s="67">
        <f>Részletes!AQ64</f>
        <v>-32591466.5495</v>
      </c>
      <c r="AR12" s="67">
        <f>Részletes!AR64</f>
        <v>-32375757</v>
      </c>
      <c r="AS12" s="67">
        <f>Részletes!AS64</f>
        <v>-32157957.655433331</v>
      </c>
      <c r="AT12" s="67">
        <f>Részletes!AT64</f>
        <v>-31942822</v>
      </c>
      <c r="AU12" s="67">
        <f>Részletes!AU64</f>
        <v>-31724253</v>
      </c>
      <c r="AV12" s="67">
        <f>Részletes!AV64</f>
        <v>-31506681</v>
      </c>
      <c r="AW12" s="67">
        <f>Részletes!AW64</f>
        <v>-31287255</v>
      </c>
      <c r="AX12" s="67">
        <f>Részletes!AX64</f>
        <v>-31067314.934833329</v>
      </c>
      <c r="AY12" s="67">
        <f>Részletes!AY64</f>
        <v>-30849885</v>
      </c>
      <c r="AZ12" s="67">
        <f>Részletes!AZ64</f>
        <v>-30627804</v>
      </c>
      <c r="BA12" s="67">
        <f>Részletes!BA64</f>
        <v>-30408005</v>
      </c>
      <c r="BB12" s="67">
        <f>Részletes!BB64</f>
        <v>-30186417</v>
      </c>
      <c r="BC12" s="67">
        <f>Részletes!BC64</f>
        <v>-29964311.953433335</v>
      </c>
      <c r="BD12" s="67">
        <f>Részletes!BD64</f>
        <v>-29741770.100275088</v>
      </c>
      <c r="BE12" s="67">
        <f>Részletes!BE64</f>
        <v>-29518790.581472296</v>
      </c>
      <c r="BF12" s="67">
        <f>Részletes!BF64</f>
        <v>-29295372.536282524</v>
      </c>
      <c r="BG12" s="67">
        <f>Részletes!BG64</f>
        <v>-29071515.102270547</v>
      </c>
      <c r="BH12" s="67">
        <f>Részletes!BH64</f>
        <v>-28847217.415305011</v>
      </c>
      <c r="BI12" s="67">
        <f>Részletes!BI64</f>
        <v>-28622478.60955511</v>
      </c>
      <c r="BJ12" s="67">
        <f>Részletes!BJ64</f>
        <v>-28397297.817487236</v>
      </c>
      <c r="BK12" s="67">
        <f>Részletes!BK64</f>
        <v>-28171674.169861626</v>
      </c>
      <c r="BL12" s="67">
        <f>Részletes!BL64</f>
        <v>-27945606.795729019</v>
      </c>
      <c r="BM12" s="67">
        <f>Részletes!BM64</f>
        <v>-27719094.822427284</v>
      </c>
      <c r="BN12" s="67">
        <f>Részletes!BN64</f>
        <v>-27492137.375578057</v>
      </c>
      <c r="BO12" s="67">
        <f>Részletes!BO64</f>
        <v>-27264733.579083361</v>
      </c>
      <c r="BP12" s="67">
        <f>Részletes!BP64</f>
        <v>-27036882.555122226</v>
      </c>
      <c r="BQ12" s="67">
        <f>Részletes!BQ64</f>
        <v>-26808583.4241473</v>
      </c>
      <c r="BR12" s="67">
        <f>Részletes!BR64</f>
        <v>-26579835.304881457</v>
      </c>
      <c r="BS12" s="67">
        <f>Részletes!BS64</f>
        <v>-26350637.314314391</v>
      </c>
      <c r="BT12" s="67">
        <f>Részletes!BT64</f>
        <v>-26120988.567699209</v>
      </c>
    </row>
    <row r="13" spans="1:72" x14ac:dyDescent="0.25">
      <c r="A13" s="30" t="s">
        <v>11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>
        <v>42000000</v>
      </c>
      <c r="S13" s="31">
        <v>42797896</v>
      </c>
      <c r="T13" s="31">
        <v>43479176</v>
      </c>
      <c r="U13" s="31">
        <v>43227532</v>
      </c>
      <c r="V13" s="31">
        <v>43473038</v>
      </c>
      <c r="W13" s="31">
        <v>43835160</v>
      </c>
      <c r="X13" s="31">
        <v>44203420</v>
      </c>
      <c r="Y13" s="31">
        <v>44718983</v>
      </c>
      <c r="Z13" s="31">
        <v>45197720</v>
      </c>
      <c r="AA13" s="31">
        <v>45848312</v>
      </c>
      <c r="AB13" s="31">
        <v>47204735</v>
      </c>
      <c r="AC13" s="31">
        <v>47124945</v>
      </c>
      <c r="AD13" s="31">
        <v>47100395</v>
      </c>
      <c r="AE13" s="31">
        <v>46775099</v>
      </c>
      <c r="AF13" s="31">
        <v>46149057</v>
      </c>
      <c r="AG13" s="31">
        <f t="shared" ref="AG13:AR13" si="3">($AS$13-$AF$13)/COUNT($AG$1:$AS$1)+AF13</f>
        <v>46676052.615384616</v>
      </c>
      <c r="AH13" s="31">
        <f t="shared" si="3"/>
        <v>47203048.230769232</v>
      </c>
      <c r="AI13" s="31">
        <f t="shared" si="3"/>
        <v>47730043.846153848</v>
      </c>
      <c r="AJ13" s="31">
        <f t="shared" si="3"/>
        <v>48257039.461538464</v>
      </c>
      <c r="AK13" s="55">
        <f t="shared" si="3"/>
        <v>48784035.07692308</v>
      </c>
      <c r="AL13" s="31">
        <f t="shared" si="3"/>
        <v>49311030.692307696</v>
      </c>
      <c r="AM13" s="31">
        <f t="shared" si="3"/>
        <v>49838026.307692312</v>
      </c>
      <c r="AN13" s="31">
        <f t="shared" si="3"/>
        <v>50365021.923076928</v>
      </c>
      <c r="AO13" s="31">
        <f t="shared" si="3"/>
        <v>50892017.538461544</v>
      </c>
      <c r="AP13" s="31">
        <f t="shared" si="3"/>
        <v>51419013.15384616</v>
      </c>
      <c r="AQ13" s="31">
        <f t="shared" si="3"/>
        <v>51946008.769230776</v>
      </c>
      <c r="AR13" s="31">
        <f t="shared" si="3"/>
        <v>52473004.384615391</v>
      </c>
      <c r="AS13" s="31">
        <f>53000000</f>
        <v>53000000</v>
      </c>
      <c r="AT13" s="31">
        <f t="shared" ref="AT13:BT13" si="4">AS13</f>
        <v>53000000</v>
      </c>
      <c r="AU13" s="31">
        <f t="shared" si="4"/>
        <v>53000000</v>
      </c>
      <c r="AV13" s="31">
        <f t="shared" si="4"/>
        <v>53000000</v>
      </c>
      <c r="AW13" s="31">
        <f t="shared" si="4"/>
        <v>53000000</v>
      </c>
      <c r="AX13" s="31">
        <f t="shared" si="4"/>
        <v>53000000</v>
      </c>
      <c r="AY13" s="31">
        <f t="shared" si="4"/>
        <v>53000000</v>
      </c>
      <c r="AZ13" s="31">
        <f t="shared" si="4"/>
        <v>53000000</v>
      </c>
      <c r="BA13" s="31">
        <f t="shared" si="4"/>
        <v>53000000</v>
      </c>
      <c r="BB13" s="31">
        <f t="shared" si="4"/>
        <v>53000000</v>
      </c>
      <c r="BC13" s="31">
        <f t="shared" si="4"/>
        <v>53000000</v>
      </c>
      <c r="BD13" s="31">
        <f t="shared" si="4"/>
        <v>53000000</v>
      </c>
      <c r="BE13" s="31">
        <f t="shared" si="4"/>
        <v>53000000</v>
      </c>
      <c r="BF13" s="31">
        <f t="shared" si="4"/>
        <v>53000000</v>
      </c>
      <c r="BG13" s="31">
        <f t="shared" si="4"/>
        <v>53000000</v>
      </c>
      <c r="BH13" s="31">
        <f t="shared" si="4"/>
        <v>53000000</v>
      </c>
      <c r="BI13" s="31">
        <f t="shared" si="4"/>
        <v>53000000</v>
      </c>
      <c r="BJ13" s="31">
        <f t="shared" si="4"/>
        <v>53000000</v>
      </c>
      <c r="BK13" s="31">
        <f t="shared" si="4"/>
        <v>53000000</v>
      </c>
      <c r="BL13" s="31">
        <f t="shared" si="4"/>
        <v>53000000</v>
      </c>
      <c r="BM13" s="31">
        <f t="shared" si="4"/>
        <v>53000000</v>
      </c>
      <c r="BN13" s="31">
        <f t="shared" si="4"/>
        <v>53000000</v>
      </c>
      <c r="BO13" s="31">
        <f t="shared" si="4"/>
        <v>53000000</v>
      </c>
      <c r="BP13" s="31">
        <f t="shared" si="4"/>
        <v>53000000</v>
      </c>
      <c r="BQ13" s="31">
        <f t="shared" si="4"/>
        <v>53000000</v>
      </c>
      <c r="BR13" s="31">
        <f t="shared" si="4"/>
        <v>53000000</v>
      </c>
      <c r="BS13" s="31">
        <f t="shared" si="4"/>
        <v>53000000</v>
      </c>
      <c r="BT13" s="31">
        <f t="shared" si="4"/>
        <v>53000000</v>
      </c>
    </row>
    <row r="14" spans="1:72" x14ac:dyDescent="0.25">
      <c r="A14" s="30" t="s">
        <v>12</v>
      </c>
      <c r="B14" s="31">
        <v>1000000</v>
      </c>
      <c r="C14" s="31">
        <v>1000000</v>
      </c>
      <c r="D14" s="31">
        <v>1000000</v>
      </c>
      <c r="E14" s="31">
        <v>1000000</v>
      </c>
      <c r="F14" s="31">
        <v>1000000</v>
      </c>
      <c r="G14" s="31">
        <v>1000000</v>
      </c>
      <c r="H14" s="31">
        <v>1000000</v>
      </c>
      <c r="I14" s="31">
        <v>1000000</v>
      </c>
      <c r="J14" s="31">
        <v>1000000</v>
      </c>
      <c r="K14" s="31">
        <v>1000000</v>
      </c>
      <c r="L14" s="31">
        <v>1000000</v>
      </c>
      <c r="M14" s="31">
        <v>1000000</v>
      </c>
      <c r="N14" s="31">
        <v>1000000</v>
      </c>
      <c r="O14" s="31">
        <v>1000000</v>
      </c>
      <c r="P14" s="31">
        <v>1000000</v>
      </c>
      <c r="Q14" s="31">
        <v>1000000</v>
      </c>
      <c r="R14" s="31">
        <v>1000000</v>
      </c>
      <c r="S14" s="31">
        <v>1000000</v>
      </c>
      <c r="T14" s="31">
        <v>1000000</v>
      </c>
      <c r="U14" s="31">
        <f t="shared" ref="U14:AJ14" si="5">4500000+1000000</f>
        <v>5500000</v>
      </c>
      <c r="V14" s="31">
        <f t="shared" si="5"/>
        <v>5500000</v>
      </c>
      <c r="W14" s="31">
        <f t="shared" si="5"/>
        <v>5500000</v>
      </c>
      <c r="X14" s="31">
        <f t="shared" si="5"/>
        <v>5500000</v>
      </c>
      <c r="Y14" s="31">
        <f t="shared" si="5"/>
        <v>5500000</v>
      </c>
      <c r="Z14" s="31">
        <f t="shared" si="5"/>
        <v>5500000</v>
      </c>
      <c r="AA14" s="31">
        <f t="shared" si="5"/>
        <v>5500000</v>
      </c>
      <c r="AB14" s="31">
        <f t="shared" si="5"/>
        <v>5500000</v>
      </c>
      <c r="AC14" s="31">
        <f t="shared" si="5"/>
        <v>5500000</v>
      </c>
      <c r="AD14" s="31">
        <f t="shared" si="5"/>
        <v>5500000</v>
      </c>
      <c r="AE14" s="31">
        <f t="shared" si="5"/>
        <v>5500000</v>
      </c>
      <c r="AF14" s="31">
        <f t="shared" si="5"/>
        <v>5500000</v>
      </c>
      <c r="AG14" s="31">
        <f t="shared" si="5"/>
        <v>5500000</v>
      </c>
      <c r="AH14" s="31">
        <f t="shared" si="5"/>
        <v>5500000</v>
      </c>
      <c r="AI14" s="31">
        <f t="shared" si="5"/>
        <v>5500000</v>
      </c>
      <c r="AJ14" s="31">
        <f t="shared" si="5"/>
        <v>5500000</v>
      </c>
      <c r="AK14" s="55">
        <f>4500000+250000</f>
        <v>4750000</v>
      </c>
      <c r="AL14" s="31">
        <f t="shared" ref="AL14:AR14" si="6">AK14</f>
        <v>4750000</v>
      </c>
      <c r="AM14" s="31">
        <f t="shared" si="6"/>
        <v>4750000</v>
      </c>
      <c r="AN14" s="31">
        <f t="shared" si="6"/>
        <v>4750000</v>
      </c>
      <c r="AO14" s="31">
        <f t="shared" si="6"/>
        <v>4750000</v>
      </c>
      <c r="AP14" s="31">
        <f t="shared" si="6"/>
        <v>4750000</v>
      </c>
      <c r="AQ14" s="31">
        <f t="shared" si="6"/>
        <v>4750000</v>
      </c>
      <c r="AR14" s="31">
        <f t="shared" si="6"/>
        <v>4750000</v>
      </c>
      <c r="AS14" s="31">
        <f>4500000+1000000</f>
        <v>5500000</v>
      </c>
      <c r="AT14" s="31">
        <f>AS14</f>
        <v>5500000</v>
      </c>
      <c r="AU14" s="31">
        <f>AT14</f>
        <v>5500000</v>
      </c>
      <c r="AV14" s="31">
        <f>4500000</f>
        <v>4500000</v>
      </c>
      <c r="AW14" s="31">
        <f t="shared" ref="AW14:BT14" si="7">AV14-AV14*0.05/12</f>
        <v>4481250</v>
      </c>
      <c r="AX14" s="31">
        <f t="shared" si="7"/>
        <v>4462578.125</v>
      </c>
      <c r="AY14" s="31">
        <f t="shared" si="7"/>
        <v>4443984.049479167</v>
      </c>
      <c r="AZ14" s="31">
        <f t="shared" si="7"/>
        <v>4425467.4492730042</v>
      </c>
      <c r="BA14" s="31">
        <f t="shared" si="7"/>
        <v>4407028.0015676999</v>
      </c>
      <c r="BB14" s="31">
        <f t="shared" si="7"/>
        <v>4388665.3848945014</v>
      </c>
      <c r="BC14" s="31">
        <f t="shared" si="7"/>
        <v>4370379.2791241072</v>
      </c>
      <c r="BD14" s="31">
        <f t="shared" si="7"/>
        <v>4352169.3654610896</v>
      </c>
      <c r="BE14" s="31">
        <f t="shared" si="7"/>
        <v>4334035.3264383348</v>
      </c>
      <c r="BF14" s="31">
        <f t="shared" si="7"/>
        <v>4315976.8459115084</v>
      </c>
      <c r="BG14" s="31">
        <f t="shared" si="7"/>
        <v>4297993.6090535438</v>
      </c>
      <c r="BH14" s="31">
        <f t="shared" si="7"/>
        <v>4280085.3023491539</v>
      </c>
      <c r="BI14" s="31">
        <f t="shared" si="7"/>
        <v>4262251.613589366</v>
      </c>
      <c r="BJ14" s="31">
        <f t="shared" si="7"/>
        <v>4244492.2318660766</v>
      </c>
      <c r="BK14" s="31">
        <f t="shared" si="7"/>
        <v>4226806.8475666344</v>
      </c>
      <c r="BL14" s="31">
        <f t="shared" si="7"/>
        <v>4209195.1523684403</v>
      </c>
      <c r="BM14" s="31">
        <f t="shared" si="7"/>
        <v>4191656.8392335717</v>
      </c>
      <c r="BN14" s="31">
        <f t="shared" si="7"/>
        <v>4174191.6024034317</v>
      </c>
      <c r="BO14" s="31">
        <f t="shared" si="7"/>
        <v>4156799.1373934173</v>
      </c>
      <c r="BP14" s="31">
        <f t="shared" si="7"/>
        <v>4139479.1409876114</v>
      </c>
      <c r="BQ14" s="31">
        <f t="shared" si="7"/>
        <v>4122231.3112334963</v>
      </c>
      <c r="BR14" s="31">
        <f t="shared" si="7"/>
        <v>4105055.3474366902</v>
      </c>
      <c r="BS14" s="31">
        <f t="shared" si="7"/>
        <v>4087950.9501557038</v>
      </c>
      <c r="BT14" s="31">
        <f t="shared" si="7"/>
        <v>4070917.8211967219</v>
      </c>
    </row>
    <row r="15" spans="1:72" ht="18" customHeight="1" x14ac:dyDescent="0.25">
      <c r="A15" s="20" t="s">
        <v>13</v>
      </c>
      <c r="B15" s="21">
        <f t="shared" ref="B15:AG15" si="8">SUM(B11:B14)</f>
        <v>13283167</v>
      </c>
      <c r="C15" s="21">
        <f t="shared" si="8"/>
        <v>12834951</v>
      </c>
      <c r="D15" s="21">
        <f t="shared" si="8"/>
        <v>12956029</v>
      </c>
      <c r="E15" s="21">
        <f t="shared" si="8"/>
        <v>13452324</v>
      </c>
      <c r="F15" s="21">
        <f t="shared" si="8"/>
        <v>13433500</v>
      </c>
      <c r="G15" s="21">
        <f t="shared" si="8"/>
        <v>14075233</v>
      </c>
      <c r="H15" s="21">
        <f t="shared" si="8"/>
        <v>14550081</v>
      </c>
      <c r="I15" s="21">
        <f t="shared" si="8"/>
        <v>18232382</v>
      </c>
      <c r="J15" s="21">
        <f t="shared" si="8"/>
        <v>18908102</v>
      </c>
      <c r="K15" s="21">
        <f t="shared" si="8"/>
        <v>19444451</v>
      </c>
      <c r="L15" s="21">
        <f t="shared" si="8"/>
        <v>20475412</v>
      </c>
      <c r="M15" s="21">
        <f t="shared" si="8"/>
        <v>20739926</v>
      </c>
      <c r="N15" s="21">
        <f t="shared" si="8"/>
        <v>20861524</v>
      </c>
      <c r="O15" s="21">
        <f t="shared" si="8"/>
        <v>21649393</v>
      </c>
      <c r="P15" s="21">
        <f t="shared" si="8"/>
        <v>14027758</v>
      </c>
      <c r="Q15" s="21">
        <f t="shared" si="8"/>
        <v>15394495</v>
      </c>
      <c r="R15" s="21">
        <f t="shared" si="8"/>
        <v>25103808</v>
      </c>
      <c r="S15" s="21">
        <f t="shared" si="8"/>
        <v>27073128.610000003</v>
      </c>
      <c r="T15" s="21">
        <f t="shared" si="8"/>
        <v>28647777.610000003</v>
      </c>
      <c r="U15" s="21">
        <f t="shared" si="8"/>
        <v>30906757.290000003</v>
      </c>
      <c r="V15" s="21">
        <f t="shared" si="8"/>
        <v>30026943.440000001</v>
      </c>
      <c r="W15" s="21">
        <f t="shared" si="8"/>
        <v>30458006.440000001</v>
      </c>
      <c r="X15" s="21">
        <f t="shared" si="8"/>
        <v>32014140.440000001</v>
      </c>
      <c r="Y15" s="21">
        <f t="shared" si="8"/>
        <v>33155958.440000001</v>
      </c>
      <c r="Z15" s="21">
        <f t="shared" si="8"/>
        <v>33662830.18</v>
      </c>
      <c r="AA15" s="21">
        <f t="shared" si="8"/>
        <v>34827877.68</v>
      </c>
      <c r="AB15" s="21">
        <f t="shared" si="8"/>
        <v>36642603.210000001</v>
      </c>
      <c r="AC15" s="21">
        <f t="shared" si="8"/>
        <v>37050654.210000001</v>
      </c>
      <c r="AD15" s="21">
        <f t="shared" si="8"/>
        <v>36275892.390000001</v>
      </c>
      <c r="AE15" s="21">
        <f t="shared" si="8"/>
        <v>37036775</v>
      </c>
      <c r="AF15" s="21">
        <f t="shared" si="8"/>
        <v>36817160.056500003</v>
      </c>
      <c r="AG15" s="21">
        <f t="shared" si="8"/>
        <v>37763672.842505723</v>
      </c>
      <c r="AH15" s="21">
        <f t="shared" ref="AH15:BM15" si="9">SUM(AH11:AH14)</f>
        <v>38525869.901224852</v>
      </c>
      <c r="AI15" s="21">
        <f t="shared" si="9"/>
        <v>38689601.846153848</v>
      </c>
      <c r="AJ15" s="21">
        <f t="shared" si="9"/>
        <v>39350066.836171806</v>
      </c>
      <c r="AK15" s="56">
        <f t="shared" si="9"/>
        <v>40040036.07692308</v>
      </c>
      <c r="AL15" s="21">
        <f t="shared" si="9"/>
        <v>41066606.692307696</v>
      </c>
      <c r="AM15" s="21">
        <f t="shared" si="9"/>
        <v>42094962.09809231</v>
      </c>
      <c r="AN15" s="21">
        <f t="shared" si="9"/>
        <v>44169990.923076928</v>
      </c>
      <c r="AO15" s="21">
        <f t="shared" si="9"/>
        <v>48211914.538461544</v>
      </c>
      <c r="AP15" s="21">
        <f t="shared" si="9"/>
        <v>43030697.15384616</v>
      </c>
      <c r="AQ15" s="21">
        <f t="shared" si="9"/>
        <v>44108289.032630771</v>
      </c>
      <c r="AR15" s="21">
        <f t="shared" si="9"/>
        <v>46268240.384615391</v>
      </c>
      <c r="AS15" s="21">
        <f t="shared" si="9"/>
        <v>47837204.145300001</v>
      </c>
      <c r="AT15" s="21">
        <f t="shared" si="9"/>
        <v>48220400</v>
      </c>
      <c r="AU15" s="21">
        <f t="shared" si="9"/>
        <v>48878060</v>
      </c>
      <c r="AV15" s="21">
        <f t="shared" si="9"/>
        <v>49383050</v>
      </c>
      <c r="AW15" s="21">
        <f t="shared" si="9"/>
        <v>49864600</v>
      </c>
      <c r="AX15" s="21">
        <f t="shared" si="9"/>
        <v>48030683.193500005</v>
      </c>
      <c r="AY15" s="21">
        <f t="shared" si="9"/>
        <v>48194236.049479164</v>
      </c>
      <c r="AZ15" s="21">
        <f t="shared" si="9"/>
        <v>47743493.449273005</v>
      </c>
      <c r="BA15" s="21">
        <f t="shared" si="9"/>
        <v>48432597.001567699</v>
      </c>
      <c r="BB15" s="21">
        <f t="shared" si="9"/>
        <v>49086085.384894505</v>
      </c>
      <c r="BC15" s="21">
        <f t="shared" si="9"/>
        <v>49397373.966424108</v>
      </c>
      <c r="BD15" s="21">
        <f t="shared" si="9"/>
        <v>49712556.944519334</v>
      </c>
      <c r="BE15" s="21">
        <f t="shared" si="9"/>
        <v>50031679.946070924</v>
      </c>
      <c r="BF15" s="21">
        <f t="shared" si="9"/>
        <v>50354789.202119268</v>
      </c>
      <c r="BG15" s="21">
        <f t="shared" si="9"/>
        <v>50681931.555867381</v>
      </c>
      <c r="BH15" s="21">
        <f t="shared" si="9"/>
        <v>51013154.470800757</v>
      </c>
      <c r="BI15" s="21">
        <f t="shared" si="9"/>
        <v>51348506.038915627</v>
      </c>
      <c r="BJ15" s="21">
        <f t="shared" si="9"/>
        <v>51688034.989056855</v>
      </c>
      <c r="BK15" s="21">
        <f t="shared" si="9"/>
        <v>52031790.695367172</v>
      </c>
      <c r="BL15" s="21">
        <f t="shared" si="9"/>
        <v>52379823.185849085</v>
      </c>
      <c r="BM15" s="21">
        <f t="shared" si="9"/>
        <v>52732183.151040964</v>
      </c>
      <c r="BN15" s="21">
        <f t="shared" ref="BN15:CS15" si="10">SUM(BN11:BN14)</f>
        <v>52942231.057301171</v>
      </c>
      <c r="BO15" s="21">
        <f t="shared" si="10"/>
        <v>53153776.024330363</v>
      </c>
      <c r="BP15" s="21">
        <f t="shared" si="10"/>
        <v>53366825.146328934</v>
      </c>
      <c r="BQ15" s="21">
        <f t="shared" si="10"/>
        <v>53581385.56395106</v>
      </c>
      <c r="BR15" s="21">
        <f t="shared" si="10"/>
        <v>53797464.464592524</v>
      </c>
      <c r="BS15" s="21">
        <f t="shared" si="10"/>
        <v>54015069.082680635</v>
      </c>
      <c r="BT15" s="21">
        <f t="shared" si="10"/>
        <v>54234206.699965984</v>
      </c>
    </row>
    <row r="16" spans="1:72" x14ac:dyDescent="0.25">
      <c r="A16" t="s">
        <v>14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AC16" t="str">
        <f t="shared" ref="AC16:AT16" si="11">IF(AC11+10000000&gt;-AC12,"pipa","nempipa")</f>
        <v>nempipa</v>
      </c>
      <c r="AD16" t="str">
        <f t="shared" si="11"/>
        <v>nempipa</v>
      </c>
      <c r="AE16" t="str">
        <f t="shared" si="11"/>
        <v>nempipa</v>
      </c>
      <c r="AF16" t="str">
        <f t="shared" si="11"/>
        <v>nempipa</v>
      </c>
      <c r="AG16" t="str">
        <f t="shared" si="11"/>
        <v>nempipa</v>
      </c>
      <c r="AH16" t="str">
        <f t="shared" si="11"/>
        <v>nempipa</v>
      </c>
      <c r="AI16" t="str">
        <f t="shared" si="11"/>
        <v>nempipa</v>
      </c>
      <c r="AJ16" t="str">
        <f t="shared" si="11"/>
        <v>nempipa</v>
      </c>
      <c r="AK16" t="str">
        <f t="shared" si="11"/>
        <v>nempipa</v>
      </c>
      <c r="AL16" t="str">
        <f t="shared" si="11"/>
        <v>nempipa</v>
      </c>
      <c r="AM16" t="str">
        <f t="shared" si="11"/>
        <v>nempipa</v>
      </c>
      <c r="AN16" t="str">
        <f t="shared" si="11"/>
        <v>nempipa</v>
      </c>
      <c r="AO16" t="str">
        <f t="shared" si="11"/>
        <v>pipa</v>
      </c>
      <c r="AP16" t="str">
        <f t="shared" si="11"/>
        <v>nempipa</v>
      </c>
      <c r="AQ16" t="str">
        <f t="shared" si="11"/>
        <v>nempipa</v>
      </c>
      <c r="AR16" t="str">
        <f t="shared" si="11"/>
        <v>nempipa</v>
      </c>
      <c r="AS16" t="str">
        <f t="shared" si="11"/>
        <v>nempipa</v>
      </c>
      <c r="AT16" t="str">
        <f t="shared" si="11"/>
        <v>nempipa</v>
      </c>
      <c r="AU16" t="str">
        <f>IF(AU11+9958333&gt;-AU12,"pipa","nempipa")</f>
        <v>pipa</v>
      </c>
      <c r="AV16" t="str">
        <f t="shared" ref="AV16:BT16" si="12">IF(AV11+10000000&gt;-AV12,"pipa","nempipa")</f>
        <v>pipa</v>
      </c>
      <c r="AW16" t="str">
        <f t="shared" si="12"/>
        <v>pipa</v>
      </c>
      <c r="AX16" t="str">
        <f t="shared" si="12"/>
        <v>pipa</v>
      </c>
      <c r="AY16" t="str">
        <f t="shared" si="12"/>
        <v>pipa</v>
      </c>
      <c r="AZ16" t="str">
        <f t="shared" si="12"/>
        <v>pipa</v>
      </c>
      <c r="BA16" t="str">
        <f t="shared" si="12"/>
        <v>pipa</v>
      </c>
      <c r="BB16" t="str">
        <f t="shared" si="12"/>
        <v>pipa</v>
      </c>
      <c r="BC16" t="str">
        <f t="shared" si="12"/>
        <v>pipa</v>
      </c>
      <c r="BD16" t="str">
        <f t="shared" si="12"/>
        <v>pipa</v>
      </c>
      <c r="BE16" t="str">
        <f t="shared" si="12"/>
        <v>pipa</v>
      </c>
      <c r="BF16" t="str">
        <f t="shared" si="12"/>
        <v>pipa</v>
      </c>
      <c r="BG16" t="str">
        <f t="shared" si="12"/>
        <v>pipa</v>
      </c>
      <c r="BH16" t="str">
        <f t="shared" si="12"/>
        <v>pipa</v>
      </c>
      <c r="BI16" t="str">
        <f t="shared" si="12"/>
        <v>pipa</v>
      </c>
      <c r="BJ16" t="str">
        <f t="shared" si="12"/>
        <v>pipa</v>
      </c>
      <c r="BK16" t="str">
        <f t="shared" si="12"/>
        <v>pipa</v>
      </c>
      <c r="BL16" t="str">
        <f t="shared" si="12"/>
        <v>pipa</v>
      </c>
      <c r="BM16" t="str">
        <f t="shared" si="12"/>
        <v>pipa</v>
      </c>
      <c r="BN16" t="str">
        <f t="shared" si="12"/>
        <v>pipa</v>
      </c>
      <c r="BO16" t="str">
        <f t="shared" si="12"/>
        <v>pipa</v>
      </c>
      <c r="BP16" t="str">
        <f t="shared" si="12"/>
        <v>pipa</v>
      </c>
      <c r="BQ16" t="str">
        <f t="shared" si="12"/>
        <v>pipa</v>
      </c>
      <c r="BR16" t="str">
        <f t="shared" si="12"/>
        <v>pipa</v>
      </c>
      <c r="BS16" t="str">
        <f t="shared" si="12"/>
        <v>pipa</v>
      </c>
      <c r="BT16" t="str">
        <f t="shared" si="12"/>
        <v>pipa</v>
      </c>
    </row>
    <row r="17" spans="1:72" x14ac:dyDescent="0.25">
      <c r="A17" t="s">
        <v>15</v>
      </c>
      <c r="AT17" s="2"/>
      <c r="AU17" s="2" t="str">
        <f t="shared" ref="AU17:BG17" si="13">IF(AU12+9958000&gt;-AU5,"pipa","nempipa")</f>
        <v>nempipa</v>
      </c>
      <c r="AV17" s="2" t="str">
        <f t="shared" si="13"/>
        <v>nempipa</v>
      </c>
      <c r="AW17" s="2" t="str">
        <f t="shared" si="13"/>
        <v>nempipa</v>
      </c>
      <c r="AX17" s="2" t="str">
        <f t="shared" si="13"/>
        <v>nempipa</v>
      </c>
      <c r="AY17" s="2" t="str">
        <f t="shared" si="13"/>
        <v>nempipa</v>
      </c>
      <c r="AZ17" s="2" t="str">
        <f t="shared" si="13"/>
        <v>nempipa</v>
      </c>
      <c r="BA17" s="2" t="str">
        <f t="shared" si="13"/>
        <v>nempipa</v>
      </c>
      <c r="BB17" s="2" t="str">
        <f t="shared" si="13"/>
        <v>nempipa</v>
      </c>
      <c r="BC17" s="2" t="str">
        <f t="shared" si="13"/>
        <v>nempipa</v>
      </c>
      <c r="BD17" s="2" t="str">
        <f t="shared" si="13"/>
        <v>nempipa</v>
      </c>
      <c r="BE17" s="2" t="str">
        <f t="shared" si="13"/>
        <v>pipa</v>
      </c>
      <c r="BF17" s="2" t="str">
        <f t="shared" si="13"/>
        <v>pipa</v>
      </c>
      <c r="BG17" s="2" t="str">
        <f t="shared" si="13"/>
        <v>pipa</v>
      </c>
      <c r="BH17" s="2"/>
      <c r="BI17" s="2" t="str">
        <f t="shared" ref="BI17:BT17" si="14">IF(BI12+9958000&gt;-BI5,"pipa","nempipa")</f>
        <v>pipa</v>
      </c>
      <c r="BJ17" s="2" t="str">
        <f t="shared" si="14"/>
        <v>pipa</v>
      </c>
      <c r="BK17" s="2" t="str">
        <f t="shared" si="14"/>
        <v>pipa</v>
      </c>
      <c r="BL17" s="2" t="str">
        <f t="shared" si="14"/>
        <v>pipa</v>
      </c>
      <c r="BM17" s="2" t="str">
        <f t="shared" si="14"/>
        <v>pipa</v>
      </c>
      <c r="BN17" s="2" t="str">
        <f t="shared" si="14"/>
        <v>pipa</v>
      </c>
      <c r="BO17" s="2" t="str">
        <f t="shared" si="14"/>
        <v>pipa</v>
      </c>
      <c r="BP17" s="2" t="str">
        <f t="shared" si="14"/>
        <v>pipa</v>
      </c>
      <c r="BQ17" s="2" t="str">
        <f t="shared" si="14"/>
        <v>pipa</v>
      </c>
      <c r="BR17" s="2" t="str">
        <f t="shared" si="14"/>
        <v>pipa</v>
      </c>
      <c r="BS17" s="2" t="str">
        <f t="shared" si="14"/>
        <v>pipa</v>
      </c>
      <c r="BT17" s="2" t="str">
        <f t="shared" si="14"/>
        <v>pipa</v>
      </c>
    </row>
    <row r="18" spans="1:72" x14ac:dyDescent="0.25">
      <c r="A18" t="s">
        <v>16</v>
      </c>
      <c r="AU18" t="str">
        <f t="shared" ref="AU18:BT18" si="15">IF(AU12&gt;-AU11,"pipa","nempipa")</f>
        <v>nempipa</v>
      </c>
      <c r="AV18" t="str">
        <f t="shared" si="15"/>
        <v>nempipa</v>
      </c>
      <c r="AW18" t="str">
        <f t="shared" si="15"/>
        <v>nempipa</v>
      </c>
      <c r="AX18" t="str">
        <f t="shared" si="15"/>
        <v>nempipa</v>
      </c>
      <c r="AY18" t="str">
        <f t="shared" si="15"/>
        <v>nempipa</v>
      </c>
      <c r="AZ18" t="str">
        <f t="shared" si="15"/>
        <v>nempipa</v>
      </c>
      <c r="BA18" t="str">
        <f t="shared" si="15"/>
        <v>nempipa</v>
      </c>
      <c r="BB18" t="str">
        <f t="shared" si="15"/>
        <v>nempipa</v>
      </c>
      <c r="BC18" t="str">
        <f t="shared" si="15"/>
        <v>nempipa</v>
      </c>
      <c r="BD18" t="str">
        <f t="shared" si="15"/>
        <v>nempipa</v>
      </c>
      <c r="BE18" t="str">
        <f t="shared" si="15"/>
        <v>nempipa</v>
      </c>
      <c r="BF18" t="str">
        <f t="shared" si="15"/>
        <v>nempipa</v>
      </c>
      <c r="BG18" t="str">
        <f t="shared" si="15"/>
        <v>nempipa</v>
      </c>
      <c r="BH18" t="str">
        <f t="shared" si="15"/>
        <v>nempipa</v>
      </c>
      <c r="BI18" t="str">
        <f t="shared" si="15"/>
        <v>nempipa</v>
      </c>
      <c r="BJ18" t="str">
        <f t="shared" si="15"/>
        <v>nempipa</v>
      </c>
      <c r="BK18" t="str">
        <f t="shared" si="15"/>
        <v>nempipa</v>
      </c>
      <c r="BL18" t="str">
        <f t="shared" si="15"/>
        <v>nempipa</v>
      </c>
      <c r="BM18" t="str">
        <f t="shared" si="15"/>
        <v>nempipa</v>
      </c>
      <c r="BN18" t="str">
        <f t="shared" si="15"/>
        <v>nempipa</v>
      </c>
      <c r="BO18" t="str">
        <f t="shared" si="15"/>
        <v>nempipa</v>
      </c>
      <c r="BP18" t="str">
        <f t="shared" si="15"/>
        <v>nempipa</v>
      </c>
      <c r="BQ18" t="str">
        <f t="shared" si="15"/>
        <v>nempipa</v>
      </c>
      <c r="BR18" t="str">
        <f t="shared" si="15"/>
        <v>nempipa</v>
      </c>
      <c r="BS18" t="str">
        <f t="shared" si="15"/>
        <v>nempipa</v>
      </c>
      <c r="BT18" t="str">
        <f t="shared" si="15"/>
        <v>nempipa</v>
      </c>
    </row>
    <row r="19" spans="1:72" x14ac:dyDescent="0.25">
      <c r="D19" s="2"/>
      <c r="F19" s="32"/>
    </row>
    <row r="20" spans="1:72" x14ac:dyDescent="0.25">
      <c r="F20" s="69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4" tint="-0.499984740745262"/>
  </sheetPr>
  <dimension ref="A1:BW75"/>
  <sheetViews>
    <sheetView zoomScale="85" zoomScaleNormal="85" workbookViewId="0">
      <pane xSplit="1" ySplit="1" topLeftCell="AV2" activePane="bottomRight" state="frozen"/>
      <selection activeCell="B91" sqref="B91"/>
      <selection pane="topRight" activeCell="B91" sqref="B91"/>
      <selection pane="bottomLeft" activeCell="B91" sqref="B91"/>
      <selection pane="bottomRight" activeCell="BC17" sqref="BC17"/>
    </sheetView>
  </sheetViews>
  <sheetFormatPr defaultRowHeight="15" outlineLevelRow="1" outlineLevelCol="1" x14ac:dyDescent="0.25"/>
  <cols>
    <col min="1" max="1" width="40.140625" style="70" bestFit="1" customWidth="1"/>
    <col min="2" max="3" width="14.140625" style="70" customWidth="1" outlineLevel="1"/>
    <col min="4" max="4" width="14.28515625" style="70" customWidth="1" outlineLevel="1"/>
    <col min="5" max="6" width="14.140625" style="70" customWidth="1" outlineLevel="1"/>
    <col min="7" max="8" width="15.140625" style="70" customWidth="1" outlineLevel="1"/>
    <col min="9" max="9" width="14.7109375" style="70" customWidth="1" outlineLevel="1"/>
    <col min="10" max="21" width="14.140625" style="70" customWidth="1" outlineLevel="1"/>
    <col min="22" max="22" width="17.140625" style="70" customWidth="1" outlineLevel="1"/>
    <col min="23" max="35" width="14.140625" style="70" customWidth="1" outlineLevel="1"/>
    <col min="36" max="36" width="14.140625" style="70" customWidth="1"/>
    <col min="37" max="37" width="19.85546875" style="70" bestFit="1" customWidth="1"/>
    <col min="38" max="43" width="14.140625" style="70" bestFit="1" customWidth="1"/>
    <col min="44" max="45" width="13.140625" style="70" bestFit="1" customWidth="1"/>
    <col min="46" max="46" width="20.85546875" style="70" bestFit="1" customWidth="1"/>
    <col min="47" max="47" width="19.85546875" style="70" bestFit="1" customWidth="1"/>
    <col min="48" max="49" width="13.140625" style="70" bestFit="1" customWidth="1"/>
    <col min="50" max="50" width="14.140625" style="70" bestFit="1" customWidth="1"/>
    <col min="51" max="75" width="13.140625" style="70" bestFit="1" customWidth="1"/>
    <col min="76" max="98" width="9.140625" style="70" customWidth="1"/>
    <col min="99" max="16384" width="9.140625" style="70"/>
  </cols>
  <sheetData>
    <row r="1" spans="1:75" ht="18" customHeight="1" thickBot="1" x14ac:dyDescent="0.35">
      <c r="B1" s="1">
        <v>43862</v>
      </c>
      <c r="C1" s="1">
        <v>43891</v>
      </c>
      <c r="D1" s="1">
        <v>43922</v>
      </c>
      <c r="E1" s="1">
        <v>43952</v>
      </c>
      <c r="F1" s="1">
        <v>43983</v>
      </c>
      <c r="G1" s="1">
        <v>44013</v>
      </c>
      <c r="H1" s="1">
        <v>44044</v>
      </c>
      <c r="I1" s="1">
        <v>44075</v>
      </c>
      <c r="J1" s="1">
        <v>44105</v>
      </c>
      <c r="K1" s="1">
        <v>44136</v>
      </c>
      <c r="L1" s="1">
        <v>44166</v>
      </c>
      <c r="M1" s="1">
        <v>44197</v>
      </c>
      <c r="N1" s="1">
        <v>44228</v>
      </c>
      <c r="O1" s="1">
        <v>44256</v>
      </c>
      <c r="P1" s="1">
        <v>44287</v>
      </c>
      <c r="Q1" s="1">
        <v>44317</v>
      </c>
      <c r="R1" s="1">
        <v>44348</v>
      </c>
      <c r="S1" s="1">
        <v>44378</v>
      </c>
      <c r="T1" s="1">
        <v>44409</v>
      </c>
      <c r="U1" s="1">
        <v>44440</v>
      </c>
      <c r="V1" s="1">
        <v>44470</v>
      </c>
      <c r="W1" s="1">
        <v>44501</v>
      </c>
      <c r="X1" s="1">
        <v>44531</v>
      </c>
      <c r="Y1" s="1">
        <v>44562</v>
      </c>
      <c r="Z1" s="1">
        <v>44593</v>
      </c>
      <c r="AA1" s="1">
        <v>44621</v>
      </c>
      <c r="AB1" s="1">
        <v>44652</v>
      </c>
      <c r="AC1" s="1">
        <v>44682</v>
      </c>
      <c r="AD1" s="1">
        <v>44713</v>
      </c>
      <c r="AE1" s="1">
        <v>44743</v>
      </c>
      <c r="AF1" s="1">
        <v>44774</v>
      </c>
      <c r="AG1" s="1">
        <v>44805</v>
      </c>
      <c r="AH1" s="1">
        <v>44835</v>
      </c>
      <c r="AI1" s="1">
        <v>44866</v>
      </c>
      <c r="AJ1" s="1">
        <v>44896</v>
      </c>
      <c r="AK1" s="1">
        <v>44927</v>
      </c>
      <c r="AL1" s="1">
        <v>44958</v>
      </c>
      <c r="AM1" s="1">
        <v>44986</v>
      </c>
      <c r="AN1" s="1">
        <v>45017</v>
      </c>
      <c r="AO1" s="1">
        <v>45047</v>
      </c>
      <c r="AP1" s="1">
        <v>45078</v>
      </c>
      <c r="AQ1" s="1">
        <v>45108</v>
      </c>
      <c r="AR1" s="1">
        <v>45139</v>
      </c>
      <c r="AS1" s="1">
        <v>45170</v>
      </c>
      <c r="AT1" s="1">
        <v>45200</v>
      </c>
      <c r="AU1" s="1">
        <v>45231</v>
      </c>
      <c r="AV1" s="1">
        <v>45261</v>
      </c>
      <c r="AW1" s="1">
        <v>45292</v>
      </c>
      <c r="AX1" s="1">
        <v>45323</v>
      </c>
      <c r="AY1" s="1">
        <v>45352</v>
      </c>
      <c r="AZ1" s="1">
        <v>45383</v>
      </c>
      <c r="BA1" s="1">
        <v>45413</v>
      </c>
      <c r="BB1" s="1">
        <v>45444</v>
      </c>
      <c r="BC1" s="1">
        <v>45474</v>
      </c>
      <c r="BD1" s="1">
        <v>45505</v>
      </c>
      <c r="BE1" s="1">
        <v>45536</v>
      </c>
      <c r="BF1" s="1">
        <v>45566</v>
      </c>
      <c r="BG1" s="1">
        <v>45597</v>
      </c>
      <c r="BH1" s="1">
        <v>45627</v>
      </c>
      <c r="BI1" s="1">
        <v>45658</v>
      </c>
      <c r="BJ1" s="1">
        <v>45689</v>
      </c>
      <c r="BK1" s="1">
        <v>45717</v>
      </c>
      <c r="BL1" s="1">
        <v>45748</v>
      </c>
      <c r="BM1" s="1">
        <v>45778</v>
      </c>
      <c r="BN1" s="1">
        <v>45809</v>
      </c>
      <c r="BO1" s="1">
        <v>45839</v>
      </c>
      <c r="BP1" s="1">
        <v>45870</v>
      </c>
      <c r="BQ1" s="1">
        <v>45901</v>
      </c>
      <c r="BR1" s="1">
        <v>45931</v>
      </c>
      <c r="BS1" s="1">
        <v>45962</v>
      </c>
      <c r="BT1" s="1">
        <v>45992</v>
      </c>
      <c r="BU1" s="1">
        <v>46023</v>
      </c>
      <c r="BV1" s="1">
        <v>46054</v>
      </c>
      <c r="BW1" s="1">
        <v>46082</v>
      </c>
    </row>
    <row r="2" spans="1:75" ht="19.5" customHeight="1" thickTop="1" x14ac:dyDescent="0.3">
      <c r="A2" s="27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71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</row>
    <row r="3" spans="1:75" x14ac:dyDescent="0.25">
      <c r="A3" s="70" t="s">
        <v>17</v>
      </c>
      <c r="B3" s="72">
        <v>967421</v>
      </c>
      <c r="C3" s="72">
        <v>670093</v>
      </c>
      <c r="D3" s="72">
        <v>1000138</v>
      </c>
      <c r="E3" s="72">
        <v>1422277</v>
      </c>
      <c r="F3" s="72">
        <v>1405104</v>
      </c>
      <c r="G3" s="72">
        <v>1985660</v>
      </c>
      <c r="H3" s="72">
        <v>2414579</v>
      </c>
      <c r="I3" s="72">
        <v>2962998</v>
      </c>
      <c r="J3" s="72">
        <v>1137574</v>
      </c>
      <c r="K3" s="72">
        <v>750517</v>
      </c>
      <c r="L3" s="72">
        <v>1513101</v>
      </c>
      <c r="M3" s="72">
        <v>1639808</v>
      </c>
      <c r="N3" s="72">
        <f>2326+937+1014795</f>
        <v>1018058</v>
      </c>
      <c r="O3" s="72">
        <v>1838933</v>
      </c>
      <c r="P3" s="72">
        <v>1680160</v>
      </c>
      <c r="Q3" s="72">
        <f>72397+2398913</f>
        <v>2471310</v>
      </c>
      <c r="R3" s="72">
        <f>160341+285172</f>
        <v>445513</v>
      </c>
      <c r="S3" s="72">
        <f>209596+1658549</f>
        <v>1868145</v>
      </c>
      <c r="T3" s="72">
        <f>326064+1140281</f>
        <v>1466345</v>
      </c>
      <c r="U3" s="72">
        <f>77242+176570</f>
        <v>253812</v>
      </c>
      <c r="V3" s="72">
        <f>326447+180229</f>
        <v>506676</v>
      </c>
      <c r="W3" s="72">
        <f>50000+526442</f>
        <v>576442</v>
      </c>
      <c r="X3" s="72">
        <f>624484+949404+899+2780+1490-1550-304576</f>
        <v>1272931</v>
      </c>
      <c r="Y3" s="72">
        <f>535893+1156340</f>
        <v>1692233</v>
      </c>
      <c r="Z3" s="72">
        <f>451130+1141865</f>
        <v>1592995</v>
      </c>
      <c r="AA3" s="72">
        <f>994367+866552</f>
        <v>1860919</v>
      </c>
      <c r="AB3" s="72">
        <f>1308464+846422</f>
        <v>2154886</v>
      </c>
      <c r="AC3" s="72">
        <f>11254686+1185103</f>
        <v>12439789</v>
      </c>
      <c r="AD3" s="72">
        <f>935971+1390305</f>
        <v>2326276</v>
      </c>
      <c r="AE3" s="72">
        <f>530179+1415740</f>
        <v>1945919</v>
      </c>
      <c r="AF3" s="72">
        <f>AG3-AF5-AF4</f>
        <v>1867132.2999999998</v>
      </c>
      <c r="AG3" s="72">
        <f>AH3-AG5-AG4</f>
        <v>1995090.71</v>
      </c>
      <c r="AH3" s="72">
        <f>AI3-AH5-AH4</f>
        <v>1939429.79</v>
      </c>
      <c r="AI3" s="72">
        <f>367410+1345793</f>
        <v>1713203</v>
      </c>
      <c r="AJ3" s="72">
        <f>AK3-AJ5-AJ4</f>
        <v>1837830.0300000003</v>
      </c>
      <c r="AK3" s="72">
        <f>1896332+388465</f>
        <v>2284797</v>
      </c>
      <c r="AL3" s="72">
        <f>2390195+1052469</f>
        <v>3442664</v>
      </c>
      <c r="AM3" s="72">
        <f>1263867+1896590</f>
        <v>3160457</v>
      </c>
      <c r="AN3" s="72">
        <v>4251437</v>
      </c>
      <c r="AO3" s="72">
        <f>6784520+1324484</f>
        <v>8109004</v>
      </c>
      <c r="AP3" s="72">
        <f>631163+595234</f>
        <v>1226397</v>
      </c>
      <c r="AQ3" s="72">
        <v>1351681.5754</v>
      </c>
      <c r="AR3" s="72">
        <f>693047+1284467</f>
        <v>1977514</v>
      </c>
      <c r="AS3" s="72"/>
      <c r="AT3" s="72">
        <f>645862+1167801</f>
        <v>1813663</v>
      </c>
      <c r="AU3" s="72">
        <f>1038376+1004093</f>
        <v>2042469</v>
      </c>
      <c r="AV3" s="72">
        <f>594984+313174</f>
        <v>908158</v>
      </c>
      <c r="AW3" s="72">
        <f>431526+529306</f>
        <v>960832</v>
      </c>
      <c r="AX3" s="72">
        <f>+AY3-AX5-AX4</f>
        <v>1323460.79</v>
      </c>
      <c r="AY3" s="72">
        <f>116464+15791+11625+27392+7820+4690+101801+2996+550+2390+9600+1290+904993+269+2140+8728+13606+1990</f>
        <v>1234135</v>
      </c>
      <c r="AZ3" s="72">
        <f>63308+383154+460533+570+1800+570+1290+-18+ 5</f>
        <v>911212</v>
      </c>
      <c r="BA3" s="72">
        <f>337280+792486</f>
        <v>1129766</v>
      </c>
      <c r="BB3" s="72">
        <f>634475+743269</f>
        <v>1377744</v>
      </c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</row>
    <row r="4" spans="1:75" x14ac:dyDescent="0.25">
      <c r="A4" s="70" t="s">
        <v>18</v>
      </c>
      <c r="B4" s="70">
        <f>SUMIFS(tételek!$C:$C,tételek!$A:$A,"&gt;="&amp;Részletes!B1,tételek!$A:$A,"&lt;"&amp;Részletes!C1,tételek!$F:$F,$A$2,tételek!$C:$C,"&gt;"&amp;0)</f>
        <v>542166.99</v>
      </c>
      <c r="C4" s="70">
        <f>SUMIFS(tételek!$C:$C,tételek!$A:$A,"&gt;="&amp;Részletes!C1,tételek!$A:$A,"&lt;"&amp;Részletes!D1,tételek!$F:$F,$A$2,tételek!$C:$C,"&gt;"&amp;0)</f>
        <v>604039.21</v>
      </c>
      <c r="D4" s="70">
        <f>SUMIFS(tételek!$C:$C,tételek!$A:$A,"&gt;="&amp;Részletes!D1,tételek!$A:$A,"&lt;"&amp;Részletes!E1,tételek!$F:$F,$A$2,tételek!$C:$C,"&gt;"&amp;0)</f>
        <v>626687.99</v>
      </c>
      <c r="E4" s="70">
        <f>SUMIFS(tételek!$C:$C,tételek!$A:$A,"&gt;="&amp;Részletes!E1,tételek!$A:$A,"&lt;"&amp;Részletes!F1,tételek!$F:$F,$A$2,tételek!$C:$C,"&gt;"&amp;0)</f>
        <v>414370.44</v>
      </c>
      <c r="F4" s="70">
        <f>SUMIFS(tételek!$C:$C,tételek!$A:$A,"&gt;="&amp;Részletes!F1,tételek!$A:$A,"&lt;"&amp;Részletes!G1,tételek!$F:$F,$A$2,tételek!$C:$C,"&gt;"&amp;0)</f>
        <v>1009304.96</v>
      </c>
      <c r="G4" s="70">
        <f>SUMIFS(tételek!$C:$C,tételek!$A:$A,"&gt;="&amp;Részletes!G1,tételek!$A:$A,"&lt;"&amp;Részletes!H1,tételek!$F:$F,$A$2,tételek!$C:$C,"&gt;"&amp;0)</f>
        <v>1009266.44</v>
      </c>
      <c r="H4" s="70">
        <f>SUMIFS(tételek!$C:$C,tételek!$A:$A,"&gt;="&amp;Részletes!H1,tételek!$A:$A,"&lt;"&amp;Részletes!I1,tételek!$F:$F,$A$2,tételek!$C:$C,"&gt;"&amp;0)</f>
        <v>7811498.9900000002</v>
      </c>
      <c r="I4" s="70">
        <f>SUMIFS(tételek!$C:$C,tételek!$A:$A,"&gt;="&amp;Részletes!I1,tételek!$A:$A,"&lt;"&amp;Részletes!J1,tételek!$F:$F,$A$2,tételek!$C:$C,"&gt;"&amp;0)</f>
        <v>4053681.4499999997</v>
      </c>
      <c r="J4" s="70">
        <f>SUMIFS(tételek!$C:$C,tételek!$A:$A,"&gt;="&amp;Részletes!J1,tételek!$A:$A,"&lt;"&amp;Részletes!K1,tételek!$F:$F,$A$2,tételek!$C:$C,"&gt;"&amp;0)</f>
        <v>1041210</v>
      </c>
      <c r="K4" s="70">
        <f>SUMIFS(tételek!$C:$C,tételek!$A:$A,"&gt;="&amp;Részletes!K1,tételek!$A:$A,"&lt;"&amp;Részletes!L1,tételek!$F:$F,$A$2,tételek!$C:$C,"&gt;"&amp;0)</f>
        <v>1058916.49</v>
      </c>
      <c r="L4" s="70">
        <f>SUMIFS(tételek!$C:$C,tételek!$A:$A,"&gt;="&amp;Részletes!L1,tételek!$A:$A,"&lt;"&amp;Részletes!M1,tételek!$F:$F,$A$2,tételek!$C:$C,"&gt;"&amp;0)</f>
        <v>1033697</v>
      </c>
      <c r="M4" s="70">
        <f>SUMIFS(tételek!$C:$C,tételek!$A:$A,"&gt;="&amp;Részletes!M1,tételek!$A:$A,"&lt;"&amp;Részletes!N1,tételek!$F:$F,$A$2,tételek!$C:$C,"&gt;"&amp;0)</f>
        <v>1024064.65</v>
      </c>
      <c r="N4" s="70">
        <f>SUMIFS(tételek!$C:$C,tételek!$A:$A,"&gt;="&amp;Részletes!N1,tételek!$A:$A,"&lt;"&amp;Részletes!O1,tételek!$F:$F,$A$2,tételek!$C:$C,"&gt;"&amp;0)</f>
        <v>1013210</v>
      </c>
      <c r="O4" s="70">
        <f>SUMIFS(tételek!$C:$C,tételek!$A:$A,"&gt;="&amp;Részletes!O1,tételek!$A:$A,"&lt;"&amp;Részletes!P1,tételek!$F:$F,$A$2,tételek!$C:$C,"&gt;"&amp;0)</f>
        <v>8395602.5500000007</v>
      </c>
      <c r="P4" s="70">
        <f>SUMIFS(tételek!$C:$C,tételek!$A:$A,"&gt;="&amp;Részletes!P1,tételek!$A:$A,"&lt;"&amp;Részletes!Q1,tételek!$F:$F,$A$2,tételek!$C:$C,"&gt;"&amp;0)</f>
        <v>1013210</v>
      </c>
      <c r="Q4" s="70">
        <f>SUMIFS(tételek!$C:$C,tételek!$A:$A,"&gt;="&amp;Részletes!Q1,tételek!$A:$A,"&lt;"&amp;Részletes!R1,tételek!$F:$F,$A$2,tételek!$C:$C,"&gt;"&amp;0)</f>
        <v>4481203.7300000004</v>
      </c>
      <c r="R4" s="70">
        <f>SUMIFS(tételek!$C:$C,tételek!$A:$A,"&gt;="&amp;Részletes!R1,tételek!$A:$A,"&lt;"&amp;Részletes!S1,tételek!$F:$F,$A$2,tételek!$C:$C,"&gt;"&amp;0)</f>
        <v>31342976.710000001</v>
      </c>
      <c r="S4" s="70">
        <f>SUMIFS(tételek!$C:$C,tételek!$A:$A,"&gt;="&amp;Részletes!S1,tételek!$A:$A,"&lt;"&amp;Részletes!T1,tételek!$F:$F,$A$2,tételek!$C:$C,"&gt;"&amp;0)</f>
        <v>1942204.23</v>
      </c>
      <c r="T4" s="70">
        <f>SUMIFS(tételek!$C:$C,tételek!$A:$A,"&gt;="&amp;Részletes!T1,tételek!$A:$A,"&lt;"&amp;Részletes!U1,tételek!$F:$F,$A$2,tételek!$C:$C,"&gt;"&amp;0)</f>
        <v>2057165.31</v>
      </c>
      <c r="U4" s="70">
        <f>SUMIFS(tételek!$C:$C,tételek!$A:$A,"&gt;="&amp;Részletes!U1,tételek!$A:$A,"&lt;"&amp;Részletes!V1,tételek!$F:$F,$A$2,tételek!$C:$C,"&gt;"&amp;0)</f>
        <v>6026650.1299999999</v>
      </c>
      <c r="V4" s="70">
        <f>SUMIFS(tételek!$C:$C,tételek!$A:$A,"&gt;="&amp;Részletes!V1,tételek!$A:$A,"&lt;"&amp;Részletes!W1,tételek!$F:$F,$A$2,tételek!$C:$C,"&gt;"&amp;0)</f>
        <v>982957.75</v>
      </c>
      <c r="W4" s="70">
        <f>SUMIFS(tételek!$C:$C,tételek!$A:$A,"&gt;="&amp;Részletes!W1,tételek!$A:$A,"&lt;"&amp;Részletes!X1,tételek!$F:$F,$A$2,tételek!$C:$C,"&gt;"&amp;0)</f>
        <v>1213257</v>
      </c>
      <c r="X4" s="70">
        <f>SUMIFS(tételek!$C:$C,tételek!$A:$A,"&gt;="&amp;Részletes!X1,tételek!$A:$A,"&lt;"&amp;Részletes!Y1,tételek!$F:$F,$A$2,tételek!$C:$C,"&gt;"&amp;0)</f>
        <v>1886092.55</v>
      </c>
      <c r="Y4" s="70">
        <f>SUMIFS(tételek!$C:$C,tételek!$A:$A,"&gt;="&amp;Részletes!Y1,tételek!$A:$A,"&lt;"&amp;Részletes!Z1,tételek!$F:$F,$A$2,tételek!$C:$C,"&gt;"&amp;0)</f>
        <v>991697</v>
      </c>
      <c r="Z4" s="70">
        <f>SUMIFS(tételek!$C:$C,tételek!$A:$A,"&gt;="&amp;Részletes!Z1,tételek!$A:$A,"&lt;"&amp;Részletes!AA1,tételek!$F:$F,$A$2,tételek!$C:$C,"&gt;"&amp;0)</f>
        <v>1001472</v>
      </c>
      <c r="AA4" s="70">
        <f>SUMIFS(tételek!$C:$C,tételek!$A:$A,"&gt;="&amp;Részletes!AA1,tételek!$A:$A,"&lt;"&amp;Részletes!AB1,tételek!$F:$F,$A$2,tételek!$C:$C,"&gt;"&amp;0)</f>
        <v>1087952.3399999999</v>
      </c>
      <c r="AB4" s="70">
        <f>SUMIFS(tételek!$C:$C,tételek!$A:$A,"&gt;="&amp;Részletes!AB1,tételek!$A:$A,"&lt;"&amp;Részletes!AC1,tételek!$F:$F,$A$2,tételek!$C:$C,"&gt;"&amp;0)</f>
        <v>11041455</v>
      </c>
      <c r="AC4" s="70">
        <f>SUMIFS(tételek!$C:$C,tételek!$A:$A,"&gt;="&amp;Részletes!AC1,tételek!$A:$A,"&lt;"&amp;Részletes!AD1,tételek!$F:$F,$A$2,tételek!$C:$C,"&gt;"&amp;0)</f>
        <v>1000738</v>
      </c>
      <c r="AD4" s="70">
        <f>SUMIFS(tételek!$C:$C,tételek!$A:$A,"&gt;="&amp;Részletes!AD1,tételek!$A:$A,"&lt;"&amp;Részletes!AE1,tételek!$F:$F,$A$2,tételek!$C:$C,"&gt;"&amp;0)</f>
        <v>1060595.17</v>
      </c>
      <c r="AE4" s="70">
        <f>SUMIFS(tételek!$C:$C,tételek!$A:$A,"&gt;="&amp;Részletes!AE1,tételek!$A:$A,"&lt;"&amp;Részletes!AF1,tételek!$F:$F,$A$2,tételek!$C:$C,"&gt;"&amp;0)</f>
        <v>1904031</v>
      </c>
      <c r="AF4" s="70">
        <f>SUMIFS(tételek!$C:$C,tételek!$A:$A,"&gt;="&amp;Részletes!AF1,tételek!$A:$A,"&lt;"&amp;Részletes!AG1,tételek!$F:$F,$A$2,tételek!$C:$C,"&gt;"&amp;0)</f>
        <v>1206026.2000000002</v>
      </c>
      <c r="AG4" s="70">
        <f>SUMIFS(tételek!$C:$C,tételek!$A:$A,"&gt;="&amp;Részletes!AG1,tételek!$A:$A,"&lt;"&amp;Részletes!AH1,tételek!$F:$F,$A$2,tételek!$C:$C,"&gt;"&amp;0)</f>
        <v>1218115.8500000001</v>
      </c>
      <c r="AH4" s="70">
        <f>SUMIFS(tételek!$C:$C,tételek!$A:$A,"&gt;="&amp;Részletes!AH1,tételek!$A:$A,"&lt;"&amp;Részletes!AI1,tételek!$F:$F,$A$2,tételek!$C:$C,"&gt;"&amp;0)</f>
        <v>1335350</v>
      </c>
      <c r="AI4" s="70">
        <f>SUMIFS(tételek!$C:$C,tételek!$A:$A,"&gt;="&amp;Részletes!AI1,tételek!$A:$A,"&lt;"&amp;Részletes!AJ1,tételek!$F:$F,$A$2,tételek!$C:$C,"&gt;"&amp;0)</f>
        <v>1096374</v>
      </c>
      <c r="AJ4" s="70">
        <f>SUMIFS(tételek!$C:$C,tételek!$A:$A,"&gt;="&amp;Részletes!AJ1,tételek!$A:$A,"&lt;"&amp;Részletes!AK1,tételek!$F:$F,$A$2,tételek!$C:$C,"&gt;"&amp;0)</f>
        <v>1362064.0699999998</v>
      </c>
      <c r="AK4" s="70">
        <f>SUMIFS(tételek!$C:$C,tételek!$A:$A,"&gt;="&amp;Részletes!AK1,tételek!$A:$A,"&lt;"&amp;Részletes!AL1,tételek!$F:$F,$A$2,tételek!$C:$C,"&gt;"&amp;0)</f>
        <v>2832954.66</v>
      </c>
      <c r="AL4" s="70">
        <f>SUMIFS(tételek!$C:$C,tételek!$A:$A,"&gt;="&amp;Részletes!AL1,tételek!$A:$A,"&lt;"&amp;Részletes!AM1,tételek!$F:$F,$A$2,tételek!$C:$C,"&gt;"&amp;0)</f>
        <v>1493885</v>
      </c>
      <c r="AM4" s="70">
        <f>SUMIFS(tételek!$C:$C,tételek!$A:$A,"&gt;="&amp;Részletes!AM1,tételek!$A:$A,"&lt;"&amp;Részletes!AN1,tételek!$F:$F,$A$2,tételek!$C:$C,"&gt;"&amp;0)</f>
        <v>2149512.11</v>
      </c>
      <c r="AN4" s="70">
        <f>SUMIFS(tételek!$C:$C,tételek!$A:$A,"&gt;="&amp;Részletes!AN1,tételek!$A:$A,"&lt;"&amp;Részletes!AO1,tételek!$F:$F,$A$2,tételek!$C:$C,"&gt;"&amp;0)</f>
        <v>2810906</v>
      </c>
      <c r="AO4" s="70">
        <f>SUMIFS(tételek!$C:$C,tételek!$A:$A,"&gt;="&amp;Részletes!AO1,tételek!$A:$A,"&lt;"&amp;Részletes!AP1,tételek!$F:$F,$A$2,tételek!$C:$C,"&gt;"&amp;0)</f>
        <v>1299206</v>
      </c>
      <c r="AP4" s="70">
        <f>SUMIFS(tételek!$C:$C,tételek!$A:$A,"&gt;="&amp;Részletes!AP1,tételek!$A:$A,"&lt;"&amp;Részletes!AQ1,tételek!$F:$F,$A$2,tételek!$C:$C,"&gt;"&amp;0)</f>
        <v>1295444.5</v>
      </c>
      <c r="AQ4" s="70">
        <f>SUMIFS(tételek!$C:$C,tételek!$A:$A,"&gt;="&amp;Részletes!AQ1,tételek!$A:$A,"&lt;"&amp;Részletes!AR1,tételek!$F:$F,$A$2,tételek!$C:$C,"&gt;"&amp;0)</f>
        <v>2490395</v>
      </c>
      <c r="AR4" s="70">
        <f>SUMIFS(tételek!$C:$C,tételek!$A:$A,"&gt;="&amp;Részletes!AR1,tételek!$A:$A,"&lt;"&amp;Részletes!AS1,tételek!$F:$F,$A$2,tételek!$C:$C,"&gt;"&amp;0)</f>
        <v>1307387</v>
      </c>
      <c r="AS4" s="70">
        <f>SUMIFS(tételek!$C:$C,tételek!$A:$A,"&gt;="&amp;Részletes!AS1,tételek!$A:$A,"&lt;"&amp;Részletes!AT1,tételek!$F:$F,$A$2,tételek!$C:$C,"&gt;"&amp;0)</f>
        <v>1350664.2</v>
      </c>
      <c r="AT4" s="70">
        <f>SUMIFS(tételek!$C:$C,tételek!$A:$A,"&gt;="&amp;Részletes!AT1,tételek!$A:$A,"&lt;"&amp;Részletes!AU1,tételek!$F:$F,$A$2,tételek!$C:$C,"&gt;"&amp;0)</f>
        <v>1191139.24</v>
      </c>
      <c r="AU4" s="70">
        <f>SUMIFS(tételek!$C:$C,tételek!$A:$A,"&gt;="&amp;Részletes!AU1,tételek!$A:$A,"&lt;"&amp;Részletes!AV1,tételek!$F:$F,$A$2,tételek!$C:$C,"&gt;"&amp;0)</f>
        <v>1339307</v>
      </c>
      <c r="AV4" s="70">
        <f>SUMIFS(tételek!$C:$C,tételek!$A:$A,"&gt;="&amp;Részletes!AV1,tételek!$A:$A,"&lt;"&amp;Részletes!AW1,tételek!$F:$F,$A$2,tételek!$C:$C,"&gt;"&amp;0)</f>
        <v>1376077.26</v>
      </c>
      <c r="AW4" s="70">
        <f>SUMIFS(tételek!$C:$C,tételek!$A:$A,"&gt;="&amp;Részletes!AW1,tételek!$A:$A,"&lt;"&amp;Részletes!AX1,tételek!$F:$F,$A$2,tételek!$C:$C,"&gt;"&amp;0)</f>
        <v>1441003.19</v>
      </c>
      <c r="AX4" s="70">
        <f>SUMIFS(tételek!$C:$C,tételek!$A:$A,"&gt;="&amp;Részletes!AX1,tételek!$A:$A,"&lt;"&amp;Részletes!AY1,tételek!$F:$F,$A$2,tételek!$C:$C,"&gt;"&amp;0)</f>
        <v>1382276</v>
      </c>
      <c r="AY4" s="70">
        <f>SUMIFS(tételek!$C:$C,tételek!$A:$A,"&gt;="&amp;Részletes!AY1,tételek!$A:$A,"&lt;"&amp;Részletes!AZ1,tételek!$F:$F,$A$2,tételek!$C:$C,"&gt;"&amp;0)</f>
        <v>1349353.46</v>
      </c>
      <c r="AZ4" s="70">
        <f>SUMIFS(tételek!$C:$C,tételek!$A:$A,"&gt;="&amp;Részletes!AZ1,tételek!$A:$A,"&lt;"&amp;Részletes!BA1,tételek!$F:$F,$A$2,tételek!$C:$C,"&gt;"&amp;0)</f>
        <v>1459786.42</v>
      </c>
      <c r="BA4" s="70">
        <f>SUMIFS(tételek!$C:$C,tételek!$A:$A,"&gt;="&amp;Részletes!BA1,tételek!$A:$A,"&lt;"&amp;Részletes!BB1,tételek!$F:$F,$A$2,tételek!$C:$C,"&gt;"&amp;0)</f>
        <v>1378211</v>
      </c>
      <c r="BB4" s="70">
        <f>SUMIFS(tételek!$C:$C,tételek!$A:$A,"&gt;="&amp;Részletes!BB1,tételek!$A:$A,"&lt;"&amp;Részletes!BC1,tételek!$F:$F,$A$2,tételek!$C:$C,"&gt;"&amp;0)</f>
        <v>0</v>
      </c>
      <c r="BC4" s="70">
        <f>SUMIFS(tételek!$C:$C,tételek!$A:$A,"&gt;="&amp;Részletes!BC1,tételek!$A:$A,"&lt;"&amp;Részletes!BD1,tételek!$F:$F,$A$2,tételek!$C:$C,"&gt;"&amp;0)</f>
        <v>0</v>
      </c>
      <c r="BD4" s="70">
        <f>SUMIFS(tételek!$C:$C,tételek!$A:$A,"&gt;="&amp;Részletes!BD1,tételek!$A:$A,"&lt;"&amp;Részletes!BE1,tételek!$F:$F,$A$2,tételek!$C:$C,"&gt;"&amp;0)</f>
        <v>0</v>
      </c>
      <c r="BE4" s="70">
        <f>SUMIFS(tételek!$C:$C,tételek!$A:$A,"&gt;="&amp;Részletes!BE1,tételek!$A:$A,"&lt;"&amp;Részletes!BF1,tételek!$F:$F,$A$2,tételek!$C:$C,"&gt;"&amp;0)</f>
        <v>0</v>
      </c>
      <c r="BF4" s="70">
        <f>SUMIFS(tételek!$C:$C,tételek!$A:$A,"&gt;="&amp;Részletes!BF1,tételek!$A:$A,"&lt;"&amp;Részletes!BG1,tételek!$F:$F,$A$2,tételek!$C:$C,"&gt;"&amp;0)</f>
        <v>0</v>
      </c>
      <c r="BG4" s="70">
        <f>SUMIFS(tételek!$C:$C,tételek!$A:$A,"&gt;="&amp;Részletes!BG1,tételek!$A:$A,"&lt;"&amp;Részletes!BH1,tételek!$F:$F,$A$2,tételek!$C:$C,"&gt;"&amp;0)</f>
        <v>0</v>
      </c>
      <c r="BH4" s="70">
        <f>SUMIFS(tételek!$C:$C,tételek!$A:$A,"&gt;="&amp;Részletes!BH1,tételek!$A:$A,"&lt;"&amp;Részletes!BI1,tételek!$F:$F,$A$2,tételek!$C:$C,"&gt;"&amp;0)</f>
        <v>0</v>
      </c>
      <c r="BI4" s="70">
        <f>SUMIFS(tételek!$C:$C,tételek!$A:$A,"&gt;="&amp;Részletes!BI1,tételek!$A:$A,"&lt;"&amp;Részletes!BJ1,tételek!$F:$F,$A$2,tételek!$C:$C,"&gt;"&amp;0)</f>
        <v>0</v>
      </c>
      <c r="BJ4" s="70">
        <f>SUMIFS(tételek!$C:$C,tételek!$A:$A,"&gt;="&amp;Részletes!BJ1,tételek!$A:$A,"&lt;"&amp;Részletes!BK1,tételek!$F:$F,$A$2,tételek!$C:$C,"&gt;"&amp;0)</f>
        <v>0</v>
      </c>
      <c r="BK4" s="70">
        <f>SUMIFS(tételek!$C:$C,tételek!$A:$A,"&gt;="&amp;Részletes!BK1,tételek!$A:$A,"&lt;"&amp;Részletes!BL1,tételek!$F:$F,$A$2,tételek!$C:$C,"&gt;"&amp;0)</f>
        <v>0</v>
      </c>
      <c r="BL4" s="70">
        <f>SUMIFS(tételek!$C:$C,tételek!$A:$A,"&gt;="&amp;Részletes!BL1,tételek!$A:$A,"&lt;"&amp;Részletes!BM1,tételek!$F:$F,$A$2,tételek!$C:$C,"&gt;"&amp;0)</f>
        <v>0</v>
      </c>
      <c r="BM4" s="70">
        <f>SUMIFS(tételek!$C:$C,tételek!$A:$A,"&gt;="&amp;Részletes!BM1,tételek!$A:$A,"&lt;"&amp;Részletes!BN1,tételek!$F:$F,$A$2,tételek!$C:$C,"&gt;"&amp;0)</f>
        <v>0</v>
      </c>
      <c r="BN4" s="70">
        <f>SUMIFS(tételek!$C:$C,tételek!$A:$A,"&gt;="&amp;Részletes!BN1,tételek!$A:$A,"&lt;"&amp;Részletes!BO1,tételek!$F:$F,$A$2,tételek!$C:$C,"&gt;"&amp;0)</f>
        <v>0</v>
      </c>
      <c r="BO4" s="70">
        <f>SUMIFS(tételek!$C:$C,tételek!$A:$A,"&gt;="&amp;Részletes!BO1,tételek!$A:$A,"&lt;"&amp;Részletes!BP1,tételek!$F:$F,$A$2,tételek!$C:$C,"&gt;"&amp;0)</f>
        <v>0</v>
      </c>
      <c r="BP4" s="70">
        <f>SUMIFS(tételek!$C:$C,tételek!$A:$A,"&gt;="&amp;Részletes!BP1,tételek!$A:$A,"&lt;"&amp;Részletes!BQ1,tételek!$F:$F,$A$2,tételek!$C:$C,"&gt;"&amp;0)</f>
        <v>0</v>
      </c>
      <c r="BQ4" s="70">
        <f>SUMIFS(tételek!$C:$C,tételek!$A:$A,"&gt;="&amp;Részletes!BQ1,tételek!$A:$A,"&lt;"&amp;Részletes!BR1,tételek!$F:$F,$A$2,tételek!$C:$C,"&gt;"&amp;0)</f>
        <v>0</v>
      </c>
      <c r="BR4" s="70">
        <f>SUMIFS(tételek!$C:$C,tételek!$A:$A,"&gt;="&amp;Részletes!BR1,tételek!$A:$A,"&lt;"&amp;Részletes!BS1,tételek!$F:$F,$A$2,tételek!$C:$C,"&gt;"&amp;0)</f>
        <v>0</v>
      </c>
      <c r="BS4" s="70">
        <f>SUMIFS(tételek!$C:$C,tételek!$A:$A,"&gt;="&amp;Részletes!BS1,tételek!$A:$A,"&lt;"&amp;Részletes!BT1,tételek!$F:$F,$A$2,tételek!$C:$C,"&gt;"&amp;0)</f>
        <v>0</v>
      </c>
      <c r="BT4" s="70">
        <f>SUMIFS(tételek!$C:$C,tételek!$A:$A,"&gt;="&amp;Részletes!BT1,tételek!$A:$A,"&lt;"&amp;Részletes!BU1,tételek!$F:$F,$A$2,tételek!$C:$C,"&gt;"&amp;0)</f>
        <v>0</v>
      </c>
      <c r="BU4" s="70">
        <f>SUMIFS(tételek!$C:$C,tételek!$A:$A,"&gt;="&amp;Részletes!BU1,tételek!$A:$A,"&lt;"&amp;Részletes!BV1,tételek!$F:$F,$A$2,tételek!$C:$C,"&gt;"&amp;0)</f>
        <v>0</v>
      </c>
      <c r="BV4" s="70">
        <f>SUMIFS(tételek!$C:$C,tételek!$A:$A,"&gt;="&amp;Részletes!BV1,tételek!$A:$A,"&lt;"&amp;Részletes!BW1,tételek!$F:$F,$A$2,tételek!$C:$C,"&gt;"&amp;0)</f>
        <v>0</v>
      </c>
      <c r="BW4" s="70">
        <f>SUMIFS(tételek!$C:$C,tételek!$A:$A,"&gt;="&amp;Részletes!BW1,tételek!$A:$A,"&lt;"&amp;Részletes!BX1,tételek!$F:$F,$A$2,tételek!$C:$C,"&gt;"&amp;0)</f>
        <v>0</v>
      </c>
    </row>
    <row r="5" spans="1:75" x14ac:dyDescent="0.25">
      <c r="A5" s="70" t="s">
        <v>19</v>
      </c>
      <c r="B5" s="70">
        <f>SUMIFS(tételek!$C:$C,tételek!$A:$A,"&gt;="&amp;Részletes!B1,tételek!$A:$A,"&lt;"&amp;Részletes!C1,tételek!$F:$F,$A$2,tételek!$C:$C,"&lt;"&amp;0)</f>
        <v>-730688.27</v>
      </c>
      <c r="C5" s="70">
        <f>SUMIFS(tételek!$C:$C,tételek!$A:$A,"&gt;="&amp;Részletes!C1,tételek!$A:$A,"&lt;"&amp;Részletes!D1,tételek!$F:$F,$A$2,tételek!$C:$C,"&lt;"&amp;0)</f>
        <v>-379914.62000000005</v>
      </c>
      <c r="D5" s="70">
        <f>SUMIFS(tételek!$C:$C,tételek!$A:$A,"&gt;="&amp;Részletes!D1,tételek!$A:$A,"&lt;"&amp;Részletes!E1,tételek!$F:$F,$A$2,tételek!$C:$C,"&lt;"&amp;0)</f>
        <v>-214339.55</v>
      </c>
      <c r="E5" s="70">
        <f>SUMIFS(tételek!$C:$C,tételek!$A:$A,"&gt;="&amp;Részletes!E1,tételek!$A:$A,"&lt;"&amp;Részletes!F1,tételek!$F:$F,$A$2,tételek!$C:$C,"&lt;"&amp;0)</f>
        <v>-423283.33999999997</v>
      </c>
      <c r="F5" s="70">
        <f>SUMIFS(tételek!$C:$C,tételek!$A:$A,"&gt;="&amp;Részletes!F1,tételek!$A:$A,"&lt;"&amp;Részletes!G1,tételek!$F:$F,$A$2,tételek!$C:$C,"&lt;"&amp;0)</f>
        <v>-436981.25</v>
      </c>
      <c r="G5" s="70">
        <f>SUMIFS(tételek!$C:$C,tételek!$A:$A,"&gt;="&amp;Részletes!G1,tételek!$A:$A,"&lt;"&amp;Részletes!H1,tételek!$F:$F,$A$2,tételek!$C:$C,"&lt;"&amp;0)</f>
        <v>-501805.47</v>
      </c>
      <c r="H5" s="70">
        <f>SUMIFS(tételek!$C:$C,tételek!$A:$A,"&gt;="&amp;Részletes!H1,tételek!$A:$A,"&lt;"&amp;Részletes!I1,tételek!$F:$F,$A$2,tételek!$C:$C,"&lt;"&amp;0)</f>
        <v>-9341621.5500000007</v>
      </c>
      <c r="I5" s="70">
        <f>SUMIFS(tételek!$C:$C,tételek!$A:$A,"&gt;="&amp;Részletes!I1,tételek!$A:$A,"&lt;"&amp;Részletes!J1,tételek!$F:$F,$A$2,tételek!$C:$C,"&lt;"&amp;0)</f>
        <v>-8879808.5299999993</v>
      </c>
      <c r="J5" s="70">
        <f>SUMIFS(tételek!$C:$C,tételek!$A:$A,"&gt;="&amp;Részletes!J1,tételek!$A:$A,"&lt;"&amp;Részletes!K1,tételek!$F:$F,$A$2,tételek!$C:$C,"&lt;"&amp;0)</f>
        <v>-1321184</v>
      </c>
      <c r="K5" s="70">
        <f>SUMIFS(tételek!$C:$C,tételek!$A:$A,"&gt;="&amp;Részletes!K1,tételek!$A:$A,"&lt;"&amp;Részletes!L1,tételek!$F:$F,$A$2,tételek!$C:$C,"&lt;"&amp;0)</f>
        <v>-280322.07</v>
      </c>
      <c r="L5" s="70">
        <f>SUMIFS(tételek!$C:$C,tételek!$A:$A,"&gt;="&amp;Részletes!L1,tételek!$A:$A,"&lt;"&amp;Részletes!M1,tételek!$F:$F,$A$2,tételek!$C:$C,"&lt;"&amp;0)</f>
        <v>-911285.83000000007</v>
      </c>
      <c r="M5" s="70">
        <f>SUMIFS(tételek!$C:$C,tételek!$A:$A,"&gt;="&amp;Részletes!M1,tételek!$A:$A,"&lt;"&amp;Részletes!N1,tételek!$F:$F,$A$2,tételek!$C:$C,"&lt;"&amp;0)</f>
        <v>-1651209.14</v>
      </c>
      <c r="N5" s="70">
        <f>SUMIFS(tételek!$C:$C,tételek!$A:$A,"&gt;="&amp;Részletes!N1,tételek!$A:$A,"&lt;"&amp;Részletes!O1,tételek!$F:$F,$A$2,tételek!$C:$C,"&lt;"&amp;0)</f>
        <v>-192291</v>
      </c>
      <c r="O5" s="70">
        <f>SUMIFS(tételek!$C:$C,tételek!$A:$A,"&gt;="&amp;Részletes!O1,tételek!$A:$A,"&lt;"&amp;Részletes!P1,tételek!$F:$F,$A$2,tételek!$C:$C,"&lt;"&amp;0)</f>
        <v>-8554420.0800000001</v>
      </c>
      <c r="P5" s="70">
        <f>SUMIFS(tételek!$C:$C,tételek!$A:$A,"&gt;="&amp;Részletes!P1,tételek!$A:$A,"&lt;"&amp;Részletes!Q1,tételek!$F:$F,$A$2,tételek!$C:$C,"&lt;"&amp;0)</f>
        <v>-299291</v>
      </c>
      <c r="Q5" s="70">
        <f>SUMIFS(tételek!$C:$C,tételek!$A:$A,"&gt;="&amp;Részletes!Q1,tételek!$A:$A,"&lt;"&amp;Részletes!R1,tételek!$F:$F,$A$2,tételek!$C:$C,"&lt;"&amp;0)</f>
        <v>-6505995.8600000003</v>
      </c>
      <c r="R5" s="70">
        <f>SUMIFS(tételek!$C:$C,tételek!$A:$A,"&gt;="&amp;Részletes!R1,tételek!$A:$A,"&lt;"&amp;Részletes!S1,tételek!$F:$F,$A$2,tételek!$C:$C,"&lt;"&amp;0)</f>
        <v>-29796629.350000001</v>
      </c>
      <c r="S5" s="70">
        <f>SUMIFS(tételek!$C:$C,tételek!$A:$A,"&gt;="&amp;Részletes!S1,tételek!$A:$A,"&lt;"&amp;Részletes!T1,tételek!$F:$F,$A$2,tételek!$C:$C,"&lt;"&amp;0)</f>
        <v>-2349604.56</v>
      </c>
      <c r="T5" s="70">
        <f>SUMIFS(tételek!$C:$C,tételek!$A:$A,"&gt;="&amp;Részletes!T1,tételek!$A:$A,"&lt;"&amp;Részletes!U1,tételek!$F:$F,$A$2,tételek!$C:$C,"&lt;"&amp;0)</f>
        <v>-3270096.79</v>
      </c>
      <c r="U5" s="70">
        <f>SUMIFS(tételek!$C:$C,tételek!$A:$A,"&gt;="&amp;Részletes!U1,tételek!$A:$A,"&lt;"&amp;Részletes!V1,tételek!$F:$F,$A$2,tételek!$C:$C,"&lt;"&amp;0)</f>
        <v>-5773786.0099999998</v>
      </c>
      <c r="V5" s="70">
        <f>SUMIFS(tételek!$C:$C,tételek!$A:$A,"&gt;="&amp;Részletes!V1,tételek!$A:$A,"&lt;"&amp;Részletes!W1,tételek!$F:$F,$A$2,tételek!$C:$C,"&lt;"&amp;0)</f>
        <v>-644284.05000000005</v>
      </c>
      <c r="W5" s="70">
        <f>SUMIFS(tételek!$C:$C,tételek!$A:$A,"&gt;="&amp;Részletes!W1,tételek!$A:$A,"&lt;"&amp;Részletes!X1,tételek!$F:$F,$A$2,tételek!$C:$C,"&lt;"&amp;0)</f>
        <v>-841507</v>
      </c>
      <c r="X5" s="70">
        <f>SUMIFS(tételek!$C:$C,tételek!$A:$A,"&gt;="&amp;Részletes!X1,tételek!$A:$A,"&lt;"&amp;Részletes!Y1,tételek!$F:$F,$A$2,tételek!$C:$C,"&lt;"&amp;0)</f>
        <v>-1771647.73</v>
      </c>
      <c r="Y5" s="70">
        <f>SUMIFS(tételek!$C:$C,tételek!$A:$A,"&gt;="&amp;Részletes!Y1,tételek!$A:$A,"&lt;"&amp;Részletes!Z1,tételek!$F:$F,$A$2,tételek!$C:$C,"&lt;"&amp;0)</f>
        <v>-843247.79</v>
      </c>
      <c r="Z5" s="70">
        <f>SUMIFS(tételek!$C:$C,tételek!$A:$A,"&gt;="&amp;Részletes!Z1,tételek!$A:$A,"&lt;"&amp;Részletes!AA1,tételek!$F:$F,$A$2,tételek!$C:$C,"&lt;"&amp;0)</f>
        <v>-744081.79</v>
      </c>
      <c r="AA5" s="70">
        <f>SUMIFS(tételek!$C:$C,tételek!$A:$A,"&gt;="&amp;Részletes!AA1,tételek!$A:$A,"&lt;"&amp;Részletes!AB1,tételek!$F:$F,$A$2,tételek!$C:$C,"&lt;"&amp;0)</f>
        <v>-793985.20000000007</v>
      </c>
      <c r="AB5" s="70">
        <f>SUMIFS(tételek!$C:$C,tételek!$A:$A,"&gt;="&amp;Részletes!AB1,tételek!$A:$A,"&lt;"&amp;Részletes!AC1,tételek!$F:$F,$A$2,tételek!$C:$C,"&lt;"&amp;0)</f>
        <v>-756551.79</v>
      </c>
      <c r="AC5" s="70">
        <f>SUMIFS(tételek!$C:$C,tételek!$A:$A,"&gt;="&amp;Részletes!AC1,tételek!$A:$A,"&lt;"&amp;Részletes!AD1,tételek!$F:$F,$A$2,tételek!$C:$C,"&lt;"&amp;0)</f>
        <v>-11114250.890000001</v>
      </c>
      <c r="AD5" s="70">
        <f>SUMIFS(tételek!$C:$C,tételek!$A:$A,"&gt;="&amp;Részletes!AD1,tételek!$A:$A,"&lt;"&amp;Részletes!AE1,tételek!$F:$F,$A$2,tételek!$C:$C,"&lt;"&amp;0)</f>
        <v>-1117720.51</v>
      </c>
      <c r="AE5" s="70">
        <f>SUMIFS(tételek!$C:$C,tételek!$A:$A,"&gt;="&amp;Részletes!AE1,tételek!$A:$A,"&lt;"&amp;Részletes!AF1,tételek!$F:$F,$A$2,tételek!$C:$C,"&lt;"&amp;0)</f>
        <v>-2291929.54</v>
      </c>
      <c r="AF5" s="70">
        <f>SUMIFS(tételek!$C:$C,tételek!$A:$A,"&gt;="&amp;Részletes!AF1,tételek!$A:$A,"&lt;"&amp;Részletes!AG1,tételek!$F:$F,$A$2,tételek!$C:$C,"&lt;"&amp;0)</f>
        <v>-1078067.79</v>
      </c>
      <c r="AG5" s="70">
        <f>SUMIFS(tételek!$C:$C,tételek!$A:$A,"&gt;="&amp;Részletes!AG1,tételek!$A:$A,"&lt;"&amp;Részletes!AH1,tételek!$F:$F,$A$2,tételek!$C:$C,"&lt;"&amp;0)</f>
        <v>-1273776.77</v>
      </c>
      <c r="AH5" s="70">
        <f>SUMIFS(tételek!$C:$C,tételek!$A:$A,"&gt;="&amp;Részletes!AH1,tételek!$A:$A,"&lt;"&amp;Részletes!AI1,tételek!$F:$F,$A$2,tételek!$C:$C,"&lt;"&amp;0)</f>
        <v>-1561576.79</v>
      </c>
      <c r="AI5" s="70">
        <f>SUMIFS(tételek!$C:$C,tételek!$A:$A,"&gt;="&amp;Részletes!AI1,tételek!$A:$A,"&lt;"&amp;Részletes!AJ1,tételek!$F:$F,$A$2,tételek!$C:$C,"&lt;"&amp;0)</f>
        <v>-1098897.79</v>
      </c>
      <c r="AJ5" s="70">
        <f>SUMIFS(tételek!$C:$C,tételek!$A:$A,"&gt;="&amp;Részletes!AJ1,tételek!$A:$A,"&lt;"&amp;Részletes!AK1,tételek!$F:$F,$A$2,tételek!$C:$C,"&lt;"&amp;0)</f>
        <v>-915097.10000000009</v>
      </c>
      <c r="AK5" s="70">
        <f>SUMIFS(tételek!$C:$C,tételek!$A:$A,"&gt;="&amp;Részletes!AK1,tételek!$A:$A,"&lt;"&amp;Részletes!AL1,tételek!$F:$F,$A$2,tételek!$C:$C,"&lt;"&amp;0)</f>
        <v>-1702562.99</v>
      </c>
      <c r="AL5" s="70">
        <f>SUMIFS(tételek!$C:$C,tételek!$A:$A,"&gt;="&amp;Részletes!AL1,tételek!$A:$A,"&lt;"&amp;Részletes!AM1,tételek!$F:$F,$A$2,tételek!$C:$C,"&lt;"&amp;0)</f>
        <v>-1778391.79</v>
      </c>
      <c r="AM5" s="70">
        <f>SUMIFS(tételek!$C:$C,tételek!$A:$A,"&gt;="&amp;Részletes!AM1,tételek!$A:$A,"&lt;"&amp;Részletes!AN1,tételek!$F:$F,$A$2,tételek!$C:$C,"&lt;"&amp;0)</f>
        <v>-1056635.75</v>
      </c>
      <c r="AN5" s="70">
        <f>SUMIFS(tételek!$C:$C,tételek!$A:$A,"&gt;="&amp;Részletes!AN1,tételek!$A:$A,"&lt;"&amp;Részletes!AO1,tételek!$F:$F,$A$2,tételek!$C:$C,"&lt;"&amp;0)</f>
        <v>-1137235.98</v>
      </c>
      <c r="AO5" s="70">
        <f>SUMIFS(tételek!$C:$C,tételek!$A:$A,"&gt;="&amp;Részletes!AO1,tételek!$A:$A,"&lt;"&amp;Részletes!AP1,tételek!$F:$F,$A$2,tételek!$C:$C,"&lt;"&amp;0)</f>
        <v>-8181811.79</v>
      </c>
      <c r="AP5" s="70">
        <f>SUMIFS(tételek!$C:$C,tételek!$A:$A,"&gt;="&amp;Részletes!AP1,tételek!$A:$A,"&lt;"&amp;Részletes!AQ1,tételek!$F:$F,$A$2,tételek!$C:$C,"&lt;"&amp;0)</f>
        <v>-1202556.1600000001</v>
      </c>
      <c r="AQ5" s="70">
        <f>SUMIFS(tételek!$C:$C,tételek!$A:$A,"&gt;="&amp;Részletes!AQ1,tételek!$A:$A,"&lt;"&amp;Részletes!AR1,tételek!$F:$F,$A$2,tételek!$C:$C,"&lt;"&amp;0)</f>
        <v>-1340061.79</v>
      </c>
      <c r="AR5" s="70">
        <f>SUMIFS(tételek!$C:$C,tételek!$A:$A,"&gt;="&amp;Részletes!AR1,tételek!$A:$A,"&lt;"&amp;Részletes!AS1,tételek!$F:$F,$A$2,tételek!$C:$C,"&lt;"&amp;0)</f>
        <v>-2262332.79</v>
      </c>
      <c r="AS5" s="70">
        <f>SUMIFS(tételek!$C:$C,tételek!$A:$A,"&gt;="&amp;Részletes!AS1,tételek!$A:$A,"&lt;"&amp;Részletes!AT1,tételek!$F:$F,$A$2,tételek!$C:$C,"&lt;"&amp;0)</f>
        <v>-955870.04</v>
      </c>
      <c r="AT5" s="70">
        <f>SUMIFS(tételek!$C:$C,tételek!$A:$A,"&gt;="&amp;Részletes!AT1,tételek!$A:$A,"&lt;"&amp;Részletes!AU1,tételek!$F:$F,$A$2,tételek!$C:$C,"&lt;"&amp;0)</f>
        <v>-1104330.06</v>
      </c>
      <c r="AU5" s="70">
        <f>SUMIFS(tételek!$C:$C,tételek!$A:$A,"&gt;="&amp;Részletes!AU1,tételek!$A:$A,"&lt;"&amp;Részletes!AV1,tételek!$F:$F,$A$2,tételek!$C:$C,"&lt;"&amp;0)</f>
        <v>-2425474.79</v>
      </c>
      <c r="AV5" s="70">
        <f>SUMIFS(tételek!$C:$C,tételek!$A:$A,"&gt;="&amp;Részletes!AV1,tételek!$A:$A,"&lt;"&amp;Részletes!AW1,tételek!$F:$F,$A$2,tételek!$C:$C,"&lt;"&amp;0)</f>
        <v>-1344554.9</v>
      </c>
      <c r="AW5" s="70">
        <f>SUMIFS(tételek!$C:$C,tételek!$A:$A,"&gt;="&amp;Részletes!AW1,tételek!$A:$A,"&lt;"&amp;Részletes!AX1,tételek!$F:$F,$A$2,tételek!$C:$C,"&lt;"&amp;0)</f>
        <v>-1160497.0599999998</v>
      </c>
      <c r="AX5" s="70">
        <f>SUMIFS(tételek!$C:$C,tételek!$A:$A,"&gt;="&amp;Részletes!AX1,tételek!$A:$A,"&lt;"&amp;Részletes!AY1,tételek!$F:$F,$A$2,tételek!$C:$C,"&lt;"&amp;0)</f>
        <v>-1471601.79</v>
      </c>
      <c r="AY5" s="70">
        <f>SUMIFS(tételek!$C:$C,tételek!$A:$A,"&gt;="&amp;Részletes!AY1,tételek!$A:$A,"&lt;"&amp;Részletes!AZ1,tételek!$F:$F,$A$2,tételek!$C:$C,"&lt;"&amp;0)</f>
        <v>-1672277.23</v>
      </c>
      <c r="AZ5" s="70">
        <f>SUMIFS(tételek!$C:$C,tételek!$A:$A,"&gt;="&amp;Részletes!AZ1,tételek!$A:$A,"&lt;"&amp;Részletes!BA1,tételek!$F:$F,$A$2,tételek!$C:$C,"&lt;"&amp;0)</f>
        <v>-1156545.44</v>
      </c>
      <c r="BA5" s="70">
        <f>SUMIFS(tételek!$C:$C,tételek!$A:$A,"&gt;="&amp;Részletes!BA1,tételek!$A:$A,"&lt;"&amp;Részletes!BB1,tételek!$F:$F,$A$2,tételek!$C:$C,"&lt;"&amp;0)</f>
        <v>-1062516.79</v>
      </c>
      <c r="BB5" s="70">
        <f>SUMIFS(tételek!$C:$C,tételek!$A:$A,"&gt;="&amp;Részletes!BB1,tételek!$A:$A,"&lt;"&amp;Részletes!BC1,tételek!$F:$F,$A$2,tételek!$C:$C,"&lt;"&amp;0)</f>
        <v>0</v>
      </c>
      <c r="BC5" s="70">
        <f>SUMIFS(tételek!$C:$C,tételek!$A:$A,"&gt;="&amp;Részletes!BC1,tételek!$A:$A,"&lt;"&amp;Részletes!BD1,tételek!$F:$F,$A$2,tételek!$C:$C,"&lt;"&amp;0)</f>
        <v>0</v>
      </c>
      <c r="BD5" s="70">
        <f>SUMIFS(tételek!$C:$C,tételek!$A:$A,"&gt;="&amp;Részletes!BD1,tételek!$A:$A,"&lt;"&amp;Részletes!BE1,tételek!$F:$F,$A$2,tételek!$C:$C,"&lt;"&amp;0)</f>
        <v>0</v>
      </c>
      <c r="BE5" s="70">
        <f>SUMIFS(tételek!$C:$C,tételek!$A:$A,"&gt;="&amp;Részletes!BE1,tételek!$A:$A,"&lt;"&amp;Részletes!BF1,tételek!$F:$F,$A$2,tételek!$C:$C,"&lt;"&amp;0)</f>
        <v>0</v>
      </c>
      <c r="BF5" s="70">
        <f>SUMIFS(tételek!$C:$C,tételek!$A:$A,"&gt;="&amp;Részletes!BF1,tételek!$A:$A,"&lt;"&amp;Részletes!BG1,tételek!$F:$F,$A$2,tételek!$C:$C,"&lt;"&amp;0)</f>
        <v>0</v>
      </c>
      <c r="BG5" s="70">
        <f>SUMIFS(tételek!$C:$C,tételek!$A:$A,"&gt;="&amp;Részletes!BG1,tételek!$A:$A,"&lt;"&amp;Részletes!BH1,tételek!$F:$F,$A$2,tételek!$C:$C,"&lt;"&amp;0)</f>
        <v>0</v>
      </c>
      <c r="BH5" s="70">
        <f>SUMIFS(tételek!$C:$C,tételek!$A:$A,"&gt;="&amp;Részletes!BH1,tételek!$A:$A,"&lt;"&amp;Részletes!BI1,tételek!$F:$F,$A$2,tételek!$C:$C,"&lt;"&amp;0)</f>
        <v>0</v>
      </c>
      <c r="BI5" s="70">
        <f>SUMIFS(tételek!$C:$C,tételek!$A:$A,"&gt;="&amp;Részletes!BI1,tételek!$A:$A,"&lt;"&amp;Részletes!BJ1,tételek!$F:$F,$A$2,tételek!$C:$C,"&lt;"&amp;0)</f>
        <v>0</v>
      </c>
      <c r="BJ5" s="70">
        <f>SUMIFS(tételek!$C:$C,tételek!$A:$A,"&gt;="&amp;Részletes!BJ1,tételek!$A:$A,"&lt;"&amp;Részletes!BK1,tételek!$F:$F,$A$2,tételek!$C:$C,"&lt;"&amp;0)</f>
        <v>0</v>
      </c>
      <c r="BK5" s="70">
        <f>SUMIFS(tételek!$C:$C,tételek!$A:$A,"&gt;="&amp;Részletes!BK1,tételek!$A:$A,"&lt;"&amp;Részletes!BL1,tételek!$F:$F,$A$2,tételek!$C:$C,"&lt;"&amp;0)</f>
        <v>0</v>
      </c>
      <c r="BL5" s="70">
        <f>SUMIFS(tételek!$C:$C,tételek!$A:$A,"&gt;="&amp;Részletes!BL1,tételek!$A:$A,"&lt;"&amp;Részletes!BM1,tételek!$F:$F,$A$2,tételek!$C:$C,"&lt;"&amp;0)</f>
        <v>0</v>
      </c>
      <c r="BM5" s="70">
        <f>SUMIFS(tételek!$C:$C,tételek!$A:$A,"&gt;="&amp;Részletes!BM1,tételek!$A:$A,"&lt;"&amp;Részletes!BN1,tételek!$F:$F,$A$2,tételek!$C:$C,"&lt;"&amp;0)</f>
        <v>0</v>
      </c>
      <c r="BN5" s="70">
        <f>SUMIFS(tételek!$C:$C,tételek!$A:$A,"&gt;="&amp;Részletes!BN1,tételek!$A:$A,"&lt;"&amp;Részletes!BO1,tételek!$F:$F,$A$2,tételek!$C:$C,"&lt;"&amp;0)</f>
        <v>0</v>
      </c>
      <c r="BO5" s="70">
        <f>SUMIFS(tételek!$C:$C,tételek!$A:$A,"&gt;="&amp;Részletes!BO1,tételek!$A:$A,"&lt;"&amp;Részletes!BP1,tételek!$F:$F,$A$2,tételek!$C:$C,"&lt;"&amp;0)</f>
        <v>0</v>
      </c>
      <c r="BP5" s="70">
        <f>SUMIFS(tételek!$C:$C,tételek!$A:$A,"&gt;="&amp;Részletes!BP1,tételek!$A:$A,"&lt;"&amp;Részletes!BQ1,tételek!$F:$F,$A$2,tételek!$C:$C,"&lt;"&amp;0)</f>
        <v>0</v>
      </c>
      <c r="BQ5" s="70">
        <f>SUMIFS(tételek!$C:$C,tételek!$A:$A,"&gt;="&amp;Részletes!BQ1,tételek!$A:$A,"&lt;"&amp;Részletes!BR1,tételek!$F:$F,$A$2,tételek!$C:$C,"&lt;"&amp;0)</f>
        <v>0</v>
      </c>
      <c r="BR5" s="70">
        <f>SUMIFS(tételek!$C:$C,tételek!$A:$A,"&gt;="&amp;Részletes!BR1,tételek!$A:$A,"&lt;"&amp;Részletes!BS1,tételek!$F:$F,$A$2,tételek!$C:$C,"&lt;"&amp;0)</f>
        <v>0</v>
      </c>
      <c r="BS5" s="70">
        <f>SUMIFS(tételek!$C:$C,tételek!$A:$A,"&gt;="&amp;Részletes!BS1,tételek!$A:$A,"&lt;"&amp;Részletes!BT1,tételek!$F:$F,$A$2,tételek!$C:$C,"&lt;"&amp;0)</f>
        <v>0</v>
      </c>
      <c r="BT5" s="70">
        <f>SUMIFS(tételek!$C:$C,tételek!$A:$A,"&gt;="&amp;Részletes!BT1,tételek!$A:$A,"&lt;"&amp;Részletes!BU1,tételek!$F:$F,$A$2,tételek!$C:$C,"&lt;"&amp;0)</f>
        <v>0</v>
      </c>
      <c r="BU5" s="70">
        <f>SUMIFS(tételek!$C:$C,tételek!$A:$A,"&gt;="&amp;Részletes!BU1,tételek!$A:$A,"&lt;"&amp;Részletes!BV1,tételek!$F:$F,$A$2,tételek!$C:$C,"&lt;"&amp;0)</f>
        <v>0</v>
      </c>
      <c r="BV5" s="70">
        <f>SUMIFS(tételek!$C:$C,tételek!$A:$A,"&gt;="&amp;Részletes!BV1,tételek!$A:$A,"&lt;"&amp;Részletes!BW1,tételek!$F:$F,$A$2,tételek!$C:$C,"&lt;"&amp;0)</f>
        <v>0</v>
      </c>
      <c r="BW5" s="70">
        <f>SUMIFS(tételek!$C:$C,tételek!$A:$A,"&gt;="&amp;Részletes!BW1,tételek!$A:$A,"&lt;"&amp;Részletes!BX1,tételek!$F:$F,$A$2,tételek!$C:$C,"&lt;"&amp;0)</f>
        <v>0</v>
      </c>
    </row>
    <row r="6" spans="1:75" x14ac:dyDescent="0.25">
      <c r="A6" s="70" t="s">
        <v>20</v>
      </c>
      <c r="B6" s="70">
        <v>0</v>
      </c>
      <c r="C6" s="70">
        <v>0</v>
      </c>
      <c r="D6" s="70">
        <v>0</v>
      </c>
      <c r="E6" s="70">
        <v>0</v>
      </c>
      <c r="F6" s="70">
        <v>0</v>
      </c>
      <c r="G6" s="70">
        <v>0</v>
      </c>
      <c r="H6" s="70">
        <v>0</v>
      </c>
      <c r="I6" s="70">
        <v>0</v>
      </c>
      <c r="J6" s="70">
        <v>0</v>
      </c>
      <c r="K6" s="70">
        <v>0</v>
      </c>
      <c r="L6" s="70">
        <v>0</v>
      </c>
      <c r="M6" s="70">
        <v>0</v>
      </c>
      <c r="N6" s="70">
        <v>0</v>
      </c>
      <c r="O6" s="70">
        <v>0</v>
      </c>
      <c r="P6" s="70">
        <v>0</v>
      </c>
      <c r="Q6" s="70">
        <v>0</v>
      </c>
      <c r="R6" s="70">
        <v>800000</v>
      </c>
      <c r="S6" s="70">
        <v>-3500000</v>
      </c>
      <c r="T6" s="70">
        <v>-2800000</v>
      </c>
      <c r="U6" s="70">
        <v>0</v>
      </c>
      <c r="V6" s="70">
        <v>0</v>
      </c>
      <c r="W6" s="70">
        <v>0</v>
      </c>
      <c r="X6" s="70">
        <v>0</v>
      </c>
      <c r="Y6" s="70">
        <v>0</v>
      </c>
      <c r="Z6" s="70">
        <v>0</v>
      </c>
      <c r="AA6" s="70">
        <v>0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  <c r="AG6" s="70">
        <v>0</v>
      </c>
      <c r="AH6" s="70">
        <v>0</v>
      </c>
      <c r="AI6" s="70">
        <v>0</v>
      </c>
      <c r="AJ6" s="70">
        <v>0</v>
      </c>
      <c r="AK6" s="70">
        <v>0</v>
      </c>
      <c r="AL6" s="70">
        <v>0</v>
      </c>
      <c r="AM6" s="70">
        <v>0</v>
      </c>
      <c r="AN6" s="70">
        <v>-2800000</v>
      </c>
      <c r="AO6" s="70">
        <v>-6382000</v>
      </c>
      <c r="AP6" s="70">
        <v>0</v>
      </c>
      <c r="AQ6" s="70">
        <v>0</v>
      </c>
      <c r="AR6" s="70">
        <v>0</v>
      </c>
      <c r="AS6" s="70">
        <v>0</v>
      </c>
      <c r="AT6" s="70">
        <v>0</v>
      </c>
      <c r="AU6" s="70">
        <v>0</v>
      </c>
      <c r="AV6" s="70">
        <v>0</v>
      </c>
      <c r="AW6" s="70">
        <v>0</v>
      </c>
      <c r="AX6" s="70">
        <v>0</v>
      </c>
      <c r="AY6" s="70">
        <v>0</v>
      </c>
      <c r="AZ6" s="70">
        <v>0</v>
      </c>
      <c r="BA6" s="70">
        <v>0</v>
      </c>
      <c r="BB6" s="70">
        <v>0</v>
      </c>
      <c r="BC6" s="70">
        <v>0</v>
      </c>
      <c r="BD6" s="70">
        <v>0</v>
      </c>
      <c r="BE6" s="70">
        <v>0</v>
      </c>
      <c r="BF6" s="70">
        <v>0</v>
      </c>
      <c r="BG6" s="70">
        <v>0</v>
      </c>
      <c r="BH6" s="70">
        <v>0</v>
      </c>
      <c r="BI6" s="70">
        <v>0</v>
      </c>
      <c r="BJ6" s="70">
        <v>0</v>
      </c>
      <c r="BK6" s="70">
        <v>0</v>
      </c>
      <c r="BL6" s="70">
        <v>0</v>
      </c>
      <c r="BM6" s="70">
        <v>0</v>
      </c>
      <c r="BN6" s="70">
        <v>0</v>
      </c>
      <c r="BO6" s="70">
        <v>0</v>
      </c>
      <c r="BP6" s="70">
        <v>0</v>
      </c>
      <c r="BQ6" s="70">
        <v>0</v>
      </c>
      <c r="BR6" s="70">
        <v>0</v>
      </c>
      <c r="BS6" s="70">
        <v>0</v>
      </c>
      <c r="BT6" s="70">
        <v>0</v>
      </c>
      <c r="BU6" s="70">
        <v>0</v>
      </c>
      <c r="BV6" s="70">
        <v>0</v>
      </c>
      <c r="BW6" s="70">
        <v>0</v>
      </c>
    </row>
    <row r="7" spans="1:75" x14ac:dyDescent="0.25">
      <c r="A7" s="70" t="s">
        <v>21</v>
      </c>
      <c r="B7" s="70">
        <v>0</v>
      </c>
      <c r="C7" s="70">
        <f t="shared" ref="C7:L7" si="0">B8+B6+Tervezett</f>
        <v>821285.80073333357</v>
      </c>
      <c r="D7" s="70">
        <f t="shared" si="0"/>
        <v>523957.80073333357</v>
      </c>
      <c r="E7" s="70">
        <f t="shared" si="0"/>
        <v>854002.80073333357</v>
      </c>
      <c r="F7" s="70">
        <f t="shared" si="0"/>
        <v>1276141.8007333335</v>
      </c>
      <c r="G7" s="70">
        <f t="shared" si="0"/>
        <v>1258968.8007333335</v>
      </c>
      <c r="H7" s="70">
        <f t="shared" si="0"/>
        <v>1839524.8007333335</v>
      </c>
      <c r="I7" s="70">
        <f t="shared" si="0"/>
        <v>2268443.8007333335</v>
      </c>
      <c r="J7" s="70">
        <f t="shared" si="0"/>
        <v>2816862.8007333335</v>
      </c>
      <c r="K7" s="70">
        <f t="shared" si="0"/>
        <v>991438.80073333357</v>
      </c>
      <c r="L7" s="70">
        <f t="shared" si="0"/>
        <v>604381.80073333357</v>
      </c>
      <c r="M7" s="70">
        <f>L8+L6+Tervezett+344250</f>
        <v>1711215.8007333335</v>
      </c>
      <c r="N7" s="70">
        <f>M8+M6+Tervezett+344250</f>
        <v>1837922.8007333335</v>
      </c>
      <c r="O7" s="70">
        <f>N8+N6+Tervezett+344250</f>
        <v>1216172.8007333335</v>
      </c>
      <c r="P7" s="70">
        <f>O8+O6+Tervezett+344250</f>
        <v>2037047.8007333335</v>
      </c>
      <c r="Q7" s="70">
        <f>P8+P6+Tervezett+344250</f>
        <v>1878274.8007333335</v>
      </c>
      <c r="R7" s="70">
        <f t="shared" ref="R7:AX7" si="1">Q8+Q6+Tervezett</f>
        <v>2325174.8007333335</v>
      </c>
      <c r="S7" s="70">
        <f t="shared" si="1"/>
        <v>1099377.8007333335</v>
      </c>
      <c r="T7" s="70">
        <f t="shared" si="1"/>
        <v>-1777990.1992666665</v>
      </c>
      <c r="U7" s="70">
        <f t="shared" si="1"/>
        <v>-1479790.1992666665</v>
      </c>
      <c r="V7" s="70">
        <f t="shared" si="1"/>
        <v>107676.80073333357</v>
      </c>
      <c r="W7" s="70">
        <f t="shared" si="1"/>
        <v>360540.80073333357</v>
      </c>
      <c r="X7" s="70">
        <f t="shared" si="1"/>
        <v>430306.80073333357</v>
      </c>
      <c r="Y7" s="70">
        <f t="shared" si="1"/>
        <v>1126795.8007333335</v>
      </c>
      <c r="Z7" s="70">
        <f t="shared" si="1"/>
        <v>1546097.8007333335</v>
      </c>
      <c r="AA7" s="70">
        <f t="shared" si="1"/>
        <v>1446859.8007333335</v>
      </c>
      <c r="AB7" s="70">
        <f t="shared" si="1"/>
        <v>1714783.8007333335</v>
      </c>
      <c r="AC7" s="70">
        <f t="shared" si="1"/>
        <v>2008750.8007333335</v>
      </c>
      <c r="AD7" s="70">
        <f t="shared" si="1"/>
        <v>12293653.800733333</v>
      </c>
      <c r="AE7" s="70">
        <f t="shared" si="1"/>
        <v>2180140.8007333335</v>
      </c>
      <c r="AF7" s="70">
        <f t="shared" si="1"/>
        <v>1799783.8007333335</v>
      </c>
      <c r="AG7" s="70">
        <f t="shared" si="1"/>
        <v>1720997.1007333333</v>
      </c>
      <c r="AH7" s="70">
        <f t="shared" si="1"/>
        <v>1848955.5107333334</v>
      </c>
      <c r="AI7" s="70">
        <f t="shared" si="1"/>
        <v>1793294.5907333335</v>
      </c>
      <c r="AJ7" s="70">
        <f t="shared" si="1"/>
        <v>1567067.8007333335</v>
      </c>
      <c r="AK7" s="70">
        <f t="shared" si="1"/>
        <v>1691694.8307333337</v>
      </c>
      <c r="AL7" s="70">
        <f t="shared" si="1"/>
        <v>2138661.8007333335</v>
      </c>
      <c r="AM7" s="70">
        <f t="shared" si="1"/>
        <v>3296528.8007333335</v>
      </c>
      <c r="AN7" s="70">
        <f t="shared" si="1"/>
        <v>3014321.8007333335</v>
      </c>
      <c r="AO7" s="70">
        <f t="shared" si="1"/>
        <v>1305301.8007333335</v>
      </c>
      <c r="AP7" s="70">
        <f t="shared" si="1"/>
        <v>1580868.8007333335</v>
      </c>
      <c r="AQ7" s="70">
        <f t="shared" si="1"/>
        <v>1080261.8007333335</v>
      </c>
      <c r="AR7" s="70">
        <f t="shared" si="1"/>
        <v>1205546.3761333334</v>
      </c>
      <c r="AS7" s="70">
        <f t="shared" si="1"/>
        <v>1831378.8007333335</v>
      </c>
      <c r="AT7" s="70">
        <f t="shared" si="1"/>
        <v>1685243.6014666669</v>
      </c>
      <c r="AU7" s="70">
        <f t="shared" si="1"/>
        <v>1667527.8007333335</v>
      </c>
      <c r="AV7" s="70">
        <f t="shared" si="1"/>
        <v>1896333.8007333335</v>
      </c>
      <c r="AW7" s="70">
        <f t="shared" si="1"/>
        <v>762022.80073333357</v>
      </c>
      <c r="AX7" s="70">
        <f t="shared" si="1"/>
        <v>814696.80073333357</v>
      </c>
      <c r="AZ7" s="70">
        <f t="shared" ref="AZ7:BW7" si="2">AY8+AY6+Tervezett</f>
        <v>1087999.8007333335</v>
      </c>
      <c r="BA7" s="70">
        <f t="shared" si="2"/>
        <v>765076.80073333357</v>
      </c>
      <c r="BB7" s="70">
        <f t="shared" si="2"/>
        <v>983630.80073333357</v>
      </c>
      <c r="BC7" s="70">
        <f t="shared" si="2"/>
        <v>1231608.8007333335</v>
      </c>
      <c r="BD7" s="70">
        <f t="shared" si="2"/>
        <v>1085473.6014666669</v>
      </c>
      <c r="BE7" s="70">
        <f t="shared" si="2"/>
        <v>939338.40220000048</v>
      </c>
      <c r="BF7" s="70">
        <f t="shared" si="2"/>
        <v>793203.20293333405</v>
      </c>
      <c r="BG7" s="70">
        <f t="shared" si="2"/>
        <v>647068.00366666762</v>
      </c>
      <c r="BH7" s="70">
        <f t="shared" si="2"/>
        <v>500932.80440000119</v>
      </c>
      <c r="BI7" s="70">
        <f t="shared" si="2"/>
        <v>354797.60513333476</v>
      </c>
      <c r="BJ7" s="70">
        <f t="shared" si="2"/>
        <v>208662.40586666833</v>
      </c>
      <c r="BK7" s="70">
        <f t="shared" si="2"/>
        <v>62527.206600001897</v>
      </c>
      <c r="BL7" s="70">
        <f t="shared" si="2"/>
        <v>-83607.992666664533</v>
      </c>
      <c r="BM7" s="70">
        <f t="shared" si="2"/>
        <v>-229743.19193333096</v>
      </c>
      <c r="BN7" s="70">
        <f t="shared" si="2"/>
        <v>-375878.39119999739</v>
      </c>
      <c r="BO7" s="70">
        <f t="shared" si="2"/>
        <v>-522013.59046666382</v>
      </c>
      <c r="BP7" s="70">
        <f t="shared" si="2"/>
        <v>-668148.78973333025</v>
      </c>
      <c r="BQ7" s="70">
        <f t="shared" si="2"/>
        <v>-814283.98899999668</v>
      </c>
      <c r="BR7" s="70">
        <f t="shared" si="2"/>
        <v>-960419.18826666311</v>
      </c>
      <c r="BS7" s="70">
        <f t="shared" si="2"/>
        <v>-1106554.3875333294</v>
      </c>
      <c r="BT7" s="70">
        <f t="shared" si="2"/>
        <v>-1252689.586799996</v>
      </c>
      <c r="BU7" s="70">
        <f t="shared" si="2"/>
        <v>-1398824.7860666625</v>
      </c>
      <c r="BV7" s="70">
        <f t="shared" si="2"/>
        <v>-1544959.9853333291</v>
      </c>
      <c r="BW7" s="70">
        <f t="shared" si="2"/>
        <v>-1691095.1845999956</v>
      </c>
    </row>
    <row r="8" spans="1:75" collapsed="1" x14ac:dyDescent="0.25">
      <c r="A8" s="73" t="s">
        <v>22</v>
      </c>
      <c r="B8" s="73">
        <f>B3</f>
        <v>967421</v>
      </c>
      <c r="C8" s="73">
        <f t="shared" ref="C8:AH8" si="3">IF(C3&lt;&gt;"",C3,C7)</f>
        <v>670093</v>
      </c>
      <c r="D8" s="73">
        <f t="shared" si="3"/>
        <v>1000138</v>
      </c>
      <c r="E8" s="73">
        <f t="shared" si="3"/>
        <v>1422277</v>
      </c>
      <c r="F8" s="73">
        <f t="shared" si="3"/>
        <v>1405104</v>
      </c>
      <c r="G8" s="73">
        <f t="shared" si="3"/>
        <v>1985660</v>
      </c>
      <c r="H8" s="73">
        <f t="shared" si="3"/>
        <v>2414579</v>
      </c>
      <c r="I8" s="73">
        <f t="shared" si="3"/>
        <v>2962998</v>
      </c>
      <c r="J8" s="73">
        <f t="shared" si="3"/>
        <v>1137574</v>
      </c>
      <c r="K8" s="73">
        <f t="shared" si="3"/>
        <v>750517</v>
      </c>
      <c r="L8" s="73">
        <f t="shared" si="3"/>
        <v>1513101</v>
      </c>
      <c r="M8" s="73">
        <f t="shared" si="3"/>
        <v>1639808</v>
      </c>
      <c r="N8" s="73">
        <f t="shared" si="3"/>
        <v>1018058</v>
      </c>
      <c r="O8" s="73">
        <f t="shared" si="3"/>
        <v>1838933</v>
      </c>
      <c r="P8" s="73">
        <f t="shared" si="3"/>
        <v>1680160</v>
      </c>
      <c r="Q8" s="73">
        <f t="shared" si="3"/>
        <v>2471310</v>
      </c>
      <c r="R8" s="73">
        <f t="shared" si="3"/>
        <v>445513</v>
      </c>
      <c r="S8" s="73">
        <f t="shared" si="3"/>
        <v>1868145</v>
      </c>
      <c r="T8" s="73">
        <f t="shared" si="3"/>
        <v>1466345</v>
      </c>
      <c r="U8" s="73">
        <f t="shared" si="3"/>
        <v>253812</v>
      </c>
      <c r="V8" s="73">
        <f t="shared" si="3"/>
        <v>506676</v>
      </c>
      <c r="W8" s="73">
        <f t="shared" si="3"/>
        <v>576442</v>
      </c>
      <c r="X8" s="73">
        <f t="shared" si="3"/>
        <v>1272931</v>
      </c>
      <c r="Y8" s="73">
        <f t="shared" si="3"/>
        <v>1692233</v>
      </c>
      <c r="Z8" s="73">
        <f t="shared" si="3"/>
        <v>1592995</v>
      </c>
      <c r="AA8" s="73">
        <f t="shared" si="3"/>
        <v>1860919</v>
      </c>
      <c r="AB8" s="73">
        <f t="shared" si="3"/>
        <v>2154886</v>
      </c>
      <c r="AC8" s="73">
        <f t="shared" si="3"/>
        <v>12439789</v>
      </c>
      <c r="AD8" s="73">
        <f t="shared" si="3"/>
        <v>2326276</v>
      </c>
      <c r="AE8" s="73">
        <f t="shared" si="3"/>
        <v>1945919</v>
      </c>
      <c r="AF8" s="73">
        <f t="shared" si="3"/>
        <v>1867132.2999999998</v>
      </c>
      <c r="AG8" s="73">
        <f t="shared" si="3"/>
        <v>1995090.71</v>
      </c>
      <c r="AH8" s="73">
        <f t="shared" si="3"/>
        <v>1939429.79</v>
      </c>
      <c r="AI8" s="73">
        <f t="shared" ref="AI8:BN8" si="4">IF(AI3&lt;&gt;"",AI3,AI7)</f>
        <v>1713203</v>
      </c>
      <c r="AJ8" s="73">
        <f t="shared" si="4"/>
        <v>1837830.0300000003</v>
      </c>
      <c r="AK8" s="73">
        <f t="shared" si="4"/>
        <v>2284797</v>
      </c>
      <c r="AL8" s="73">
        <f t="shared" si="4"/>
        <v>3442664</v>
      </c>
      <c r="AM8" s="73">
        <f t="shared" si="4"/>
        <v>3160457</v>
      </c>
      <c r="AN8" s="73">
        <f t="shared" si="4"/>
        <v>4251437</v>
      </c>
      <c r="AO8" s="73">
        <f t="shared" si="4"/>
        <v>8109004</v>
      </c>
      <c r="AP8" s="73">
        <f t="shared" si="4"/>
        <v>1226397</v>
      </c>
      <c r="AQ8" s="73">
        <f t="shared" si="4"/>
        <v>1351681.5754</v>
      </c>
      <c r="AR8" s="73">
        <f t="shared" si="4"/>
        <v>1977514</v>
      </c>
      <c r="AS8" s="73">
        <f t="shared" si="4"/>
        <v>1831378.8007333335</v>
      </c>
      <c r="AT8" s="73">
        <f t="shared" si="4"/>
        <v>1813663</v>
      </c>
      <c r="AU8" s="73">
        <f t="shared" si="4"/>
        <v>2042469</v>
      </c>
      <c r="AV8" s="73">
        <f t="shared" si="4"/>
        <v>908158</v>
      </c>
      <c r="AW8" s="73">
        <f t="shared" si="4"/>
        <v>960832</v>
      </c>
      <c r="AX8" s="73">
        <f t="shared" si="4"/>
        <v>1323460.79</v>
      </c>
      <c r="AY8" s="73">
        <f t="shared" si="4"/>
        <v>1234135</v>
      </c>
      <c r="AZ8" s="73">
        <f t="shared" si="4"/>
        <v>911212</v>
      </c>
      <c r="BA8" s="73">
        <f t="shared" si="4"/>
        <v>1129766</v>
      </c>
      <c r="BB8" s="73">
        <f t="shared" si="4"/>
        <v>1377744</v>
      </c>
      <c r="BC8" s="73">
        <f t="shared" si="4"/>
        <v>1231608.8007333335</v>
      </c>
      <c r="BD8" s="73">
        <f t="shared" si="4"/>
        <v>1085473.6014666669</v>
      </c>
      <c r="BE8" s="73">
        <f t="shared" si="4"/>
        <v>939338.40220000048</v>
      </c>
      <c r="BF8" s="73">
        <f t="shared" si="4"/>
        <v>793203.20293333405</v>
      </c>
      <c r="BG8" s="73">
        <f t="shared" si="4"/>
        <v>647068.00366666762</v>
      </c>
      <c r="BH8" s="73">
        <f t="shared" si="4"/>
        <v>500932.80440000119</v>
      </c>
      <c r="BI8" s="73">
        <f t="shared" si="4"/>
        <v>354797.60513333476</v>
      </c>
      <c r="BJ8" s="73">
        <f t="shared" si="4"/>
        <v>208662.40586666833</v>
      </c>
      <c r="BK8" s="73">
        <f t="shared" si="4"/>
        <v>62527.206600001897</v>
      </c>
      <c r="BL8" s="73">
        <f t="shared" si="4"/>
        <v>-83607.992666664533</v>
      </c>
      <c r="BM8" s="73">
        <f t="shared" si="4"/>
        <v>-229743.19193333096</v>
      </c>
      <c r="BN8" s="73">
        <f t="shared" si="4"/>
        <v>-375878.39119999739</v>
      </c>
      <c r="BO8" s="73">
        <f t="shared" ref="BO8:CT8" si="5">IF(BO3&lt;&gt;"",BO3,BO7)</f>
        <v>-522013.59046666382</v>
      </c>
      <c r="BP8" s="73">
        <f t="shared" si="5"/>
        <v>-668148.78973333025</v>
      </c>
      <c r="BQ8" s="73">
        <f t="shared" si="5"/>
        <v>-814283.98899999668</v>
      </c>
      <c r="BR8" s="73">
        <f t="shared" si="5"/>
        <v>-960419.18826666311</v>
      </c>
      <c r="BS8" s="73">
        <f t="shared" si="5"/>
        <v>-1106554.3875333294</v>
      </c>
      <c r="BT8" s="73">
        <f t="shared" si="5"/>
        <v>-1252689.586799996</v>
      </c>
      <c r="BU8" s="73">
        <f t="shared" si="5"/>
        <v>-1398824.7860666625</v>
      </c>
      <c r="BV8" s="73">
        <f t="shared" si="5"/>
        <v>-1544959.9853333291</v>
      </c>
      <c r="BW8" s="73">
        <f t="shared" si="5"/>
        <v>-1691095.1845999956</v>
      </c>
    </row>
    <row r="9" spans="1:75" x14ac:dyDescent="0.25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</row>
    <row r="10" spans="1:75" ht="18.75" customHeight="1" x14ac:dyDescent="0.3">
      <c r="A10" s="75" t="s">
        <v>23</v>
      </c>
    </row>
    <row r="11" spans="1:75" hidden="1" outlineLevel="1" x14ac:dyDescent="0.25">
      <c r="A11" s="70" t="s">
        <v>24</v>
      </c>
      <c r="B11" s="72">
        <v>5000510</v>
      </c>
      <c r="C11" s="72">
        <v>5000510</v>
      </c>
      <c r="D11" s="72">
        <v>5000573</v>
      </c>
      <c r="E11" s="72">
        <v>5000573</v>
      </c>
      <c r="F11" s="72">
        <v>5000573</v>
      </c>
      <c r="G11" s="72">
        <v>5000634</v>
      </c>
      <c r="H11" s="72">
        <v>5000637</v>
      </c>
      <c r="I11" s="72">
        <v>3000634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  <c r="V11" s="72">
        <v>0</v>
      </c>
      <c r="W11" s="72">
        <v>0</v>
      </c>
      <c r="X11" s="72">
        <v>0</v>
      </c>
      <c r="Y11" s="72">
        <v>0</v>
      </c>
      <c r="Z11" s="72">
        <v>0</v>
      </c>
      <c r="AA11" s="72">
        <v>0</v>
      </c>
      <c r="AB11" s="72">
        <v>0</v>
      </c>
      <c r="AC11" s="72">
        <v>0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0</v>
      </c>
      <c r="AN11" s="72">
        <v>0</v>
      </c>
      <c r="AO11" s="72">
        <v>0</v>
      </c>
      <c r="AP11" s="72">
        <v>0</v>
      </c>
      <c r="AQ11" s="72">
        <v>0</v>
      </c>
      <c r="AR11" s="72">
        <v>0</v>
      </c>
      <c r="AS11" s="72">
        <v>0</v>
      </c>
      <c r="AT11" s="72">
        <v>0</v>
      </c>
      <c r="AU11" s="72">
        <v>0</v>
      </c>
      <c r="AV11" s="72">
        <v>0</v>
      </c>
      <c r="AW11" s="72">
        <v>0</v>
      </c>
      <c r="AX11" s="72">
        <v>0</v>
      </c>
      <c r="AY11" s="72">
        <v>0</v>
      </c>
      <c r="AZ11" s="72">
        <v>0</v>
      </c>
      <c r="BA11" s="72">
        <v>0</v>
      </c>
      <c r="BB11" s="72">
        <v>0</v>
      </c>
      <c r="BC11" s="72">
        <v>0</v>
      </c>
      <c r="BD11" s="72">
        <v>0</v>
      </c>
      <c r="BE11" s="72">
        <v>0</v>
      </c>
      <c r="BF11" s="72">
        <v>0</v>
      </c>
      <c r="BG11" s="72">
        <v>0</v>
      </c>
      <c r="BH11" s="72">
        <v>0</v>
      </c>
      <c r="BI11" s="72">
        <v>0</v>
      </c>
      <c r="BJ11" s="72">
        <v>0</v>
      </c>
      <c r="BK11" s="72">
        <v>0</v>
      </c>
      <c r="BL11" s="72">
        <v>0</v>
      </c>
      <c r="BM11" s="72">
        <v>0</v>
      </c>
      <c r="BN11" s="72">
        <v>0</v>
      </c>
      <c r="BO11" s="72">
        <v>0</v>
      </c>
      <c r="BP11" s="72">
        <v>0</v>
      </c>
      <c r="BQ11" s="72">
        <v>0</v>
      </c>
      <c r="BR11" s="72">
        <v>0</v>
      </c>
      <c r="BS11" s="72">
        <v>0</v>
      </c>
      <c r="BT11" s="72">
        <v>0</v>
      </c>
      <c r="BU11" s="72">
        <v>0</v>
      </c>
      <c r="BV11" s="72">
        <v>0</v>
      </c>
      <c r="BW11" s="72">
        <v>0</v>
      </c>
    </row>
    <row r="12" spans="1:75" hidden="1" outlineLevel="1" x14ac:dyDescent="0.25">
      <c r="A12" s="70" t="s">
        <v>18</v>
      </c>
      <c r="B12" s="70">
        <v>0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  <c r="T12" s="70">
        <v>0</v>
      </c>
      <c r="U12" s="70">
        <v>0</v>
      </c>
      <c r="V12" s="70">
        <v>0</v>
      </c>
      <c r="W12" s="70">
        <v>0</v>
      </c>
      <c r="X12" s="70">
        <v>0</v>
      </c>
      <c r="Y12" s="70">
        <v>0</v>
      </c>
      <c r="Z12" s="70">
        <v>0</v>
      </c>
      <c r="AA12" s="70">
        <v>0</v>
      </c>
      <c r="AB12" s="70">
        <v>0</v>
      </c>
      <c r="AC12" s="70">
        <v>0</v>
      </c>
      <c r="AD12" s="70">
        <v>0</v>
      </c>
      <c r="AE12" s="70">
        <v>0</v>
      </c>
      <c r="AF12" s="70">
        <v>0</v>
      </c>
      <c r="AG12" s="70">
        <v>0</v>
      </c>
      <c r="AH12" s="70">
        <v>0</v>
      </c>
      <c r="AI12" s="70">
        <v>0</v>
      </c>
      <c r="AJ12" s="70">
        <v>0</v>
      </c>
      <c r="AK12" s="70">
        <v>0</v>
      </c>
      <c r="AL12" s="70">
        <v>0</v>
      </c>
      <c r="AM12" s="70">
        <v>0</v>
      </c>
      <c r="AN12" s="70">
        <v>0</v>
      </c>
      <c r="AO12" s="70">
        <v>0</v>
      </c>
      <c r="AP12" s="70">
        <v>0</v>
      </c>
      <c r="AQ12" s="70">
        <v>0</v>
      </c>
      <c r="AR12" s="70">
        <v>0</v>
      </c>
      <c r="AS12" s="70">
        <v>0</v>
      </c>
      <c r="AT12" s="70">
        <v>0</v>
      </c>
      <c r="AU12" s="70">
        <v>0</v>
      </c>
      <c r="AV12" s="70">
        <v>0</v>
      </c>
      <c r="AW12" s="70">
        <v>0</v>
      </c>
      <c r="AX12" s="70">
        <v>0</v>
      </c>
      <c r="AY12" s="70">
        <v>0</v>
      </c>
      <c r="AZ12" s="70">
        <v>0</v>
      </c>
      <c r="BA12" s="70">
        <v>0</v>
      </c>
      <c r="BB12" s="70">
        <v>0</v>
      </c>
      <c r="BC12" s="70">
        <v>0</v>
      </c>
      <c r="BD12" s="70">
        <v>0</v>
      </c>
      <c r="BE12" s="70">
        <v>0</v>
      </c>
      <c r="BF12" s="70">
        <v>0</v>
      </c>
      <c r="BG12" s="70">
        <v>0</v>
      </c>
      <c r="BH12" s="70">
        <v>0</v>
      </c>
      <c r="BI12" s="70">
        <v>0</v>
      </c>
      <c r="BJ12" s="70">
        <v>0</v>
      </c>
      <c r="BK12" s="70">
        <v>0</v>
      </c>
      <c r="BL12" s="70">
        <v>0</v>
      </c>
      <c r="BM12" s="70">
        <v>0</v>
      </c>
      <c r="BN12" s="70">
        <v>0</v>
      </c>
      <c r="BO12" s="70">
        <v>0</v>
      </c>
      <c r="BP12" s="70">
        <v>0</v>
      </c>
      <c r="BQ12" s="70">
        <v>0</v>
      </c>
      <c r="BR12" s="70">
        <v>0</v>
      </c>
      <c r="BS12" s="70">
        <v>0</v>
      </c>
      <c r="BT12" s="70">
        <v>0</v>
      </c>
      <c r="BU12" s="70">
        <v>0</v>
      </c>
      <c r="BV12" s="70">
        <v>0</v>
      </c>
      <c r="BW12" s="70">
        <v>0</v>
      </c>
    </row>
    <row r="13" spans="1:75" hidden="1" outlineLevel="1" x14ac:dyDescent="0.25">
      <c r="A13" s="70" t="s">
        <v>19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  <c r="T13" s="70">
        <v>0</v>
      </c>
      <c r="U13" s="70">
        <v>0</v>
      </c>
      <c r="V13" s="70">
        <v>0</v>
      </c>
      <c r="W13" s="70">
        <v>0</v>
      </c>
      <c r="X13" s="70">
        <v>0</v>
      </c>
      <c r="Y13" s="70">
        <v>0</v>
      </c>
      <c r="Z13" s="70">
        <v>0</v>
      </c>
      <c r="AA13" s="70">
        <v>0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  <c r="AL13" s="70">
        <v>0</v>
      </c>
      <c r="AM13" s="70">
        <v>0</v>
      </c>
      <c r="AN13" s="70">
        <v>0</v>
      </c>
      <c r="AO13" s="70">
        <v>0</v>
      </c>
      <c r="AP13" s="70">
        <v>0</v>
      </c>
      <c r="AQ13" s="70">
        <v>0</v>
      </c>
      <c r="AR13" s="70">
        <v>0</v>
      </c>
      <c r="AS13" s="70">
        <v>0</v>
      </c>
      <c r="AT13" s="70">
        <v>0</v>
      </c>
      <c r="AU13" s="70">
        <v>0</v>
      </c>
      <c r="AV13" s="70">
        <v>0</v>
      </c>
      <c r="AW13" s="70">
        <v>0</v>
      </c>
      <c r="AX13" s="70">
        <v>0</v>
      </c>
      <c r="AY13" s="70">
        <v>0</v>
      </c>
      <c r="AZ13" s="70">
        <v>0</v>
      </c>
      <c r="BA13" s="70">
        <v>0</v>
      </c>
      <c r="BB13" s="70">
        <v>0</v>
      </c>
      <c r="BC13" s="70">
        <v>0</v>
      </c>
      <c r="BD13" s="70">
        <v>0</v>
      </c>
      <c r="BE13" s="70">
        <v>0</v>
      </c>
      <c r="BF13" s="70">
        <v>0</v>
      </c>
      <c r="BG13" s="70">
        <v>0</v>
      </c>
      <c r="BH13" s="70">
        <v>0</v>
      </c>
      <c r="BI13" s="70">
        <v>0</v>
      </c>
      <c r="BJ13" s="70">
        <v>0</v>
      </c>
      <c r="BK13" s="70">
        <v>0</v>
      </c>
      <c r="BL13" s="70">
        <v>0</v>
      </c>
      <c r="BM13" s="70">
        <v>0</v>
      </c>
      <c r="BN13" s="70">
        <v>0</v>
      </c>
      <c r="BO13" s="70">
        <v>0</v>
      </c>
      <c r="BP13" s="70">
        <v>0</v>
      </c>
      <c r="BQ13" s="70">
        <v>0</v>
      </c>
      <c r="BR13" s="70">
        <v>0</v>
      </c>
      <c r="BS13" s="70">
        <v>0</v>
      </c>
      <c r="BT13" s="70">
        <v>0</v>
      </c>
      <c r="BU13" s="70">
        <v>0</v>
      </c>
      <c r="BV13" s="70">
        <v>0</v>
      </c>
      <c r="BW13" s="70">
        <v>0</v>
      </c>
    </row>
    <row r="14" spans="1:75" hidden="1" outlineLevel="1" x14ac:dyDescent="0.25">
      <c r="A14" s="70" t="s">
        <v>20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</v>
      </c>
      <c r="AO14" s="70">
        <v>0</v>
      </c>
      <c r="AP14" s="70">
        <v>0</v>
      </c>
      <c r="AQ14" s="70">
        <v>0</v>
      </c>
      <c r="AR14" s="70">
        <v>0</v>
      </c>
      <c r="AS14" s="70">
        <v>0</v>
      </c>
      <c r="AT14" s="70">
        <v>0</v>
      </c>
      <c r="AU14" s="70">
        <v>0</v>
      </c>
      <c r="AV14" s="70">
        <v>0</v>
      </c>
      <c r="AW14" s="70">
        <v>0</v>
      </c>
      <c r="AX14" s="70">
        <v>0</v>
      </c>
      <c r="AY14" s="70">
        <v>0</v>
      </c>
      <c r="AZ14" s="70">
        <v>0</v>
      </c>
      <c r="BA14" s="70">
        <v>0</v>
      </c>
      <c r="BB14" s="70">
        <v>0</v>
      </c>
      <c r="BC14" s="70">
        <v>0</v>
      </c>
      <c r="BD14" s="70">
        <v>0</v>
      </c>
      <c r="BE14" s="70">
        <v>0</v>
      </c>
      <c r="BF14" s="70">
        <v>0</v>
      </c>
      <c r="BG14" s="70">
        <v>0</v>
      </c>
      <c r="BH14" s="70">
        <v>0</v>
      </c>
      <c r="BI14" s="70">
        <v>0</v>
      </c>
      <c r="BJ14" s="70">
        <v>0</v>
      </c>
      <c r="BK14" s="70">
        <v>0</v>
      </c>
      <c r="BL14" s="70">
        <v>0</v>
      </c>
      <c r="BM14" s="70">
        <v>0</v>
      </c>
      <c r="BN14" s="70">
        <v>0</v>
      </c>
      <c r="BO14" s="70">
        <v>0</v>
      </c>
      <c r="BP14" s="70">
        <v>0</v>
      </c>
      <c r="BQ14" s="70">
        <v>0</v>
      </c>
      <c r="BR14" s="70">
        <v>0</v>
      </c>
      <c r="BS14" s="70">
        <v>0</v>
      </c>
      <c r="BT14" s="70">
        <v>0</v>
      </c>
      <c r="BU14" s="70">
        <v>0</v>
      </c>
      <c r="BV14" s="70">
        <v>0</v>
      </c>
      <c r="BW14" s="70">
        <v>0</v>
      </c>
    </row>
    <row r="15" spans="1:75" hidden="1" outlineLevel="1" x14ac:dyDescent="0.25">
      <c r="A15" s="70" t="s">
        <v>21</v>
      </c>
      <c r="B15" s="70">
        <v>0</v>
      </c>
      <c r="C15" s="70">
        <f t="shared" ref="C15:AH15" si="6">B16+SUM(C14)</f>
        <v>5000510</v>
      </c>
      <c r="D15" s="70">
        <f t="shared" si="6"/>
        <v>5000510</v>
      </c>
      <c r="E15" s="70">
        <f t="shared" si="6"/>
        <v>5000573</v>
      </c>
      <c r="F15" s="70">
        <f t="shared" si="6"/>
        <v>5000573</v>
      </c>
      <c r="G15" s="70">
        <f t="shared" si="6"/>
        <v>5000573</v>
      </c>
      <c r="H15" s="70">
        <f t="shared" si="6"/>
        <v>5000634</v>
      </c>
      <c r="I15" s="70">
        <f t="shared" si="6"/>
        <v>5000637</v>
      </c>
      <c r="J15" s="70">
        <f t="shared" si="6"/>
        <v>3000634</v>
      </c>
      <c r="K15" s="70">
        <f t="shared" si="6"/>
        <v>0</v>
      </c>
      <c r="L15" s="70">
        <f t="shared" si="6"/>
        <v>0</v>
      </c>
      <c r="M15" s="70">
        <f t="shared" si="6"/>
        <v>0</v>
      </c>
      <c r="N15" s="70">
        <f t="shared" si="6"/>
        <v>0</v>
      </c>
      <c r="O15" s="70">
        <f t="shared" si="6"/>
        <v>0</v>
      </c>
      <c r="P15" s="70">
        <f t="shared" si="6"/>
        <v>0</v>
      </c>
      <c r="Q15" s="70">
        <f t="shared" si="6"/>
        <v>0</v>
      </c>
      <c r="R15" s="70">
        <f t="shared" si="6"/>
        <v>0</v>
      </c>
      <c r="S15" s="70">
        <f t="shared" si="6"/>
        <v>0</v>
      </c>
      <c r="T15" s="70">
        <f t="shared" si="6"/>
        <v>0</v>
      </c>
      <c r="U15" s="70">
        <f t="shared" si="6"/>
        <v>0</v>
      </c>
      <c r="V15" s="70">
        <f t="shared" si="6"/>
        <v>0</v>
      </c>
      <c r="W15" s="70">
        <f t="shared" si="6"/>
        <v>0</v>
      </c>
      <c r="X15" s="70">
        <f t="shared" si="6"/>
        <v>0</v>
      </c>
      <c r="Y15" s="70">
        <f t="shared" si="6"/>
        <v>0</v>
      </c>
      <c r="Z15" s="70">
        <f t="shared" si="6"/>
        <v>0</v>
      </c>
      <c r="AA15" s="70">
        <f t="shared" si="6"/>
        <v>0</v>
      </c>
      <c r="AB15" s="70">
        <f t="shared" si="6"/>
        <v>0</v>
      </c>
      <c r="AC15" s="70">
        <f t="shared" si="6"/>
        <v>0</v>
      </c>
      <c r="AD15" s="70">
        <f t="shared" si="6"/>
        <v>0</v>
      </c>
      <c r="AE15" s="70">
        <f t="shared" si="6"/>
        <v>0</v>
      </c>
      <c r="AF15" s="70">
        <f t="shared" si="6"/>
        <v>0</v>
      </c>
      <c r="AG15" s="70">
        <f t="shared" si="6"/>
        <v>0</v>
      </c>
      <c r="AH15" s="70">
        <f t="shared" si="6"/>
        <v>0</v>
      </c>
      <c r="AI15" s="70">
        <f t="shared" ref="AI15:BN15" si="7">AH16+SUM(AI14)</f>
        <v>0</v>
      </c>
      <c r="AJ15" s="70">
        <f t="shared" si="7"/>
        <v>0</v>
      </c>
      <c r="AK15" s="70">
        <f t="shared" si="7"/>
        <v>0</v>
      </c>
      <c r="AL15" s="70">
        <f t="shared" si="7"/>
        <v>0</v>
      </c>
      <c r="AM15" s="70">
        <f t="shared" si="7"/>
        <v>0</v>
      </c>
      <c r="AN15" s="70">
        <f t="shared" si="7"/>
        <v>0</v>
      </c>
      <c r="AO15" s="70">
        <f t="shared" si="7"/>
        <v>0</v>
      </c>
      <c r="AP15" s="70">
        <f t="shared" si="7"/>
        <v>0</v>
      </c>
      <c r="AQ15" s="70">
        <f t="shared" si="7"/>
        <v>0</v>
      </c>
      <c r="AR15" s="70">
        <f t="shared" si="7"/>
        <v>0</v>
      </c>
      <c r="AS15" s="70">
        <f t="shared" si="7"/>
        <v>0</v>
      </c>
      <c r="AT15" s="70">
        <f t="shared" si="7"/>
        <v>0</v>
      </c>
      <c r="AU15" s="70">
        <f t="shared" si="7"/>
        <v>0</v>
      </c>
      <c r="AV15" s="70">
        <f t="shared" si="7"/>
        <v>0</v>
      </c>
      <c r="AW15" s="70">
        <f t="shared" si="7"/>
        <v>0</v>
      </c>
      <c r="AX15" s="70">
        <f t="shared" si="7"/>
        <v>0</v>
      </c>
      <c r="AY15" s="70">
        <f t="shared" si="7"/>
        <v>0</v>
      </c>
      <c r="AZ15" s="70">
        <f t="shared" si="7"/>
        <v>0</v>
      </c>
      <c r="BA15" s="70">
        <f t="shared" si="7"/>
        <v>0</v>
      </c>
      <c r="BB15" s="70">
        <f t="shared" si="7"/>
        <v>0</v>
      </c>
      <c r="BC15" s="70">
        <f t="shared" si="7"/>
        <v>0</v>
      </c>
      <c r="BD15" s="70">
        <f t="shared" si="7"/>
        <v>0</v>
      </c>
      <c r="BE15" s="70">
        <f t="shared" si="7"/>
        <v>0</v>
      </c>
      <c r="BF15" s="70">
        <f t="shared" si="7"/>
        <v>0</v>
      </c>
      <c r="BG15" s="70">
        <f t="shared" si="7"/>
        <v>0</v>
      </c>
      <c r="BH15" s="70">
        <f t="shared" si="7"/>
        <v>0</v>
      </c>
      <c r="BI15" s="70">
        <f t="shared" si="7"/>
        <v>0</v>
      </c>
      <c r="BJ15" s="70">
        <f t="shared" si="7"/>
        <v>0</v>
      </c>
      <c r="BK15" s="70">
        <f t="shared" si="7"/>
        <v>0</v>
      </c>
      <c r="BL15" s="70">
        <f t="shared" si="7"/>
        <v>0</v>
      </c>
      <c r="BM15" s="70">
        <f t="shared" si="7"/>
        <v>0</v>
      </c>
      <c r="BN15" s="70">
        <f t="shared" si="7"/>
        <v>0</v>
      </c>
      <c r="BO15" s="70">
        <f t="shared" ref="BO15:CT15" si="8">BN16+SUM(BO14)</f>
        <v>0</v>
      </c>
      <c r="BP15" s="70">
        <f t="shared" si="8"/>
        <v>0</v>
      </c>
      <c r="BQ15" s="70">
        <f t="shared" si="8"/>
        <v>0</v>
      </c>
      <c r="BR15" s="70">
        <f t="shared" si="8"/>
        <v>0</v>
      </c>
      <c r="BS15" s="70">
        <f t="shared" si="8"/>
        <v>0</v>
      </c>
      <c r="BT15" s="70">
        <f t="shared" si="8"/>
        <v>0</v>
      </c>
      <c r="BU15" s="70">
        <f t="shared" si="8"/>
        <v>0</v>
      </c>
      <c r="BV15" s="70">
        <f t="shared" si="8"/>
        <v>0</v>
      </c>
      <c r="BW15" s="70">
        <f t="shared" si="8"/>
        <v>0</v>
      </c>
    </row>
    <row r="16" spans="1:75" hidden="1" outlineLevel="1" x14ac:dyDescent="0.25">
      <c r="A16" s="73" t="s">
        <v>22</v>
      </c>
      <c r="B16" s="73">
        <f>B11</f>
        <v>5000510</v>
      </c>
      <c r="C16" s="73">
        <f t="shared" ref="C16:AH16" si="9">IF(C11&lt;&gt;"",C11,C15)</f>
        <v>5000510</v>
      </c>
      <c r="D16" s="73">
        <f t="shared" si="9"/>
        <v>5000573</v>
      </c>
      <c r="E16" s="73">
        <f t="shared" si="9"/>
        <v>5000573</v>
      </c>
      <c r="F16" s="73">
        <f t="shared" si="9"/>
        <v>5000573</v>
      </c>
      <c r="G16" s="73">
        <f t="shared" si="9"/>
        <v>5000634</v>
      </c>
      <c r="H16" s="73">
        <f t="shared" si="9"/>
        <v>5000637</v>
      </c>
      <c r="I16" s="73">
        <f t="shared" si="9"/>
        <v>3000634</v>
      </c>
      <c r="J16" s="73">
        <f t="shared" si="9"/>
        <v>0</v>
      </c>
      <c r="K16" s="73">
        <f t="shared" si="9"/>
        <v>0</v>
      </c>
      <c r="L16" s="73">
        <f t="shared" si="9"/>
        <v>0</v>
      </c>
      <c r="M16" s="73">
        <f t="shared" si="9"/>
        <v>0</v>
      </c>
      <c r="N16" s="73">
        <f t="shared" si="9"/>
        <v>0</v>
      </c>
      <c r="O16" s="73">
        <f t="shared" si="9"/>
        <v>0</v>
      </c>
      <c r="P16" s="73">
        <f t="shared" si="9"/>
        <v>0</v>
      </c>
      <c r="Q16" s="73">
        <f t="shared" si="9"/>
        <v>0</v>
      </c>
      <c r="R16" s="73">
        <f t="shared" si="9"/>
        <v>0</v>
      </c>
      <c r="S16" s="73">
        <f t="shared" si="9"/>
        <v>0</v>
      </c>
      <c r="T16" s="73">
        <f t="shared" si="9"/>
        <v>0</v>
      </c>
      <c r="U16" s="73">
        <f t="shared" si="9"/>
        <v>0</v>
      </c>
      <c r="V16" s="73">
        <f t="shared" si="9"/>
        <v>0</v>
      </c>
      <c r="W16" s="73">
        <f t="shared" si="9"/>
        <v>0</v>
      </c>
      <c r="X16" s="73">
        <f t="shared" si="9"/>
        <v>0</v>
      </c>
      <c r="Y16" s="73">
        <f t="shared" si="9"/>
        <v>0</v>
      </c>
      <c r="Z16" s="73">
        <f t="shared" si="9"/>
        <v>0</v>
      </c>
      <c r="AA16" s="73">
        <f t="shared" si="9"/>
        <v>0</v>
      </c>
      <c r="AB16" s="73">
        <f t="shared" si="9"/>
        <v>0</v>
      </c>
      <c r="AC16" s="73">
        <f t="shared" si="9"/>
        <v>0</v>
      </c>
      <c r="AD16" s="73">
        <f t="shared" si="9"/>
        <v>0</v>
      </c>
      <c r="AE16" s="73">
        <f t="shared" si="9"/>
        <v>0</v>
      </c>
      <c r="AF16" s="73">
        <f t="shared" si="9"/>
        <v>0</v>
      </c>
      <c r="AG16" s="73">
        <f t="shared" si="9"/>
        <v>0</v>
      </c>
      <c r="AH16" s="73">
        <f t="shared" si="9"/>
        <v>0</v>
      </c>
      <c r="AI16" s="73">
        <f t="shared" ref="AI16:BN16" si="10">IF(AI11&lt;&gt;"",AI11,AI15)</f>
        <v>0</v>
      </c>
      <c r="AJ16" s="73">
        <f t="shared" si="10"/>
        <v>0</v>
      </c>
      <c r="AK16" s="73">
        <f t="shared" si="10"/>
        <v>0</v>
      </c>
      <c r="AL16" s="73">
        <f t="shared" si="10"/>
        <v>0</v>
      </c>
      <c r="AM16" s="73">
        <f t="shared" si="10"/>
        <v>0</v>
      </c>
      <c r="AN16" s="73">
        <f t="shared" si="10"/>
        <v>0</v>
      </c>
      <c r="AO16" s="73">
        <f t="shared" si="10"/>
        <v>0</v>
      </c>
      <c r="AP16" s="73">
        <f t="shared" si="10"/>
        <v>0</v>
      </c>
      <c r="AQ16" s="73">
        <f t="shared" si="10"/>
        <v>0</v>
      </c>
      <c r="AR16" s="73">
        <f t="shared" si="10"/>
        <v>0</v>
      </c>
      <c r="AS16" s="73">
        <f t="shared" si="10"/>
        <v>0</v>
      </c>
      <c r="AT16" s="73">
        <f t="shared" si="10"/>
        <v>0</v>
      </c>
      <c r="AU16" s="73">
        <f t="shared" si="10"/>
        <v>0</v>
      </c>
      <c r="AV16" s="73">
        <f t="shared" si="10"/>
        <v>0</v>
      </c>
      <c r="AW16" s="73">
        <f t="shared" si="10"/>
        <v>0</v>
      </c>
      <c r="AX16" s="73">
        <f t="shared" si="10"/>
        <v>0</v>
      </c>
      <c r="AY16" s="73">
        <f t="shared" si="10"/>
        <v>0</v>
      </c>
      <c r="AZ16" s="73">
        <f t="shared" si="10"/>
        <v>0</v>
      </c>
      <c r="BA16" s="73">
        <f t="shared" si="10"/>
        <v>0</v>
      </c>
      <c r="BB16" s="73">
        <f t="shared" si="10"/>
        <v>0</v>
      </c>
      <c r="BC16" s="73">
        <f t="shared" si="10"/>
        <v>0</v>
      </c>
      <c r="BD16" s="73">
        <f t="shared" si="10"/>
        <v>0</v>
      </c>
      <c r="BE16" s="73">
        <f t="shared" si="10"/>
        <v>0</v>
      </c>
      <c r="BF16" s="73">
        <f t="shared" si="10"/>
        <v>0</v>
      </c>
      <c r="BG16" s="73">
        <f t="shared" si="10"/>
        <v>0</v>
      </c>
      <c r="BH16" s="73">
        <f t="shared" si="10"/>
        <v>0</v>
      </c>
      <c r="BI16" s="73">
        <f t="shared" si="10"/>
        <v>0</v>
      </c>
      <c r="BJ16" s="73">
        <f t="shared" si="10"/>
        <v>0</v>
      </c>
      <c r="BK16" s="73">
        <f t="shared" si="10"/>
        <v>0</v>
      </c>
      <c r="BL16" s="73">
        <f t="shared" si="10"/>
        <v>0</v>
      </c>
      <c r="BM16" s="73">
        <f t="shared" si="10"/>
        <v>0</v>
      </c>
      <c r="BN16" s="73">
        <f t="shared" si="10"/>
        <v>0</v>
      </c>
      <c r="BO16" s="73">
        <f t="shared" ref="BO16:CT16" si="11">IF(BO11&lt;&gt;"",BO11,BO15)</f>
        <v>0</v>
      </c>
      <c r="BP16" s="73">
        <f t="shared" si="11"/>
        <v>0</v>
      </c>
      <c r="BQ16" s="73">
        <f t="shared" si="11"/>
        <v>0</v>
      </c>
      <c r="BR16" s="73">
        <f t="shared" si="11"/>
        <v>0</v>
      </c>
      <c r="BS16" s="73">
        <f t="shared" si="11"/>
        <v>0</v>
      </c>
      <c r="BT16" s="73">
        <f t="shared" si="11"/>
        <v>0</v>
      </c>
      <c r="BU16" s="73">
        <f t="shared" si="11"/>
        <v>0</v>
      </c>
      <c r="BV16" s="73">
        <f t="shared" si="11"/>
        <v>0</v>
      </c>
      <c r="BW16" s="73">
        <f t="shared" si="11"/>
        <v>0</v>
      </c>
    </row>
    <row r="17" spans="1:75" collapsed="1" x14ac:dyDescent="0.25"/>
    <row r="18" spans="1:75" ht="19.5" customHeight="1" thickBot="1" x14ac:dyDescent="0.35">
      <c r="A18" s="76" t="s">
        <v>2</v>
      </c>
    </row>
    <row r="19" spans="1:75" ht="15.75" customHeight="1" thickTop="1" x14ac:dyDescent="0.25">
      <c r="A19" s="70" t="s">
        <v>17</v>
      </c>
      <c r="B19" s="72">
        <v>1851839</v>
      </c>
      <c r="C19" s="72">
        <v>1852473</v>
      </c>
      <c r="D19" s="72">
        <v>1696098</v>
      </c>
      <c r="E19" s="72">
        <v>1776614</v>
      </c>
      <c r="F19" s="72">
        <f>1026331+434817+406403</f>
        <v>1867551</v>
      </c>
      <c r="G19" s="72">
        <f>1033202+474143-15000+418701-15000</f>
        <v>1896046</v>
      </c>
      <c r="H19" s="72">
        <f>1033202+474143+418701</f>
        <v>1926046</v>
      </c>
      <c r="I19" s="72">
        <v>1057679</v>
      </c>
      <c r="J19" s="72">
        <v>1050706</v>
      </c>
      <c r="K19" s="72">
        <v>1050397</v>
      </c>
      <c r="L19" s="72">
        <v>1088069</v>
      </c>
      <c r="M19" s="72">
        <v>1110024</v>
      </c>
      <c r="N19" s="72">
        <f>1111373+195353</f>
        <v>1306726</v>
      </c>
      <c r="O19" s="72">
        <f>1119360+195353</f>
        <v>1314713</v>
      </c>
      <c r="P19" s="72">
        <v>195353</v>
      </c>
      <c r="Q19" s="72">
        <v>199173</v>
      </c>
      <c r="R19" s="72">
        <v>191153</v>
      </c>
      <c r="S19" s="72">
        <v>191153</v>
      </c>
      <c r="T19" s="72">
        <v>191153</v>
      </c>
      <c r="U19" s="72">
        <v>191153</v>
      </c>
      <c r="V19" s="72">
        <v>220000</v>
      </c>
      <c r="W19" s="72">
        <v>213000</v>
      </c>
      <c r="X19" s="72">
        <v>213000</v>
      </c>
      <c r="Y19" s="72">
        <v>206727</v>
      </c>
      <c r="Z19" s="72">
        <v>137385</v>
      </c>
      <c r="AA19" s="72">
        <v>142252</v>
      </c>
      <c r="AB19" s="72">
        <v>121000</v>
      </c>
      <c r="AC19" s="72">
        <v>102244</v>
      </c>
      <c r="AD19" s="72">
        <v>102470</v>
      </c>
      <c r="AE19" s="72">
        <v>1090141</v>
      </c>
      <c r="AF19" s="72">
        <v>1113435</v>
      </c>
      <c r="AG19" s="72"/>
      <c r="AH19" s="72"/>
      <c r="AI19" s="72">
        <v>1093411</v>
      </c>
      <c r="AJ19" s="72"/>
      <c r="AK19" s="72">
        <v>1035681</v>
      </c>
      <c r="AL19" s="72">
        <v>1004366</v>
      </c>
      <c r="AM19" s="72">
        <v>652011</v>
      </c>
      <c r="AN19" s="72">
        <v>650044</v>
      </c>
      <c r="AO19" s="72">
        <v>642866</v>
      </c>
      <c r="AP19" s="72">
        <v>651702</v>
      </c>
      <c r="AQ19" s="72">
        <v>651702</v>
      </c>
      <c r="AR19" s="72">
        <v>680618</v>
      </c>
      <c r="AS19" s="72"/>
      <c r="AT19" s="72">
        <v>689344</v>
      </c>
      <c r="AU19" s="72">
        <v>665912</v>
      </c>
      <c r="AV19" s="72">
        <v>660590</v>
      </c>
      <c r="AW19" s="72">
        <v>660770</v>
      </c>
      <c r="AX19" s="72"/>
      <c r="AY19" s="72">
        <v>688144</v>
      </c>
      <c r="AZ19" s="72">
        <v>686058</v>
      </c>
      <c r="BA19" s="72">
        <v>678659</v>
      </c>
      <c r="BB19" s="72">
        <v>676543</v>
      </c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</row>
    <row r="20" spans="1:75" x14ac:dyDescent="0.25">
      <c r="A20" s="70" t="s">
        <v>25</v>
      </c>
      <c r="B20" s="70">
        <f>SUMIFS(tételek!$C:$C,tételek!$A:$A,"&gt;="&amp;Részletes!B$1,tételek!$A:$A,"&lt;"&amp;Részletes!C$1,tételek!$F:$F,$A$18,tételek!$C:$C,"&gt;"&amp;0)</f>
        <v>30000</v>
      </c>
      <c r="C20" s="70">
        <f>SUMIFS(tételek!$C:$C,tételek!$A:$A,"&gt;="&amp;Részletes!C$1,tételek!$A:$A,"&lt;"&amp;Részletes!D$1,tételek!$F:$F,$A$18,tételek!$C:$C,"&gt;"&amp;0)</f>
        <v>30000</v>
      </c>
      <c r="D20" s="70">
        <f>SUMIFS(tételek!$C:$C,tételek!$A:$A,"&gt;="&amp;Részletes!D$1,tételek!$A:$A,"&lt;"&amp;Részletes!E$1,tételek!$F:$F,$A$18,tételek!$C:$C,"&gt;"&amp;0)</f>
        <v>30000</v>
      </c>
      <c r="E20" s="70">
        <f>SUMIFS(tételek!$C:$C,tételek!$A:$A,"&gt;="&amp;Részletes!E$1,tételek!$A:$A,"&lt;"&amp;Részletes!F$1,tételek!$F:$F,$A$18,tételek!$C:$C,"&gt;"&amp;0)</f>
        <v>30000</v>
      </c>
      <c r="F20" s="70">
        <f>SUMIFS(tételek!$C:$C,tételek!$A:$A,"&gt;="&amp;Részletes!F$1,tételek!$A:$A,"&lt;"&amp;Részletes!G$1,tételek!$F:$F,$A$18,tételek!$C:$C,"&gt;"&amp;0)</f>
        <v>30000</v>
      </c>
      <c r="G20" s="70">
        <f>SUMIFS(tételek!$C:$C,tételek!$A:$A,"&gt;="&amp;Részletes!G$1,tételek!$A:$A,"&lt;"&amp;Részletes!H$1,tételek!$F:$F,$A$18,tételek!$C:$C,"&gt;"&amp;0)</f>
        <v>30000</v>
      </c>
      <c r="H20" s="70">
        <f>SUMIFS(tételek!$C:$C,tételek!$A:$A,"&gt;="&amp;Részletes!H$1,tételek!$A:$A,"&lt;"&amp;Részletes!I$1,tételek!$F:$F,$A$18,tételek!$C:$C,"&gt;"&amp;0)</f>
        <v>30000</v>
      </c>
      <c r="I20" s="70">
        <f>SUMIFS(tételek!$C:$C,tételek!$A:$A,"&gt;="&amp;Részletes!I$1,tételek!$A:$A,"&lt;"&amp;Részletes!J$1,tételek!$F:$F,$A$18,tételek!$C:$C,"&gt;"&amp;0)</f>
        <v>0</v>
      </c>
      <c r="J20" s="70">
        <f>SUMIFS(tételek!$C:$C,tételek!$A:$A,"&gt;="&amp;Részletes!J$1,tételek!$A:$A,"&lt;"&amp;Részletes!K$1,tételek!$F:$F,$A$18,tételek!$C:$C,"&gt;"&amp;0)</f>
        <v>0</v>
      </c>
      <c r="K20" s="70">
        <f>SUMIFS(tételek!$C:$C,tételek!$A:$A,"&gt;="&amp;Részletes!K$1,tételek!$A:$A,"&lt;"&amp;Részletes!L$1,tételek!$F:$F,$A$18,tételek!$C:$C,"&gt;"&amp;0)</f>
        <v>0</v>
      </c>
      <c r="L20" s="70">
        <f>SUMIFS(tételek!$C:$C,tételek!$A:$A,"&gt;="&amp;Részletes!L$1,tételek!$A:$A,"&lt;"&amp;Részletes!M$1,tételek!$F:$F,$A$18,tételek!$C:$C,"&gt;"&amp;0)</f>
        <v>0</v>
      </c>
      <c r="M20" s="70">
        <f>SUMIFS(tételek!$C:$C,tételek!$A:$A,"&gt;="&amp;Részletes!M$1,tételek!$A:$A,"&lt;"&amp;Részletes!N$1,tételek!$F:$F,$A$18,tételek!$C:$C,"&gt;"&amp;0)</f>
        <v>200000</v>
      </c>
      <c r="N20" s="70">
        <f>SUMIFS(tételek!$C:$C,tételek!$A:$A,"&gt;="&amp;Részletes!N$1,tételek!$A:$A,"&lt;"&amp;Részletes!O$1,tételek!$F:$F,$A$18,tételek!$C:$C,"&gt;"&amp;0)</f>
        <v>0</v>
      </c>
      <c r="O20" s="70">
        <f>SUMIFS(tételek!$C:$C,tételek!$A:$A,"&gt;="&amp;Részletes!O$1,tételek!$A:$A,"&lt;"&amp;Részletes!P$1,tételek!$F:$F,$A$18,tételek!$C:$C,"&gt;"&amp;0)</f>
        <v>0</v>
      </c>
      <c r="P20" s="70">
        <f>SUMIFS(tételek!$C:$C,tételek!$A:$A,"&gt;="&amp;Részletes!P$1,tételek!$A:$A,"&lt;"&amp;Részletes!Q$1,tételek!$F:$F,$A$18,tételek!$C:$C,"&gt;"&amp;0)</f>
        <v>0</v>
      </c>
      <c r="Q20" s="70">
        <f>SUMIFS(tételek!$C:$C,tételek!$A:$A,"&gt;="&amp;Részletes!Q$1,tételek!$A:$A,"&lt;"&amp;Részletes!R$1,tételek!$F:$F,$A$18,tételek!$C:$C,"&gt;"&amp;0)</f>
        <v>0</v>
      </c>
      <c r="R20" s="70">
        <f>SUMIFS(tételek!$C:$C,tételek!$A:$A,"&gt;="&amp;Részletes!R$1,tételek!$A:$A,"&lt;"&amp;Részletes!S$1,tételek!$F:$F,$A$18,tételek!$C:$C,"&gt;"&amp;0)</f>
        <v>0</v>
      </c>
      <c r="S20" s="70">
        <f>SUMIFS(tételek!$C:$C,tételek!$A:$A,"&gt;="&amp;Részletes!S$1,tételek!$A:$A,"&lt;"&amp;Részletes!T$1,tételek!$F:$F,$A$18,tételek!$C:$C,"&gt;"&amp;0)</f>
        <v>0</v>
      </c>
      <c r="T20" s="70">
        <f>SUMIFS(tételek!$C:$C,tételek!$A:$A,"&gt;="&amp;Részletes!T$1,tételek!$A:$A,"&lt;"&amp;Részletes!U$1,tételek!$F:$F,$A$18,tételek!$C:$C,"&gt;"&amp;0)</f>
        <v>0</v>
      </c>
      <c r="U20" s="70">
        <f>SUMIFS(tételek!$C:$C,tételek!$A:$A,"&gt;="&amp;Részletes!U$1,tételek!$A:$A,"&lt;"&amp;Részletes!V$1,tételek!$F:$F,$A$18,tételek!$C:$C,"&gt;"&amp;0)</f>
        <v>0</v>
      </c>
      <c r="V20" s="70">
        <f>SUMIFS(tételek!$C:$C,tételek!$A:$A,"&gt;="&amp;Részletes!V$1,tételek!$A:$A,"&lt;"&amp;Részletes!W$1,tételek!$F:$F,$A$18,tételek!$C:$C,"&gt;"&amp;0)</f>
        <v>0</v>
      </c>
      <c r="W20" s="70">
        <f>SUMIFS(tételek!$C:$C,tételek!$A:$A,"&gt;="&amp;Részletes!W$1,tételek!$A:$A,"&lt;"&amp;Részletes!X$1,tételek!$F:$F,$A$18,tételek!$C:$C,"&gt;"&amp;0)</f>
        <v>0</v>
      </c>
      <c r="X20" s="70">
        <f>SUMIFS(tételek!$C:$C,tételek!$A:$A,"&gt;="&amp;Részletes!X$1,tételek!$A:$A,"&lt;"&amp;Részletes!Y$1,tételek!$F:$F,$A$18,tételek!$C:$C,"&gt;"&amp;0)</f>
        <v>0</v>
      </c>
      <c r="Y20" s="70">
        <f>SUMIFS(tételek!$C:$C,tételek!$A:$A,"&gt;="&amp;Részletes!Y$1,tételek!$A:$A,"&lt;"&amp;Részletes!Z$1,tételek!$F:$F,$A$18,tételek!$C:$C,"&gt;"&amp;0)</f>
        <v>0</v>
      </c>
      <c r="Z20" s="70">
        <f>SUMIFS(tételek!$C:$C,tételek!$A:$A,"&gt;="&amp;Részletes!Z$1,tételek!$A:$A,"&lt;"&amp;Részletes!AA$1,tételek!$F:$F,$A$18,tételek!$C:$C,"&gt;"&amp;0)</f>
        <v>0</v>
      </c>
      <c r="AA20" s="70">
        <f>SUMIFS(tételek!$C:$C,tételek!$A:$A,"&gt;="&amp;Részletes!AA$1,tételek!$A:$A,"&lt;"&amp;Részletes!AB$1,tételek!$F:$F,$A$18,tételek!$C:$C,"&gt;"&amp;0)</f>
        <v>0</v>
      </c>
      <c r="AB20" s="70">
        <f>SUMIFS(tételek!$C:$C,tételek!$A:$A,"&gt;="&amp;Részletes!AB$1,tételek!$A:$A,"&lt;"&amp;Részletes!AC$1,tételek!$F:$F,$A$18,tételek!$C:$C,"&gt;"&amp;0)</f>
        <v>0</v>
      </c>
      <c r="AC20" s="70">
        <f>SUMIFS(tételek!$C:$C,tételek!$A:$A,"&gt;="&amp;Részletes!AC$1,tételek!$A:$A,"&lt;"&amp;Részletes!AD$1,tételek!$F:$F,$A$18,tételek!$C:$C,"&gt;"&amp;0)</f>
        <v>0</v>
      </c>
      <c r="AD20" s="70">
        <f>SUMIFS(tételek!$C:$C,tételek!$A:$A,"&gt;="&amp;Részletes!AD$1,tételek!$A:$A,"&lt;"&amp;Részletes!AE$1,tételek!$F:$F,$A$18,tételek!$C:$C,"&gt;"&amp;0)</f>
        <v>0</v>
      </c>
      <c r="AE20" s="70">
        <f>SUMIFS(tételek!$C:$C,tételek!$A:$A,"&gt;="&amp;Részletes!AE$1,tételek!$A:$A,"&lt;"&amp;Részletes!AF$1,tételek!$F:$F,$A$18,tételek!$C:$C,"&gt;"&amp;0)</f>
        <v>1000000</v>
      </c>
      <c r="AF20" s="70">
        <f>SUMIFS(tételek!$C:$C,tételek!$A:$A,"&gt;="&amp;Részletes!AF$1,tételek!$A:$A,"&lt;"&amp;Részletes!AG$1,tételek!$F:$F,$A$18,tételek!$C:$C,"&gt;"&amp;0)</f>
        <v>0</v>
      </c>
      <c r="AG20" s="70">
        <f>SUMIFS(tételek!$C:$C,tételek!$A:$A,"&gt;="&amp;Részletes!AG$1,tételek!$A:$A,"&lt;"&amp;Részletes!AH$1,tételek!$F:$F,$A$18,tételek!$C:$C,"&gt;"&amp;0)</f>
        <v>0</v>
      </c>
      <c r="AH20" s="70">
        <f>SUMIFS(tételek!$C:$C,tételek!$A:$A,"&gt;="&amp;Részletes!AH$1,tételek!$A:$A,"&lt;"&amp;Részletes!AI$1,tételek!$F:$F,$A$18,tételek!$C:$C,"&gt;"&amp;0)</f>
        <v>0</v>
      </c>
      <c r="AI20" s="70">
        <f>SUMIFS(tételek!$C:$C,tételek!$A:$A,"&gt;="&amp;Részletes!AI$1,tételek!$A:$A,"&lt;"&amp;Részletes!AJ$1,tételek!$F:$F,$A$18,tételek!$C:$C,"&gt;"&amp;0)</f>
        <v>0</v>
      </c>
      <c r="AJ20" s="70">
        <f>SUMIFS(tételek!$C:$C,tételek!$A:$A,"&gt;="&amp;Részletes!AJ$1,tételek!$A:$A,"&lt;"&amp;Részletes!AK$1,tételek!$F:$F,$A$18,tételek!$C:$C,"&gt;"&amp;0)</f>
        <v>0</v>
      </c>
      <c r="AK20" s="70">
        <f>SUMIFS(tételek!$C:$C,tételek!$A:$A,"&gt;="&amp;Részletes!AK$1,tételek!$A:$A,"&lt;"&amp;Részletes!AL$1,tételek!$F:$F,$A$18,tételek!$C:$C,"&gt;"&amp;0)</f>
        <v>0</v>
      </c>
      <c r="AL20" s="70">
        <f>SUMIFS(tételek!$C:$C,tételek!$A:$A,"&gt;="&amp;Részletes!AL$1,tételek!$A:$A,"&lt;"&amp;Részletes!AM$1,tételek!$F:$F,$A$18,tételek!$C:$C,"&gt;"&amp;0)</f>
        <v>0</v>
      </c>
      <c r="AM20" s="70">
        <f>SUMIFS(tételek!$C:$C,tételek!$A:$A,"&gt;="&amp;Részletes!AM$1,tételek!$A:$A,"&lt;"&amp;Részletes!AN$1,tételek!$F:$F,$A$18,tételek!$C:$C,"&gt;"&amp;0)</f>
        <v>0</v>
      </c>
      <c r="AN20" s="70">
        <f>SUMIFS(tételek!$C:$C,tételek!$A:$A,"&gt;="&amp;Részletes!AN$1,tételek!$A:$A,"&lt;"&amp;Részletes!AO$1,tételek!$F:$F,$A$18,tételek!$C:$C,"&gt;"&amp;0)</f>
        <v>0</v>
      </c>
      <c r="AO20" s="70">
        <f>SUMIFS(tételek!$C:$C,tételek!$A:$A,"&gt;="&amp;Részletes!AO$1,tételek!$A:$A,"&lt;"&amp;Részletes!AP$1,tételek!$F:$F,$A$18,tételek!$C:$C,"&gt;"&amp;0)</f>
        <v>0</v>
      </c>
      <c r="AP20" s="70">
        <f>SUMIFS(tételek!$C:$C,tételek!$A:$A,"&gt;="&amp;Részletes!AP$1,tételek!$A:$A,"&lt;"&amp;Részletes!AQ$1,tételek!$F:$F,$A$18,tételek!$C:$C,"&gt;"&amp;0)</f>
        <v>0</v>
      </c>
      <c r="AQ20" s="70">
        <f>SUMIFS(tételek!$C:$C,tételek!$A:$A,"&gt;="&amp;Részletes!AQ$1,tételek!$A:$A,"&lt;"&amp;Részletes!AR$1,tételek!$F:$F,$A$18,tételek!$C:$C,"&gt;"&amp;0)</f>
        <v>0</v>
      </c>
      <c r="AR20" s="70">
        <f>SUMIFS(tételek!$C:$C,tételek!$A:$A,"&gt;="&amp;Részletes!AR$1,tételek!$A:$A,"&lt;"&amp;Részletes!AS$1,tételek!$F:$F,$A$18,tételek!$C:$C,"&gt;"&amp;0)</f>
        <v>0</v>
      </c>
      <c r="AS20" s="70">
        <f>SUMIFS(tételek!$C:$C,tételek!$A:$A,"&gt;="&amp;Részletes!AS$1,tételek!$A:$A,"&lt;"&amp;Részletes!AT$1,tételek!$F:$F,$A$18,tételek!$C:$C,"&gt;"&amp;0)</f>
        <v>0</v>
      </c>
      <c r="AT20" s="70">
        <f>SUMIFS(tételek!$C:$C,tételek!$A:$A,"&gt;="&amp;Részletes!AT$1,tételek!$A:$A,"&lt;"&amp;Részletes!AU$1,tételek!$F:$F,$A$18,tételek!$C:$C,"&gt;"&amp;0)</f>
        <v>0</v>
      </c>
      <c r="AU20" s="70">
        <f>SUMIFS(tételek!$C:$C,tételek!$A:$A,"&gt;="&amp;Részletes!AU$1,tételek!$A:$A,"&lt;"&amp;Részletes!AV$1,tételek!$F:$F,$A$18,tételek!$C:$C,"&gt;"&amp;0)</f>
        <v>0</v>
      </c>
      <c r="AV20" s="70">
        <f>SUMIFS(tételek!$C:$C,tételek!$A:$A,"&gt;="&amp;Részletes!AV$1,tételek!$A:$A,"&lt;"&amp;Részletes!AW$1,tételek!$F:$F,$A$18,tételek!$C:$C,"&gt;"&amp;0)</f>
        <v>0</v>
      </c>
      <c r="AW20" s="70">
        <f>SUMIFS(tételek!$C:$C,tételek!$A:$A,"&gt;="&amp;Részletes!AW$1,tételek!$A:$A,"&lt;"&amp;Részletes!AX$1,tételek!$F:$F,$A$18,tételek!$C:$C,"&gt;"&amp;0)</f>
        <v>0</v>
      </c>
      <c r="AX20" s="70">
        <f>SUMIFS(tételek!$C:$C,tételek!$A:$A,"&gt;="&amp;Részletes!AX$1,tételek!$A:$A,"&lt;"&amp;Részletes!AY$1,tételek!$F:$F,$A$18,tételek!$C:$C,"&gt;"&amp;0)</f>
        <v>0</v>
      </c>
      <c r="AY20" s="70">
        <f>SUMIFS(tételek!$C:$C,tételek!$A:$A,"&gt;="&amp;Részletes!AY$1,tételek!$A:$A,"&lt;"&amp;Részletes!AZ$1,tételek!$F:$F,$A$18,tételek!$C:$C,"&gt;"&amp;0)</f>
        <v>0</v>
      </c>
      <c r="AZ20" s="70">
        <f>SUMIFS(tételek!$C:$C,tételek!$A:$A,"&gt;="&amp;Részletes!AZ$1,tételek!$A:$A,"&lt;"&amp;Részletes!BA$1,tételek!$F:$F,$A$18,tételek!$C:$C,"&gt;"&amp;0)</f>
        <v>0</v>
      </c>
      <c r="BA20" s="70">
        <f>SUMIFS(tételek!$C:$C,tételek!$A:$A,"&gt;="&amp;Részletes!BA$1,tételek!$A:$A,"&lt;"&amp;Részletes!BB$1,tételek!$F:$F,$A$18,tételek!$C:$C,"&gt;"&amp;0)</f>
        <v>0</v>
      </c>
      <c r="BB20" s="70">
        <f>SUMIFS(tételek!$C:$C,tételek!$A:$A,"&gt;="&amp;Részletes!BB$1,tételek!$A:$A,"&lt;"&amp;Részletes!BC$1,tételek!$F:$F,$A$18,tételek!$C:$C,"&gt;"&amp;0)</f>
        <v>0</v>
      </c>
      <c r="BC20" s="70">
        <f>SUMIFS(tételek!$C:$C,tételek!$A:$A,"&gt;="&amp;Részletes!BC$1,tételek!$A:$A,"&lt;"&amp;Részletes!BD$1,tételek!$F:$F,$A$18,tételek!$C:$C,"&gt;"&amp;0)</f>
        <v>0</v>
      </c>
      <c r="BD20" s="70">
        <f>SUMIFS(tételek!$C:$C,tételek!$A:$A,"&gt;="&amp;Részletes!BD$1,tételek!$A:$A,"&lt;"&amp;Részletes!BE$1,tételek!$F:$F,$A$18,tételek!$C:$C,"&gt;"&amp;0)</f>
        <v>0</v>
      </c>
      <c r="BE20" s="70">
        <f>SUMIFS(tételek!$C:$C,tételek!$A:$A,"&gt;="&amp;Részletes!BE$1,tételek!$A:$A,"&lt;"&amp;Részletes!BF$1,tételek!$F:$F,$A$18,tételek!$C:$C,"&gt;"&amp;0)</f>
        <v>0</v>
      </c>
      <c r="BF20" s="70">
        <f>SUMIFS(tételek!$C:$C,tételek!$A:$A,"&gt;="&amp;Részletes!BF$1,tételek!$A:$A,"&lt;"&amp;Részletes!BG$1,tételek!$F:$F,$A$18,tételek!$C:$C,"&gt;"&amp;0)</f>
        <v>0</v>
      </c>
      <c r="BG20" s="70">
        <f>SUMIFS(tételek!$C:$C,tételek!$A:$A,"&gt;="&amp;Részletes!BG$1,tételek!$A:$A,"&lt;"&amp;Részletes!BH$1,tételek!$F:$F,$A$18,tételek!$C:$C,"&gt;"&amp;0)</f>
        <v>0</v>
      </c>
      <c r="BH20" s="70">
        <f>SUMIFS(tételek!$C:$C,tételek!$A:$A,"&gt;="&amp;Részletes!BH$1,tételek!$A:$A,"&lt;"&amp;Részletes!BI$1,tételek!$F:$F,$A$18,tételek!$C:$C,"&gt;"&amp;0)</f>
        <v>0</v>
      </c>
      <c r="BI20" s="70">
        <f>SUMIFS(tételek!$C:$C,tételek!$A:$A,"&gt;="&amp;Részletes!BI$1,tételek!$A:$A,"&lt;"&amp;Részletes!BJ$1,tételek!$F:$F,$A$18,tételek!$C:$C,"&gt;"&amp;0)</f>
        <v>0</v>
      </c>
      <c r="BJ20" s="70">
        <f>SUMIFS(tételek!$C:$C,tételek!$A:$A,"&gt;="&amp;Részletes!BJ$1,tételek!$A:$A,"&lt;"&amp;Részletes!BK$1,tételek!$F:$F,$A$18,tételek!$C:$C,"&gt;"&amp;0)</f>
        <v>0</v>
      </c>
      <c r="BK20" s="70">
        <f>SUMIFS(tételek!$C:$C,tételek!$A:$A,"&gt;="&amp;Részletes!BK$1,tételek!$A:$A,"&lt;"&amp;Részletes!BL$1,tételek!$F:$F,$A$18,tételek!$C:$C,"&gt;"&amp;0)</f>
        <v>0</v>
      </c>
      <c r="BL20" s="70">
        <f>SUMIFS(tételek!$C:$C,tételek!$A:$A,"&gt;="&amp;Részletes!BL$1,tételek!$A:$A,"&lt;"&amp;Részletes!BM$1,tételek!$F:$F,$A$18,tételek!$C:$C,"&gt;"&amp;0)</f>
        <v>0</v>
      </c>
      <c r="BM20" s="70">
        <f>SUMIFS(tételek!$C:$C,tételek!$A:$A,"&gt;="&amp;Részletes!BM$1,tételek!$A:$A,"&lt;"&amp;Részletes!BN$1,tételek!$F:$F,$A$18,tételek!$C:$C,"&gt;"&amp;0)</f>
        <v>0</v>
      </c>
      <c r="BN20" s="70">
        <f>SUMIFS(tételek!$C:$C,tételek!$A:$A,"&gt;="&amp;Részletes!BN$1,tételek!$A:$A,"&lt;"&amp;Részletes!BO$1,tételek!$F:$F,$A$18,tételek!$C:$C,"&gt;"&amp;0)</f>
        <v>0</v>
      </c>
      <c r="BO20" s="70">
        <f>SUMIFS(tételek!$C:$C,tételek!$A:$A,"&gt;="&amp;Részletes!BO$1,tételek!$A:$A,"&lt;"&amp;Részletes!BP$1,tételek!$F:$F,$A$18,tételek!$C:$C,"&gt;"&amp;0)</f>
        <v>0</v>
      </c>
      <c r="BP20" s="70">
        <f>SUMIFS(tételek!$C:$C,tételek!$A:$A,"&gt;="&amp;Részletes!BP$1,tételek!$A:$A,"&lt;"&amp;Részletes!BQ$1,tételek!$F:$F,$A$18,tételek!$C:$C,"&gt;"&amp;0)</f>
        <v>0</v>
      </c>
      <c r="BQ20" s="70">
        <f>SUMIFS(tételek!$C:$C,tételek!$A:$A,"&gt;="&amp;Részletes!BQ$1,tételek!$A:$A,"&lt;"&amp;Részletes!BR$1,tételek!$F:$F,$A$18,tételek!$C:$C,"&gt;"&amp;0)</f>
        <v>0</v>
      </c>
      <c r="BR20" s="70">
        <f>SUMIFS(tételek!$C:$C,tételek!$A:$A,"&gt;="&amp;Részletes!BR$1,tételek!$A:$A,"&lt;"&amp;Részletes!BS$1,tételek!$F:$F,$A$18,tételek!$C:$C,"&gt;"&amp;0)</f>
        <v>0</v>
      </c>
      <c r="BS20" s="70">
        <f>SUMIFS(tételek!$C:$C,tételek!$A:$A,"&gt;="&amp;Részletes!BS$1,tételek!$A:$A,"&lt;"&amp;Részletes!BT$1,tételek!$F:$F,$A$18,tételek!$C:$C,"&gt;"&amp;0)</f>
        <v>0</v>
      </c>
      <c r="BT20" s="70">
        <f>SUMIFS(tételek!$C:$C,tételek!$A:$A,"&gt;="&amp;Részletes!BT$1,tételek!$A:$A,"&lt;"&amp;Részletes!BU$1,tételek!$F:$F,$A$18,tételek!$C:$C,"&gt;"&amp;0)</f>
        <v>0</v>
      </c>
      <c r="BU20" s="70">
        <f>SUMIFS(tételek!$C:$C,tételek!$A:$A,"&gt;="&amp;Részletes!BU$1,tételek!$A:$A,"&lt;"&amp;Részletes!BV$1,tételek!$F:$F,$A$18,tételek!$C:$C,"&gt;"&amp;0)</f>
        <v>0</v>
      </c>
      <c r="BV20" s="70">
        <f>SUMIFS(tételek!$C:$C,tételek!$A:$A,"&gt;="&amp;Részletes!BV$1,tételek!$A:$A,"&lt;"&amp;Részletes!BW$1,tételek!$F:$F,$A$18,tételek!$C:$C,"&gt;"&amp;0)</f>
        <v>0</v>
      </c>
      <c r="BW20" s="70">
        <f>SUMIFS(tételek!$C:$C,tételek!$A:$A,"&gt;="&amp;Részletes!BW$1,tételek!$A:$A,"&lt;"&amp;Részletes!BX$1,tételek!$F:$F,$A$18,tételek!$C:$C,"&gt;"&amp;0)</f>
        <v>0</v>
      </c>
    </row>
    <row r="21" spans="1:75" x14ac:dyDescent="0.25">
      <c r="A21" s="70" t="s">
        <v>26</v>
      </c>
      <c r="B21" s="70">
        <f>SUMIFS(tételek!$C:$C,tételek!$A:$A,"&gt;="&amp;Részletes!B$1,tételek!$A:$A,"&lt;"&amp;Részletes!C$1,tételek!$F:$F,$A$18,tételek!$C:$C,"&lt;"&amp;0)</f>
        <v>0</v>
      </c>
      <c r="C21" s="70">
        <f>SUMIFS(tételek!$C:$C,tételek!$A:$A,"&gt;="&amp;Részletes!C$1,tételek!$A:$A,"&lt;"&amp;Részletes!D$1,tételek!$F:$F,$A$18,tételek!$C:$C,"&lt;"&amp;0)</f>
        <v>0</v>
      </c>
      <c r="D21" s="70">
        <f>SUMIFS(tételek!$C:$C,tételek!$A:$A,"&gt;="&amp;Részletes!D$1,tételek!$A:$A,"&lt;"&amp;Részletes!E$1,tételek!$F:$F,$A$18,tételek!$C:$C,"&lt;"&amp;0)</f>
        <v>0</v>
      </c>
      <c r="E21" s="70">
        <f>SUMIFS(tételek!$C:$C,tételek!$A:$A,"&gt;="&amp;Részletes!E$1,tételek!$A:$A,"&lt;"&amp;Részletes!F$1,tételek!$F:$F,$A$18,tételek!$C:$C,"&lt;"&amp;0)</f>
        <v>0</v>
      </c>
      <c r="F21" s="70">
        <f>SUMIFS(tételek!$C:$C,tételek!$A:$A,"&gt;="&amp;Részletes!F$1,tételek!$A:$A,"&lt;"&amp;Részletes!G$1,tételek!$F:$F,$A$18,tételek!$C:$C,"&lt;"&amp;0)</f>
        <v>0</v>
      </c>
      <c r="G21" s="70">
        <f>SUMIFS(tételek!$C:$C,tételek!$A:$A,"&gt;="&amp;Részletes!G$1,tételek!$A:$A,"&lt;"&amp;Részletes!H$1,tételek!$F:$F,$A$18,tételek!$C:$C,"&lt;"&amp;0)</f>
        <v>0</v>
      </c>
      <c r="H21" s="70">
        <f>SUMIFS(tételek!$C:$C,tételek!$A:$A,"&gt;="&amp;Részletes!H$1,tételek!$A:$A,"&lt;"&amp;Részletes!I$1,tételek!$F:$F,$A$18,tételek!$C:$C,"&lt;"&amp;0)</f>
        <v>-924578</v>
      </c>
      <c r="I21" s="70">
        <f>SUMIFS(tételek!$C:$C,tételek!$A:$A,"&gt;="&amp;Részletes!I$1,tételek!$A:$A,"&lt;"&amp;Részletes!J$1,tételek!$F:$F,$A$18,tételek!$C:$C,"&lt;"&amp;0)</f>
        <v>0</v>
      </c>
      <c r="J21" s="70">
        <f>SUMIFS(tételek!$C:$C,tételek!$A:$A,"&gt;="&amp;Részletes!J$1,tételek!$A:$A,"&lt;"&amp;Részletes!K$1,tételek!$F:$F,$A$18,tételek!$C:$C,"&lt;"&amp;0)</f>
        <v>0</v>
      </c>
      <c r="K21" s="70">
        <f>SUMIFS(tételek!$C:$C,tételek!$A:$A,"&gt;="&amp;Részletes!K$1,tételek!$A:$A,"&lt;"&amp;Részletes!L$1,tételek!$F:$F,$A$18,tételek!$C:$C,"&lt;"&amp;0)</f>
        <v>0</v>
      </c>
      <c r="L21" s="70">
        <f>SUMIFS(tételek!$C:$C,tételek!$A:$A,"&gt;="&amp;Részletes!L$1,tételek!$A:$A,"&lt;"&amp;Részletes!M$1,tételek!$F:$F,$A$18,tételek!$C:$C,"&lt;"&amp;0)</f>
        <v>0</v>
      </c>
      <c r="M21" s="70">
        <f>SUMIFS(tételek!$C:$C,tételek!$A:$A,"&gt;="&amp;Részletes!M$1,tételek!$A:$A,"&lt;"&amp;Részletes!N$1,tételek!$F:$F,$A$18,tételek!$C:$C,"&lt;"&amp;0)</f>
        <v>0</v>
      </c>
      <c r="N21" s="70">
        <f>SUMIFS(tételek!$C:$C,tételek!$A:$A,"&gt;="&amp;Részletes!N$1,tételek!$A:$A,"&lt;"&amp;Részletes!O$1,tételek!$F:$F,$A$18,tételek!$C:$C,"&lt;"&amp;0)</f>
        <v>0</v>
      </c>
      <c r="O21" s="70">
        <f>SUMIFS(tételek!$C:$C,tételek!$A:$A,"&gt;="&amp;Részletes!O$1,tételek!$A:$A,"&lt;"&amp;Részletes!P$1,tételek!$F:$F,$A$18,tételek!$C:$C,"&lt;"&amp;0)</f>
        <v>-1113772</v>
      </c>
      <c r="P21" s="70">
        <f>SUMIFS(tételek!$C:$C,tételek!$A:$A,"&gt;="&amp;Részletes!P$1,tételek!$A:$A,"&lt;"&amp;Részletes!Q$1,tételek!$F:$F,$A$18,tételek!$C:$C,"&lt;"&amp;0)</f>
        <v>0</v>
      </c>
      <c r="Q21" s="70">
        <f>SUMIFS(tételek!$C:$C,tételek!$A:$A,"&gt;="&amp;Részletes!Q$1,tételek!$A:$A,"&lt;"&amp;Részletes!R$1,tételek!$F:$F,$A$18,tételek!$C:$C,"&lt;"&amp;0)</f>
        <v>0</v>
      </c>
      <c r="R21" s="70">
        <f>SUMIFS(tételek!$C:$C,tételek!$A:$A,"&gt;="&amp;Részletes!R$1,tételek!$A:$A,"&lt;"&amp;Részletes!S$1,tételek!$F:$F,$A$18,tételek!$C:$C,"&lt;"&amp;0)</f>
        <v>-252050</v>
      </c>
      <c r="S21" s="70">
        <f>SUMIFS(tételek!$C:$C,tételek!$A:$A,"&gt;="&amp;Részletes!S$1,tételek!$A:$A,"&lt;"&amp;Részletes!T$1,tételek!$F:$F,$A$18,tételek!$C:$C,"&lt;"&amp;0)</f>
        <v>0</v>
      </c>
      <c r="T21" s="70">
        <f>SUMIFS(tételek!$C:$C,tételek!$A:$A,"&gt;="&amp;Részletes!T$1,tételek!$A:$A,"&lt;"&amp;Részletes!U$1,tételek!$F:$F,$A$18,tételek!$C:$C,"&lt;"&amp;0)</f>
        <v>0</v>
      </c>
      <c r="U21" s="70">
        <f>SUMIFS(tételek!$C:$C,tételek!$A:$A,"&gt;="&amp;Részletes!U$1,tételek!$A:$A,"&lt;"&amp;Részletes!V$1,tételek!$F:$F,$A$18,tételek!$C:$C,"&lt;"&amp;0)</f>
        <v>0</v>
      </c>
      <c r="V21" s="70">
        <f>SUMIFS(tételek!$C:$C,tételek!$A:$A,"&gt;="&amp;Részletes!V$1,tételek!$A:$A,"&lt;"&amp;Részletes!W$1,tételek!$F:$F,$A$18,tételek!$C:$C,"&lt;"&amp;0)</f>
        <v>0</v>
      </c>
      <c r="W21" s="70">
        <f>SUMIFS(tételek!$C:$C,tételek!$A:$A,"&gt;="&amp;Részletes!W$1,tételek!$A:$A,"&lt;"&amp;Részletes!X$1,tételek!$F:$F,$A$18,tételek!$C:$C,"&lt;"&amp;0)</f>
        <v>0</v>
      </c>
      <c r="X21" s="70">
        <f>SUMIFS(tételek!$C:$C,tételek!$A:$A,"&gt;="&amp;Részletes!X$1,tételek!$A:$A,"&lt;"&amp;Részletes!Y$1,tételek!$F:$F,$A$18,tételek!$C:$C,"&lt;"&amp;0)</f>
        <v>0</v>
      </c>
      <c r="Y21" s="70">
        <f>SUMIFS(tételek!$C:$C,tételek!$A:$A,"&gt;="&amp;Részletes!Y$1,tételek!$A:$A,"&lt;"&amp;Részletes!Z$1,tételek!$F:$F,$A$18,tételek!$C:$C,"&lt;"&amp;0)</f>
        <v>-39751.300000000003</v>
      </c>
      <c r="Z21" s="70">
        <f>SUMIFS(tételek!$C:$C,tételek!$A:$A,"&gt;="&amp;Részletes!Z$1,tételek!$A:$A,"&lt;"&amp;Részletes!AA$1,tételek!$F:$F,$A$18,tételek!$C:$C,"&lt;"&amp;0)</f>
        <v>0</v>
      </c>
      <c r="AA21" s="70">
        <f>SUMIFS(tételek!$C:$C,tételek!$A:$A,"&gt;="&amp;Részletes!AA$1,tételek!$A:$A,"&lt;"&amp;Részletes!AB$1,tételek!$F:$F,$A$18,tételek!$C:$C,"&lt;"&amp;0)</f>
        <v>0</v>
      </c>
      <c r="AB21" s="70">
        <f>SUMIFS(tételek!$C:$C,tételek!$A:$A,"&gt;="&amp;Részletes!AB$1,tételek!$A:$A,"&lt;"&amp;Részletes!AC$1,tételek!$F:$F,$A$18,tételek!$C:$C,"&lt;"&amp;0)</f>
        <v>0</v>
      </c>
      <c r="AC21" s="70">
        <f>SUMIFS(tételek!$C:$C,tételek!$A:$A,"&gt;="&amp;Részletes!AC$1,tételek!$A:$A,"&lt;"&amp;Részletes!AD$1,tételek!$F:$F,$A$18,tételek!$C:$C,"&lt;"&amp;0)</f>
        <v>0</v>
      </c>
      <c r="AD21" s="70">
        <f>SUMIFS(tételek!$C:$C,tételek!$A:$A,"&gt;="&amp;Részletes!AD$1,tételek!$A:$A,"&lt;"&amp;Részletes!AE$1,tételek!$F:$F,$A$18,tételek!$C:$C,"&lt;"&amp;0)</f>
        <v>0</v>
      </c>
      <c r="AE21" s="70">
        <f>SUMIFS(tételek!$C:$C,tételek!$A:$A,"&gt;="&amp;Részletes!AE$1,tételek!$A:$A,"&lt;"&amp;Részletes!AF$1,tételek!$F:$F,$A$18,tételek!$C:$C,"&lt;"&amp;0)</f>
        <v>0</v>
      </c>
      <c r="AF21" s="70">
        <f>SUMIFS(tételek!$C:$C,tételek!$A:$A,"&gt;="&amp;Részletes!AF$1,tételek!$A:$A,"&lt;"&amp;Részletes!AG$1,tételek!$F:$F,$A$18,tételek!$C:$C,"&lt;"&amp;0)</f>
        <v>0</v>
      </c>
      <c r="AG21" s="70">
        <f>SUMIFS(tételek!$C:$C,tételek!$A:$A,"&gt;="&amp;Részletes!AG$1,tételek!$A:$A,"&lt;"&amp;Részletes!AH$1,tételek!$F:$F,$A$18,tételek!$C:$C,"&lt;"&amp;0)</f>
        <v>0</v>
      </c>
      <c r="AH21" s="70">
        <f>SUMIFS(tételek!$C:$C,tételek!$A:$A,"&gt;="&amp;Részletes!AH$1,tételek!$A:$A,"&lt;"&amp;Részletes!AI$1,tételek!$F:$F,$A$18,tételek!$C:$C,"&lt;"&amp;0)</f>
        <v>0</v>
      </c>
      <c r="AI21" s="70">
        <f>SUMIFS(tételek!$C:$C,tételek!$A:$A,"&gt;="&amp;Részletes!AI$1,tételek!$A:$A,"&lt;"&amp;Részletes!AJ$1,tételek!$F:$F,$A$18,tételek!$C:$C,"&lt;"&amp;0)</f>
        <v>0</v>
      </c>
      <c r="AJ21" s="70">
        <f>SUMIFS(tételek!$C:$C,tételek!$A:$A,"&gt;="&amp;Részletes!AJ$1,tételek!$A:$A,"&lt;"&amp;Részletes!AK$1,tételek!$F:$F,$A$18,tételek!$C:$C,"&lt;"&amp;0)</f>
        <v>0</v>
      </c>
      <c r="AK21" s="70">
        <f>SUMIFS(tételek!$C:$C,tételek!$A:$A,"&gt;="&amp;Részletes!AK$1,tételek!$A:$A,"&lt;"&amp;Részletes!AL$1,tételek!$F:$F,$A$18,tételek!$C:$C,"&lt;"&amp;0)</f>
        <v>0</v>
      </c>
      <c r="AL21" s="70">
        <f>SUMIFS(tételek!$C:$C,tételek!$A:$A,"&gt;="&amp;Részletes!AL$1,tételek!$A:$A,"&lt;"&amp;Részletes!AM$1,tételek!$F:$F,$A$18,tételek!$C:$C,"&lt;"&amp;0)</f>
        <v>-325476.26999999996</v>
      </c>
      <c r="AM21" s="70">
        <f>SUMIFS(tételek!$C:$C,tételek!$A:$A,"&gt;="&amp;Részletes!AM$1,tételek!$A:$A,"&lt;"&amp;Részletes!AN$1,tételek!$F:$F,$A$18,tételek!$C:$C,"&lt;"&amp;0)</f>
        <v>0</v>
      </c>
      <c r="AN21" s="70">
        <f>SUMIFS(tételek!$C:$C,tételek!$A:$A,"&gt;="&amp;Részletes!AN$1,tételek!$A:$A,"&lt;"&amp;Részletes!AO$1,tételek!$F:$F,$A$18,tételek!$C:$C,"&lt;"&amp;0)</f>
        <v>0</v>
      </c>
      <c r="AO21" s="70">
        <f>SUMIFS(tételek!$C:$C,tételek!$A:$A,"&gt;="&amp;Részletes!AO$1,tételek!$A:$A,"&lt;"&amp;Részletes!AP$1,tételek!$F:$F,$A$18,tételek!$C:$C,"&lt;"&amp;0)</f>
        <v>0</v>
      </c>
      <c r="AP21" s="70">
        <f>SUMIFS(tételek!$C:$C,tételek!$A:$A,"&gt;="&amp;Részletes!AP$1,tételek!$A:$A,"&lt;"&amp;Részletes!AQ$1,tételek!$F:$F,$A$18,tételek!$C:$C,"&lt;"&amp;0)</f>
        <v>0</v>
      </c>
      <c r="AQ21" s="70">
        <f>SUMIFS(tételek!$C:$C,tételek!$A:$A,"&gt;="&amp;Részletes!AQ$1,tételek!$A:$A,"&lt;"&amp;Részletes!AR$1,tételek!$F:$F,$A$18,tételek!$C:$C,"&lt;"&amp;0)</f>
        <v>0</v>
      </c>
      <c r="AR21" s="70">
        <f>SUMIFS(tételek!$C:$C,tételek!$A:$A,"&gt;="&amp;Részletes!AR$1,tételek!$A:$A,"&lt;"&amp;Részletes!AS$1,tételek!$F:$F,$A$18,tételek!$C:$C,"&lt;"&amp;0)</f>
        <v>0</v>
      </c>
      <c r="AS21" s="70">
        <f>SUMIFS(tételek!$C:$C,tételek!$A:$A,"&gt;="&amp;Részletes!AS$1,tételek!$A:$A,"&lt;"&amp;Részletes!AT$1,tételek!$F:$F,$A$18,tételek!$C:$C,"&lt;"&amp;0)</f>
        <v>0</v>
      </c>
      <c r="AT21" s="70">
        <f>SUMIFS(tételek!$C:$C,tételek!$A:$A,"&gt;="&amp;Részletes!AT$1,tételek!$A:$A,"&lt;"&amp;Részletes!AU$1,tételek!$F:$F,$A$18,tételek!$C:$C,"&lt;"&amp;0)</f>
        <v>0</v>
      </c>
      <c r="AU21" s="70">
        <f>SUMIFS(tételek!$C:$C,tételek!$A:$A,"&gt;="&amp;Részletes!AU$1,tételek!$A:$A,"&lt;"&amp;Részletes!AV$1,tételek!$F:$F,$A$18,tételek!$C:$C,"&lt;"&amp;0)</f>
        <v>0</v>
      </c>
      <c r="AV21" s="70">
        <f>SUMIFS(tételek!$C:$C,tételek!$A:$A,"&gt;="&amp;Részletes!AV$1,tételek!$A:$A,"&lt;"&amp;Részletes!AW$1,tételek!$F:$F,$A$18,tételek!$C:$C,"&lt;"&amp;0)</f>
        <v>0</v>
      </c>
      <c r="AW21" s="70">
        <f>SUMIFS(tételek!$C:$C,tételek!$A:$A,"&gt;="&amp;Részletes!AW$1,tételek!$A:$A,"&lt;"&amp;Részletes!AX$1,tételek!$F:$F,$A$18,tételek!$C:$C,"&lt;"&amp;0)</f>
        <v>0</v>
      </c>
      <c r="AX21" s="70">
        <f>SUMIFS(tételek!$C:$C,tételek!$A:$A,"&gt;="&amp;Részletes!AX$1,tételek!$A:$A,"&lt;"&amp;Részletes!AY$1,tételek!$F:$F,$A$18,tételek!$C:$C,"&lt;"&amp;0)</f>
        <v>0</v>
      </c>
      <c r="AY21" s="70">
        <f>SUMIFS(tételek!$C:$C,tételek!$A:$A,"&gt;="&amp;Részletes!AY$1,tételek!$A:$A,"&lt;"&amp;Részletes!AZ$1,tételek!$F:$F,$A$18,tételek!$C:$C,"&lt;"&amp;0)</f>
        <v>0</v>
      </c>
      <c r="AZ21" s="70">
        <f>SUMIFS(tételek!$C:$C,tételek!$A:$A,"&gt;="&amp;Részletes!AZ$1,tételek!$A:$A,"&lt;"&amp;Részletes!BA$1,tételek!$F:$F,$A$18,tételek!$C:$C,"&lt;"&amp;0)</f>
        <v>0</v>
      </c>
      <c r="BA21" s="70">
        <f>SUMIFS(tételek!$C:$C,tételek!$A:$A,"&gt;="&amp;Részletes!BA$1,tételek!$A:$A,"&lt;"&amp;Részletes!BB$1,tételek!$F:$F,$A$18,tételek!$C:$C,"&lt;"&amp;0)</f>
        <v>0</v>
      </c>
      <c r="BB21" s="70">
        <f>SUMIFS(tételek!$C:$C,tételek!$A:$A,"&gt;="&amp;Részletes!BB$1,tételek!$A:$A,"&lt;"&amp;Részletes!BC$1,tételek!$F:$F,$A$18,tételek!$C:$C,"&lt;"&amp;0)</f>
        <v>0</v>
      </c>
      <c r="BC21" s="70">
        <f>SUMIFS(tételek!$C:$C,tételek!$A:$A,"&gt;="&amp;Részletes!BC$1,tételek!$A:$A,"&lt;"&amp;Részletes!BD$1,tételek!$F:$F,$A$18,tételek!$C:$C,"&lt;"&amp;0)</f>
        <v>0</v>
      </c>
      <c r="BD21" s="70">
        <f>SUMIFS(tételek!$C:$C,tételek!$A:$A,"&gt;="&amp;Részletes!BD$1,tételek!$A:$A,"&lt;"&amp;Részletes!BE$1,tételek!$F:$F,$A$18,tételek!$C:$C,"&lt;"&amp;0)</f>
        <v>0</v>
      </c>
      <c r="BE21" s="70">
        <f>SUMIFS(tételek!$C:$C,tételek!$A:$A,"&gt;="&amp;Részletes!BE$1,tételek!$A:$A,"&lt;"&amp;Részletes!BF$1,tételek!$F:$F,$A$18,tételek!$C:$C,"&lt;"&amp;0)</f>
        <v>0</v>
      </c>
      <c r="BF21" s="70">
        <f>SUMIFS(tételek!$C:$C,tételek!$A:$A,"&gt;="&amp;Részletes!BF$1,tételek!$A:$A,"&lt;"&amp;Részletes!BG$1,tételek!$F:$F,$A$18,tételek!$C:$C,"&lt;"&amp;0)</f>
        <v>0</v>
      </c>
      <c r="BG21" s="70">
        <f>SUMIFS(tételek!$C:$C,tételek!$A:$A,"&gt;="&amp;Részletes!BG$1,tételek!$A:$A,"&lt;"&amp;Részletes!BH$1,tételek!$F:$F,$A$18,tételek!$C:$C,"&lt;"&amp;0)</f>
        <v>0</v>
      </c>
      <c r="BH21" s="70">
        <f>SUMIFS(tételek!$C:$C,tételek!$A:$A,"&gt;="&amp;Részletes!BH$1,tételek!$A:$A,"&lt;"&amp;Részletes!BI$1,tételek!$F:$F,$A$18,tételek!$C:$C,"&lt;"&amp;0)</f>
        <v>0</v>
      </c>
      <c r="BI21" s="70">
        <f>SUMIFS(tételek!$C:$C,tételek!$A:$A,"&gt;="&amp;Részletes!BI$1,tételek!$A:$A,"&lt;"&amp;Részletes!BJ$1,tételek!$F:$F,$A$18,tételek!$C:$C,"&lt;"&amp;0)</f>
        <v>0</v>
      </c>
      <c r="BJ21" s="70">
        <f>SUMIFS(tételek!$C:$C,tételek!$A:$A,"&gt;="&amp;Részletes!BJ$1,tételek!$A:$A,"&lt;"&amp;Részletes!BK$1,tételek!$F:$F,$A$18,tételek!$C:$C,"&lt;"&amp;0)</f>
        <v>0</v>
      </c>
      <c r="BK21" s="70">
        <f>SUMIFS(tételek!$C:$C,tételek!$A:$A,"&gt;="&amp;Részletes!BK$1,tételek!$A:$A,"&lt;"&amp;Részletes!BL$1,tételek!$F:$F,$A$18,tételek!$C:$C,"&lt;"&amp;0)</f>
        <v>0</v>
      </c>
      <c r="BL21" s="70">
        <f>SUMIFS(tételek!$C:$C,tételek!$A:$A,"&gt;="&amp;Részletes!BL$1,tételek!$A:$A,"&lt;"&amp;Részletes!BM$1,tételek!$F:$F,$A$18,tételek!$C:$C,"&lt;"&amp;0)</f>
        <v>0</v>
      </c>
      <c r="BM21" s="70">
        <f>SUMIFS(tételek!$C:$C,tételek!$A:$A,"&gt;="&amp;Részletes!BM$1,tételek!$A:$A,"&lt;"&amp;Részletes!BN$1,tételek!$F:$F,$A$18,tételek!$C:$C,"&lt;"&amp;0)</f>
        <v>0</v>
      </c>
      <c r="BN21" s="70">
        <f>SUMIFS(tételek!$C:$C,tételek!$A:$A,"&gt;="&amp;Részletes!BN$1,tételek!$A:$A,"&lt;"&amp;Részletes!BO$1,tételek!$F:$F,$A$18,tételek!$C:$C,"&lt;"&amp;0)</f>
        <v>0</v>
      </c>
      <c r="BO21" s="70">
        <f>SUMIFS(tételek!$C:$C,tételek!$A:$A,"&gt;="&amp;Részletes!BO$1,tételek!$A:$A,"&lt;"&amp;Részletes!BP$1,tételek!$F:$F,$A$18,tételek!$C:$C,"&lt;"&amp;0)</f>
        <v>0</v>
      </c>
      <c r="BP21" s="70">
        <f>SUMIFS(tételek!$C:$C,tételek!$A:$A,"&gt;="&amp;Részletes!BP$1,tételek!$A:$A,"&lt;"&amp;Részletes!BQ$1,tételek!$F:$F,$A$18,tételek!$C:$C,"&lt;"&amp;0)</f>
        <v>0</v>
      </c>
      <c r="BQ21" s="70">
        <f>SUMIFS(tételek!$C:$C,tételek!$A:$A,"&gt;="&amp;Részletes!BQ$1,tételek!$A:$A,"&lt;"&amp;Részletes!BR$1,tételek!$F:$F,$A$18,tételek!$C:$C,"&lt;"&amp;0)</f>
        <v>0</v>
      </c>
      <c r="BR21" s="70">
        <f>SUMIFS(tételek!$C:$C,tételek!$A:$A,"&gt;="&amp;Részletes!BR$1,tételek!$A:$A,"&lt;"&amp;Részletes!BS$1,tételek!$F:$F,$A$18,tételek!$C:$C,"&lt;"&amp;0)</f>
        <v>0</v>
      </c>
      <c r="BS21" s="70">
        <f>SUMIFS(tételek!$C:$C,tételek!$A:$A,"&gt;="&amp;Részletes!BS$1,tételek!$A:$A,"&lt;"&amp;Részletes!BT$1,tételek!$F:$F,$A$18,tételek!$C:$C,"&lt;"&amp;0)</f>
        <v>0</v>
      </c>
      <c r="BT21" s="70">
        <f>SUMIFS(tételek!$C:$C,tételek!$A:$A,"&gt;="&amp;Részletes!BT$1,tételek!$A:$A,"&lt;"&amp;Részletes!BU$1,tételek!$F:$F,$A$18,tételek!$C:$C,"&lt;"&amp;0)</f>
        <v>0</v>
      </c>
      <c r="BU21" s="70">
        <f>SUMIFS(tételek!$C:$C,tételek!$A:$A,"&gt;="&amp;Részletes!BU$1,tételek!$A:$A,"&lt;"&amp;Részletes!BV$1,tételek!$F:$F,$A$18,tételek!$C:$C,"&lt;"&amp;0)</f>
        <v>0</v>
      </c>
      <c r="BV21" s="70">
        <f>SUMIFS(tételek!$C:$C,tételek!$A:$A,"&gt;="&amp;Részletes!BV$1,tételek!$A:$A,"&lt;"&amp;Részletes!BW$1,tételek!$F:$F,$A$18,tételek!$C:$C,"&lt;"&amp;0)</f>
        <v>0</v>
      </c>
      <c r="BW21" s="70">
        <f>SUMIFS(tételek!$C:$C,tételek!$A:$A,"&gt;="&amp;Részletes!BW$1,tételek!$A:$A,"&lt;"&amp;Részletes!BX$1,tételek!$F:$F,$A$18,tételek!$C:$C,"&lt;"&amp;0)</f>
        <v>0</v>
      </c>
    </row>
    <row r="22" spans="1:75" x14ac:dyDescent="0.25">
      <c r="A22" s="70" t="s">
        <v>27</v>
      </c>
      <c r="B22" s="70">
        <v>30000</v>
      </c>
      <c r="C22" s="70">
        <v>30000</v>
      </c>
      <c r="D22" s="70">
        <v>30000</v>
      </c>
      <c r="E22" s="70">
        <v>30000</v>
      </c>
      <c r="F22" s="70">
        <v>30000</v>
      </c>
      <c r="G22" s="70">
        <v>30000</v>
      </c>
      <c r="H22" s="70">
        <f>-448236-476342</f>
        <v>-924578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  <c r="AV22" s="70">
        <v>0</v>
      </c>
      <c r="AW22" s="70">
        <v>0</v>
      </c>
      <c r="AX22" s="70">
        <v>0</v>
      </c>
      <c r="AY22" s="70">
        <v>0</v>
      </c>
      <c r="AZ22" s="70">
        <v>0</v>
      </c>
      <c r="BA22" s="70">
        <v>0</v>
      </c>
      <c r="BB22" s="70">
        <v>0</v>
      </c>
      <c r="BC22" s="70">
        <v>0</v>
      </c>
      <c r="BD22" s="70">
        <v>0</v>
      </c>
      <c r="BE22" s="70">
        <v>0</v>
      </c>
      <c r="BF22" s="70">
        <v>0</v>
      </c>
      <c r="BG22" s="70">
        <v>0</v>
      </c>
      <c r="BH22" s="70">
        <v>0</v>
      </c>
      <c r="BI22" s="70">
        <v>0</v>
      </c>
      <c r="BJ22" s="70">
        <v>0</v>
      </c>
      <c r="BK22" s="70">
        <v>0</v>
      </c>
      <c r="BL22" s="70">
        <v>0</v>
      </c>
      <c r="BM22" s="70">
        <v>0</v>
      </c>
      <c r="BN22" s="70">
        <v>0</v>
      </c>
      <c r="BO22" s="70">
        <v>0</v>
      </c>
      <c r="BP22" s="70">
        <v>0</v>
      </c>
      <c r="BQ22" s="70">
        <v>0</v>
      </c>
      <c r="BR22" s="70">
        <v>0</v>
      </c>
      <c r="BS22" s="70">
        <v>0</v>
      </c>
      <c r="BT22" s="70">
        <v>0</v>
      </c>
      <c r="BU22" s="70">
        <v>0</v>
      </c>
      <c r="BV22" s="70">
        <v>0</v>
      </c>
      <c r="BW22" s="70">
        <v>0</v>
      </c>
    </row>
    <row r="23" spans="1:75" x14ac:dyDescent="0.25">
      <c r="A23" s="70" t="s">
        <v>21</v>
      </c>
      <c r="B23" s="70">
        <v>0</v>
      </c>
      <c r="C23" s="70">
        <f t="shared" ref="C23:AH23" si="12">B24+SUM(C22)</f>
        <v>1881839</v>
      </c>
      <c r="D23" s="70">
        <f t="shared" si="12"/>
        <v>1882473</v>
      </c>
      <c r="E23" s="70">
        <f t="shared" si="12"/>
        <v>1726098</v>
      </c>
      <c r="F23" s="70">
        <f t="shared" si="12"/>
        <v>1806614</v>
      </c>
      <c r="G23" s="70">
        <f t="shared" si="12"/>
        <v>1897551</v>
      </c>
      <c r="H23" s="70">
        <f t="shared" si="12"/>
        <v>971468</v>
      </c>
      <c r="I23" s="70">
        <f t="shared" si="12"/>
        <v>1926046</v>
      </c>
      <c r="J23" s="70">
        <f t="shared" si="12"/>
        <v>1057679</v>
      </c>
      <c r="K23" s="70">
        <f t="shared" si="12"/>
        <v>1050706</v>
      </c>
      <c r="L23" s="70">
        <f t="shared" si="12"/>
        <v>1050397</v>
      </c>
      <c r="M23" s="70">
        <f t="shared" si="12"/>
        <v>1088069</v>
      </c>
      <c r="N23" s="70">
        <f t="shared" si="12"/>
        <v>1110024</v>
      </c>
      <c r="O23" s="70">
        <f t="shared" si="12"/>
        <v>1306726</v>
      </c>
      <c r="P23" s="70">
        <f t="shared" si="12"/>
        <v>1314713</v>
      </c>
      <c r="Q23" s="70">
        <f t="shared" si="12"/>
        <v>195353</v>
      </c>
      <c r="R23" s="70">
        <f t="shared" si="12"/>
        <v>199173</v>
      </c>
      <c r="S23" s="70">
        <f t="shared" si="12"/>
        <v>191153</v>
      </c>
      <c r="T23" s="70">
        <f t="shared" si="12"/>
        <v>191153</v>
      </c>
      <c r="U23" s="70">
        <f t="shared" si="12"/>
        <v>191153</v>
      </c>
      <c r="V23" s="70">
        <f t="shared" si="12"/>
        <v>191153</v>
      </c>
      <c r="W23" s="70">
        <f t="shared" si="12"/>
        <v>220000</v>
      </c>
      <c r="X23" s="70">
        <f t="shared" si="12"/>
        <v>213000</v>
      </c>
      <c r="Y23" s="70">
        <f t="shared" si="12"/>
        <v>213000</v>
      </c>
      <c r="Z23" s="70">
        <f t="shared" si="12"/>
        <v>206727</v>
      </c>
      <c r="AA23" s="70">
        <f t="shared" si="12"/>
        <v>137385</v>
      </c>
      <c r="AB23" s="70">
        <f t="shared" si="12"/>
        <v>142252</v>
      </c>
      <c r="AC23" s="70">
        <f t="shared" si="12"/>
        <v>121000</v>
      </c>
      <c r="AD23" s="70">
        <f t="shared" si="12"/>
        <v>102244</v>
      </c>
      <c r="AE23" s="70">
        <f t="shared" si="12"/>
        <v>102470</v>
      </c>
      <c r="AF23" s="70">
        <f t="shared" si="12"/>
        <v>1090141</v>
      </c>
      <c r="AG23" s="70">
        <f t="shared" si="12"/>
        <v>1113435</v>
      </c>
      <c r="AH23" s="70">
        <f t="shared" si="12"/>
        <v>1113435</v>
      </c>
      <c r="AI23" s="70">
        <f t="shared" ref="AI23:BN23" si="13">AH24+SUM(AI22)</f>
        <v>1113435</v>
      </c>
      <c r="AJ23" s="70">
        <f t="shared" si="13"/>
        <v>1093411</v>
      </c>
      <c r="AK23" s="70">
        <f t="shared" si="13"/>
        <v>1093411</v>
      </c>
      <c r="AL23" s="70">
        <f t="shared" si="13"/>
        <v>1035681</v>
      </c>
      <c r="AM23" s="70">
        <f t="shared" si="13"/>
        <v>1004366</v>
      </c>
      <c r="AN23" s="70">
        <f t="shared" si="13"/>
        <v>652011</v>
      </c>
      <c r="AO23" s="70">
        <f t="shared" si="13"/>
        <v>650044</v>
      </c>
      <c r="AP23" s="70">
        <f t="shared" si="13"/>
        <v>642866</v>
      </c>
      <c r="AQ23" s="70">
        <f t="shared" si="13"/>
        <v>651702</v>
      </c>
      <c r="AR23" s="70">
        <f t="shared" si="13"/>
        <v>651702</v>
      </c>
      <c r="AS23" s="70">
        <f t="shared" si="13"/>
        <v>680618</v>
      </c>
      <c r="AT23" s="70">
        <f t="shared" si="13"/>
        <v>680618</v>
      </c>
      <c r="AU23" s="70">
        <f t="shared" si="13"/>
        <v>689344</v>
      </c>
      <c r="AV23" s="70">
        <f t="shared" si="13"/>
        <v>665912</v>
      </c>
      <c r="AW23" s="70">
        <f t="shared" si="13"/>
        <v>660590</v>
      </c>
      <c r="AX23" s="70">
        <f t="shared" si="13"/>
        <v>660770</v>
      </c>
      <c r="AY23" s="70">
        <f t="shared" si="13"/>
        <v>660770</v>
      </c>
      <c r="AZ23" s="70">
        <f t="shared" si="13"/>
        <v>688144</v>
      </c>
      <c r="BA23" s="70">
        <f t="shared" si="13"/>
        <v>686058</v>
      </c>
      <c r="BB23" s="70">
        <f t="shared" si="13"/>
        <v>678659</v>
      </c>
      <c r="BC23" s="70">
        <f t="shared" si="13"/>
        <v>676543</v>
      </c>
      <c r="BD23" s="70">
        <f t="shared" si="13"/>
        <v>676543</v>
      </c>
      <c r="BE23" s="70">
        <f t="shared" si="13"/>
        <v>676543</v>
      </c>
      <c r="BF23" s="70">
        <f t="shared" si="13"/>
        <v>676543</v>
      </c>
      <c r="BG23" s="70">
        <f t="shared" si="13"/>
        <v>676543</v>
      </c>
      <c r="BH23" s="70">
        <f t="shared" si="13"/>
        <v>676543</v>
      </c>
      <c r="BI23" s="70">
        <f t="shared" si="13"/>
        <v>676543</v>
      </c>
      <c r="BJ23" s="70">
        <f t="shared" si="13"/>
        <v>676543</v>
      </c>
      <c r="BK23" s="70">
        <f t="shared" si="13"/>
        <v>676543</v>
      </c>
      <c r="BL23" s="70">
        <f t="shared" si="13"/>
        <v>676543</v>
      </c>
      <c r="BM23" s="70">
        <f t="shared" si="13"/>
        <v>676543</v>
      </c>
      <c r="BN23" s="70">
        <f t="shared" si="13"/>
        <v>676543</v>
      </c>
      <c r="BO23" s="70">
        <f t="shared" ref="BO23:CT23" si="14">BN24+SUM(BO22)</f>
        <v>676543</v>
      </c>
      <c r="BP23" s="70">
        <f t="shared" si="14"/>
        <v>676543</v>
      </c>
      <c r="BQ23" s="70">
        <f t="shared" si="14"/>
        <v>676543</v>
      </c>
      <c r="BR23" s="70">
        <f t="shared" si="14"/>
        <v>676543</v>
      </c>
      <c r="BS23" s="70">
        <f t="shared" si="14"/>
        <v>676543</v>
      </c>
      <c r="BT23" s="70">
        <f t="shared" si="14"/>
        <v>676543</v>
      </c>
      <c r="BU23" s="70">
        <f t="shared" si="14"/>
        <v>676543</v>
      </c>
      <c r="BV23" s="70">
        <f t="shared" si="14"/>
        <v>676543</v>
      </c>
      <c r="BW23" s="70">
        <f t="shared" si="14"/>
        <v>676543</v>
      </c>
    </row>
    <row r="24" spans="1:75" x14ac:dyDescent="0.25">
      <c r="A24" s="73" t="s">
        <v>22</v>
      </c>
      <c r="B24" s="73">
        <f>B19</f>
        <v>1851839</v>
      </c>
      <c r="C24" s="73">
        <f t="shared" ref="C24:AH24" si="15">IF(C19&lt;&gt;"",C19,C23)</f>
        <v>1852473</v>
      </c>
      <c r="D24" s="73">
        <f t="shared" si="15"/>
        <v>1696098</v>
      </c>
      <c r="E24" s="73">
        <f t="shared" si="15"/>
        <v>1776614</v>
      </c>
      <c r="F24" s="73">
        <f t="shared" si="15"/>
        <v>1867551</v>
      </c>
      <c r="G24" s="73">
        <f t="shared" si="15"/>
        <v>1896046</v>
      </c>
      <c r="H24" s="73">
        <f t="shared" si="15"/>
        <v>1926046</v>
      </c>
      <c r="I24" s="73">
        <f t="shared" si="15"/>
        <v>1057679</v>
      </c>
      <c r="J24" s="73">
        <f t="shared" si="15"/>
        <v>1050706</v>
      </c>
      <c r="K24" s="73">
        <f t="shared" si="15"/>
        <v>1050397</v>
      </c>
      <c r="L24" s="73">
        <f t="shared" si="15"/>
        <v>1088069</v>
      </c>
      <c r="M24" s="73">
        <f t="shared" si="15"/>
        <v>1110024</v>
      </c>
      <c r="N24" s="73">
        <f t="shared" si="15"/>
        <v>1306726</v>
      </c>
      <c r="O24" s="73">
        <f t="shared" si="15"/>
        <v>1314713</v>
      </c>
      <c r="P24" s="73">
        <f t="shared" si="15"/>
        <v>195353</v>
      </c>
      <c r="Q24" s="73">
        <f t="shared" si="15"/>
        <v>199173</v>
      </c>
      <c r="R24" s="73">
        <f t="shared" si="15"/>
        <v>191153</v>
      </c>
      <c r="S24" s="73">
        <f t="shared" si="15"/>
        <v>191153</v>
      </c>
      <c r="T24" s="73">
        <f t="shared" si="15"/>
        <v>191153</v>
      </c>
      <c r="U24" s="73">
        <f t="shared" si="15"/>
        <v>191153</v>
      </c>
      <c r="V24" s="73">
        <f t="shared" si="15"/>
        <v>220000</v>
      </c>
      <c r="W24" s="73">
        <f t="shared" si="15"/>
        <v>213000</v>
      </c>
      <c r="X24" s="73">
        <f t="shared" si="15"/>
        <v>213000</v>
      </c>
      <c r="Y24" s="73">
        <f t="shared" si="15"/>
        <v>206727</v>
      </c>
      <c r="Z24" s="73">
        <f t="shared" si="15"/>
        <v>137385</v>
      </c>
      <c r="AA24" s="73">
        <f t="shared" si="15"/>
        <v>142252</v>
      </c>
      <c r="AB24" s="73">
        <f t="shared" si="15"/>
        <v>121000</v>
      </c>
      <c r="AC24" s="73">
        <f t="shared" si="15"/>
        <v>102244</v>
      </c>
      <c r="AD24" s="73">
        <f t="shared" si="15"/>
        <v>102470</v>
      </c>
      <c r="AE24" s="73">
        <f t="shared" si="15"/>
        <v>1090141</v>
      </c>
      <c r="AF24" s="73">
        <f t="shared" si="15"/>
        <v>1113435</v>
      </c>
      <c r="AG24" s="73">
        <f t="shared" si="15"/>
        <v>1113435</v>
      </c>
      <c r="AH24" s="73">
        <f t="shared" si="15"/>
        <v>1113435</v>
      </c>
      <c r="AI24" s="73">
        <f t="shared" ref="AI24:BN24" si="16">IF(AI19&lt;&gt;"",AI19,AI23)</f>
        <v>1093411</v>
      </c>
      <c r="AJ24" s="73">
        <f t="shared" si="16"/>
        <v>1093411</v>
      </c>
      <c r="AK24" s="73">
        <f t="shared" si="16"/>
        <v>1035681</v>
      </c>
      <c r="AL24" s="73">
        <f t="shared" si="16"/>
        <v>1004366</v>
      </c>
      <c r="AM24" s="73">
        <f t="shared" si="16"/>
        <v>652011</v>
      </c>
      <c r="AN24" s="73">
        <f t="shared" si="16"/>
        <v>650044</v>
      </c>
      <c r="AO24" s="73">
        <f t="shared" si="16"/>
        <v>642866</v>
      </c>
      <c r="AP24" s="73">
        <f t="shared" si="16"/>
        <v>651702</v>
      </c>
      <c r="AQ24" s="73">
        <f t="shared" si="16"/>
        <v>651702</v>
      </c>
      <c r="AR24" s="73">
        <f t="shared" si="16"/>
        <v>680618</v>
      </c>
      <c r="AS24" s="73">
        <f t="shared" si="16"/>
        <v>680618</v>
      </c>
      <c r="AT24" s="73">
        <f t="shared" si="16"/>
        <v>689344</v>
      </c>
      <c r="AU24" s="73">
        <f t="shared" si="16"/>
        <v>665912</v>
      </c>
      <c r="AV24" s="73">
        <f t="shared" si="16"/>
        <v>660590</v>
      </c>
      <c r="AW24" s="73">
        <f t="shared" si="16"/>
        <v>660770</v>
      </c>
      <c r="AX24" s="73">
        <f t="shared" si="16"/>
        <v>660770</v>
      </c>
      <c r="AY24" s="73">
        <f t="shared" si="16"/>
        <v>688144</v>
      </c>
      <c r="AZ24" s="73">
        <f t="shared" si="16"/>
        <v>686058</v>
      </c>
      <c r="BA24" s="73">
        <f t="shared" si="16"/>
        <v>678659</v>
      </c>
      <c r="BB24" s="73">
        <f t="shared" si="16"/>
        <v>676543</v>
      </c>
      <c r="BC24" s="73">
        <f t="shared" si="16"/>
        <v>676543</v>
      </c>
      <c r="BD24" s="73">
        <f t="shared" si="16"/>
        <v>676543</v>
      </c>
      <c r="BE24" s="73">
        <f t="shared" si="16"/>
        <v>676543</v>
      </c>
      <c r="BF24" s="73">
        <f t="shared" si="16"/>
        <v>676543</v>
      </c>
      <c r="BG24" s="73">
        <f t="shared" si="16"/>
        <v>676543</v>
      </c>
      <c r="BH24" s="73">
        <f t="shared" si="16"/>
        <v>676543</v>
      </c>
      <c r="BI24" s="73">
        <f t="shared" si="16"/>
        <v>676543</v>
      </c>
      <c r="BJ24" s="73">
        <f t="shared" si="16"/>
        <v>676543</v>
      </c>
      <c r="BK24" s="73">
        <f t="shared" si="16"/>
        <v>676543</v>
      </c>
      <c r="BL24" s="73">
        <f t="shared" si="16"/>
        <v>676543</v>
      </c>
      <c r="BM24" s="73">
        <f t="shared" si="16"/>
        <v>676543</v>
      </c>
      <c r="BN24" s="73">
        <f t="shared" si="16"/>
        <v>676543</v>
      </c>
      <c r="BO24" s="73">
        <f t="shared" ref="BO24:CT24" si="17">IF(BO19&lt;&gt;"",BO19,BO23)</f>
        <v>676543</v>
      </c>
      <c r="BP24" s="73">
        <f t="shared" si="17"/>
        <v>676543</v>
      </c>
      <c r="BQ24" s="73">
        <f t="shared" si="17"/>
        <v>676543</v>
      </c>
      <c r="BR24" s="73">
        <f t="shared" si="17"/>
        <v>676543</v>
      </c>
      <c r="BS24" s="73">
        <f t="shared" si="17"/>
        <v>676543</v>
      </c>
      <c r="BT24" s="73">
        <f t="shared" si="17"/>
        <v>676543</v>
      </c>
      <c r="BU24" s="73">
        <f t="shared" si="17"/>
        <v>676543</v>
      </c>
      <c r="BV24" s="73">
        <f t="shared" si="17"/>
        <v>676543</v>
      </c>
      <c r="BW24" s="73">
        <f t="shared" si="17"/>
        <v>676543</v>
      </c>
    </row>
    <row r="26" spans="1:75" ht="18.75" customHeight="1" x14ac:dyDescent="0.3">
      <c r="A26" s="77" t="s">
        <v>3</v>
      </c>
    </row>
    <row r="27" spans="1:75" x14ac:dyDescent="0.25">
      <c r="A27" s="70" t="s">
        <v>17</v>
      </c>
      <c r="B27" s="72">
        <v>2400000</v>
      </c>
      <c r="C27" s="72">
        <v>2400000</v>
      </c>
      <c r="D27" s="72">
        <v>2414000</v>
      </c>
      <c r="E27" s="72">
        <v>2414000</v>
      </c>
      <c r="F27" s="72">
        <v>2441102</v>
      </c>
      <c r="G27" s="72">
        <v>2445292</v>
      </c>
      <c r="H27" s="72">
        <v>2456247</v>
      </c>
      <c r="I27" s="72">
        <v>8452365</v>
      </c>
      <c r="J27" s="72">
        <v>13956266</v>
      </c>
      <c r="K27" s="72">
        <v>14986351</v>
      </c>
      <c r="L27" s="72">
        <v>15050000</v>
      </c>
      <c r="M27" s="72">
        <v>15266611</v>
      </c>
      <c r="N27" s="72">
        <v>16323357</v>
      </c>
      <c r="O27" s="72">
        <v>16382080</v>
      </c>
      <c r="P27" s="72">
        <v>10147193</v>
      </c>
      <c r="Q27" s="72">
        <v>10681191</v>
      </c>
      <c r="R27" s="72">
        <v>7184415</v>
      </c>
      <c r="S27" s="72">
        <v>7026244</v>
      </c>
      <c r="T27" s="72">
        <v>6823964</v>
      </c>
      <c r="U27" s="72">
        <v>5823264</v>
      </c>
      <c r="V27" s="72">
        <v>4625721</v>
      </c>
      <c r="W27" s="72">
        <v>4625721</v>
      </c>
      <c r="X27" s="72">
        <v>4725721</v>
      </c>
      <c r="Y27" s="72">
        <f>639000+4184462</f>
        <v>4823462</v>
      </c>
      <c r="Z27" s="72">
        <f>639000+4199823</f>
        <v>4838823</v>
      </c>
      <c r="AA27" s="72">
        <f>639000+4223666</f>
        <v>4862666</v>
      </c>
      <c r="AB27" s="72">
        <f>AC27-AB28</f>
        <v>4863152</v>
      </c>
      <c r="AC27" s="72">
        <f>AD27-AC28</f>
        <v>4863152</v>
      </c>
      <c r="AD27" s="72">
        <f>639000+14243425</f>
        <v>14882425</v>
      </c>
      <c r="AE27" s="72">
        <f>14392569+639000</f>
        <v>15031569</v>
      </c>
      <c r="AF27" s="72">
        <f>14485031+639000</f>
        <v>15124031</v>
      </c>
      <c r="AG27" s="72"/>
      <c r="AH27" s="72"/>
      <c r="AI27" s="72">
        <f>14591849+639000</f>
        <v>15230849</v>
      </c>
      <c r="AJ27" s="72"/>
      <c r="AK27" s="72">
        <f>14751307+639000</f>
        <v>15390307</v>
      </c>
      <c r="AL27" s="72">
        <f>15467000+639000</f>
        <v>16106000</v>
      </c>
      <c r="AM27" s="72">
        <v>16894858</v>
      </c>
      <c r="AN27" s="72">
        <v>17151035</v>
      </c>
      <c r="AO27" s="72">
        <f>639000+15964631</f>
        <v>16603631</v>
      </c>
      <c r="AP27" s="72">
        <f>709000+16855259</f>
        <v>17564259</v>
      </c>
      <c r="AQ27" s="72">
        <v>17783812.237500001</v>
      </c>
      <c r="AR27" s="72">
        <f>709000+17902755</f>
        <v>18611755</v>
      </c>
      <c r="AS27" s="72">
        <f>709000+18107099</f>
        <v>18816099</v>
      </c>
      <c r="AT27" s="72">
        <f>709000+18318738</f>
        <v>19027738</v>
      </c>
      <c r="AU27" s="72">
        <f>709000+18566870</f>
        <v>19275870</v>
      </c>
      <c r="AV27" s="72">
        <f>709000+19707316</f>
        <v>20416316</v>
      </c>
      <c r="AW27" s="72">
        <f>709000+19929516</f>
        <v>20638516</v>
      </c>
      <c r="AX27" s="72"/>
      <c r="AY27" s="72">
        <v>18268671</v>
      </c>
      <c r="AZ27" s="72">
        <v>18539373</v>
      </c>
      <c r="BA27" s="72">
        <v>18815962</v>
      </c>
      <c r="BB27" s="72">
        <v>19020363</v>
      </c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</row>
    <row r="28" spans="1:75" x14ac:dyDescent="0.25">
      <c r="A28" s="70" t="s">
        <v>25</v>
      </c>
      <c r="B28" s="70">
        <f>SUMIFS(tételek!$C:$C,tételek!$A:$A,"&gt;="&amp;Részletes!B1,tételek!$A:$A,"&lt;"&amp;Részletes!C1,tételek!$F:$F,$A$26,tételek!$C:$C,"&gt;"&amp;0)</f>
        <v>0</v>
      </c>
      <c r="C28" s="70">
        <f>SUMIFS(tételek!$C:$C,tételek!$A:$A,"&gt;="&amp;Részletes!C1,tételek!$A:$A,"&lt;"&amp;Részletes!D1,tételek!$F:$F,$A$26,tételek!$C:$C,"&gt;"&amp;0)</f>
        <v>0</v>
      </c>
      <c r="D28" s="70">
        <f>SUMIFS(tételek!$C:$C,tételek!$A:$A,"&gt;="&amp;Részletes!D1,tételek!$A:$A,"&lt;"&amp;Részletes!E1,tételek!$F:$F,$A$26,tételek!$C:$C,"&gt;"&amp;0)</f>
        <v>0</v>
      </c>
      <c r="E28" s="70">
        <f>SUMIFS(tételek!$C:$C,tételek!$A:$A,"&gt;="&amp;Részletes!E1,tételek!$A:$A,"&lt;"&amp;Részletes!F1,tételek!$F:$F,$A$26,tételek!$C:$C,"&gt;"&amp;0)</f>
        <v>0</v>
      </c>
      <c r="F28" s="70">
        <f>SUMIFS(tételek!$C:$C,tételek!$A:$A,"&gt;="&amp;Részletes!F1,tételek!$A:$A,"&lt;"&amp;Részletes!G1,tételek!$F:$F,$A$26,tételek!$C:$C,"&gt;"&amp;0)</f>
        <v>0</v>
      </c>
      <c r="G28" s="70">
        <f>SUMIFS(tételek!$C:$C,tételek!$A:$A,"&gt;="&amp;Részletes!G1,tételek!$A:$A,"&lt;"&amp;Részletes!H1,tételek!$F:$F,$A$26,tételek!$C:$C,"&gt;"&amp;0)</f>
        <v>0</v>
      </c>
      <c r="H28" s="70">
        <f>SUMIFS(tételek!$C:$C,tételek!$A:$A,"&gt;="&amp;Részletes!H1,tételek!$A:$A,"&lt;"&amp;Részletes!I1,tételek!$F:$F,$A$26,tételek!$C:$C,"&gt;"&amp;0)</f>
        <v>6000000</v>
      </c>
      <c r="I28" s="70">
        <f>SUMIFS(tételek!$C:$C,tételek!$A:$A,"&gt;="&amp;Részletes!I1,tételek!$A:$A,"&lt;"&amp;Részletes!J1,tételek!$F:$F,$A$26,tételek!$C:$C,"&gt;"&amp;0)</f>
        <v>5499208</v>
      </c>
      <c r="J28" s="70">
        <f>SUMIFS(tételek!$C:$C,tételek!$A:$A,"&gt;="&amp;Részletes!J1,tételek!$A:$A,"&lt;"&amp;Részletes!K1,tételek!$F:$F,$A$26,tételek!$C:$C,"&gt;"&amp;0)</f>
        <v>999224</v>
      </c>
      <c r="K28" s="70">
        <f>SUMIFS(tételek!$C:$C,tételek!$A:$A,"&gt;="&amp;Részletes!K1,tételek!$A:$A,"&lt;"&amp;Részletes!L1,tételek!$F:$F,$A$26,tételek!$C:$C,"&gt;"&amp;0)</f>
        <v>0</v>
      </c>
      <c r="L28" s="70">
        <f>SUMIFS(tételek!$C:$C,tételek!$A:$A,"&gt;="&amp;Részletes!L1,tételek!$A:$A,"&lt;"&amp;Részletes!M1,tételek!$F:$F,$A$26,tételek!$C:$C,"&gt;"&amp;0)</f>
        <v>0</v>
      </c>
      <c r="M28" s="70">
        <f>SUMIFS(tételek!$C:$C,tételek!$A:$A,"&gt;="&amp;Részletes!M1,tételek!$A:$A,"&lt;"&amp;Részletes!N1,tételek!$F:$F,$A$26,tételek!$C:$C,"&gt;"&amp;0)</f>
        <v>1200000</v>
      </c>
      <c r="N28" s="70">
        <f>SUMIFS(tételek!$C:$C,tételek!$A:$A,"&gt;="&amp;Részletes!N1,tételek!$A:$A,"&lt;"&amp;Részletes!O1,tételek!$F:$F,$A$26,tételek!$C:$C,"&gt;"&amp;0)</f>
        <v>0</v>
      </c>
      <c r="O28" s="70">
        <f>SUMIFS(tételek!$C:$C,tételek!$A:$A,"&gt;="&amp;Részletes!O1,tételek!$A:$A,"&lt;"&amp;Részletes!P1,tételek!$F:$F,$A$26,tételek!$C:$C,"&gt;"&amp;0)</f>
        <v>0</v>
      </c>
      <c r="P28" s="70">
        <f>SUMIFS(tételek!$C:$C,tételek!$A:$A,"&gt;="&amp;Részletes!P1,tételek!$A:$A,"&lt;"&amp;Részletes!Q1,tételek!$F:$F,$A$26,tételek!$C:$C,"&gt;"&amp;0)</f>
        <v>0</v>
      </c>
      <c r="Q28" s="70">
        <f>SUMIFS(tételek!$C:$C,tételek!$A:$A,"&gt;="&amp;Részletes!Q1,tételek!$A:$A,"&lt;"&amp;Részletes!R1,tételek!$F:$F,$A$26,tételek!$C:$C,"&gt;"&amp;0)</f>
        <v>0</v>
      </c>
      <c r="R28" s="70">
        <f>SUMIFS(tételek!$C:$C,tételek!$A:$A,"&gt;="&amp;Részletes!R1,tételek!$A:$A,"&lt;"&amp;Részletes!S1,tételek!$F:$F,$A$26,tételek!$C:$C,"&gt;"&amp;0)</f>
        <v>0</v>
      </c>
      <c r="S28" s="70">
        <f>SUMIFS(tételek!$C:$C,tételek!$A:$A,"&gt;="&amp;Részletes!S1,tételek!$A:$A,"&lt;"&amp;Részletes!T1,tételek!$F:$F,$A$26,tételek!$C:$C,"&gt;"&amp;0)</f>
        <v>0</v>
      </c>
      <c r="T28" s="70">
        <f>SUMIFS(tételek!$C:$C,tételek!$A:$A,"&gt;="&amp;Részletes!T1,tételek!$A:$A,"&lt;"&amp;Részletes!U1,tételek!$F:$F,$A$26,tételek!$C:$C,"&gt;"&amp;0)</f>
        <v>0</v>
      </c>
      <c r="U28" s="70">
        <f>SUMIFS(tételek!$C:$C,tételek!$A:$A,"&gt;="&amp;Részletes!U1,tételek!$A:$A,"&lt;"&amp;Részletes!V1,tételek!$F:$F,$A$26,tételek!$C:$C,"&gt;"&amp;0)</f>
        <v>0</v>
      </c>
      <c r="V28" s="70">
        <f>SUMIFS(tételek!$C:$C,tételek!$A:$A,"&gt;="&amp;Részletes!V1,tételek!$A:$A,"&lt;"&amp;Részletes!W1,tételek!$F:$F,$A$26,tételek!$C:$C,"&gt;"&amp;0)</f>
        <v>0</v>
      </c>
      <c r="W28" s="70">
        <f>SUMIFS(tételek!$C:$C,tételek!$A:$A,"&gt;="&amp;Részletes!W1,tételek!$A:$A,"&lt;"&amp;Részletes!X1,tételek!$F:$F,$A$26,tételek!$C:$C,"&gt;"&amp;0)</f>
        <v>0</v>
      </c>
      <c r="X28" s="70">
        <f>SUMIFS(tételek!$C:$C,tételek!$A:$A,"&gt;="&amp;Részletes!X1,tételek!$A:$A,"&lt;"&amp;Részletes!Y1,tételek!$F:$F,$A$26,tételek!$C:$C,"&gt;"&amp;0)</f>
        <v>0</v>
      </c>
      <c r="Y28" s="70">
        <f>SUMIFS(tételek!$C:$C,tételek!$A:$A,"&gt;="&amp;Részletes!Y1,tételek!$A:$A,"&lt;"&amp;Részletes!Z1,tételek!$F:$F,$A$26,tételek!$C:$C,"&gt;"&amp;0)</f>
        <v>0</v>
      </c>
      <c r="Z28" s="70">
        <f>SUMIFS(tételek!$C:$C,tételek!$A:$A,"&gt;="&amp;Részletes!Z1,tételek!$A:$A,"&lt;"&amp;Részletes!AA1,tételek!$F:$F,$A$26,tételek!$C:$C,"&gt;"&amp;0)</f>
        <v>0</v>
      </c>
      <c r="AA28" s="70">
        <f>SUMIFS(tételek!$C:$C,tételek!$A:$A,"&gt;="&amp;Részletes!AA1,tételek!$A:$A,"&lt;"&amp;Részletes!AB1,tételek!$F:$F,$A$26,tételek!$C:$C,"&gt;"&amp;0)</f>
        <v>0</v>
      </c>
      <c r="AB28" s="70">
        <f>SUMIFS(tételek!$C:$C,tételek!$A:$A,"&gt;="&amp;Részletes!AB1,tételek!$A:$A,"&lt;"&amp;Részletes!AC1,tételek!$F:$F,$A$26,tételek!$C:$C,"&gt;"&amp;0)</f>
        <v>0</v>
      </c>
      <c r="AC28" s="70">
        <f>SUMIFS(tételek!$C:$C,tételek!$A:$A,"&gt;="&amp;Részletes!AC1,tételek!$A:$A,"&lt;"&amp;Részletes!AD1,tételek!$F:$F,$A$26,tételek!$C:$C,"&gt;"&amp;0)</f>
        <v>10019273</v>
      </c>
      <c r="AD28" s="70">
        <f>SUMIFS(tételek!$C:$C,tételek!$A:$A,"&gt;="&amp;Részletes!AD1,tételek!$A:$A,"&lt;"&amp;Részletes!AE1,tételek!$F:$F,$A$26,tételek!$C:$C,"&gt;"&amp;0)</f>
        <v>0</v>
      </c>
      <c r="AE28" s="70">
        <f>SUMIFS(tételek!$C:$C,tételek!$A:$A,"&gt;="&amp;Részletes!AE1,tételek!$A:$A,"&lt;"&amp;Részletes!AF1,tételek!$F:$F,$A$26,tételek!$C:$C,"&gt;"&amp;0)</f>
        <v>0</v>
      </c>
      <c r="AF28" s="70">
        <f>SUMIFS(tételek!$C:$C,tételek!$A:$A,"&gt;="&amp;Részletes!AF1,tételek!$A:$A,"&lt;"&amp;Részletes!AG1,tételek!$F:$F,$A$26,tételek!$C:$C,"&gt;"&amp;0)</f>
        <v>0</v>
      </c>
      <c r="AG28" s="70">
        <f>SUMIFS(tételek!$C:$C,tételek!$A:$A,"&gt;="&amp;Részletes!AG1,tételek!$A:$A,"&lt;"&amp;Részletes!AH1,tételek!$F:$F,$A$26,tételek!$C:$C,"&gt;"&amp;0)</f>
        <v>0</v>
      </c>
      <c r="AH28" s="70">
        <f>SUMIFS(tételek!$C:$C,tételek!$A:$A,"&gt;="&amp;Részletes!AH1,tételek!$A:$A,"&lt;"&amp;Részletes!AI1,tételek!$F:$F,$A$26,tételek!$C:$C,"&gt;"&amp;0)</f>
        <v>0</v>
      </c>
      <c r="AI28" s="70">
        <f>SUMIFS(tételek!$C:$C,tételek!$A:$A,"&gt;="&amp;Részletes!AI1,tételek!$A:$A,"&lt;"&amp;Részletes!AJ1,tételek!$F:$F,$A$26,tételek!$C:$C,"&gt;"&amp;0)</f>
        <v>0</v>
      </c>
      <c r="AJ28" s="70">
        <f>SUMIFS(tételek!$C:$C,tételek!$A:$A,"&gt;="&amp;Részletes!AJ1,tételek!$A:$A,"&lt;"&amp;Részletes!AK1,tételek!$F:$F,$A$26,tételek!$C:$C,"&gt;"&amp;0)</f>
        <v>0</v>
      </c>
      <c r="AK28" s="70">
        <f>SUMIFS(tételek!$C:$C,tételek!$A:$A,"&gt;="&amp;Részletes!AK1,tételek!$A:$A,"&lt;"&amp;Részletes!AL1,tételek!$F:$F,$A$26,tételek!$C:$C,"&gt;"&amp;0)</f>
        <v>992166</v>
      </c>
      <c r="AL28" s="70">
        <f>SUMIFS(tételek!$C:$C,tételek!$A:$A,"&gt;="&amp;Részletes!AL1,tételek!$A:$A,"&lt;"&amp;Részletes!AM1,tételek!$F:$F,$A$26,tételek!$C:$C,"&gt;"&amp;0)</f>
        <v>1008329</v>
      </c>
      <c r="AM28" s="70">
        <f>SUMIFS(tételek!$C:$C,tételek!$A:$A,"&gt;="&amp;Részletes!AM1,tételek!$A:$A,"&lt;"&amp;Részletes!AN1,tételek!$F:$F,$A$26,tételek!$C:$C,"&gt;"&amp;0)</f>
        <v>0</v>
      </c>
      <c r="AN28" s="70">
        <f>SUMIFS(tételek!$C:$C,tételek!$A:$A,"&gt;="&amp;Részletes!AN1,tételek!$A:$A,"&lt;"&amp;Részletes!AO1,tételek!$F:$F,$A$26,tételek!$C:$C,"&gt;"&amp;0)</f>
        <v>0</v>
      </c>
      <c r="AO28" s="70">
        <f>SUMIFS(tételek!$C:$C,tételek!$A:$A,"&gt;="&amp;Részletes!AO1,tételek!$A:$A,"&lt;"&amp;Részletes!AP1,tételek!$F:$F,$A$26,tételek!$C:$C,"&gt;"&amp;0)</f>
        <v>700000</v>
      </c>
      <c r="AP28" s="70">
        <f>SUMIFS(tételek!$C:$C,tételek!$A:$A,"&gt;="&amp;Részletes!AP1,tételek!$A:$A,"&lt;"&amp;Részletes!AQ1,tételek!$F:$F,$A$26,tételek!$C:$C,"&gt;"&amp;0)</f>
        <v>0</v>
      </c>
      <c r="AQ28" s="70">
        <f>SUMIFS(tételek!$C:$C,tételek!$A:$A,"&gt;="&amp;Részletes!AQ1,tételek!$A:$A,"&lt;"&amp;Részletes!AR1,tételek!$F:$F,$A$26,tételek!$C:$C,"&gt;"&amp;0)</f>
        <v>0</v>
      </c>
      <c r="AR28" s="70">
        <f>SUMIFS(tételek!$C:$C,tételek!$A:$A,"&gt;="&amp;Részletes!AR1,tételek!$A:$A,"&lt;"&amp;Részletes!AS1,tételek!$F:$F,$A$26,tételek!$C:$C,"&gt;"&amp;0)</f>
        <v>615246</v>
      </c>
      <c r="AS28" s="70">
        <f>SUMIFS(tételek!$C:$C,tételek!$A:$A,"&gt;="&amp;Részletes!AS1,tételek!$A:$A,"&lt;"&amp;Részletes!AT1,tételek!$F:$F,$A$26,tételek!$C:$C,"&gt;"&amp;0)</f>
        <v>0</v>
      </c>
      <c r="AT28" s="70">
        <f>SUMIFS(tételek!$C:$C,tételek!$A:$A,"&gt;="&amp;Részletes!AT1,tételek!$A:$A,"&lt;"&amp;Részletes!AU1,tételek!$F:$F,$A$26,tételek!$C:$C,"&gt;"&amp;0)</f>
        <v>0</v>
      </c>
      <c r="AU28" s="70">
        <f>SUMIFS(tételek!$C:$C,tételek!$A:$A,"&gt;="&amp;Részletes!AU1,tételek!$A:$A,"&lt;"&amp;Részletes!AV1,tételek!$F:$F,$A$26,tételek!$C:$C,"&gt;"&amp;0)</f>
        <v>940088</v>
      </c>
      <c r="AV28" s="70">
        <f>SUMIFS(tételek!$C:$C,tételek!$A:$A,"&gt;="&amp;Részletes!AV1,tételek!$A:$A,"&lt;"&amp;Részletes!AW1,tételek!$F:$F,$A$26,tételek!$C:$C,"&gt;"&amp;0)</f>
        <v>0</v>
      </c>
      <c r="AW28" s="70">
        <f>SUMIFS(tételek!$C:$C,tételek!$A:$A,"&gt;="&amp;Részletes!AW1,tételek!$A:$A,"&lt;"&amp;Részletes!AX1,tételek!$F:$F,$A$26,tételek!$C:$C,"&gt;"&amp;0)</f>
        <v>117069</v>
      </c>
      <c r="AX28" s="70">
        <f>SUMIFS(tételek!$C:$C,tételek!$A:$A,"&gt;="&amp;Részletes!AX1,tételek!$A:$A,"&lt;"&amp;Részletes!AY1,tételek!$F:$F,$A$26,tételek!$C:$C,"&gt;"&amp;0)</f>
        <v>0</v>
      </c>
      <c r="AY28" s="70">
        <f>SUMIFS(tételek!$C:$C,tételek!$A:$A,"&gt;="&amp;Részletes!AY1,tételek!$A:$A,"&lt;"&amp;Részletes!AZ1,tételek!$F:$F,$A$26,tételek!$C:$C,"&gt;"&amp;0)</f>
        <v>0</v>
      </c>
      <c r="AZ28" s="70">
        <f>SUMIFS(tételek!$C:$C,tételek!$A:$A,"&gt;="&amp;Részletes!AZ1,tételek!$A:$A,"&lt;"&amp;Részletes!BA1,tételek!$F:$F,$A$26,tételek!$C:$C,"&gt;"&amp;0)</f>
        <v>0</v>
      </c>
      <c r="BA28" s="70">
        <f>SUMIFS(tételek!$C:$C,tételek!$A:$A,"&gt;="&amp;Részletes!BA1,tételek!$A:$A,"&lt;"&amp;Részletes!BB1,tételek!$F:$F,$A$26,tételek!$C:$C,"&gt;"&amp;0)</f>
        <v>0</v>
      </c>
      <c r="BB28" s="70">
        <f>SUMIFS(tételek!$C:$C,tételek!$A:$A,"&gt;="&amp;Részletes!BB1,tételek!$A:$A,"&lt;"&amp;Részletes!BC1,tételek!$F:$F,$A$26,tételek!$C:$C,"&gt;"&amp;0)</f>
        <v>0</v>
      </c>
      <c r="BC28" s="70">
        <f>SUMIFS(tételek!$C:$C,tételek!$A:$A,"&gt;="&amp;Részletes!BC1,tételek!$A:$A,"&lt;"&amp;Részletes!BD1,tételek!$F:$F,$A$26,tételek!$C:$C,"&gt;"&amp;0)</f>
        <v>0</v>
      </c>
      <c r="BD28" s="70">
        <f>SUMIFS(tételek!$C:$C,tételek!$A:$A,"&gt;="&amp;Részletes!BD1,tételek!$A:$A,"&lt;"&amp;Részletes!BE1,tételek!$F:$F,$A$26,tételek!$C:$C,"&gt;"&amp;0)</f>
        <v>0</v>
      </c>
      <c r="BE28" s="70">
        <f>SUMIFS(tételek!$C:$C,tételek!$A:$A,"&gt;="&amp;Részletes!BE1,tételek!$A:$A,"&lt;"&amp;Részletes!BF1,tételek!$F:$F,$A$26,tételek!$C:$C,"&gt;"&amp;0)</f>
        <v>0</v>
      </c>
      <c r="BF28" s="70">
        <f>SUMIFS(tételek!$C:$C,tételek!$A:$A,"&gt;="&amp;Részletes!BF1,tételek!$A:$A,"&lt;"&amp;Részletes!BG1,tételek!$F:$F,$A$26,tételek!$C:$C,"&gt;"&amp;0)</f>
        <v>0</v>
      </c>
      <c r="BG28" s="70">
        <f>SUMIFS(tételek!$C:$C,tételek!$A:$A,"&gt;="&amp;Részletes!BG1,tételek!$A:$A,"&lt;"&amp;Részletes!BH1,tételek!$F:$F,$A$26,tételek!$C:$C,"&gt;"&amp;0)</f>
        <v>0</v>
      </c>
      <c r="BH28" s="70">
        <f>SUMIFS(tételek!$C:$C,tételek!$A:$A,"&gt;="&amp;Részletes!BH1,tételek!$A:$A,"&lt;"&amp;Részletes!BI1,tételek!$F:$F,$A$26,tételek!$C:$C,"&gt;"&amp;0)</f>
        <v>0</v>
      </c>
      <c r="BI28" s="70">
        <f>SUMIFS(tételek!$C:$C,tételek!$A:$A,"&gt;="&amp;Részletes!BI1,tételek!$A:$A,"&lt;"&amp;Részletes!BJ1,tételek!$F:$F,$A$26,tételek!$C:$C,"&gt;"&amp;0)</f>
        <v>0</v>
      </c>
      <c r="BJ28" s="70">
        <f>SUMIFS(tételek!$C:$C,tételek!$A:$A,"&gt;="&amp;Részletes!BJ1,tételek!$A:$A,"&lt;"&amp;Részletes!BK1,tételek!$F:$F,$A$26,tételek!$C:$C,"&gt;"&amp;0)</f>
        <v>0</v>
      </c>
      <c r="BK28" s="70">
        <f>SUMIFS(tételek!$C:$C,tételek!$A:$A,"&gt;="&amp;Részletes!BK1,tételek!$A:$A,"&lt;"&amp;Részletes!BL1,tételek!$F:$F,$A$26,tételek!$C:$C,"&gt;"&amp;0)</f>
        <v>0</v>
      </c>
      <c r="BL28" s="70">
        <f>SUMIFS(tételek!$C:$C,tételek!$A:$A,"&gt;="&amp;Részletes!BL1,tételek!$A:$A,"&lt;"&amp;Részletes!BM1,tételek!$F:$F,$A$26,tételek!$C:$C,"&gt;"&amp;0)</f>
        <v>0</v>
      </c>
      <c r="BM28" s="70">
        <f>SUMIFS(tételek!$C:$C,tételek!$A:$A,"&gt;="&amp;Részletes!BM1,tételek!$A:$A,"&lt;"&amp;Részletes!BN1,tételek!$F:$F,$A$26,tételek!$C:$C,"&gt;"&amp;0)</f>
        <v>0</v>
      </c>
      <c r="BN28" s="70">
        <f>SUMIFS(tételek!$C:$C,tételek!$A:$A,"&gt;="&amp;Részletes!BN1,tételek!$A:$A,"&lt;"&amp;Részletes!BO1,tételek!$F:$F,$A$26,tételek!$C:$C,"&gt;"&amp;0)</f>
        <v>0</v>
      </c>
      <c r="BO28" s="70">
        <f>SUMIFS(tételek!$C:$C,tételek!$A:$A,"&gt;="&amp;Részletes!BO1,tételek!$A:$A,"&lt;"&amp;Részletes!BP1,tételek!$F:$F,$A$26,tételek!$C:$C,"&gt;"&amp;0)</f>
        <v>0</v>
      </c>
      <c r="BP28" s="70">
        <f>SUMIFS(tételek!$C:$C,tételek!$A:$A,"&gt;="&amp;Részletes!BP1,tételek!$A:$A,"&lt;"&amp;Részletes!BQ1,tételek!$F:$F,$A$26,tételek!$C:$C,"&gt;"&amp;0)</f>
        <v>0</v>
      </c>
      <c r="BQ28" s="70">
        <f>SUMIFS(tételek!$C:$C,tételek!$A:$A,"&gt;="&amp;Részletes!BQ1,tételek!$A:$A,"&lt;"&amp;Részletes!BR1,tételek!$F:$F,$A$26,tételek!$C:$C,"&gt;"&amp;0)</f>
        <v>0</v>
      </c>
      <c r="BR28" s="70">
        <f>SUMIFS(tételek!$C:$C,tételek!$A:$A,"&gt;="&amp;Részletes!BR1,tételek!$A:$A,"&lt;"&amp;Részletes!BS1,tételek!$F:$F,$A$26,tételek!$C:$C,"&gt;"&amp;0)</f>
        <v>0</v>
      </c>
      <c r="BS28" s="70">
        <f>SUMIFS(tételek!$C:$C,tételek!$A:$A,"&gt;="&amp;Részletes!BS1,tételek!$A:$A,"&lt;"&amp;Részletes!BT1,tételek!$F:$F,$A$26,tételek!$C:$C,"&gt;"&amp;0)</f>
        <v>0</v>
      </c>
      <c r="BT28" s="70">
        <f>SUMIFS(tételek!$C:$C,tételek!$A:$A,"&gt;="&amp;Részletes!BT1,tételek!$A:$A,"&lt;"&amp;Részletes!BU1,tételek!$F:$F,$A$26,tételek!$C:$C,"&gt;"&amp;0)</f>
        <v>0</v>
      </c>
      <c r="BU28" s="70">
        <f>SUMIFS(tételek!$C:$C,tételek!$A:$A,"&gt;="&amp;Részletes!BU1,tételek!$A:$A,"&lt;"&amp;Részletes!BV1,tételek!$F:$F,$A$26,tételek!$C:$C,"&gt;"&amp;0)</f>
        <v>0</v>
      </c>
      <c r="BV28" s="70">
        <f>SUMIFS(tételek!$C:$C,tételek!$A:$A,"&gt;="&amp;Részletes!BV1,tételek!$A:$A,"&lt;"&amp;Részletes!BW1,tételek!$F:$F,$A$26,tételek!$C:$C,"&gt;"&amp;0)</f>
        <v>0</v>
      </c>
      <c r="BW28" s="70">
        <f>SUMIFS(tételek!$C:$C,tételek!$A:$A,"&gt;="&amp;Részletes!BW1,tételek!$A:$A,"&lt;"&amp;Részletes!BX1,tételek!$F:$F,$A$26,tételek!$C:$C,"&gt;"&amp;0)</f>
        <v>0</v>
      </c>
    </row>
    <row r="29" spans="1:75" x14ac:dyDescent="0.25">
      <c r="A29" s="70" t="s">
        <v>26</v>
      </c>
      <c r="B29" s="70">
        <f>SUMIFS(tételek!$C:$C,tételek!$A:$A,"&gt;="&amp;Részletes!B$1,tételek!$A:$A,"&lt;"&amp;Részletes!C$1,tételek!$F:$F,$A$26,tételek!$C:$C,"&lt;"&amp;0)</f>
        <v>0</v>
      </c>
      <c r="C29" s="70">
        <f>SUMIFS(tételek!$C:$C,tételek!$A:$A,"&gt;="&amp;Részletes!C$1,tételek!$A:$A,"&lt;"&amp;Részletes!D$1,tételek!$F:$F,$A$26,tételek!$C:$C,"&lt;"&amp;0)</f>
        <v>0</v>
      </c>
      <c r="D29" s="70">
        <f>SUMIFS(tételek!$C:$C,tételek!$A:$A,"&gt;="&amp;Részletes!D$1,tételek!$A:$A,"&lt;"&amp;Részletes!E$1,tételek!$F:$F,$A$26,tételek!$C:$C,"&lt;"&amp;0)</f>
        <v>0</v>
      </c>
      <c r="E29" s="70">
        <f>SUMIFS(tételek!$C:$C,tételek!$A:$A,"&gt;="&amp;Részletes!E$1,tételek!$A:$A,"&lt;"&amp;Részletes!F$1,tételek!$F:$F,$A$26,tételek!$C:$C,"&lt;"&amp;0)</f>
        <v>0</v>
      </c>
      <c r="F29" s="70">
        <f>SUMIFS(tételek!$C:$C,tételek!$A:$A,"&gt;="&amp;Részletes!F$1,tételek!$A:$A,"&lt;"&amp;Részletes!G$1,tételek!$F:$F,$A$26,tételek!$C:$C,"&lt;"&amp;0)</f>
        <v>0</v>
      </c>
      <c r="G29" s="70">
        <f>SUMIFS(tételek!$C:$C,tételek!$A:$A,"&gt;="&amp;Részletes!G$1,tételek!$A:$A,"&lt;"&amp;Részletes!H$1,tételek!$F:$F,$A$26,tételek!$C:$C,"&lt;"&amp;0)</f>
        <v>0</v>
      </c>
      <c r="H29" s="70">
        <f>SUMIFS(tételek!$C:$C,tételek!$A:$A,"&gt;="&amp;Részletes!H$1,tételek!$A:$A,"&lt;"&amp;Részletes!I$1,tételek!$F:$F,$A$26,tételek!$C:$C,"&lt;"&amp;0)</f>
        <v>0</v>
      </c>
      <c r="I29" s="70">
        <f>SUMIFS(tételek!$C:$C,tételek!$A:$A,"&gt;="&amp;Részletes!I$1,tételek!$A:$A,"&lt;"&amp;Részletes!J$1,tételek!$F:$F,$A$26,tételek!$C:$C,"&lt;"&amp;0)</f>
        <v>0</v>
      </c>
      <c r="J29" s="70">
        <f>SUMIFS(tételek!$C:$C,tételek!$A:$A,"&gt;="&amp;Részletes!J$1,tételek!$A:$A,"&lt;"&amp;Részletes!K$1,tételek!$F:$F,$A$26,tételek!$C:$C,"&lt;"&amp;0)</f>
        <v>0</v>
      </c>
      <c r="K29" s="70">
        <f>SUMIFS(tételek!$C:$C,tételek!$A:$A,"&gt;="&amp;Részletes!K$1,tételek!$A:$A,"&lt;"&amp;Részletes!L$1,tételek!$F:$F,$A$26,tételek!$C:$C,"&lt;"&amp;0)</f>
        <v>0</v>
      </c>
      <c r="L29" s="70">
        <f>SUMIFS(tételek!$C:$C,tételek!$A:$A,"&gt;="&amp;Részletes!L$1,tételek!$A:$A,"&lt;"&amp;Részletes!M$1,tételek!$F:$F,$A$26,tételek!$C:$C,"&lt;"&amp;0)</f>
        <v>0</v>
      </c>
      <c r="M29" s="70">
        <f>SUMIFS(tételek!$C:$C,tételek!$A:$A,"&gt;="&amp;Részletes!M$1,tételek!$A:$A,"&lt;"&amp;Részletes!N$1,tételek!$F:$F,$A$26,tételek!$C:$C,"&lt;"&amp;0)</f>
        <v>0</v>
      </c>
      <c r="N29" s="70">
        <f>SUMIFS(tételek!$C:$C,tételek!$A:$A,"&gt;="&amp;Részletes!N$1,tételek!$A:$A,"&lt;"&amp;Részletes!O$1,tételek!$F:$F,$A$26,tételek!$C:$C,"&lt;"&amp;0)</f>
        <v>0</v>
      </c>
      <c r="O29" s="70">
        <f>SUMIFS(tételek!$C:$C,tételek!$A:$A,"&gt;="&amp;Részletes!O$1,tételek!$A:$A,"&lt;"&amp;Részletes!P$1,tételek!$F:$F,$A$26,tételek!$C:$C,"&lt;"&amp;0)</f>
        <v>-6268560</v>
      </c>
      <c r="P29" s="70">
        <f>SUMIFS(tételek!$C:$C,tételek!$A:$A,"&gt;="&amp;Részletes!P$1,tételek!$A:$A,"&lt;"&amp;Részletes!Q$1,tételek!$F:$F,$A$26,tételek!$C:$C,"&lt;"&amp;0)</f>
        <v>0</v>
      </c>
      <c r="Q29" s="70">
        <f>SUMIFS(tételek!$C:$C,tételek!$A:$A,"&gt;="&amp;Részletes!Q$1,tételek!$A:$A,"&lt;"&amp;Részletes!R$1,tételek!$F:$F,$A$26,tételek!$C:$C,"&lt;"&amp;0)</f>
        <v>-3523450</v>
      </c>
      <c r="R29" s="70">
        <f>SUMIFS(tételek!$C:$C,tételek!$A:$A,"&gt;="&amp;Részletes!R$1,tételek!$A:$A,"&lt;"&amp;Részletes!S$1,tételek!$F:$F,$A$26,tételek!$C:$C,"&lt;"&amp;0)</f>
        <v>-1000000</v>
      </c>
      <c r="S29" s="70">
        <f>SUMIFS(tételek!$C:$C,tételek!$A:$A,"&gt;="&amp;Részletes!S$1,tételek!$A:$A,"&lt;"&amp;Részletes!T$1,tételek!$F:$F,$A$26,tételek!$C:$C,"&lt;"&amp;0)</f>
        <v>-202280</v>
      </c>
      <c r="T29" s="70">
        <f>SUMIFS(tételek!$C:$C,tételek!$A:$A,"&gt;="&amp;Részletes!T$1,tételek!$A:$A,"&lt;"&amp;Részletes!U$1,tételek!$F:$F,$A$26,tételek!$C:$C,"&lt;"&amp;0)</f>
        <v>-1000700</v>
      </c>
      <c r="U29" s="70">
        <f>SUMIFS(tételek!$C:$C,tételek!$A:$A,"&gt;="&amp;Részletes!U$1,tételek!$A:$A,"&lt;"&amp;Részletes!V$1,tételek!$F:$F,$A$26,tételek!$C:$C,"&lt;"&amp;0)</f>
        <v>-4940393</v>
      </c>
      <c r="V29" s="70">
        <f>SUMIFS(tételek!$C:$C,tételek!$A:$A,"&gt;="&amp;Részletes!V$1,tételek!$A:$A,"&lt;"&amp;Részletes!W$1,tételek!$F:$F,$A$26,tételek!$C:$C,"&lt;"&amp;0)</f>
        <v>0</v>
      </c>
      <c r="W29" s="70">
        <f>SUMIFS(tételek!$C:$C,tételek!$A:$A,"&gt;="&amp;Részletes!W$1,tételek!$A:$A,"&lt;"&amp;Részletes!X$1,tételek!$F:$F,$A$26,tételek!$C:$C,"&lt;"&amp;0)</f>
        <v>0</v>
      </c>
      <c r="X29" s="70">
        <f>SUMIFS(tételek!$C:$C,tételek!$A:$A,"&gt;="&amp;Részletes!X$1,tételek!$A:$A,"&lt;"&amp;Részletes!Y$1,tételek!$F:$F,$A$26,tételek!$C:$C,"&lt;"&amp;0)</f>
        <v>0</v>
      </c>
      <c r="Y29" s="70">
        <f>SUMIFS(tételek!$C:$C,tételek!$A:$A,"&gt;="&amp;Részletes!Y$1,tételek!$A:$A,"&lt;"&amp;Részletes!Z$1,tételek!$F:$F,$A$26,tételek!$C:$C,"&lt;"&amp;0)</f>
        <v>0</v>
      </c>
      <c r="Z29" s="70">
        <f>SUMIFS(tételek!$C:$C,tételek!$A:$A,"&gt;="&amp;Részletes!Z$1,tételek!$A:$A,"&lt;"&amp;Részletes!AA$1,tételek!$F:$F,$A$26,tételek!$C:$C,"&lt;"&amp;0)</f>
        <v>0</v>
      </c>
      <c r="AA29" s="70">
        <f>SUMIFS(tételek!$C:$C,tételek!$A:$A,"&gt;="&amp;Részletes!AA$1,tételek!$A:$A,"&lt;"&amp;Részletes!AB$1,tételek!$F:$F,$A$26,tételek!$C:$C,"&lt;"&amp;0)</f>
        <v>0</v>
      </c>
      <c r="AB29" s="70">
        <f>SUMIFS(tételek!$C:$C,tételek!$A:$A,"&gt;="&amp;Részletes!AB$1,tételek!$A:$A,"&lt;"&amp;Részletes!AC$1,tételek!$F:$F,$A$26,tételek!$C:$C,"&lt;"&amp;0)</f>
        <v>0</v>
      </c>
      <c r="AC29" s="70">
        <f>SUMIFS(tételek!$C:$C,tételek!$A:$A,"&gt;="&amp;Részletes!AC$1,tételek!$A:$A,"&lt;"&amp;Részletes!AD$1,tételek!$F:$F,$A$26,tételek!$C:$C,"&lt;"&amp;0)</f>
        <v>0</v>
      </c>
      <c r="AD29" s="70">
        <f>SUMIFS(tételek!$C:$C,tételek!$A:$A,"&gt;="&amp;Részletes!AD$1,tételek!$A:$A,"&lt;"&amp;Részletes!AE$1,tételek!$F:$F,$A$26,tételek!$C:$C,"&lt;"&amp;0)</f>
        <v>0</v>
      </c>
      <c r="AE29" s="70">
        <f>SUMIFS(tételek!$C:$C,tételek!$A:$A,"&gt;="&amp;Részletes!AE$1,tételek!$A:$A,"&lt;"&amp;Részletes!AF$1,tételek!$F:$F,$A$26,tételek!$C:$C,"&lt;"&amp;0)</f>
        <v>0</v>
      </c>
      <c r="AF29" s="70">
        <f>SUMIFS(tételek!$C:$C,tételek!$A:$A,"&gt;="&amp;Részletes!AF$1,tételek!$A:$A,"&lt;"&amp;Részletes!AG$1,tételek!$F:$F,$A$26,tételek!$C:$C,"&lt;"&amp;0)</f>
        <v>0</v>
      </c>
      <c r="AG29" s="70">
        <f>SUMIFS(tételek!$C:$C,tételek!$A:$A,"&gt;="&amp;Részletes!AG$1,tételek!$A:$A,"&lt;"&amp;Részletes!AH$1,tételek!$F:$F,$A$26,tételek!$C:$C,"&lt;"&amp;0)</f>
        <v>0</v>
      </c>
      <c r="AH29" s="70">
        <f>SUMIFS(tételek!$C:$C,tételek!$A:$A,"&gt;="&amp;Részletes!AH$1,tételek!$A:$A,"&lt;"&amp;Részletes!AI$1,tételek!$F:$F,$A$26,tételek!$C:$C,"&lt;"&amp;0)</f>
        <v>0</v>
      </c>
      <c r="AI29" s="70">
        <f>SUMIFS(tételek!$C:$C,tételek!$A:$A,"&gt;="&amp;Részletes!AI$1,tételek!$A:$A,"&lt;"&amp;Részletes!AJ$1,tételek!$F:$F,$A$26,tételek!$C:$C,"&lt;"&amp;0)</f>
        <v>0</v>
      </c>
      <c r="AJ29" s="70">
        <f>SUMIFS(tételek!$C:$C,tételek!$A:$A,"&gt;="&amp;Részletes!AJ$1,tételek!$A:$A,"&lt;"&amp;Részletes!AK$1,tételek!$F:$F,$A$26,tételek!$C:$C,"&lt;"&amp;0)</f>
        <v>0</v>
      </c>
      <c r="AK29" s="70">
        <f>SUMIFS(tételek!$C:$C,tételek!$A:$A,"&gt;="&amp;Részletes!AK$1,tételek!$A:$A,"&lt;"&amp;Részletes!AL$1,tételek!$F:$F,$A$26,tételek!$C:$C,"&lt;"&amp;0)</f>
        <v>0</v>
      </c>
      <c r="AL29" s="70">
        <f>SUMIFS(tételek!$C:$C,tételek!$A:$A,"&gt;="&amp;Részletes!AL$1,tételek!$A:$A,"&lt;"&amp;Részletes!AM$1,tételek!$F:$F,$A$26,tételek!$C:$C,"&lt;"&amp;0)</f>
        <v>0</v>
      </c>
      <c r="AM29" s="70">
        <f>SUMIFS(tételek!$C:$C,tételek!$A:$A,"&gt;="&amp;Részletes!AM$1,tételek!$A:$A,"&lt;"&amp;Részletes!AN$1,tételek!$F:$F,$A$26,tételek!$C:$C,"&lt;"&amp;0)</f>
        <v>0</v>
      </c>
      <c r="AN29" s="70">
        <f>SUMIFS(tételek!$C:$C,tételek!$A:$A,"&gt;="&amp;Részletes!AN$1,tételek!$A:$A,"&lt;"&amp;Részletes!AO$1,tételek!$F:$F,$A$26,tételek!$C:$C,"&lt;"&amp;0)</f>
        <v>-1413221</v>
      </c>
      <c r="AO29" s="70">
        <f>SUMIFS(tételek!$C:$C,tételek!$A:$A,"&gt;="&amp;Részletes!AO$1,tételek!$A:$A,"&lt;"&amp;Részletes!AP$1,tételek!$F:$F,$A$26,tételek!$C:$C,"&lt;"&amp;0)</f>
        <v>0</v>
      </c>
      <c r="AP29" s="70">
        <f>SUMIFS(tételek!$C:$C,tételek!$A:$A,"&gt;="&amp;Részletes!AP$1,tételek!$A:$A,"&lt;"&amp;Részletes!AQ$1,tételek!$F:$F,$A$26,tételek!$C:$C,"&lt;"&amp;0)</f>
        <v>0</v>
      </c>
      <c r="AQ29" s="70">
        <f>SUMIFS(tételek!$C:$C,tételek!$A:$A,"&gt;="&amp;Részletes!AQ$1,tételek!$A:$A,"&lt;"&amp;Részletes!AR$1,tételek!$F:$F,$A$26,tételek!$C:$C,"&lt;"&amp;0)</f>
        <v>0</v>
      </c>
      <c r="AR29" s="70">
        <f>SUMIFS(tételek!$C:$C,tételek!$A:$A,"&gt;="&amp;Részletes!AR$1,tételek!$A:$A,"&lt;"&amp;Részletes!AS$1,tételek!$F:$F,$A$26,tételek!$C:$C,"&lt;"&amp;0)</f>
        <v>0</v>
      </c>
      <c r="AS29" s="70">
        <f>SUMIFS(tételek!$C:$C,tételek!$A:$A,"&gt;="&amp;Részletes!AS$1,tételek!$A:$A,"&lt;"&amp;Részletes!AT$1,tételek!$F:$F,$A$26,tételek!$C:$C,"&lt;"&amp;0)</f>
        <v>0</v>
      </c>
      <c r="AT29" s="70">
        <f>SUMIFS(tételek!$C:$C,tételek!$A:$A,"&gt;="&amp;Részletes!AT$1,tételek!$A:$A,"&lt;"&amp;Részletes!AU$1,tételek!$F:$F,$A$26,tételek!$C:$C,"&lt;"&amp;0)</f>
        <v>0</v>
      </c>
      <c r="AU29" s="70">
        <f>SUMIFS(tételek!$C:$C,tételek!$A:$A,"&gt;="&amp;Részletes!AU$1,tételek!$A:$A,"&lt;"&amp;Részletes!AV$1,tételek!$F:$F,$A$26,tételek!$C:$C,"&lt;"&amp;0)</f>
        <v>0</v>
      </c>
      <c r="AV29" s="70">
        <f>SUMIFS(tételek!$C:$C,tételek!$A:$A,"&gt;="&amp;Részletes!AV$1,tételek!$A:$A,"&lt;"&amp;Részletes!AW$1,tételek!$F:$F,$A$26,tételek!$C:$C,"&lt;"&amp;0)</f>
        <v>0</v>
      </c>
      <c r="AW29" s="70">
        <f>SUMIFS(tételek!$C:$C,tételek!$A:$A,"&gt;="&amp;Részletes!AW$1,tételek!$A:$A,"&lt;"&amp;Részletes!AX$1,tételek!$F:$F,$A$26,tételek!$C:$C,"&lt;"&amp;0)</f>
        <v>0</v>
      </c>
      <c r="AX29" s="70">
        <f>SUMIFS(tételek!$C:$C,tételek!$A:$A,"&gt;="&amp;Részletes!AX$1,tételek!$A:$A,"&lt;"&amp;Részletes!AY$1,tételek!$F:$F,$A$26,tételek!$C:$C,"&lt;"&amp;0)</f>
        <v>0</v>
      </c>
      <c r="AY29" s="70">
        <f>SUMIFS(tételek!$C:$C,tételek!$A:$A,"&gt;="&amp;Részletes!AY$1,tételek!$A:$A,"&lt;"&amp;Részletes!AZ$1,tételek!$F:$F,$A$26,tételek!$C:$C,"&lt;"&amp;0)</f>
        <v>0</v>
      </c>
      <c r="AZ29" s="70">
        <f>SUMIFS(tételek!$C:$C,tételek!$A:$A,"&gt;="&amp;Részletes!AZ$1,tételek!$A:$A,"&lt;"&amp;Részletes!BA$1,tételek!$F:$F,$A$26,tételek!$C:$C,"&lt;"&amp;0)</f>
        <v>0</v>
      </c>
      <c r="BA29" s="70">
        <f>SUMIFS(tételek!$C:$C,tételek!$A:$A,"&gt;="&amp;Részletes!BA$1,tételek!$A:$A,"&lt;"&amp;Részletes!BB$1,tételek!$F:$F,$A$26,tételek!$C:$C,"&lt;"&amp;0)</f>
        <v>0</v>
      </c>
      <c r="BB29" s="70">
        <f>SUMIFS(tételek!$C:$C,tételek!$A:$A,"&gt;="&amp;Részletes!BB$1,tételek!$A:$A,"&lt;"&amp;Részletes!BC$1,tételek!$F:$F,$A$26,tételek!$C:$C,"&lt;"&amp;0)</f>
        <v>0</v>
      </c>
      <c r="BC29" s="70">
        <f>SUMIFS(tételek!$C:$C,tételek!$A:$A,"&gt;="&amp;Részletes!BC$1,tételek!$A:$A,"&lt;"&amp;Részletes!BD$1,tételek!$F:$F,$A$26,tételek!$C:$C,"&lt;"&amp;0)</f>
        <v>0</v>
      </c>
      <c r="BD29" s="70">
        <f>SUMIFS(tételek!$C:$C,tételek!$A:$A,"&gt;="&amp;Részletes!BD$1,tételek!$A:$A,"&lt;"&amp;Részletes!BE$1,tételek!$F:$F,$A$26,tételek!$C:$C,"&lt;"&amp;0)</f>
        <v>0</v>
      </c>
      <c r="BE29" s="70">
        <f>SUMIFS(tételek!$C:$C,tételek!$A:$A,"&gt;="&amp;Részletes!BE$1,tételek!$A:$A,"&lt;"&amp;Részletes!BF$1,tételek!$F:$F,$A$26,tételek!$C:$C,"&lt;"&amp;0)</f>
        <v>0</v>
      </c>
      <c r="BF29" s="70">
        <f>SUMIFS(tételek!$C:$C,tételek!$A:$A,"&gt;="&amp;Részletes!BF$1,tételek!$A:$A,"&lt;"&amp;Részletes!BG$1,tételek!$F:$F,$A$26,tételek!$C:$C,"&lt;"&amp;0)</f>
        <v>0</v>
      </c>
      <c r="BG29" s="70">
        <f>SUMIFS(tételek!$C:$C,tételek!$A:$A,"&gt;="&amp;Részletes!BG$1,tételek!$A:$A,"&lt;"&amp;Részletes!BH$1,tételek!$F:$F,$A$26,tételek!$C:$C,"&lt;"&amp;0)</f>
        <v>0</v>
      </c>
      <c r="BH29" s="70">
        <f>SUMIFS(tételek!$C:$C,tételek!$A:$A,"&gt;="&amp;Részletes!BH$1,tételek!$A:$A,"&lt;"&amp;Részletes!BI$1,tételek!$F:$F,$A$26,tételek!$C:$C,"&lt;"&amp;0)</f>
        <v>0</v>
      </c>
      <c r="BI29" s="70">
        <f>SUMIFS(tételek!$C:$C,tételek!$A:$A,"&gt;="&amp;Részletes!BI$1,tételek!$A:$A,"&lt;"&amp;Részletes!BJ$1,tételek!$F:$F,$A$26,tételek!$C:$C,"&lt;"&amp;0)</f>
        <v>0</v>
      </c>
      <c r="BJ29" s="70">
        <f>SUMIFS(tételek!$C:$C,tételek!$A:$A,"&gt;="&amp;Részletes!BJ$1,tételek!$A:$A,"&lt;"&amp;Részletes!BK$1,tételek!$F:$F,$A$26,tételek!$C:$C,"&lt;"&amp;0)</f>
        <v>0</v>
      </c>
      <c r="BK29" s="70">
        <f>SUMIFS(tételek!$C:$C,tételek!$A:$A,"&gt;="&amp;Részletes!BK$1,tételek!$A:$A,"&lt;"&amp;Részletes!BL$1,tételek!$F:$F,$A$26,tételek!$C:$C,"&lt;"&amp;0)</f>
        <v>0</v>
      </c>
      <c r="BL29" s="70">
        <f>SUMIFS(tételek!$C:$C,tételek!$A:$A,"&gt;="&amp;Részletes!BL$1,tételek!$A:$A,"&lt;"&amp;Részletes!BM$1,tételek!$F:$F,$A$26,tételek!$C:$C,"&lt;"&amp;0)</f>
        <v>0</v>
      </c>
      <c r="BM29" s="70">
        <f>SUMIFS(tételek!$C:$C,tételek!$A:$A,"&gt;="&amp;Részletes!BM$1,tételek!$A:$A,"&lt;"&amp;Részletes!BN$1,tételek!$F:$F,$A$26,tételek!$C:$C,"&lt;"&amp;0)</f>
        <v>0</v>
      </c>
      <c r="BN29" s="70">
        <f>SUMIFS(tételek!$C:$C,tételek!$A:$A,"&gt;="&amp;Részletes!BN$1,tételek!$A:$A,"&lt;"&amp;Részletes!BO$1,tételek!$F:$F,$A$26,tételek!$C:$C,"&lt;"&amp;0)</f>
        <v>0</v>
      </c>
      <c r="BO29" s="70">
        <f>SUMIFS(tételek!$C:$C,tételek!$A:$A,"&gt;="&amp;Részletes!BO$1,tételek!$A:$A,"&lt;"&amp;Részletes!BP$1,tételek!$F:$F,$A$26,tételek!$C:$C,"&lt;"&amp;0)</f>
        <v>0</v>
      </c>
      <c r="BP29" s="70">
        <f>SUMIFS(tételek!$C:$C,tételek!$A:$A,"&gt;="&amp;Részletes!BP$1,tételek!$A:$A,"&lt;"&amp;Részletes!BQ$1,tételek!$F:$F,$A$26,tételek!$C:$C,"&lt;"&amp;0)</f>
        <v>0</v>
      </c>
      <c r="BQ29" s="70">
        <f>SUMIFS(tételek!$C:$C,tételek!$A:$A,"&gt;="&amp;Részletes!BQ$1,tételek!$A:$A,"&lt;"&amp;Részletes!BR$1,tételek!$F:$F,$A$26,tételek!$C:$C,"&lt;"&amp;0)</f>
        <v>0</v>
      </c>
      <c r="BR29" s="70">
        <f>SUMIFS(tételek!$C:$C,tételek!$A:$A,"&gt;="&amp;Részletes!BR$1,tételek!$A:$A,"&lt;"&amp;Részletes!BS$1,tételek!$F:$F,$A$26,tételek!$C:$C,"&lt;"&amp;0)</f>
        <v>0</v>
      </c>
      <c r="BS29" s="70">
        <f>SUMIFS(tételek!$C:$C,tételek!$A:$A,"&gt;="&amp;Részletes!BS$1,tételek!$A:$A,"&lt;"&amp;Részletes!BT$1,tételek!$F:$F,$A$26,tételek!$C:$C,"&lt;"&amp;0)</f>
        <v>0</v>
      </c>
      <c r="BT29" s="70">
        <f>SUMIFS(tételek!$C:$C,tételek!$A:$A,"&gt;="&amp;Részletes!BT$1,tételek!$A:$A,"&lt;"&amp;Részletes!BU$1,tételek!$F:$F,$A$26,tételek!$C:$C,"&lt;"&amp;0)</f>
        <v>0</v>
      </c>
      <c r="BU29" s="70">
        <f>SUMIFS(tételek!$C:$C,tételek!$A:$A,"&gt;="&amp;Részletes!BU$1,tételek!$A:$A,"&lt;"&amp;Részletes!BV$1,tételek!$F:$F,$A$26,tételek!$C:$C,"&lt;"&amp;0)</f>
        <v>0</v>
      </c>
      <c r="BV29" s="70">
        <f>SUMIFS(tételek!$C:$C,tételek!$A:$A,"&gt;="&amp;Részletes!BV$1,tételek!$A:$A,"&lt;"&amp;Részletes!BW$1,tételek!$F:$F,$A$26,tételek!$C:$C,"&lt;"&amp;0)</f>
        <v>0</v>
      </c>
      <c r="BW29" s="70">
        <f>SUMIFS(tételek!$C:$C,tételek!$A:$A,"&gt;="&amp;Részletes!BW$1,tételek!$A:$A,"&lt;"&amp;Részletes!BX$1,tételek!$F:$F,$A$26,tételek!$C:$C,"&lt;"&amp;0)</f>
        <v>0</v>
      </c>
    </row>
    <row r="30" spans="1:75" x14ac:dyDescent="0.25">
      <c r="A30" s="70" t="s">
        <v>28</v>
      </c>
      <c r="C30" s="70">
        <v>14000</v>
      </c>
      <c r="F30" s="70">
        <v>7000</v>
      </c>
      <c r="G30" s="70">
        <v>21000</v>
      </c>
      <c r="I30" s="70">
        <f>8140+8140</f>
        <v>16280</v>
      </c>
      <c r="L30" s="70">
        <v>8140</v>
      </c>
      <c r="M30" s="70">
        <f>8140+8140+8140</f>
        <v>24420</v>
      </c>
      <c r="N30" s="70">
        <v>87500</v>
      </c>
      <c r="O30" s="70">
        <f>17600+43750+35000</f>
        <v>96350</v>
      </c>
      <c r="X30" s="70">
        <f t="shared" ref="X30:AK30" si="18">W32*(5%/12)</f>
        <v>19273.837500000001</v>
      </c>
      <c r="Y30" s="70">
        <f t="shared" si="18"/>
        <v>19690.504166666666</v>
      </c>
      <c r="Z30" s="70">
        <f t="shared" si="18"/>
        <v>20097.758333333331</v>
      </c>
      <c r="AA30" s="70">
        <f t="shared" si="18"/>
        <v>20161.762500000001</v>
      </c>
      <c r="AB30" s="70">
        <f t="shared" si="18"/>
        <v>20261.108333333334</v>
      </c>
      <c r="AC30" s="70">
        <f t="shared" si="18"/>
        <v>20263.133333333331</v>
      </c>
      <c r="AD30" s="70">
        <f t="shared" si="18"/>
        <v>20263.133333333331</v>
      </c>
      <c r="AE30" s="70">
        <f t="shared" si="18"/>
        <v>62010.104166666664</v>
      </c>
      <c r="AF30" s="70">
        <f t="shared" si="18"/>
        <v>62631.537499999999</v>
      </c>
      <c r="AG30" s="70">
        <f t="shared" si="18"/>
        <v>63016.79583333333</v>
      </c>
      <c r="AH30" s="70">
        <f t="shared" si="18"/>
        <v>63279.365815972218</v>
      </c>
      <c r="AI30" s="70">
        <f t="shared" si="18"/>
        <v>63543.02984020544</v>
      </c>
      <c r="AJ30" s="70">
        <f t="shared" si="18"/>
        <v>63461.870833333334</v>
      </c>
      <c r="AK30" s="70">
        <f t="shared" si="18"/>
        <v>63726.295295138887</v>
      </c>
      <c r="AL30" s="70">
        <f>AK32*(7%/12)</f>
        <v>89776.790833333333</v>
      </c>
      <c r="AM30" s="70">
        <f>AL32*(15%/12)</f>
        <v>201324.99999999997</v>
      </c>
      <c r="AN30" s="70">
        <f>AM32*(15%/12)</f>
        <v>211185.72499999998</v>
      </c>
      <c r="AO30" s="70">
        <f>AN32*(15%/12)-1413221</f>
        <v>-1198833.0625</v>
      </c>
      <c r="AP30" s="70">
        <f t="shared" ref="AP30:AU30" si="19">AO32*(15%/12)</f>
        <v>207545.38749999998</v>
      </c>
      <c r="AQ30" s="70">
        <f t="shared" si="19"/>
        <v>219553.23749999999</v>
      </c>
      <c r="AR30" s="70">
        <f t="shared" si="19"/>
        <v>222297.65296874999</v>
      </c>
      <c r="AS30" s="70">
        <f t="shared" si="19"/>
        <v>232646.93749999997</v>
      </c>
      <c r="AT30" s="70">
        <f t="shared" si="19"/>
        <v>235201.23749999999</v>
      </c>
      <c r="AU30" s="70">
        <f t="shared" si="19"/>
        <v>237846.72499999998</v>
      </c>
      <c r="AV30" s="70">
        <f>AU32*(16%/12)</f>
        <v>257011.6</v>
      </c>
      <c r="AW30" s="70">
        <f>AV32*(16%/12)-62190</f>
        <v>210027.54666666669</v>
      </c>
      <c r="AX30" s="70">
        <f>AW32*(16%/12)-2671694</f>
        <v>-2396513.7866666666</v>
      </c>
      <c r="AY30" s="70">
        <f>AX32*(16%/12)-106568</f>
        <v>136658.69617777781</v>
      </c>
      <c r="AZ30" s="70">
        <f t="shared" ref="AZ30:BM30" si="20">AY32*(16%/12)</f>
        <v>243582.28000000003</v>
      </c>
      <c r="BA30" s="70">
        <f t="shared" si="20"/>
        <v>247191.64</v>
      </c>
      <c r="BB30" s="70">
        <f t="shared" si="20"/>
        <v>250879.49333333335</v>
      </c>
      <c r="BC30" s="70">
        <f t="shared" si="20"/>
        <v>253604.84000000003</v>
      </c>
      <c r="BD30" s="70">
        <f t="shared" si="20"/>
        <v>256986.23786666669</v>
      </c>
      <c r="BE30" s="70">
        <f t="shared" si="20"/>
        <v>260412.72103822223</v>
      </c>
      <c r="BF30" s="70">
        <f t="shared" si="20"/>
        <v>263884.89065206522</v>
      </c>
      <c r="BG30" s="70">
        <f t="shared" si="20"/>
        <v>267403.35586075939</v>
      </c>
      <c r="BH30" s="70">
        <f t="shared" si="20"/>
        <v>270968.73393890285</v>
      </c>
      <c r="BI30" s="70">
        <f t="shared" si="20"/>
        <v>274581.65039142151</v>
      </c>
      <c r="BJ30" s="70">
        <f t="shared" si="20"/>
        <v>278242.73906330718</v>
      </c>
      <c r="BK30" s="70">
        <f t="shared" si="20"/>
        <v>281952.64225081791</v>
      </c>
      <c r="BL30" s="70">
        <f t="shared" si="20"/>
        <v>285712.01081416215</v>
      </c>
      <c r="BM30" s="70">
        <f t="shared" si="20"/>
        <v>289521.50429168437</v>
      </c>
      <c r="BN30" s="70">
        <f t="shared" ref="BN30:BW30" si="21">BM32*(8%/12)</f>
        <v>146690.89550778674</v>
      </c>
      <c r="BO30" s="70">
        <f t="shared" si="21"/>
        <v>147668.83481117198</v>
      </c>
      <c r="BP30" s="70">
        <f t="shared" si="21"/>
        <v>148653.29370991312</v>
      </c>
      <c r="BQ30" s="70">
        <f t="shared" si="21"/>
        <v>149644.31566797922</v>
      </c>
      <c r="BR30" s="70">
        <f t="shared" si="21"/>
        <v>150641.94443909905</v>
      </c>
      <c r="BS30" s="70">
        <f t="shared" si="21"/>
        <v>151646.22406869306</v>
      </c>
      <c r="BT30" s="70">
        <f t="shared" si="21"/>
        <v>152657.19889581768</v>
      </c>
      <c r="BU30" s="70">
        <f t="shared" si="21"/>
        <v>153674.91355512314</v>
      </c>
      <c r="BV30" s="70">
        <f t="shared" si="21"/>
        <v>154699.41297882397</v>
      </c>
      <c r="BW30" s="70">
        <f t="shared" si="21"/>
        <v>155730.74239868281</v>
      </c>
    </row>
    <row r="31" spans="1:75" x14ac:dyDescent="0.25">
      <c r="A31" s="70" t="s">
        <v>21</v>
      </c>
      <c r="B31" s="70">
        <v>2400000</v>
      </c>
      <c r="C31" s="70">
        <f t="shared" ref="C31:AH31" si="22">SUM(C28:C30)+B32</f>
        <v>2414000</v>
      </c>
      <c r="D31" s="70">
        <f t="shared" si="22"/>
        <v>2400000</v>
      </c>
      <c r="E31" s="70">
        <f t="shared" si="22"/>
        <v>2414000</v>
      </c>
      <c r="F31" s="70">
        <f t="shared" si="22"/>
        <v>2421000</v>
      </c>
      <c r="G31" s="70">
        <f t="shared" si="22"/>
        <v>2462102</v>
      </c>
      <c r="H31" s="70">
        <f t="shared" si="22"/>
        <v>8445292</v>
      </c>
      <c r="I31" s="70">
        <f t="shared" si="22"/>
        <v>7971735</v>
      </c>
      <c r="J31" s="70">
        <f t="shared" si="22"/>
        <v>9451589</v>
      </c>
      <c r="K31" s="70">
        <f t="shared" si="22"/>
        <v>13956266</v>
      </c>
      <c r="L31" s="70">
        <f t="shared" si="22"/>
        <v>14994491</v>
      </c>
      <c r="M31" s="70">
        <f t="shared" si="22"/>
        <v>16274420</v>
      </c>
      <c r="N31" s="70">
        <f t="shared" si="22"/>
        <v>15354111</v>
      </c>
      <c r="O31" s="70">
        <f t="shared" si="22"/>
        <v>10151147</v>
      </c>
      <c r="P31" s="70">
        <f t="shared" si="22"/>
        <v>16382080</v>
      </c>
      <c r="Q31" s="70">
        <f t="shared" si="22"/>
        <v>6623743</v>
      </c>
      <c r="R31" s="70">
        <f t="shared" si="22"/>
        <v>9681191</v>
      </c>
      <c r="S31" s="70">
        <f t="shared" si="22"/>
        <v>6982135</v>
      </c>
      <c r="T31" s="70">
        <f t="shared" si="22"/>
        <v>6025544</v>
      </c>
      <c r="U31" s="70">
        <f t="shared" si="22"/>
        <v>1883571</v>
      </c>
      <c r="V31" s="70">
        <f t="shared" si="22"/>
        <v>5823264</v>
      </c>
      <c r="W31" s="70">
        <f t="shared" si="22"/>
        <v>4625721</v>
      </c>
      <c r="X31" s="70">
        <f t="shared" si="22"/>
        <v>4644994.8375000004</v>
      </c>
      <c r="Y31" s="70">
        <f t="shared" si="22"/>
        <v>4745411.5041666664</v>
      </c>
      <c r="Z31" s="70">
        <f t="shared" si="22"/>
        <v>4843559.7583333338</v>
      </c>
      <c r="AA31" s="70">
        <f t="shared" si="22"/>
        <v>4858984.7625000002</v>
      </c>
      <c r="AB31" s="70">
        <f t="shared" si="22"/>
        <v>4882927.1083333334</v>
      </c>
      <c r="AC31" s="70">
        <f t="shared" si="22"/>
        <v>14902688.133333333</v>
      </c>
      <c r="AD31" s="70">
        <f t="shared" si="22"/>
        <v>4883415.1333333338</v>
      </c>
      <c r="AE31" s="70">
        <f t="shared" si="22"/>
        <v>14944435.104166666</v>
      </c>
      <c r="AF31" s="70">
        <f t="shared" si="22"/>
        <v>15094200.5375</v>
      </c>
      <c r="AG31" s="70">
        <f t="shared" si="22"/>
        <v>15187047.795833332</v>
      </c>
      <c r="AH31" s="70">
        <f t="shared" si="22"/>
        <v>15250327.161649305</v>
      </c>
      <c r="AI31" s="70">
        <f t="shared" ref="AI31:BN31" si="23">SUM(AI28:AI30)+AH32</f>
        <v>15313870.19148951</v>
      </c>
      <c r="AJ31" s="70">
        <f t="shared" si="23"/>
        <v>15294310.870833334</v>
      </c>
      <c r="AK31" s="70">
        <f t="shared" si="23"/>
        <v>16350203.166128471</v>
      </c>
      <c r="AL31" s="70">
        <f t="shared" si="23"/>
        <v>16488412.790833334</v>
      </c>
      <c r="AM31" s="70">
        <f t="shared" si="23"/>
        <v>16307325</v>
      </c>
      <c r="AN31" s="70">
        <f t="shared" si="23"/>
        <v>15692822.725</v>
      </c>
      <c r="AO31" s="70">
        <f t="shared" si="23"/>
        <v>16652201.9375</v>
      </c>
      <c r="AP31" s="70">
        <f t="shared" si="23"/>
        <v>16811176.387499999</v>
      </c>
      <c r="AQ31" s="70">
        <f t="shared" si="23"/>
        <v>17783812.237500001</v>
      </c>
      <c r="AR31" s="70">
        <f t="shared" si="23"/>
        <v>18621355.89046875</v>
      </c>
      <c r="AS31" s="70">
        <f t="shared" si="23"/>
        <v>18844401.9375</v>
      </c>
      <c r="AT31" s="70">
        <f t="shared" si="23"/>
        <v>19051300.237500001</v>
      </c>
      <c r="AU31" s="70">
        <f t="shared" si="23"/>
        <v>20205672.725000001</v>
      </c>
      <c r="AV31" s="70">
        <f t="shared" si="23"/>
        <v>19532881.600000001</v>
      </c>
      <c r="AW31" s="70">
        <f t="shared" si="23"/>
        <v>20743412.546666667</v>
      </c>
      <c r="AX31" s="70">
        <f t="shared" si="23"/>
        <v>18242002.213333335</v>
      </c>
      <c r="AY31" s="70">
        <f t="shared" si="23"/>
        <v>18378660.909511112</v>
      </c>
      <c r="AZ31" s="70">
        <f t="shared" si="23"/>
        <v>18512253.280000001</v>
      </c>
      <c r="BA31" s="70">
        <f t="shared" si="23"/>
        <v>18786564.640000001</v>
      </c>
      <c r="BB31" s="70">
        <f t="shared" si="23"/>
        <v>19066841.493333332</v>
      </c>
      <c r="BC31" s="70">
        <f t="shared" si="23"/>
        <v>19273967.84</v>
      </c>
      <c r="BD31" s="70">
        <f t="shared" si="23"/>
        <v>19530954.077866666</v>
      </c>
      <c r="BE31" s="70">
        <f t="shared" si="23"/>
        <v>19791366.798904888</v>
      </c>
      <c r="BF31" s="70">
        <f t="shared" si="23"/>
        <v>20055251.689556953</v>
      </c>
      <c r="BG31" s="70">
        <f t="shared" si="23"/>
        <v>20322655.045417711</v>
      </c>
      <c r="BH31" s="70">
        <f t="shared" si="23"/>
        <v>20593623.779356614</v>
      </c>
      <c r="BI31" s="70">
        <f t="shared" si="23"/>
        <v>20868205.429748036</v>
      </c>
      <c r="BJ31" s="70">
        <f t="shared" si="23"/>
        <v>21146448.168811344</v>
      </c>
      <c r="BK31" s="70">
        <f t="shared" si="23"/>
        <v>21428400.811062161</v>
      </c>
      <c r="BL31" s="70">
        <f t="shared" si="23"/>
        <v>21714112.821876325</v>
      </c>
      <c r="BM31" s="70">
        <f t="shared" si="23"/>
        <v>22003634.326168008</v>
      </c>
      <c r="BN31" s="70">
        <f t="shared" si="23"/>
        <v>22150325.221675795</v>
      </c>
      <c r="BO31" s="70">
        <f t="shared" ref="BO31:CT31" si="24">SUM(BO28:BO30)+BN32</f>
        <v>22297994.056486968</v>
      </c>
      <c r="BP31" s="70">
        <f t="shared" si="24"/>
        <v>22446647.350196879</v>
      </c>
      <c r="BQ31" s="70">
        <f t="shared" si="24"/>
        <v>22596291.665864859</v>
      </c>
      <c r="BR31" s="70">
        <f t="shared" si="24"/>
        <v>22746933.610303957</v>
      </c>
      <c r="BS31" s="70">
        <f t="shared" si="24"/>
        <v>22898579.834372651</v>
      </c>
      <c r="BT31" s="70">
        <f t="shared" si="24"/>
        <v>23051237.03326847</v>
      </c>
      <c r="BU31" s="70">
        <f t="shared" si="24"/>
        <v>23204911.946823593</v>
      </c>
      <c r="BV31" s="70">
        <f t="shared" si="24"/>
        <v>23359611.359802417</v>
      </c>
      <c r="BW31" s="70">
        <f t="shared" si="24"/>
        <v>23515342.1022011</v>
      </c>
    </row>
    <row r="32" spans="1:75" x14ac:dyDescent="0.25">
      <c r="A32" s="73" t="s">
        <v>22</v>
      </c>
      <c r="B32" s="73">
        <f>SUM(B28:B31)</f>
        <v>2400000</v>
      </c>
      <c r="C32" s="73">
        <f t="shared" ref="C32:AH32" si="25">IF(C27&lt;&gt;"",C27,C31)</f>
        <v>2400000</v>
      </c>
      <c r="D32" s="73">
        <f t="shared" si="25"/>
        <v>2414000</v>
      </c>
      <c r="E32" s="73">
        <f t="shared" si="25"/>
        <v>2414000</v>
      </c>
      <c r="F32" s="73">
        <f t="shared" si="25"/>
        <v>2441102</v>
      </c>
      <c r="G32" s="73">
        <f t="shared" si="25"/>
        <v>2445292</v>
      </c>
      <c r="H32" s="73">
        <f t="shared" si="25"/>
        <v>2456247</v>
      </c>
      <c r="I32" s="73">
        <f t="shared" si="25"/>
        <v>8452365</v>
      </c>
      <c r="J32" s="73">
        <f t="shared" si="25"/>
        <v>13956266</v>
      </c>
      <c r="K32" s="73">
        <f t="shared" si="25"/>
        <v>14986351</v>
      </c>
      <c r="L32" s="73">
        <f t="shared" si="25"/>
        <v>15050000</v>
      </c>
      <c r="M32" s="73">
        <f t="shared" si="25"/>
        <v>15266611</v>
      </c>
      <c r="N32" s="73">
        <f t="shared" si="25"/>
        <v>16323357</v>
      </c>
      <c r="O32" s="73">
        <f t="shared" si="25"/>
        <v>16382080</v>
      </c>
      <c r="P32" s="73">
        <f t="shared" si="25"/>
        <v>10147193</v>
      </c>
      <c r="Q32" s="73">
        <f t="shared" si="25"/>
        <v>10681191</v>
      </c>
      <c r="R32" s="73">
        <f t="shared" si="25"/>
        <v>7184415</v>
      </c>
      <c r="S32" s="73">
        <f t="shared" si="25"/>
        <v>7026244</v>
      </c>
      <c r="T32" s="73">
        <f t="shared" si="25"/>
        <v>6823964</v>
      </c>
      <c r="U32" s="73">
        <f t="shared" si="25"/>
        <v>5823264</v>
      </c>
      <c r="V32" s="73">
        <f t="shared" si="25"/>
        <v>4625721</v>
      </c>
      <c r="W32" s="73">
        <f t="shared" si="25"/>
        <v>4625721</v>
      </c>
      <c r="X32" s="73">
        <f t="shared" si="25"/>
        <v>4725721</v>
      </c>
      <c r="Y32" s="73">
        <f t="shared" si="25"/>
        <v>4823462</v>
      </c>
      <c r="Z32" s="73">
        <f t="shared" si="25"/>
        <v>4838823</v>
      </c>
      <c r="AA32" s="73">
        <f t="shared" si="25"/>
        <v>4862666</v>
      </c>
      <c r="AB32" s="73">
        <f t="shared" si="25"/>
        <v>4863152</v>
      </c>
      <c r="AC32" s="73">
        <f t="shared" si="25"/>
        <v>4863152</v>
      </c>
      <c r="AD32" s="73">
        <f t="shared" si="25"/>
        <v>14882425</v>
      </c>
      <c r="AE32" s="73">
        <f t="shared" si="25"/>
        <v>15031569</v>
      </c>
      <c r="AF32" s="73">
        <f t="shared" si="25"/>
        <v>15124031</v>
      </c>
      <c r="AG32" s="73">
        <f t="shared" si="25"/>
        <v>15187047.795833332</v>
      </c>
      <c r="AH32" s="73">
        <f t="shared" si="25"/>
        <v>15250327.161649305</v>
      </c>
      <c r="AI32" s="73">
        <f t="shared" ref="AI32:BN32" si="26">IF(AI27&lt;&gt;"",AI27,AI31)</f>
        <v>15230849</v>
      </c>
      <c r="AJ32" s="73">
        <f t="shared" si="26"/>
        <v>15294310.870833334</v>
      </c>
      <c r="AK32" s="73">
        <f t="shared" si="26"/>
        <v>15390307</v>
      </c>
      <c r="AL32" s="73">
        <f t="shared" si="26"/>
        <v>16106000</v>
      </c>
      <c r="AM32" s="73">
        <f t="shared" si="26"/>
        <v>16894858</v>
      </c>
      <c r="AN32" s="73">
        <f t="shared" si="26"/>
        <v>17151035</v>
      </c>
      <c r="AO32" s="73">
        <f t="shared" si="26"/>
        <v>16603631</v>
      </c>
      <c r="AP32" s="73">
        <f t="shared" si="26"/>
        <v>17564259</v>
      </c>
      <c r="AQ32" s="73">
        <f t="shared" si="26"/>
        <v>17783812.237500001</v>
      </c>
      <c r="AR32" s="73">
        <f t="shared" si="26"/>
        <v>18611755</v>
      </c>
      <c r="AS32" s="73">
        <f t="shared" si="26"/>
        <v>18816099</v>
      </c>
      <c r="AT32" s="73">
        <f t="shared" si="26"/>
        <v>19027738</v>
      </c>
      <c r="AU32" s="73">
        <f t="shared" si="26"/>
        <v>19275870</v>
      </c>
      <c r="AV32" s="73">
        <f t="shared" si="26"/>
        <v>20416316</v>
      </c>
      <c r="AW32" s="73">
        <f t="shared" si="26"/>
        <v>20638516</v>
      </c>
      <c r="AX32" s="73">
        <f t="shared" si="26"/>
        <v>18242002.213333335</v>
      </c>
      <c r="AY32" s="73">
        <f t="shared" si="26"/>
        <v>18268671</v>
      </c>
      <c r="AZ32" s="73">
        <f t="shared" si="26"/>
        <v>18539373</v>
      </c>
      <c r="BA32" s="73">
        <f t="shared" si="26"/>
        <v>18815962</v>
      </c>
      <c r="BB32" s="73">
        <f t="shared" si="26"/>
        <v>19020363</v>
      </c>
      <c r="BC32" s="73">
        <f t="shared" si="26"/>
        <v>19273967.84</v>
      </c>
      <c r="BD32" s="73">
        <f t="shared" si="26"/>
        <v>19530954.077866666</v>
      </c>
      <c r="BE32" s="73">
        <f t="shared" si="26"/>
        <v>19791366.798904888</v>
      </c>
      <c r="BF32" s="73">
        <f t="shared" si="26"/>
        <v>20055251.689556953</v>
      </c>
      <c r="BG32" s="73">
        <f t="shared" si="26"/>
        <v>20322655.045417711</v>
      </c>
      <c r="BH32" s="73">
        <f t="shared" si="26"/>
        <v>20593623.779356614</v>
      </c>
      <c r="BI32" s="73">
        <f t="shared" si="26"/>
        <v>20868205.429748036</v>
      </c>
      <c r="BJ32" s="73">
        <f t="shared" si="26"/>
        <v>21146448.168811344</v>
      </c>
      <c r="BK32" s="73">
        <f t="shared" si="26"/>
        <v>21428400.811062161</v>
      </c>
      <c r="BL32" s="73">
        <f t="shared" si="26"/>
        <v>21714112.821876325</v>
      </c>
      <c r="BM32" s="73">
        <f t="shared" si="26"/>
        <v>22003634.326168008</v>
      </c>
      <c r="BN32" s="73">
        <f t="shared" si="26"/>
        <v>22150325.221675795</v>
      </c>
      <c r="BO32" s="73">
        <f t="shared" ref="BO32:CT32" si="27">IF(BO27&lt;&gt;"",BO27,BO31)</f>
        <v>22297994.056486968</v>
      </c>
      <c r="BP32" s="73">
        <f t="shared" si="27"/>
        <v>22446647.350196879</v>
      </c>
      <c r="BQ32" s="73">
        <f t="shared" si="27"/>
        <v>22596291.665864859</v>
      </c>
      <c r="BR32" s="73">
        <f t="shared" si="27"/>
        <v>22746933.610303957</v>
      </c>
      <c r="BS32" s="73">
        <f t="shared" si="27"/>
        <v>22898579.834372651</v>
      </c>
      <c r="BT32" s="73">
        <f t="shared" si="27"/>
        <v>23051237.03326847</v>
      </c>
      <c r="BU32" s="73">
        <f t="shared" si="27"/>
        <v>23204911.946823593</v>
      </c>
      <c r="BV32" s="73">
        <f t="shared" si="27"/>
        <v>23359611.359802417</v>
      </c>
      <c r="BW32" s="73">
        <f t="shared" si="27"/>
        <v>23515342.1022011</v>
      </c>
    </row>
    <row r="34" spans="1:75" ht="18.75" customHeight="1" x14ac:dyDescent="0.3">
      <c r="A34" s="78" t="s">
        <v>4</v>
      </c>
    </row>
    <row r="35" spans="1:75" x14ac:dyDescent="0.25">
      <c r="A35" s="70" t="s">
        <v>17</v>
      </c>
      <c r="B35" s="72">
        <f t="shared" ref="B35:Y35" si="28">C35-B37+-B36</f>
        <v>133362</v>
      </c>
      <c r="C35" s="72">
        <f t="shared" si="28"/>
        <v>91884</v>
      </c>
      <c r="D35" s="72">
        <f t="shared" si="28"/>
        <v>135329</v>
      </c>
      <c r="E35" s="72">
        <f t="shared" si="28"/>
        <v>125069</v>
      </c>
      <c r="F35" s="72">
        <f t="shared" si="28"/>
        <v>85067</v>
      </c>
      <c r="G35" s="72">
        <f t="shared" si="28"/>
        <v>77797</v>
      </c>
      <c r="H35" s="72">
        <f t="shared" si="28"/>
        <v>43868</v>
      </c>
      <c r="I35" s="72">
        <f t="shared" si="28"/>
        <v>49758</v>
      </c>
      <c r="J35" s="72">
        <f t="shared" si="28"/>
        <v>54708</v>
      </c>
      <c r="K35" s="72">
        <f t="shared" si="28"/>
        <v>58438</v>
      </c>
      <c r="L35" s="72">
        <f t="shared" si="28"/>
        <v>71908</v>
      </c>
      <c r="M35" s="72">
        <f t="shared" si="28"/>
        <v>81249</v>
      </c>
      <c r="N35" s="72">
        <f t="shared" si="28"/>
        <v>81249</v>
      </c>
      <c r="O35" s="72">
        <f t="shared" si="28"/>
        <v>89154</v>
      </c>
      <c r="P35" s="72">
        <f t="shared" si="28"/>
        <v>90639</v>
      </c>
      <c r="Q35" s="72">
        <f t="shared" si="28"/>
        <v>118508</v>
      </c>
      <c r="R35" s="72">
        <f t="shared" si="28"/>
        <v>122693</v>
      </c>
      <c r="S35" s="72">
        <f t="shared" si="28"/>
        <v>115228</v>
      </c>
      <c r="T35" s="72">
        <f t="shared" si="28"/>
        <v>148777</v>
      </c>
      <c r="U35" s="72">
        <f t="shared" si="28"/>
        <v>168052</v>
      </c>
      <c r="V35" s="72">
        <f t="shared" si="28"/>
        <v>50327</v>
      </c>
      <c r="W35" s="72">
        <f t="shared" si="28"/>
        <v>69602</v>
      </c>
      <c r="X35" s="72">
        <f t="shared" si="28"/>
        <v>88877</v>
      </c>
      <c r="Y35" s="72">
        <f t="shared" si="28"/>
        <v>101012</v>
      </c>
      <c r="Z35" s="72">
        <f t="shared" ref="Z35:AJ35" si="29">AA35-Z37-Z36</f>
        <v>73242</v>
      </c>
      <c r="AA35" s="72">
        <f t="shared" si="29"/>
        <v>82614</v>
      </c>
      <c r="AB35" s="72">
        <f t="shared" si="29"/>
        <v>53720</v>
      </c>
      <c r="AC35" s="72">
        <f t="shared" si="29"/>
        <v>66106</v>
      </c>
      <c r="AD35" s="72">
        <f t="shared" si="29"/>
        <v>69662</v>
      </c>
      <c r="AE35" s="72">
        <f t="shared" si="29"/>
        <v>76118</v>
      </c>
      <c r="AF35" s="72">
        <f t="shared" si="29"/>
        <v>52419</v>
      </c>
      <c r="AG35" s="72">
        <f t="shared" si="29"/>
        <v>67385</v>
      </c>
      <c r="AH35" s="72">
        <f t="shared" si="29"/>
        <v>80972</v>
      </c>
      <c r="AI35" s="72">
        <f t="shared" si="29"/>
        <v>99225</v>
      </c>
      <c r="AJ35" s="72">
        <f t="shared" si="29"/>
        <v>110613</v>
      </c>
      <c r="AK35" s="72">
        <f>62380+59060</f>
        <v>121440</v>
      </c>
      <c r="AL35" s="72">
        <f t="shared" ref="AL35:AV35" si="30">AM35-AL36-AL37</f>
        <v>114770</v>
      </c>
      <c r="AM35" s="72">
        <f t="shared" si="30"/>
        <v>115460</v>
      </c>
      <c r="AN35" s="72">
        <f t="shared" si="30"/>
        <v>101270</v>
      </c>
      <c r="AO35" s="72">
        <f t="shared" si="30"/>
        <v>98720</v>
      </c>
      <c r="AP35" s="72">
        <f t="shared" si="30"/>
        <v>87210</v>
      </c>
      <c r="AQ35" s="72">
        <f t="shared" si="30"/>
        <v>76020</v>
      </c>
      <c r="AR35" s="72">
        <f t="shared" si="30"/>
        <v>80575</v>
      </c>
      <c r="AS35" s="72">
        <f t="shared" si="30"/>
        <v>96535</v>
      </c>
      <c r="AT35" s="72">
        <f t="shared" si="30"/>
        <v>61946</v>
      </c>
      <c r="AU35" s="72">
        <f t="shared" si="30"/>
        <v>47531</v>
      </c>
      <c r="AV35" s="72">
        <f t="shared" si="30"/>
        <v>34136</v>
      </c>
      <c r="AW35" s="72">
        <v>39956</v>
      </c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</row>
    <row r="36" spans="1:75" x14ac:dyDescent="0.25">
      <c r="A36" s="70" t="s">
        <v>29</v>
      </c>
      <c r="B36" s="70">
        <f>SUMIFS(tételek!$C:$C,tételek!$A:$A,"&gt;="&amp;Részletes!B1,tételek!$A:$A,"&lt;"&amp;Részletes!C1,tételek!$F:$F,$A$34,tételek!$C:$C,"&gt;"&amp;0)</f>
        <v>0</v>
      </c>
      <c r="C36" s="70">
        <f>SUMIFS(tételek!$C:$C,tételek!$A:$A,"&gt;="&amp;Részletes!C1,tételek!$A:$A,"&lt;"&amp;Részletes!D1,tételek!$F:$F,$A$34,tételek!$C:$C,"&gt;"&amp;0)</f>
        <v>50315</v>
      </c>
      <c r="D36" s="70">
        <f>SUMIFS(tételek!$C:$C,tételek!$A:$A,"&gt;="&amp;Részletes!D1,tételek!$A:$A,"&lt;"&amp;Részletes!E1,tételek!$F:$F,$A$34,tételek!$C:$C,"&gt;"&amp;0)</f>
        <v>0</v>
      </c>
      <c r="E36" s="70">
        <f>SUMIFS(tételek!$C:$C,tételek!$A:$A,"&gt;="&amp;Részletes!E1,tételek!$A:$A,"&lt;"&amp;Részletes!F1,tételek!$F:$F,$A$34,tételek!$C:$C,"&gt;"&amp;0)</f>
        <v>0</v>
      </c>
      <c r="F36" s="70">
        <f>SUMIFS(tételek!$C:$C,tételek!$A:$A,"&gt;="&amp;Részletes!F1,tételek!$A:$A,"&lt;"&amp;Részletes!G1,tételek!$F:$F,$A$34,tételek!$C:$C,"&gt;"&amp;0)</f>
        <v>0</v>
      </c>
      <c r="G36" s="70">
        <f>SUMIFS(tételek!$C:$C,tételek!$A:$A,"&gt;="&amp;Részletes!G1,tételek!$A:$A,"&lt;"&amp;Részletes!H1,tételek!$F:$F,$A$34,tételek!$C:$C,"&gt;"&amp;0)</f>
        <v>0</v>
      </c>
      <c r="H36" s="70">
        <f>SUMIFS(tételek!$C:$C,tételek!$A:$A,"&gt;="&amp;Részletes!H1,tételek!$A:$A,"&lt;"&amp;Részletes!I1,tételek!$F:$F,$A$34,tételek!$C:$C,"&gt;"&amp;0)</f>
        <v>21240</v>
      </c>
      <c r="I36" s="70">
        <f>SUMIFS(tételek!$C:$C,tételek!$A:$A,"&gt;="&amp;Részletes!I1,tételek!$A:$A,"&lt;"&amp;Részletes!J1,tételek!$F:$F,$A$34,tételek!$C:$C,"&gt;"&amp;0)</f>
        <v>21240</v>
      </c>
      <c r="J36" s="70">
        <f>SUMIFS(tételek!$C:$C,tételek!$A:$A,"&gt;="&amp;Részletes!J1,tételek!$A:$A,"&lt;"&amp;Részletes!K1,tételek!$F:$F,$A$34,tételek!$C:$C,"&gt;"&amp;0)</f>
        <v>21240</v>
      </c>
      <c r="K36" s="70">
        <f>SUMIFS(tételek!$C:$C,tételek!$A:$A,"&gt;="&amp;Részletes!K1,tételek!$A:$A,"&lt;"&amp;Részletes!L1,tételek!$F:$F,$A$34,tételek!$C:$C,"&gt;"&amp;0)</f>
        <v>21240</v>
      </c>
      <c r="L36" s="70">
        <f>SUMIFS(tételek!$C:$C,tételek!$A:$A,"&gt;="&amp;Részletes!L1,tételek!$A:$A,"&lt;"&amp;Részletes!M1,tételek!$F:$F,$A$34,tételek!$C:$C,"&gt;"&amp;0)</f>
        <v>21241</v>
      </c>
      <c r="M36" s="70">
        <f>SUMIFS(tételek!$C:$C,tételek!$A:$A,"&gt;="&amp;Részletes!M1,tételek!$A:$A,"&lt;"&amp;Részletes!N1,tételek!$F:$F,$A$34,tételek!$C:$C,"&gt;"&amp;0)</f>
        <v>0</v>
      </c>
      <c r="N36" s="70">
        <f>SUMIFS(tételek!$C:$C,tételek!$A:$A,"&gt;="&amp;Részletes!N1,tételek!$A:$A,"&lt;"&amp;Részletes!O1,tételek!$F:$F,$A$34,tételek!$C:$C,"&gt;"&amp;0)</f>
        <v>19275</v>
      </c>
      <c r="O36" s="70">
        <f>SUMIFS(tételek!$C:$C,tételek!$A:$A,"&gt;="&amp;Részletes!O1,tételek!$A:$A,"&lt;"&amp;Részletes!P1,tételek!$F:$F,$A$34,tételek!$C:$C,"&gt;"&amp;0)</f>
        <v>19275</v>
      </c>
      <c r="P36" s="70">
        <f>SUMIFS(tételek!$C:$C,tételek!$A:$A,"&gt;="&amp;Részletes!P1,tételek!$A:$A,"&lt;"&amp;Részletes!Q1,tételek!$F:$F,$A$34,tételek!$C:$C,"&gt;"&amp;0)</f>
        <v>33549</v>
      </c>
      <c r="Q36" s="70">
        <f>SUMIFS(tételek!$C:$C,tételek!$A:$A,"&gt;="&amp;Részletes!Q1,tételek!$A:$A,"&lt;"&amp;Részletes!R1,tételek!$F:$F,$A$34,tételek!$C:$C,"&gt;"&amp;0)</f>
        <v>19275</v>
      </c>
      <c r="R36" s="70">
        <f>SUMIFS(tételek!$C:$C,tételek!$A:$A,"&gt;="&amp;Részletes!R1,tételek!$A:$A,"&lt;"&amp;Részletes!S1,tételek!$F:$F,$A$34,tételek!$C:$C,"&gt;"&amp;0)</f>
        <v>19275</v>
      </c>
      <c r="S36" s="70">
        <f>SUMIFS(tételek!$C:$C,tételek!$A:$A,"&gt;="&amp;Részletes!S1,tételek!$A:$A,"&lt;"&amp;Részletes!T1,tételek!$F:$F,$A$34,tételek!$C:$C,"&gt;"&amp;0)</f>
        <v>33549</v>
      </c>
      <c r="T36" s="70">
        <f>SUMIFS(tételek!$C:$C,tételek!$A:$A,"&gt;="&amp;Részletes!T1,tételek!$A:$A,"&lt;"&amp;Részletes!U1,tételek!$F:$F,$A$34,tételek!$C:$C,"&gt;"&amp;0)</f>
        <v>19275</v>
      </c>
      <c r="U36" s="70">
        <f>SUMIFS(tételek!$C:$C,tételek!$A:$A,"&gt;="&amp;Részletes!U1,tételek!$A:$A,"&lt;"&amp;Részletes!V1,tételek!$F:$F,$A$34,tételek!$C:$C,"&gt;"&amp;0)</f>
        <v>19275</v>
      </c>
      <c r="V36" s="70">
        <f>SUMIFS(tételek!$C:$C,tételek!$A:$A,"&gt;="&amp;Részletes!V1,tételek!$A:$A,"&lt;"&amp;Részletes!W1,tételek!$F:$F,$A$34,tételek!$C:$C,"&gt;"&amp;0)</f>
        <v>19275</v>
      </c>
      <c r="W36" s="70">
        <f>SUMIFS(tételek!$C:$C,tételek!$A:$A,"&gt;="&amp;Részletes!W1,tételek!$A:$A,"&lt;"&amp;Részletes!X1,tételek!$F:$F,$A$34,tételek!$C:$C,"&gt;"&amp;0)</f>
        <v>19275</v>
      </c>
      <c r="X36" s="70">
        <f>SUMIFS(tételek!$C:$C,tételek!$A:$A,"&gt;="&amp;Részletes!X1,tételek!$A:$A,"&lt;"&amp;Részletes!Y1,tételek!$F:$F,$A$34,tételek!$C:$C,"&gt;"&amp;0)</f>
        <v>19275</v>
      </c>
      <c r="Y36" s="70">
        <f>SUMIFS(tételek!$C:$C,tételek!$A:$A,"&gt;="&amp;Részletes!Y1,tételek!$A:$A,"&lt;"&amp;Részletes!Z1,tételek!$F:$F,$A$34,tételek!$C:$C,"&gt;"&amp;0)</f>
        <v>0</v>
      </c>
      <c r="Z36" s="70">
        <f>SUMIFS(tételek!$C:$C,tételek!$A:$A,"&gt;="&amp;Részletes!Z1,tételek!$A:$A,"&lt;"&amp;Részletes!AA1,tételek!$F:$F,$A$34,tételek!$C:$C,"&gt;"&amp;0)</f>
        <v>42612</v>
      </c>
      <c r="AA36" s="70">
        <f>SUMIFS(tételek!$C:$C,tételek!$A:$A,"&gt;="&amp;Részletes!AA1,tételek!$A:$A,"&lt;"&amp;Részletes!AB1,tételek!$F:$F,$A$34,tételek!$C:$C,"&gt;"&amp;0)</f>
        <v>21306</v>
      </c>
      <c r="AB36" s="70">
        <f>SUMIFS(tételek!$C:$C,tételek!$A:$A,"&gt;="&amp;Részletes!AB1,tételek!$A:$A,"&lt;"&amp;Részletes!AC1,tételek!$F:$F,$A$34,tételek!$C:$C,"&gt;"&amp;0)</f>
        <v>21306</v>
      </c>
      <c r="AC36" s="70">
        <f>SUMIFS(tételek!$C:$C,tételek!$A:$A,"&gt;="&amp;Részletes!AC1,tételek!$A:$A,"&lt;"&amp;Részletes!AD1,tételek!$F:$F,$A$34,tételek!$C:$C,"&gt;"&amp;0)</f>
        <v>21306</v>
      </c>
      <c r="AD36" s="70">
        <f>SUMIFS(tételek!$C:$C,tételek!$A:$A,"&gt;="&amp;Részletes!AD1,tételek!$A:$A,"&lt;"&amp;Részletes!AE1,tételek!$F:$F,$A$34,tételek!$C:$C,"&gt;"&amp;0)</f>
        <v>21306</v>
      </c>
      <c r="AE36" s="70">
        <f>SUMIFS(tételek!$C:$C,tételek!$A:$A,"&gt;="&amp;Részletes!AE1,tételek!$A:$A,"&lt;"&amp;Részletes!AF1,tételek!$F:$F,$A$34,tételek!$C:$C,"&gt;"&amp;0)</f>
        <v>21306</v>
      </c>
      <c r="AF36" s="70">
        <f>SUMIFS(tételek!$C:$C,tételek!$A:$A,"&gt;="&amp;Részletes!AF1,tételek!$A:$A,"&lt;"&amp;Részletes!AG1,tételek!$F:$F,$A$34,tételek!$C:$C,"&gt;"&amp;0)</f>
        <v>21306</v>
      </c>
      <c r="AG36" s="70">
        <f>SUMIFS(tételek!$C:$C,tételek!$A:$A,"&gt;="&amp;Részletes!AG1,tételek!$A:$A,"&lt;"&amp;Részletes!AH1,tételek!$F:$F,$A$34,tételek!$C:$C,"&gt;"&amp;0)</f>
        <v>33587</v>
      </c>
      <c r="AH36" s="70">
        <f>SUMIFS(tételek!$C:$C,tételek!$A:$A,"&gt;="&amp;Részletes!AH1,tételek!$A:$A,"&lt;"&amp;Részletes!AI1,tételek!$F:$F,$A$34,tételek!$C:$C,"&gt;"&amp;0)</f>
        <v>33587</v>
      </c>
      <c r="AI36" s="70">
        <f>SUMIFS(tételek!$C:$C,tételek!$A:$A,"&gt;="&amp;Részletes!AI1,tételek!$A:$A,"&lt;"&amp;Részletes!AJ1,tételek!$F:$F,$A$34,tételek!$C:$C,"&gt;"&amp;0)</f>
        <v>32708</v>
      </c>
      <c r="AJ36" s="70">
        <f>SUMIFS(tételek!$C:$C,tételek!$A:$A,"&gt;="&amp;Részletes!AJ1,tételek!$A:$A,"&lt;"&amp;Részletes!AK1,tételek!$F:$F,$A$34,tételek!$C:$C,"&gt;"&amp;0)</f>
        <v>32607</v>
      </c>
      <c r="AK36" s="70">
        <f>SUMIFS(tételek!$C:$C,tételek!$A:$A,"&gt;="&amp;Részletes!AK1,tételek!$A:$A,"&lt;"&amp;Részletes!AL1,tételek!$F:$F,$A$34,tételek!$C:$C,"&gt;"&amp;0)</f>
        <v>0</v>
      </c>
      <c r="AL36" s="70">
        <f>SUMIFS(tételek!$C:$C,tételek!$A:$A,"&gt;="&amp;Részletes!AL1,tételek!$A:$A,"&lt;"&amp;Részletes!AM1,tételek!$F:$F,$A$34,tételek!$C:$C,"&gt;"&amp;0)</f>
        <v>31960</v>
      </c>
      <c r="AM36" s="70">
        <f>SUMIFS(tételek!$C:$C,tételek!$A:$A,"&gt;="&amp;Részletes!AM1,tételek!$A:$A,"&lt;"&amp;Részletes!AN1,tételek!$F:$F,$A$34,tételek!$C:$C,"&gt;"&amp;0)</f>
        <v>31960</v>
      </c>
      <c r="AN36" s="70">
        <f>SUMIFS(tételek!$C:$C,tételek!$A:$A,"&gt;="&amp;Részletes!AN1,tételek!$A:$A,"&lt;"&amp;Részletes!AO1,tételek!$F:$F,$A$34,tételek!$C:$C,"&gt;"&amp;0)</f>
        <v>31960</v>
      </c>
      <c r="AO36" s="70">
        <f>SUMIFS(tételek!$C:$C,tételek!$A:$A,"&gt;="&amp;Részletes!AO1,tételek!$A:$A,"&lt;"&amp;Részletes!AP1,tételek!$F:$F,$A$34,tételek!$C:$C,"&gt;"&amp;0)</f>
        <v>31960</v>
      </c>
      <c r="AP36" s="70">
        <f>SUMIFS(tételek!$C:$C,tételek!$A:$A,"&gt;="&amp;Részletes!AP1,tételek!$A:$A,"&lt;"&amp;Részletes!AQ1,tételek!$F:$F,$A$34,tételek!$C:$C,"&gt;"&amp;0)</f>
        <v>31960</v>
      </c>
      <c r="AQ36" s="70">
        <f>SUMIFS(tételek!$C:$C,tételek!$A:$A,"&gt;="&amp;Részletes!AQ1,tételek!$A:$A,"&lt;"&amp;Részletes!AR1,tételek!$F:$F,$A$34,tételek!$C:$C,"&gt;"&amp;0)</f>
        <v>31960</v>
      </c>
      <c r="AR36" s="70">
        <f>SUMIFS(tételek!$C:$C,tételek!$A:$A,"&gt;="&amp;Részletes!AR1,tételek!$A:$A,"&lt;"&amp;Részletes!AS1,tételek!$F:$F,$A$34,tételek!$C:$C,"&gt;"&amp;0)</f>
        <v>31960</v>
      </c>
      <c r="AS36" s="70">
        <f>SUMIFS(tételek!$C:$C,tételek!$A:$A,"&gt;="&amp;Részletes!AS1,tételek!$A:$A,"&lt;"&amp;Részletes!AT1,tételek!$F:$F,$A$34,tételek!$C:$C,"&gt;"&amp;0)</f>
        <v>31960</v>
      </c>
      <c r="AT36" s="70">
        <f>SUMIFS(tételek!$C:$C,tételek!$A:$A,"&gt;="&amp;Részletes!AT1,tételek!$A:$A,"&lt;"&amp;Részletes!AU1,tételek!$F:$F,$A$34,tételek!$C:$C,"&gt;"&amp;0)</f>
        <v>31960</v>
      </c>
      <c r="AU36" s="70">
        <f>SUMIFS(tételek!$C:$C,tételek!$A:$A,"&gt;="&amp;Részletes!AU1,tételek!$A:$A,"&lt;"&amp;Részletes!AV1,tételek!$F:$F,$A$34,tételek!$C:$C,"&gt;"&amp;0)</f>
        <v>31960</v>
      </c>
      <c r="AV36" s="70">
        <f>SUMIFS(tételek!$C:$C,tételek!$A:$A,"&gt;="&amp;Részletes!AV1,tételek!$A:$A,"&lt;"&amp;Részletes!AW1,tételek!$F:$F,$A$34,tételek!$C:$C,"&gt;"&amp;0)</f>
        <v>31960</v>
      </c>
      <c r="AW36" s="70">
        <f>SUMIFS(tételek!$C:$C,tételek!$A:$A,"&gt;="&amp;Részletes!AW1,tételek!$A:$A,"&lt;"&amp;Részletes!AX1,tételek!$F:$F,$A$34,tételek!$C:$C,"&gt;"&amp;0)</f>
        <v>0</v>
      </c>
      <c r="AX36" s="70">
        <f>SUMIFS(tételek!$C:$C,tételek!$A:$A,"&gt;="&amp;Részletes!AX1,tételek!$A:$A,"&lt;"&amp;Részletes!AY1,tételek!$F:$F,$A$34,tételek!$C:$C,"&gt;"&amp;0)</f>
        <v>0</v>
      </c>
      <c r="AY36" s="70">
        <f>SUMIFS(tételek!$C:$C,tételek!$A:$A,"&gt;="&amp;Részletes!AY1,tételek!$A:$A,"&lt;"&amp;Részletes!AZ1,tételek!$F:$F,$A$34,tételek!$C:$C,"&gt;"&amp;0)</f>
        <v>0</v>
      </c>
      <c r="AZ36" s="70">
        <f>SUMIFS(tételek!$C:$C,tételek!$A:$A,"&gt;="&amp;Részletes!AZ1,tételek!$A:$A,"&lt;"&amp;Részletes!BA1,tételek!$F:$F,$A$34,tételek!$C:$C,"&gt;"&amp;0)</f>
        <v>0</v>
      </c>
      <c r="BA36" s="70">
        <f>SUMIFS(tételek!$C:$C,tételek!$A:$A,"&gt;="&amp;Részletes!BA1,tételek!$A:$A,"&lt;"&amp;Részletes!BB1,tételek!$F:$F,$A$34,tételek!$C:$C,"&gt;"&amp;0)</f>
        <v>0</v>
      </c>
      <c r="BB36" s="70">
        <f>SUMIFS(tételek!$C:$C,tételek!$A:$A,"&gt;="&amp;Részletes!BB1,tételek!$A:$A,"&lt;"&amp;Részletes!BC1,tételek!$F:$F,$A$34,tételek!$C:$C,"&gt;"&amp;0)</f>
        <v>0</v>
      </c>
      <c r="BC36" s="70">
        <f>SUMIFS(tételek!$C:$C,tételek!$A:$A,"&gt;="&amp;Részletes!BC1,tételek!$A:$A,"&lt;"&amp;Részletes!BD1,tételek!$F:$F,$A$34,tételek!$C:$C,"&gt;"&amp;0)</f>
        <v>0</v>
      </c>
      <c r="BD36" s="70">
        <f>SUMIFS(tételek!$C:$C,tételek!$A:$A,"&gt;="&amp;Részletes!BD1,tételek!$A:$A,"&lt;"&amp;Részletes!BE1,tételek!$F:$F,$A$34,tételek!$C:$C,"&gt;"&amp;0)</f>
        <v>0</v>
      </c>
      <c r="BE36" s="70">
        <f>SUMIFS(tételek!$C:$C,tételek!$A:$A,"&gt;="&amp;Részletes!BE1,tételek!$A:$A,"&lt;"&amp;Részletes!BF1,tételek!$F:$F,$A$34,tételek!$C:$C,"&gt;"&amp;0)</f>
        <v>0</v>
      </c>
      <c r="BF36" s="70">
        <f>SUMIFS(tételek!$C:$C,tételek!$A:$A,"&gt;="&amp;Részletes!BF1,tételek!$A:$A,"&lt;"&amp;Részletes!BG1,tételek!$F:$F,$A$34,tételek!$C:$C,"&gt;"&amp;0)</f>
        <v>0</v>
      </c>
      <c r="BG36" s="70">
        <f>SUMIFS(tételek!$C:$C,tételek!$A:$A,"&gt;="&amp;Részletes!BG1,tételek!$A:$A,"&lt;"&amp;Részletes!BH1,tételek!$F:$F,$A$34,tételek!$C:$C,"&gt;"&amp;0)</f>
        <v>0</v>
      </c>
      <c r="BH36" s="70">
        <f>SUMIFS(tételek!$C:$C,tételek!$A:$A,"&gt;="&amp;Részletes!BH1,tételek!$A:$A,"&lt;"&amp;Részletes!BI1,tételek!$F:$F,$A$34,tételek!$C:$C,"&gt;"&amp;0)</f>
        <v>0</v>
      </c>
      <c r="BI36" s="70">
        <f>SUMIFS(tételek!$C:$C,tételek!$A:$A,"&gt;="&amp;Részletes!BI1,tételek!$A:$A,"&lt;"&amp;Részletes!BJ1,tételek!$F:$F,$A$34,tételek!$C:$C,"&gt;"&amp;0)</f>
        <v>0</v>
      </c>
      <c r="BJ36" s="70">
        <f>SUMIFS(tételek!$C:$C,tételek!$A:$A,"&gt;="&amp;Részletes!BJ1,tételek!$A:$A,"&lt;"&amp;Részletes!BK1,tételek!$F:$F,$A$34,tételek!$C:$C,"&gt;"&amp;0)</f>
        <v>0</v>
      </c>
      <c r="BK36" s="70">
        <f>SUMIFS(tételek!$C:$C,tételek!$A:$A,"&gt;="&amp;Részletes!BK1,tételek!$A:$A,"&lt;"&amp;Részletes!BL1,tételek!$F:$F,$A$34,tételek!$C:$C,"&gt;"&amp;0)</f>
        <v>0</v>
      </c>
      <c r="BL36" s="70">
        <f>SUMIFS(tételek!$C:$C,tételek!$A:$A,"&gt;="&amp;Részletes!BL1,tételek!$A:$A,"&lt;"&amp;Részletes!BM1,tételek!$F:$F,$A$34,tételek!$C:$C,"&gt;"&amp;0)</f>
        <v>0</v>
      </c>
      <c r="BM36" s="70">
        <f>SUMIFS(tételek!$C:$C,tételek!$A:$A,"&gt;="&amp;Részletes!BM1,tételek!$A:$A,"&lt;"&amp;Részletes!BN1,tételek!$F:$F,$A$34,tételek!$C:$C,"&gt;"&amp;0)</f>
        <v>0</v>
      </c>
      <c r="BN36" s="70">
        <f>SUMIFS(tételek!$C:$C,tételek!$A:$A,"&gt;="&amp;Részletes!BN1,tételek!$A:$A,"&lt;"&amp;Részletes!BO1,tételek!$F:$F,$A$34,tételek!$C:$C,"&gt;"&amp;0)</f>
        <v>0</v>
      </c>
      <c r="BO36" s="70">
        <f>SUMIFS(tételek!$C:$C,tételek!$A:$A,"&gt;="&amp;Részletes!BO1,tételek!$A:$A,"&lt;"&amp;Részletes!BP1,tételek!$F:$F,$A$34,tételek!$C:$C,"&gt;"&amp;0)</f>
        <v>0</v>
      </c>
      <c r="BP36" s="70">
        <f>SUMIFS(tételek!$C:$C,tételek!$A:$A,"&gt;="&amp;Részletes!BP1,tételek!$A:$A,"&lt;"&amp;Részletes!BQ1,tételek!$F:$F,$A$34,tételek!$C:$C,"&gt;"&amp;0)</f>
        <v>0</v>
      </c>
      <c r="BQ36" s="70">
        <f>SUMIFS(tételek!$C:$C,tételek!$A:$A,"&gt;="&amp;Részletes!BQ1,tételek!$A:$A,"&lt;"&amp;Részletes!BR1,tételek!$F:$F,$A$34,tételek!$C:$C,"&gt;"&amp;0)</f>
        <v>0</v>
      </c>
      <c r="BR36" s="70">
        <f>SUMIFS(tételek!$C:$C,tételek!$A:$A,"&gt;="&amp;Részletes!BR1,tételek!$A:$A,"&lt;"&amp;Részletes!BS1,tételek!$F:$F,$A$34,tételek!$C:$C,"&gt;"&amp;0)</f>
        <v>0</v>
      </c>
      <c r="BS36" s="70">
        <f>SUMIFS(tételek!$C:$C,tételek!$A:$A,"&gt;="&amp;Részletes!BS1,tételek!$A:$A,"&lt;"&amp;Részletes!BT1,tételek!$F:$F,$A$34,tételek!$C:$C,"&gt;"&amp;0)</f>
        <v>0</v>
      </c>
      <c r="BT36" s="70">
        <f>SUMIFS(tételek!$C:$C,tételek!$A:$A,"&gt;="&amp;Részletes!BT1,tételek!$A:$A,"&lt;"&amp;Részletes!BU1,tételek!$F:$F,$A$34,tételek!$C:$C,"&gt;"&amp;0)</f>
        <v>0</v>
      </c>
      <c r="BU36" s="70">
        <f>SUMIFS(tételek!$C:$C,tételek!$A:$A,"&gt;="&amp;Részletes!BU1,tételek!$A:$A,"&lt;"&amp;Részletes!BV1,tételek!$F:$F,$A$34,tételek!$C:$C,"&gt;"&amp;0)</f>
        <v>0</v>
      </c>
      <c r="BV36" s="70">
        <f>SUMIFS(tételek!$C:$C,tételek!$A:$A,"&gt;="&amp;Részletes!BV1,tételek!$A:$A,"&lt;"&amp;Részletes!BW1,tételek!$F:$F,$A$34,tételek!$C:$C,"&gt;"&amp;0)</f>
        <v>0</v>
      </c>
      <c r="BW36" s="70">
        <f>SUMIFS(tételek!$C:$C,tételek!$A:$A,"&gt;="&amp;Részletes!BW1,tételek!$A:$A,"&lt;"&amp;Részletes!BX1,tételek!$F:$F,$A$34,tételek!$C:$C,"&gt;"&amp;0)</f>
        <v>0</v>
      </c>
    </row>
    <row r="37" spans="1:75" x14ac:dyDescent="0.25">
      <c r="A37" s="70" t="s">
        <v>30</v>
      </c>
      <c r="B37" s="70">
        <f>SUMIFS(tételek!$C:$C,tételek!$A:$A,"&gt;="&amp;Részletes!B$1,tételek!$A:$A,"&lt;"&amp;Részletes!C$1,tételek!$F:$F,$A$34,tételek!$C:$C,"&lt;"&amp;0)</f>
        <v>-41478</v>
      </c>
      <c r="C37" s="70">
        <f>SUMIFS(tételek!$C:$C,tételek!$A:$A,"&gt;="&amp;Részletes!C$1,tételek!$A:$A,"&lt;"&amp;Részletes!D$1,tételek!$F:$F,$A$34,tételek!$C:$C,"&lt;"&amp;0)</f>
        <v>-6870</v>
      </c>
      <c r="D37" s="70">
        <f>SUMIFS(tételek!$C:$C,tételek!$A:$A,"&gt;="&amp;Részletes!D$1,tételek!$A:$A,"&lt;"&amp;Részletes!E$1,tételek!$F:$F,$A$34,tételek!$C:$C,"&lt;"&amp;0)</f>
        <v>-10260</v>
      </c>
      <c r="E37" s="70">
        <f>SUMIFS(tételek!$C:$C,tételek!$A:$A,"&gt;="&amp;Részletes!E$1,tételek!$A:$A,"&lt;"&amp;Részletes!F$1,tételek!$F:$F,$A$34,tételek!$C:$C,"&lt;"&amp;0)</f>
        <v>-40002</v>
      </c>
      <c r="F37" s="70">
        <f>SUMIFS(tételek!$C:$C,tételek!$A:$A,"&gt;="&amp;Részletes!F$1,tételek!$A:$A,"&lt;"&amp;Részletes!G$1,tételek!$F:$F,$A$34,tételek!$C:$C,"&lt;"&amp;0)</f>
        <v>-7270</v>
      </c>
      <c r="G37" s="70">
        <f>SUMIFS(tételek!$C:$C,tételek!$A:$A,"&gt;="&amp;Részletes!G$1,tételek!$A:$A,"&lt;"&amp;Részletes!H$1,tételek!$F:$F,$A$34,tételek!$C:$C,"&lt;"&amp;0)</f>
        <v>-33929</v>
      </c>
      <c r="H37" s="70">
        <f>SUMIFS(tételek!$C:$C,tételek!$A:$A,"&gt;="&amp;Részletes!H$1,tételek!$A:$A,"&lt;"&amp;Részletes!I$1,tételek!$F:$F,$A$34,tételek!$C:$C,"&lt;"&amp;0)</f>
        <v>-15350</v>
      </c>
      <c r="I37" s="70">
        <f>SUMIFS(tételek!$C:$C,tételek!$A:$A,"&gt;="&amp;Részletes!I$1,tételek!$A:$A,"&lt;"&amp;Részletes!J$1,tételek!$F:$F,$A$34,tételek!$C:$C,"&lt;"&amp;0)</f>
        <v>-16290</v>
      </c>
      <c r="J37" s="70">
        <f>SUMIFS(tételek!$C:$C,tételek!$A:$A,"&gt;="&amp;Részletes!J$1,tételek!$A:$A,"&lt;"&amp;Részletes!K$1,tételek!$F:$F,$A$34,tételek!$C:$C,"&lt;"&amp;0)</f>
        <v>-17510</v>
      </c>
      <c r="K37" s="70">
        <f>SUMIFS(tételek!$C:$C,tételek!$A:$A,"&gt;="&amp;Részletes!K$1,tételek!$A:$A,"&lt;"&amp;Részletes!L$1,tételek!$F:$F,$A$34,tételek!$C:$C,"&lt;"&amp;0)</f>
        <v>-7770</v>
      </c>
      <c r="L37" s="70">
        <f>SUMIFS(tételek!$C:$C,tételek!$A:$A,"&gt;="&amp;Részletes!L$1,tételek!$A:$A,"&lt;"&amp;Részletes!M$1,tételek!$F:$F,$A$34,tételek!$C:$C,"&lt;"&amp;0)</f>
        <v>-11900</v>
      </c>
      <c r="M37" s="70">
        <f>SUMIFS(tételek!$C:$C,tételek!$A:$A,"&gt;="&amp;Részletes!M$1,tételek!$A:$A,"&lt;"&amp;Részletes!N$1,tételek!$F:$F,$A$34,tételek!$C:$C,"&lt;"&amp;0)</f>
        <v>0</v>
      </c>
      <c r="N37" s="70">
        <f>SUMIFS(tételek!$C:$C,tételek!$A:$A,"&gt;="&amp;Részletes!N$1,tételek!$A:$A,"&lt;"&amp;Részletes!O$1,tételek!$F:$F,$A$34,tételek!$C:$C,"&lt;"&amp;0)</f>
        <v>-11370</v>
      </c>
      <c r="O37" s="70">
        <f>SUMIFS(tételek!$C:$C,tételek!$A:$A,"&gt;="&amp;Részletes!O$1,tételek!$A:$A,"&lt;"&amp;Részletes!P$1,tételek!$F:$F,$A$34,tételek!$C:$C,"&lt;"&amp;0)</f>
        <v>-17790</v>
      </c>
      <c r="P37" s="70">
        <f>SUMIFS(tételek!$C:$C,tételek!$A:$A,"&gt;="&amp;Részletes!P$1,tételek!$A:$A,"&lt;"&amp;Részletes!Q$1,tételek!$F:$F,$A$34,tételek!$C:$C,"&lt;"&amp;0)</f>
        <v>-5680</v>
      </c>
      <c r="Q37" s="70">
        <f>SUMIFS(tételek!$C:$C,tételek!$A:$A,"&gt;="&amp;Részletes!Q$1,tételek!$A:$A,"&lt;"&amp;Részletes!R$1,tételek!$F:$F,$A$34,tételek!$C:$C,"&lt;"&amp;0)</f>
        <v>-15090</v>
      </c>
      <c r="R37" s="70">
        <f>SUMIFS(tételek!$C:$C,tételek!$A:$A,"&gt;="&amp;Részletes!R$1,tételek!$A:$A,"&lt;"&amp;Részletes!S$1,tételek!$F:$F,$A$34,tételek!$C:$C,"&lt;"&amp;0)</f>
        <v>-26740</v>
      </c>
      <c r="S37" s="70">
        <f>SUMIFS(tételek!$C:$C,tételek!$A:$A,"&gt;="&amp;Részletes!S$1,tételek!$A:$A,"&lt;"&amp;Részletes!T$1,tételek!$F:$F,$A$34,tételek!$C:$C,"&lt;"&amp;0)</f>
        <v>0</v>
      </c>
      <c r="T37" s="70">
        <f>SUMIFS(tételek!$C:$C,tételek!$A:$A,"&gt;="&amp;Részletes!T$1,tételek!$A:$A,"&lt;"&amp;Részletes!U$1,tételek!$F:$F,$A$34,tételek!$C:$C,"&lt;"&amp;0)</f>
        <v>0</v>
      </c>
      <c r="U37" s="70">
        <f>SUMIFS(tételek!$C:$C,tételek!$A:$A,"&gt;="&amp;Részletes!U$1,tételek!$A:$A,"&lt;"&amp;Részletes!V$1,tételek!$F:$F,$A$34,tételek!$C:$C,"&lt;"&amp;0)</f>
        <v>-137000</v>
      </c>
      <c r="V37" s="70">
        <f>SUMIFS(tételek!$C:$C,tételek!$A:$A,"&gt;="&amp;Részletes!V$1,tételek!$A:$A,"&lt;"&amp;Részletes!W$1,tételek!$F:$F,$A$34,tételek!$C:$C,"&lt;"&amp;0)</f>
        <v>0</v>
      </c>
      <c r="W37" s="70">
        <f>SUMIFS(tételek!$C:$C,tételek!$A:$A,"&gt;="&amp;Részletes!W$1,tételek!$A:$A,"&lt;"&amp;Részletes!X$1,tételek!$F:$F,$A$34,tételek!$C:$C,"&lt;"&amp;0)</f>
        <v>0</v>
      </c>
      <c r="X37" s="70">
        <f>SUMIFS(tételek!$C:$C,tételek!$A:$A,"&gt;="&amp;Részletes!X$1,tételek!$A:$A,"&lt;"&amp;Részletes!Y$1,tételek!$F:$F,$A$34,tételek!$C:$C,"&lt;"&amp;0)</f>
        <v>-7140</v>
      </c>
      <c r="Y37" s="70">
        <f>SUMIFS(tételek!$C:$C,tételek!$A:$A,"&gt;="&amp;Részletes!Y$1,tételek!$A:$A,"&lt;"&amp;Részletes!Z$1,tételek!$F:$F,$A$34,tételek!$C:$C,"&lt;"&amp;0)</f>
        <v>-27770</v>
      </c>
      <c r="Z37" s="70">
        <f>SUMIFS(tételek!$C:$C,tételek!$A:$A,"&gt;="&amp;Részletes!Z$1,tételek!$A:$A,"&lt;"&amp;Részletes!AA$1,tételek!$F:$F,$A$34,tételek!$C:$C,"&lt;"&amp;0)</f>
        <v>-33240</v>
      </c>
      <c r="AA37" s="70">
        <f>SUMIFS(tételek!$C:$C,tételek!$A:$A,"&gt;="&amp;Részletes!AA$1,tételek!$A:$A,"&lt;"&amp;Részletes!AB$1,tételek!$F:$F,$A$34,tételek!$C:$C,"&lt;"&amp;0)</f>
        <v>-50200</v>
      </c>
      <c r="AB37" s="70">
        <f>SUMIFS(tételek!$C:$C,tételek!$A:$A,"&gt;="&amp;Részletes!AB$1,tételek!$A:$A,"&lt;"&amp;Részletes!AC$1,tételek!$F:$F,$A$34,tételek!$C:$C,"&lt;"&amp;0)</f>
        <v>-8920</v>
      </c>
      <c r="AC37" s="70">
        <f>SUMIFS(tételek!$C:$C,tételek!$A:$A,"&gt;="&amp;Részletes!AC$1,tételek!$A:$A,"&lt;"&amp;Részletes!AD$1,tételek!$F:$F,$A$34,tételek!$C:$C,"&lt;"&amp;0)</f>
        <v>-17750</v>
      </c>
      <c r="AD37" s="70">
        <f>SUMIFS(tételek!$C:$C,tételek!$A:$A,"&gt;="&amp;Részletes!AD$1,tételek!$A:$A,"&lt;"&amp;Részletes!AE$1,tételek!$F:$F,$A$34,tételek!$C:$C,"&lt;"&amp;0)</f>
        <v>-14850</v>
      </c>
      <c r="AE37" s="70">
        <f>SUMIFS(tételek!$C:$C,tételek!$A:$A,"&gt;="&amp;Részletes!AE$1,tételek!$A:$A,"&lt;"&amp;Részletes!AF$1,tételek!$F:$F,$A$34,tételek!$C:$C,"&lt;"&amp;0)</f>
        <v>-45005</v>
      </c>
      <c r="AF37" s="70">
        <f>SUMIFS(tételek!$C:$C,tételek!$A:$A,"&gt;="&amp;Részletes!AF$1,tételek!$A:$A,"&lt;"&amp;Részletes!AG$1,tételek!$F:$F,$A$34,tételek!$C:$C,"&lt;"&amp;0)</f>
        <v>-6340</v>
      </c>
      <c r="AG37" s="70">
        <f>SUMIFS(tételek!$C:$C,tételek!$A:$A,"&gt;="&amp;Részletes!AG$1,tételek!$A:$A,"&lt;"&amp;Részletes!AH$1,tételek!$F:$F,$A$34,tételek!$C:$C,"&lt;"&amp;0)</f>
        <v>-20000</v>
      </c>
      <c r="AH37" s="70">
        <f>SUMIFS(tételek!$C:$C,tételek!$A:$A,"&gt;="&amp;Részletes!AH$1,tételek!$A:$A,"&lt;"&amp;Részletes!AI$1,tételek!$F:$F,$A$34,tételek!$C:$C,"&lt;"&amp;0)</f>
        <v>-15334</v>
      </c>
      <c r="AI37" s="70">
        <f>SUMIFS(tételek!$C:$C,tételek!$A:$A,"&gt;="&amp;Részletes!AI$1,tételek!$A:$A,"&lt;"&amp;Részletes!AJ$1,tételek!$F:$F,$A$34,tételek!$C:$C,"&lt;"&amp;0)</f>
        <v>-21320</v>
      </c>
      <c r="AJ37" s="70">
        <f>SUMIFS(tételek!$C:$C,tételek!$A:$A,"&gt;="&amp;Részletes!AJ$1,tételek!$A:$A,"&lt;"&amp;Részletes!AK$1,tételek!$F:$F,$A$34,tételek!$C:$C,"&lt;"&amp;0)</f>
        <v>-21780</v>
      </c>
      <c r="AK37" s="70">
        <f>SUMIFS(tételek!$C:$C,tételek!$A:$A,"&gt;="&amp;Részletes!AK$1,tételek!$A:$A,"&lt;"&amp;Részletes!AL$1,tételek!$F:$F,$A$34,tételek!$C:$C,"&lt;"&amp;0)</f>
        <v>-6670</v>
      </c>
      <c r="AL37" s="70">
        <f>SUMIFS(tételek!$C:$C,tételek!$A:$A,"&gt;="&amp;Részletes!AL$1,tételek!$A:$A,"&lt;"&amp;Részletes!AM$1,tételek!$F:$F,$A$34,tételek!$C:$C,"&lt;"&amp;0)</f>
        <v>-31270</v>
      </c>
      <c r="AM37" s="70">
        <f>SUMIFS(tételek!$C:$C,tételek!$A:$A,"&gt;="&amp;Részletes!AM$1,tételek!$A:$A,"&lt;"&amp;Részletes!AN$1,tételek!$F:$F,$A$34,tételek!$C:$C,"&lt;"&amp;0)</f>
        <v>-46150</v>
      </c>
      <c r="AN37" s="70">
        <f>SUMIFS(tételek!$C:$C,tételek!$A:$A,"&gt;="&amp;Részletes!AN$1,tételek!$A:$A,"&lt;"&amp;Részletes!AO$1,tételek!$F:$F,$A$34,tételek!$C:$C,"&lt;"&amp;0)</f>
        <v>-34510</v>
      </c>
      <c r="AO37" s="70">
        <f>SUMIFS(tételek!$C:$C,tételek!$A:$A,"&gt;="&amp;Részletes!AO$1,tételek!$A:$A,"&lt;"&amp;Részletes!AP$1,tételek!$F:$F,$A$34,tételek!$C:$C,"&lt;"&amp;0)</f>
        <v>-43470</v>
      </c>
      <c r="AP37" s="70">
        <f>SUMIFS(tételek!$C:$C,tételek!$A:$A,"&gt;="&amp;Részletes!AP$1,tételek!$A:$A,"&lt;"&amp;Részletes!AQ$1,tételek!$F:$F,$A$34,tételek!$C:$C,"&lt;"&amp;0)</f>
        <v>-43150</v>
      </c>
      <c r="AQ37" s="70">
        <f>SUMIFS(tételek!$C:$C,tételek!$A:$A,"&gt;="&amp;Részletes!AQ$1,tételek!$A:$A,"&lt;"&amp;Részletes!AR$1,tételek!$F:$F,$A$34,tételek!$C:$C,"&lt;"&amp;0)</f>
        <v>-27405</v>
      </c>
      <c r="AR37" s="70">
        <f>SUMIFS(tételek!$C:$C,tételek!$A:$A,"&gt;="&amp;Részletes!AR$1,tételek!$A:$A,"&lt;"&amp;Részletes!AS$1,tételek!$F:$F,$A$34,tételek!$C:$C,"&lt;"&amp;0)</f>
        <v>-16000</v>
      </c>
      <c r="AS37" s="70">
        <f>SUMIFS(tételek!$C:$C,tételek!$A:$A,"&gt;="&amp;Részletes!AS$1,tételek!$A:$A,"&lt;"&amp;Részletes!AT$1,tételek!$F:$F,$A$34,tételek!$C:$C,"&lt;"&amp;0)</f>
        <v>-66549</v>
      </c>
      <c r="AT37" s="70">
        <f>SUMIFS(tételek!$C:$C,tételek!$A:$A,"&gt;="&amp;Részletes!AT$1,tételek!$A:$A,"&lt;"&amp;Részletes!AU$1,tételek!$F:$F,$A$34,tételek!$C:$C,"&lt;"&amp;0)</f>
        <v>-46375</v>
      </c>
      <c r="AU37" s="70">
        <f>SUMIFS(tételek!$C:$C,tételek!$A:$A,"&gt;="&amp;Részletes!AU$1,tételek!$A:$A,"&lt;"&amp;Részletes!AV$1,tételek!$F:$F,$A$34,tételek!$C:$C,"&lt;"&amp;0)</f>
        <v>-45355</v>
      </c>
      <c r="AV37" s="70">
        <f>SUMIFS(tételek!$C:$C,tételek!$A:$A,"&gt;="&amp;Részletes!AV$1,tételek!$A:$A,"&lt;"&amp;Részletes!AW$1,tételek!$F:$F,$A$34,tételek!$C:$C,"&lt;"&amp;0)</f>
        <v>-26140</v>
      </c>
      <c r="AW37" s="70">
        <f>SUMIFS(tételek!$C:$C,tételek!$A:$A,"&gt;="&amp;Részletes!AW$1,tételek!$A:$A,"&lt;"&amp;Részletes!AX$1,tételek!$F:$F,$A$34,tételek!$C:$C,"&lt;"&amp;0)</f>
        <v>0</v>
      </c>
      <c r="AX37" s="70">
        <f>SUMIFS(tételek!$C:$C,tételek!$A:$A,"&gt;="&amp;Részletes!AX$1,tételek!$A:$A,"&lt;"&amp;Részletes!AY$1,tételek!$F:$F,$A$34,tételek!$C:$C,"&lt;"&amp;0)</f>
        <v>0</v>
      </c>
      <c r="AY37" s="70">
        <f>SUMIFS(tételek!$C:$C,tételek!$A:$A,"&gt;="&amp;Részletes!AY$1,tételek!$A:$A,"&lt;"&amp;Részletes!AZ$1,tételek!$F:$F,$A$34,tételek!$C:$C,"&lt;"&amp;0)</f>
        <v>0</v>
      </c>
      <c r="AZ37" s="70">
        <f>SUMIFS(tételek!$C:$C,tételek!$A:$A,"&gt;="&amp;Részletes!AZ$1,tételek!$A:$A,"&lt;"&amp;Részletes!BA$1,tételek!$F:$F,$A$34,tételek!$C:$C,"&lt;"&amp;0)</f>
        <v>0</v>
      </c>
      <c r="BA37" s="70">
        <f>SUMIFS(tételek!$C:$C,tételek!$A:$A,"&gt;="&amp;Részletes!BA$1,tételek!$A:$A,"&lt;"&amp;Részletes!BB$1,tételek!$F:$F,$A$34,tételek!$C:$C,"&lt;"&amp;0)</f>
        <v>0</v>
      </c>
      <c r="BB37" s="70">
        <f>SUMIFS(tételek!$C:$C,tételek!$A:$A,"&gt;="&amp;Részletes!BB$1,tételek!$A:$A,"&lt;"&amp;Részletes!BC$1,tételek!$F:$F,$A$34,tételek!$C:$C,"&lt;"&amp;0)</f>
        <v>0</v>
      </c>
      <c r="BC37" s="70">
        <f>SUMIFS(tételek!$C:$C,tételek!$A:$A,"&gt;="&amp;Részletes!BC$1,tételek!$A:$A,"&lt;"&amp;Részletes!BD$1,tételek!$F:$F,$A$34,tételek!$C:$C,"&lt;"&amp;0)</f>
        <v>0</v>
      </c>
      <c r="BD37" s="70">
        <f>SUMIFS(tételek!$C:$C,tételek!$A:$A,"&gt;="&amp;Részletes!BD$1,tételek!$A:$A,"&lt;"&amp;Részletes!BE$1,tételek!$F:$F,$A$34,tételek!$C:$C,"&lt;"&amp;0)</f>
        <v>0</v>
      </c>
      <c r="BE37" s="70">
        <f>SUMIFS(tételek!$C:$C,tételek!$A:$A,"&gt;="&amp;Részletes!BE$1,tételek!$A:$A,"&lt;"&amp;Részletes!BF$1,tételek!$F:$F,$A$34,tételek!$C:$C,"&lt;"&amp;0)</f>
        <v>0</v>
      </c>
      <c r="BF37" s="70">
        <f>SUMIFS(tételek!$C:$C,tételek!$A:$A,"&gt;="&amp;Részletes!BF$1,tételek!$A:$A,"&lt;"&amp;Részletes!BG$1,tételek!$F:$F,$A$34,tételek!$C:$C,"&lt;"&amp;0)</f>
        <v>0</v>
      </c>
      <c r="BG37" s="70">
        <f>SUMIFS(tételek!$C:$C,tételek!$A:$A,"&gt;="&amp;Részletes!BG$1,tételek!$A:$A,"&lt;"&amp;Részletes!BH$1,tételek!$F:$F,$A$34,tételek!$C:$C,"&lt;"&amp;0)</f>
        <v>0</v>
      </c>
      <c r="BH37" s="70">
        <f>SUMIFS(tételek!$C:$C,tételek!$A:$A,"&gt;="&amp;Részletes!BH$1,tételek!$A:$A,"&lt;"&amp;Részletes!BI$1,tételek!$F:$F,$A$34,tételek!$C:$C,"&lt;"&amp;0)</f>
        <v>0</v>
      </c>
      <c r="BI37" s="70">
        <f>SUMIFS(tételek!$C:$C,tételek!$A:$A,"&gt;="&amp;Részletes!BI$1,tételek!$A:$A,"&lt;"&amp;Részletes!BJ$1,tételek!$F:$F,$A$34,tételek!$C:$C,"&lt;"&amp;0)</f>
        <v>0</v>
      </c>
      <c r="BJ37" s="70">
        <f>SUMIFS(tételek!$C:$C,tételek!$A:$A,"&gt;="&amp;Részletes!BJ$1,tételek!$A:$A,"&lt;"&amp;Részletes!BK$1,tételek!$F:$F,$A$34,tételek!$C:$C,"&lt;"&amp;0)</f>
        <v>0</v>
      </c>
      <c r="BK37" s="70">
        <f>SUMIFS(tételek!$C:$C,tételek!$A:$A,"&gt;="&amp;Részletes!BK$1,tételek!$A:$A,"&lt;"&amp;Részletes!BL$1,tételek!$F:$F,$A$34,tételek!$C:$C,"&lt;"&amp;0)</f>
        <v>0</v>
      </c>
      <c r="BL37" s="70">
        <f>SUMIFS(tételek!$C:$C,tételek!$A:$A,"&gt;="&amp;Részletes!BL$1,tételek!$A:$A,"&lt;"&amp;Részletes!BM$1,tételek!$F:$F,$A$34,tételek!$C:$C,"&lt;"&amp;0)</f>
        <v>0</v>
      </c>
      <c r="BM37" s="70">
        <f>SUMIFS(tételek!$C:$C,tételek!$A:$A,"&gt;="&amp;Részletes!BM$1,tételek!$A:$A,"&lt;"&amp;Részletes!BN$1,tételek!$F:$F,$A$34,tételek!$C:$C,"&lt;"&amp;0)</f>
        <v>0</v>
      </c>
      <c r="BN37" s="70">
        <f>SUMIFS(tételek!$C:$C,tételek!$A:$A,"&gt;="&amp;Részletes!BN$1,tételek!$A:$A,"&lt;"&amp;Részletes!BO$1,tételek!$F:$F,$A$34,tételek!$C:$C,"&lt;"&amp;0)</f>
        <v>0</v>
      </c>
      <c r="BO37" s="70">
        <f>SUMIFS(tételek!$C:$C,tételek!$A:$A,"&gt;="&amp;Részletes!BO$1,tételek!$A:$A,"&lt;"&amp;Részletes!BP$1,tételek!$F:$F,$A$34,tételek!$C:$C,"&lt;"&amp;0)</f>
        <v>0</v>
      </c>
      <c r="BP37" s="70">
        <f>SUMIFS(tételek!$C:$C,tételek!$A:$A,"&gt;="&amp;Részletes!BP$1,tételek!$A:$A,"&lt;"&amp;Részletes!BQ$1,tételek!$F:$F,$A$34,tételek!$C:$C,"&lt;"&amp;0)</f>
        <v>0</v>
      </c>
      <c r="BQ37" s="70">
        <f>SUMIFS(tételek!$C:$C,tételek!$A:$A,"&gt;="&amp;Részletes!BQ$1,tételek!$A:$A,"&lt;"&amp;Részletes!BR$1,tételek!$F:$F,$A$34,tételek!$C:$C,"&lt;"&amp;0)</f>
        <v>0</v>
      </c>
      <c r="BR37" s="70">
        <f>SUMIFS(tételek!$C:$C,tételek!$A:$A,"&gt;="&amp;Részletes!BR$1,tételek!$A:$A,"&lt;"&amp;Részletes!BS$1,tételek!$F:$F,$A$34,tételek!$C:$C,"&lt;"&amp;0)</f>
        <v>0</v>
      </c>
      <c r="BS37" s="70">
        <f>SUMIFS(tételek!$C:$C,tételek!$A:$A,"&gt;="&amp;Részletes!BS$1,tételek!$A:$A,"&lt;"&amp;Részletes!BT$1,tételek!$F:$F,$A$34,tételek!$C:$C,"&lt;"&amp;0)</f>
        <v>0</v>
      </c>
      <c r="BT37" s="70">
        <f>SUMIFS(tételek!$C:$C,tételek!$A:$A,"&gt;="&amp;Részletes!BT$1,tételek!$A:$A,"&lt;"&amp;Részletes!BU$1,tételek!$F:$F,$A$34,tételek!$C:$C,"&lt;"&amp;0)</f>
        <v>0</v>
      </c>
      <c r="BU37" s="70">
        <f>SUMIFS(tételek!$C:$C,tételek!$A:$A,"&gt;="&amp;Részletes!BU$1,tételek!$A:$A,"&lt;"&amp;Részletes!BV$1,tételek!$F:$F,$A$34,tételek!$C:$C,"&lt;"&amp;0)</f>
        <v>0</v>
      </c>
      <c r="BV37" s="70">
        <f>SUMIFS(tételek!$C:$C,tételek!$A:$A,"&gt;="&amp;Részletes!BV$1,tételek!$A:$A,"&lt;"&amp;Részletes!BW$1,tételek!$F:$F,$A$34,tételek!$C:$C,"&lt;"&amp;0)</f>
        <v>0</v>
      </c>
      <c r="BW37" s="70">
        <f>SUMIFS(tételek!$C:$C,tételek!$A:$A,"&gt;="&amp;Részletes!BW$1,tételek!$A:$A,"&lt;"&amp;Részletes!BX$1,tételek!$F:$F,$A$34,tételek!$C:$C,"&lt;"&amp;0)</f>
        <v>0</v>
      </c>
    </row>
    <row r="38" spans="1:75" x14ac:dyDescent="0.25">
      <c r="A38" s="73" t="s">
        <v>22</v>
      </c>
      <c r="B38" s="73">
        <f t="shared" ref="B38:AG38" si="31">IF(B35="",A38,SUM(B35:B37))</f>
        <v>91884</v>
      </c>
      <c r="C38" s="73">
        <f t="shared" si="31"/>
        <v>135329</v>
      </c>
      <c r="D38" s="73">
        <f t="shared" si="31"/>
        <v>125069</v>
      </c>
      <c r="E38" s="73">
        <f t="shared" si="31"/>
        <v>85067</v>
      </c>
      <c r="F38" s="73">
        <f t="shared" si="31"/>
        <v>77797</v>
      </c>
      <c r="G38" s="73">
        <f t="shared" si="31"/>
        <v>43868</v>
      </c>
      <c r="H38" s="73">
        <f t="shared" si="31"/>
        <v>49758</v>
      </c>
      <c r="I38" s="73">
        <f t="shared" si="31"/>
        <v>54708</v>
      </c>
      <c r="J38" s="73">
        <f t="shared" si="31"/>
        <v>58438</v>
      </c>
      <c r="K38" s="73">
        <f t="shared" si="31"/>
        <v>71908</v>
      </c>
      <c r="L38" s="73">
        <f t="shared" si="31"/>
        <v>81249</v>
      </c>
      <c r="M38" s="73">
        <f t="shared" si="31"/>
        <v>81249</v>
      </c>
      <c r="N38" s="73">
        <f t="shared" si="31"/>
        <v>89154</v>
      </c>
      <c r="O38" s="73">
        <f t="shared" si="31"/>
        <v>90639</v>
      </c>
      <c r="P38" s="73">
        <f t="shared" si="31"/>
        <v>118508</v>
      </c>
      <c r="Q38" s="73">
        <f t="shared" si="31"/>
        <v>122693</v>
      </c>
      <c r="R38" s="73">
        <f t="shared" si="31"/>
        <v>115228</v>
      </c>
      <c r="S38" s="73">
        <f t="shared" si="31"/>
        <v>148777</v>
      </c>
      <c r="T38" s="73">
        <f t="shared" si="31"/>
        <v>168052</v>
      </c>
      <c r="U38" s="73">
        <f t="shared" si="31"/>
        <v>50327</v>
      </c>
      <c r="V38" s="73">
        <f t="shared" si="31"/>
        <v>69602</v>
      </c>
      <c r="W38" s="73">
        <f t="shared" si="31"/>
        <v>88877</v>
      </c>
      <c r="X38" s="73">
        <f t="shared" si="31"/>
        <v>101012</v>
      </c>
      <c r="Y38" s="73">
        <f t="shared" si="31"/>
        <v>73242</v>
      </c>
      <c r="Z38" s="73">
        <f t="shared" si="31"/>
        <v>82614</v>
      </c>
      <c r="AA38" s="73">
        <f t="shared" si="31"/>
        <v>53720</v>
      </c>
      <c r="AB38" s="73">
        <f t="shared" si="31"/>
        <v>66106</v>
      </c>
      <c r="AC38" s="73">
        <f t="shared" si="31"/>
        <v>69662</v>
      </c>
      <c r="AD38" s="73">
        <f t="shared" si="31"/>
        <v>76118</v>
      </c>
      <c r="AE38" s="73">
        <f t="shared" si="31"/>
        <v>52419</v>
      </c>
      <c r="AF38" s="73">
        <f t="shared" si="31"/>
        <v>67385</v>
      </c>
      <c r="AG38" s="73">
        <f t="shared" si="31"/>
        <v>80972</v>
      </c>
      <c r="AH38" s="73">
        <f t="shared" ref="AH38:BM38" si="32">IF(AH35="",AG38,SUM(AH35:AH37))</f>
        <v>99225</v>
      </c>
      <c r="AI38" s="73">
        <f t="shared" si="32"/>
        <v>110613</v>
      </c>
      <c r="AJ38" s="73">
        <f t="shared" si="32"/>
        <v>121440</v>
      </c>
      <c r="AK38" s="73">
        <f t="shared" si="32"/>
        <v>114770</v>
      </c>
      <c r="AL38" s="73">
        <f t="shared" si="32"/>
        <v>115460</v>
      </c>
      <c r="AM38" s="73">
        <f t="shared" si="32"/>
        <v>101270</v>
      </c>
      <c r="AN38" s="73">
        <f t="shared" si="32"/>
        <v>98720</v>
      </c>
      <c r="AO38" s="73">
        <f t="shared" si="32"/>
        <v>87210</v>
      </c>
      <c r="AP38" s="73">
        <f t="shared" si="32"/>
        <v>76020</v>
      </c>
      <c r="AQ38" s="73">
        <f t="shared" si="32"/>
        <v>80575</v>
      </c>
      <c r="AR38" s="73">
        <f t="shared" si="32"/>
        <v>96535</v>
      </c>
      <c r="AS38" s="73">
        <f t="shared" si="32"/>
        <v>61946</v>
      </c>
      <c r="AT38" s="73">
        <f t="shared" si="32"/>
        <v>47531</v>
      </c>
      <c r="AU38" s="73">
        <f t="shared" si="32"/>
        <v>34136</v>
      </c>
      <c r="AV38" s="73">
        <f t="shared" si="32"/>
        <v>39956</v>
      </c>
      <c r="AW38" s="73">
        <f t="shared" si="32"/>
        <v>39956</v>
      </c>
      <c r="AX38" s="73">
        <f t="shared" si="32"/>
        <v>39956</v>
      </c>
      <c r="AY38" s="73">
        <f t="shared" si="32"/>
        <v>39956</v>
      </c>
      <c r="AZ38" s="73">
        <f t="shared" si="32"/>
        <v>39956</v>
      </c>
      <c r="BA38" s="73">
        <f t="shared" si="32"/>
        <v>39956</v>
      </c>
      <c r="BB38" s="73">
        <f t="shared" si="32"/>
        <v>39956</v>
      </c>
      <c r="BC38" s="73">
        <f t="shared" si="32"/>
        <v>39956</v>
      </c>
      <c r="BD38" s="73">
        <f t="shared" si="32"/>
        <v>39956</v>
      </c>
      <c r="BE38" s="73">
        <f t="shared" si="32"/>
        <v>39956</v>
      </c>
      <c r="BF38" s="73">
        <f t="shared" si="32"/>
        <v>39956</v>
      </c>
      <c r="BG38" s="73">
        <f t="shared" si="32"/>
        <v>39956</v>
      </c>
      <c r="BH38" s="73">
        <f t="shared" si="32"/>
        <v>39956</v>
      </c>
      <c r="BI38" s="73">
        <f t="shared" si="32"/>
        <v>39956</v>
      </c>
      <c r="BJ38" s="73">
        <f t="shared" si="32"/>
        <v>39956</v>
      </c>
      <c r="BK38" s="73">
        <f t="shared" si="32"/>
        <v>39956</v>
      </c>
      <c r="BL38" s="73">
        <f t="shared" si="32"/>
        <v>39956</v>
      </c>
      <c r="BM38" s="73">
        <f t="shared" si="32"/>
        <v>39956</v>
      </c>
      <c r="BN38" s="73">
        <f t="shared" ref="BN38:CS38" si="33">IF(BN35="",BM38,SUM(BN35:BN37))</f>
        <v>39956</v>
      </c>
      <c r="BO38" s="73">
        <f t="shared" si="33"/>
        <v>39956</v>
      </c>
      <c r="BP38" s="73">
        <f t="shared" si="33"/>
        <v>39956</v>
      </c>
      <c r="BQ38" s="73">
        <f t="shared" si="33"/>
        <v>39956</v>
      </c>
      <c r="BR38" s="73">
        <f t="shared" si="33"/>
        <v>39956</v>
      </c>
      <c r="BS38" s="73">
        <f t="shared" si="33"/>
        <v>39956</v>
      </c>
      <c r="BT38" s="73">
        <f t="shared" si="33"/>
        <v>39956</v>
      </c>
      <c r="BU38" s="73">
        <f t="shared" si="33"/>
        <v>39956</v>
      </c>
      <c r="BV38" s="73">
        <f t="shared" si="33"/>
        <v>39956</v>
      </c>
      <c r="BW38" s="73">
        <f t="shared" si="33"/>
        <v>39956</v>
      </c>
    </row>
    <row r="40" spans="1:75" ht="18.75" customHeight="1" x14ac:dyDescent="0.3">
      <c r="A40" s="79" t="s">
        <v>5</v>
      </c>
    </row>
    <row r="41" spans="1:75" x14ac:dyDescent="0.25">
      <c r="A41" s="70" t="s">
        <v>17</v>
      </c>
      <c r="B41" s="72">
        <f t="shared" ref="B41:X41" si="34">C41-C42-C43</f>
        <v>97854</v>
      </c>
      <c r="C41" s="72">
        <f t="shared" si="34"/>
        <v>97810</v>
      </c>
      <c r="D41" s="72">
        <f t="shared" si="34"/>
        <v>97710</v>
      </c>
      <c r="E41" s="72">
        <f t="shared" si="34"/>
        <v>211610</v>
      </c>
      <c r="F41" s="72">
        <f t="shared" si="34"/>
        <v>211922</v>
      </c>
      <c r="G41" s="72">
        <f t="shared" si="34"/>
        <v>208623</v>
      </c>
      <c r="H41" s="72">
        <f t="shared" si="34"/>
        <v>208523</v>
      </c>
      <c r="I41" s="72">
        <f t="shared" si="34"/>
        <v>208767</v>
      </c>
      <c r="J41" s="72">
        <f t="shared" si="34"/>
        <v>208667</v>
      </c>
      <c r="K41" s="72">
        <f t="shared" si="34"/>
        <v>208567</v>
      </c>
      <c r="L41" s="72">
        <f t="shared" si="34"/>
        <v>543153</v>
      </c>
      <c r="M41" s="72">
        <f t="shared" si="34"/>
        <v>543053</v>
      </c>
      <c r="N41" s="72">
        <f t="shared" si="34"/>
        <v>542953</v>
      </c>
      <c r="O41" s="72">
        <f t="shared" si="34"/>
        <v>545332</v>
      </c>
      <c r="P41" s="72">
        <f t="shared" si="34"/>
        <v>545232</v>
      </c>
      <c r="Q41" s="72">
        <f t="shared" si="34"/>
        <v>545132</v>
      </c>
      <c r="R41" s="72">
        <f t="shared" si="34"/>
        <v>661853</v>
      </c>
      <c r="S41" s="72">
        <f t="shared" si="34"/>
        <v>661753</v>
      </c>
      <c r="T41" s="72">
        <f t="shared" si="34"/>
        <v>661653</v>
      </c>
      <c r="U41" s="72">
        <f t="shared" si="34"/>
        <v>660316</v>
      </c>
      <c r="V41" s="72">
        <f t="shared" si="34"/>
        <v>660216</v>
      </c>
      <c r="W41" s="72">
        <f t="shared" si="34"/>
        <v>660116</v>
      </c>
      <c r="X41" s="72">
        <f t="shared" si="34"/>
        <v>1189046</v>
      </c>
      <c r="Y41" s="72">
        <f>458941+730105</f>
        <v>1189046</v>
      </c>
      <c r="Z41" s="72">
        <f>458941+731202</f>
        <v>1190143</v>
      </c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>
        <f>560000+834408</f>
        <v>1394408</v>
      </c>
      <c r="AL41" s="72">
        <f>5000+4408</f>
        <v>9408</v>
      </c>
      <c r="AM41" s="72">
        <v>10531</v>
      </c>
      <c r="AN41" s="72">
        <v>10531</v>
      </c>
      <c r="AO41" s="72">
        <v>10531</v>
      </c>
      <c r="AP41" s="72">
        <v>10531</v>
      </c>
      <c r="AQ41" s="72">
        <v>10531</v>
      </c>
      <c r="AR41" s="72">
        <v>10531</v>
      </c>
      <c r="AS41" s="72">
        <v>10531</v>
      </c>
      <c r="AT41" s="72">
        <v>10531</v>
      </c>
      <c r="AU41" s="72">
        <v>10531</v>
      </c>
      <c r="AV41" s="72">
        <v>10531</v>
      </c>
      <c r="AW41" s="72">
        <v>10531</v>
      </c>
      <c r="AX41" s="72">
        <v>9231</v>
      </c>
      <c r="AY41" s="72">
        <v>9231</v>
      </c>
      <c r="AZ41" s="72">
        <v>9231</v>
      </c>
      <c r="BA41" s="72">
        <v>9231</v>
      </c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</row>
    <row r="42" spans="1:75" x14ac:dyDescent="0.25">
      <c r="A42" s="70" t="s">
        <v>25</v>
      </c>
      <c r="B42" s="70">
        <f>SUMIFS(tételek!$C:$C,tételek!$A:$A,"&gt;="&amp;Részletes!B1,tételek!$A:$A,"&lt;"&amp;Részletes!C1,tételek!$F:$F,$A$40,tételek!$C:$C,"&gt;"&amp;0)</f>
        <v>0</v>
      </c>
      <c r="C42" s="70">
        <f>SUMIFS(tételek!$C:$C,tételek!$A:$A,"&gt;="&amp;Részletes!C1,tételek!$A:$A,"&lt;"&amp;Részletes!D1,tételek!$F:$F,$A$40,tételek!$C:$C,"&gt;"&amp;0)</f>
        <v>56</v>
      </c>
      <c r="D42" s="70">
        <f>SUMIFS(tételek!$C:$C,tételek!$A:$A,"&gt;="&amp;Részletes!D1,tételek!$A:$A,"&lt;"&amp;Részletes!E1,tételek!$F:$F,$A$40,tételek!$C:$C,"&gt;"&amp;0)</f>
        <v>0</v>
      </c>
      <c r="E42" s="70">
        <f>SUMIFS(tételek!$C:$C,tételek!$A:$A,"&gt;="&amp;Részletes!E1,tételek!$A:$A,"&lt;"&amp;Részletes!F1,tételek!$F:$F,$A$40,tételek!$C:$C,"&gt;"&amp;0)</f>
        <v>114000</v>
      </c>
      <c r="F42" s="70">
        <f>SUMIFS(tételek!$C:$C,tételek!$A:$A,"&gt;="&amp;Részletes!F1,tételek!$A:$A,"&lt;"&amp;Részletes!G1,tételek!$F:$F,$A$40,tételek!$C:$C,"&gt;"&amp;0)</f>
        <v>412</v>
      </c>
      <c r="G42" s="70">
        <f>SUMIFS(tételek!$C:$C,tételek!$A:$A,"&gt;="&amp;Részletes!G1,tételek!$A:$A,"&lt;"&amp;Részletes!H1,tételek!$F:$F,$A$40,tételek!$C:$C,"&gt;"&amp;0)</f>
        <v>0</v>
      </c>
      <c r="H42" s="70">
        <f>SUMIFS(tételek!$C:$C,tételek!$A:$A,"&gt;="&amp;Részletes!H1,tételek!$A:$A,"&lt;"&amp;Részletes!I1,tételek!$F:$F,$A$40,tételek!$C:$C,"&gt;"&amp;0)</f>
        <v>0</v>
      </c>
      <c r="I42" s="70">
        <f>SUMIFS(tételek!$C:$C,tételek!$A:$A,"&gt;="&amp;Részletes!I1,tételek!$A:$A,"&lt;"&amp;Részletes!J1,tételek!$F:$F,$A$40,tételek!$C:$C,"&gt;"&amp;0)</f>
        <v>344</v>
      </c>
      <c r="J42" s="70">
        <f>SUMIFS(tételek!$C:$C,tételek!$A:$A,"&gt;="&amp;Részletes!J1,tételek!$A:$A,"&lt;"&amp;Részletes!K1,tételek!$F:$F,$A$40,tételek!$C:$C,"&gt;"&amp;0)</f>
        <v>0</v>
      </c>
      <c r="K42" s="70">
        <f>SUMIFS(tételek!$C:$C,tételek!$A:$A,"&gt;="&amp;Részletes!K1,tételek!$A:$A,"&lt;"&amp;Részletes!L1,tételek!$F:$F,$A$40,tételek!$C:$C,"&gt;"&amp;0)</f>
        <v>0</v>
      </c>
      <c r="L42" s="70">
        <f>SUMIFS(tételek!$C:$C,tételek!$A:$A,"&gt;="&amp;Részletes!L1,tételek!$A:$A,"&lt;"&amp;Részletes!M1,tételek!$F:$F,$A$40,tételek!$C:$C,"&gt;"&amp;0)</f>
        <v>796686</v>
      </c>
      <c r="M42" s="70">
        <f>SUMIFS(tételek!$C:$C,tételek!$A:$A,"&gt;="&amp;Részletes!M1,tételek!$A:$A,"&lt;"&amp;Részletes!N1,tételek!$F:$F,$A$40,tételek!$C:$C,"&gt;"&amp;0)</f>
        <v>0</v>
      </c>
      <c r="N42" s="70">
        <f>SUMIFS(tételek!$C:$C,tételek!$A:$A,"&gt;="&amp;Részletes!N1,tételek!$A:$A,"&lt;"&amp;Részletes!O1,tételek!$F:$F,$A$40,tételek!$C:$C,"&gt;"&amp;0)</f>
        <v>0</v>
      </c>
      <c r="O42" s="70">
        <f>SUMIFS(tételek!$C:$C,tételek!$A:$A,"&gt;="&amp;Részletes!O1,tételek!$A:$A,"&lt;"&amp;Részletes!P1,tételek!$F:$F,$A$40,tételek!$C:$C,"&gt;"&amp;0)</f>
        <v>2479</v>
      </c>
      <c r="P42" s="70">
        <f>SUMIFS(tételek!$C:$C,tételek!$A:$A,"&gt;="&amp;Részletes!P1,tételek!$A:$A,"&lt;"&amp;Részletes!Q1,tételek!$F:$F,$A$40,tételek!$C:$C,"&gt;"&amp;0)</f>
        <v>0</v>
      </c>
      <c r="Q42" s="70">
        <f>SUMIFS(tételek!$C:$C,tételek!$A:$A,"&gt;="&amp;Részletes!Q1,tételek!$A:$A,"&lt;"&amp;Részletes!R1,tételek!$F:$F,$A$40,tételek!$C:$C,"&gt;"&amp;0)</f>
        <v>0</v>
      </c>
      <c r="R42" s="70">
        <f>SUMIFS(tételek!$C:$C,tételek!$A:$A,"&gt;="&amp;Részletes!R1,tételek!$A:$A,"&lt;"&amp;Részletes!S1,tételek!$F:$F,$A$40,tételek!$C:$C,"&gt;"&amp;0)</f>
        <v>116821</v>
      </c>
      <c r="S42" s="70">
        <f>SUMIFS(tételek!$C:$C,tételek!$A:$A,"&gt;="&amp;Részletes!S1,tételek!$A:$A,"&lt;"&amp;Részletes!T1,tételek!$F:$F,$A$40,tételek!$C:$C,"&gt;"&amp;0)</f>
        <v>0</v>
      </c>
      <c r="T42" s="70">
        <f>SUMIFS(tételek!$C:$C,tételek!$A:$A,"&gt;="&amp;Részletes!T1,tételek!$A:$A,"&lt;"&amp;Részletes!U1,tételek!$F:$F,$A$40,tételek!$C:$C,"&gt;"&amp;0)</f>
        <v>0</v>
      </c>
      <c r="U42" s="70">
        <f>SUMIFS(tételek!$C:$C,tételek!$A:$A,"&gt;="&amp;Részletes!U1,tételek!$A:$A,"&lt;"&amp;Részletes!V1,tételek!$F:$F,$A$40,tételek!$C:$C,"&gt;"&amp;0)</f>
        <v>1193</v>
      </c>
      <c r="V42" s="70">
        <f>SUMIFS(tételek!$C:$C,tételek!$A:$A,"&gt;="&amp;Részletes!V1,tételek!$A:$A,"&lt;"&amp;Részletes!W1,tételek!$F:$F,$A$40,tételek!$C:$C,"&gt;"&amp;0)</f>
        <v>0</v>
      </c>
      <c r="W42" s="70">
        <f>SUMIFS(tételek!$C:$C,tételek!$A:$A,"&gt;="&amp;Részletes!W1,tételek!$A:$A,"&lt;"&amp;Részletes!X1,tételek!$F:$F,$A$40,tételek!$C:$C,"&gt;"&amp;0)</f>
        <v>0</v>
      </c>
      <c r="X42" s="70">
        <f>SUMIFS(tételek!$C:$C,tételek!$A:$A,"&gt;="&amp;Részletes!X1,tételek!$A:$A,"&lt;"&amp;Részletes!Y1,tételek!$F:$F,$A$40,tételek!$C:$C,"&gt;"&amp;0)</f>
        <v>963400</v>
      </c>
      <c r="Y42" s="70">
        <f>SUMIFS(tételek!$C:$C,tételek!$A:$A,"&gt;="&amp;Részletes!Y1,tételek!$A:$A,"&lt;"&amp;Részletes!Z1,tételek!$F:$F,$A$40,tételek!$C:$C,"&gt;"&amp;0)</f>
        <v>0</v>
      </c>
      <c r="Z42" s="70">
        <f>SUMIFS(tételek!$C:$C,tételek!$A:$A,"&gt;="&amp;Részletes!Z1,tételek!$A:$A,"&lt;"&amp;Részletes!AA1,tételek!$F:$F,$A$40,tételek!$C:$C,"&gt;"&amp;0)</f>
        <v>0</v>
      </c>
      <c r="AA42" s="70">
        <f>SUMIFS(tételek!$C:$C,tételek!$A:$A,"&gt;="&amp;Részletes!AA1,tételek!$A:$A,"&lt;"&amp;Részletes!AB1,tételek!$F:$F,$A$40,tételek!$C:$C,"&gt;"&amp;0)</f>
        <v>0</v>
      </c>
      <c r="AB42" s="70">
        <f>SUMIFS(tételek!$C:$C,tételek!$A:$A,"&gt;="&amp;Részletes!AB1,tételek!$A:$A,"&lt;"&amp;Részletes!AC1,tételek!$F:$F,$A$40,tételek!$C:$C,"&gt;"&amp;0)</f>
        <v>0</v>
      </c>
      <c r="AC42" s="70">
        <f>SUMIFS(tételek!$C:$C,tételek!$A:$A,"&gt;="&amp;Részletes!AC1,tételek!$A:$A,"&lt;"&amp;Részletes!AD1,tételek!$F:$F,$A$40,tételek!$C:$C,"&gt;"&amp;0)</f>
        <v>0</v>
      </c>
      <c r="AD42" s="70">
        <f>SUMIFS(tételek!$C:$C,tételek!$A:$A,"&gt;="&amp;Részletes!AD1,tételek!$A:$A,"&lt;"&amp;Részletes!AE1,tételek!$F:$F,$A$40,tételek!$C:$C,"&gt;"&amp;0)</f>
        <v>0</v>
      </c>
      <c r="AE42" s="70">
        <f>SUMIFS(tételek!$C:$C,tételek!$A:$A,"&gt;="&amp;Részletes!AE1,tételek!$A:$A,"&lt;"&amp;Részletes!AF1,tételek!$F:$F,$A$40,tételek!$C:$C,"&gt;"&amp;0)</f>
        <v>0</v>
      </c>
      <c r="AF42" s="70">
        <f>SUMIFS(tételek!$C:$C,tételek!$A:$A,"&gt;="&amp;Részletes!AF1,tételek!$A:$A,"&lt;"&amp;Részletes!AG1,tételek!$F:$F,$A$40,tételek!$C:$C,"&gt;"&amp;0)</f>
        <v>0</v>
      </c>
      <c r="AG42" s="70">
        <f>SUMIFS(tételek!$C:$C,tételek!$A:$A,"&gt;="&amp;Részletes!AG1,tételek!$A:$A,"&lt;"&amp;Részletes!AH1,tételek!$F:$F,$A$40,tételek!$C:$C,"&gt;"&amp;0)</f>
        <v>0</v>
      </c>
      <c r="AH42" s="70">
        <f>SUMIFS(tételek!$C:$C,tételek!$A:$A,"&gt;="&amp;Részletes!AH1,tételek!$A:$A,"&lt;"&amp;Részletes!AI1,tételek!$F:$F,$A$40,tételek!$C:$C,"&gt;"&amp;0)</f>
        <v>0</v>
      </c>
      <c r="AI42" s="70">
        <f>SUMIFS(tételek!$C:$C,tételek!$A:$A,"&gt;="&amp;Részletes!AI1,tételek!$A:$A,"&lt;"&amp;Részletes!AJ1,tételek!$F:$F,$A$40,tételek!$C:$C,"&gt;"&amp;0)</f>
        <v>0</v>
      </c>
      <c r="AJ42" s="70">
        <f>SUMIFS(tételek!$C:$C,tételek!$A:$A,"&gt;="&amp;Részletes!AJ1,tételek!$A:$A,"&lt;"&amp;Részletes!AK1,tételek!$F:$F,$A$40,tételek!$C:$C,"&gt;"&amp;0)</f>
        <v>0</v>
      </c>
      <c r="AK42" s="70">
        <f>SUMIFS(tételek!$C:$C,tételek!$A:$A,"&gt;="&amp;Részletes!AK1,tételek!$A:$A,"&lt;"&amp;Részletes!AL1,tételek!$F:$F,$A$40,tételek!$C:$C,"&gt;"&amp;0)</f>
        <v>0</v>
      </c>
      <c r="AL42" s="70">
        <f>SUMIFS(tételek!$C:$C,tételek!$A:$A,"&gt;="&amp;Részletes!AL1,tételek!$A:$A,"&lt;"&amp;Részletes!AM1,tételek!$F:$F,$A$40,tételek!$C:$C,"&gt;"&amp;0)</f>
        <v>0</v>
      </c>
      <c r="AM42" s="70">
        <f>SUMIFS(tételek!$C:$C,tételek!$A:$A,"&gt;="&amp;Részletes!AM1,tételek!$A:$A,"&lt;"&amp;Részletes!AN1,tételek!$F:$F,$A$40,tételek!$C:$C,"&gt;"&amp;0)</f>
        <v>0</v>
      </c>
      <c r="AN42" s="70">
        <f>SUMIFS(tételek!$C:$C,tételek!$A:$A,"&gt;="&amp;Részletes!AN1,tételek!$A:$A,"&lt;"&amp;Részletes!AO1,tételek!$F:$F,$A$40,tételek!$C:$C,"&gt;"&amp;0)</f>
        <v>0</v>
      </c>
      <c r="AO42" s="70">
        <f>SUMIFS(tételek!$C:$C,tételek!$A:$A,"&gt;="&amp;Részletes!AO1,tételek!$A:$A,"&lt;"&amp;Részletes!AP1,tételek!$F:$F,$A$40,tételek!$C:$C,"&gt;"&amp;0)</f>
        <v>0</v>
      </c>
      <c r="AP42" s="70">
        <f>SUMIFS(tételek!$C:$C,tételek!$A:$A,"&gt;="&amp;Részletes!AP1,tételek!$A:$A,"&lt;"&amp;Részletes!AQ1,tételek!$F:$F,$A$40,tételek!$C:$C,"&gt;"&amp;0)</f>
        <v>0</v>
      </c>
      <c r="AQ42" s="70">
        <f>SUMIFS(tételek!$C:$C,tételek!$A:$A,"&gt;="&amp;Részletes!AQ1,tételek!$A:$A,"&lt;"&amp;Részletes!AR1,tételek!$F:$F,$A$40,tételek!$C:$C,"&gt;"&amp;0)</f>
        <v>0</v>
      </c>
      <c r="AR42" s="70">
        <f>SUMIFS(tételek!$C:$C,tételek!$A:$A,"&gt;="&amp;Részletes!AR1,tételek!$A:$A,"&lt;"&amp;Részletes!AS1,tételek!$F:$F,$A$40,tételek!$C:$C,"&gt;"&amp;0)</f>
        <v>0</v>
      </c>
      <c r="AS42" s="70">
        <f>SUMIFS(tételek!$C:$C,tételek!$A:$A,"&gt;="&amp;Részletes!AS1,tételek!$A:$A,"&lt;"&amp;Részletes!AT1,tételek!$F:$F,$A$40,tételek!$C:$C,"&gt;"&amp;0)</f>
        <v>0</v>
      </c>
      <c r="AT42" s="70">
        <f>SUMIFS(tételek!$C:$C,tételek!$A:$A,"&gt;="&amp;Részletes!AT1,tételek!$A:$A,"&lt;"&amp;Részletes!AU1,tételek!$F:$F,$A$40,tételek!$C:$C,"&gt;"&amp;0)</f>
        <v>0</v>
      </c>
      <c r="AU42" s="70">
        <f>SUMIFS(tételek!$C:$C,tételek!$A:$A,"&gt;="&amp;Részletes!AU1,tételek!$A:$A,"&lt;"&amp;Részletes!AV1,tételek!$F:$F,$A$40,tételek!$C:$C,"&gt;"&amp;0)</f>
        <v>0</v>
      </c>
      <c r="AV42" s="70">
        <f>SUMIFS(tételek!$C:$C,tételek!$A:$A,"&gt;="&amp;Részletes!AV1,tételek!$A:$A,"&lt;"&amp;Részletes!AW1,tételek!$F:$F,$A$40,tételek!$C:$C,"&gt;"&amp;0)</f>
        <v>0</v>
      </c>
      <c r="AW42" s="70">
        <f>SUMIFS(tételek!$C:$C,tételek!$A:$A,"&gt;="&amp;Részletes!AW1,tételek!$A:$A,"&lt;"&amp;Részletes!AX1,tételek!$F:$F,$A$40,tételek!$C:$C,"&gt;"&amp;0)</f>
        <v>0</v>
      </c>
      <c r="AX42" s="70">
        <f>SUMIFS(tételek!$C:$C,tételek!$A:$A,"&gt;="&amp;Részletes!AX1,tételek!$A:$A,"&lt;"&amp;Részletes!AY1,tételek!$F:$F,$A$40,tételek!$C:$C,"&gt;"&amp;0)</f>
        <v>0</v>
      </c>
      <c r="AY42" s="70">
        <f>SUMIFS(tételek!$C:$C,tételek!$A:$A,"&gt;="&amp;Részletes!AY1,tételek!$A:$A,"&lt;"&amp;Részletes!AZ1,tételek!$F:$F,$A$40,tételek!$C:$C,"&gt;"&amp;0)</f>
        <v>0</v>
      </c>
      <c r="AZ42" s="70">
        <f>SUMIFS(tételek!$C:$C,tételek!$A:$A,"&gt;="&amp;Részletes!AZ1,tételek!$A:$A,"&lt;"&amp;Részletes!BA1,tételek!$F:$F,$A$40,tételek!$C:$C,"&gt;"&amp;0)</f>
        <v>0</v>
      </c>
      <c r="BA42" s="70">
        <f>SUMIFS(tételek!$C:$C,tételek!$A:$A,"&gt;="&amp;Részletes!BA1,tételek!$A:$A,"&lt;"&amp;Részletes!BB1,tételek!$F:$F,$A$40,tételek!$C:$C,"&gt;"&amp;0)</f>
        <v>0</v>
      </c>
      <c r="BB42" s="70">
        <f>SUMIFS(tételek!$C:$C,tételek!$A:$A,"&gt;="&amp;Részletes!BB1,tételek!$A:$A,"&lt;"&amp;Részletes!BC1,tételek!$F:$F,$A$40,tételek!$C:$C,"&gt;"&amp;0)</f>
        <v>0</v>
      </c>
      <c r="BC42" s="70">
        <f>SUMIFS(tételek!$C:$C,tételek!$A:$A,"&gt;="&amp;Részletes!BC1,tételek!$A:$A,"&lt;"&amp;Részletes!BD1,tételek!$F:$F,$A$40,tételek!$C:$C,"&gt;"&amp;0)</f>
        <v>0</v>
      </c>
      <c r="BD42" s="70">
        <f>SUMIFS(tételek!$C:$C,tételek!$A:$A,"&gt;="&amp;Részletes!BD1,tételek!$A:$A,"&lt;"&amp;Részletes!BE1,tételek!$F:$F,$A$40,tételek!$C:$C,"&gt;"&amp;0)</f>
        <v>0</v>
      </c>
      <c r="BE42" s="70">
        <f>SUMIFS(tételek!$C:$C,tételek!$A:$A,"&gt;="&amp;Részletes!BE1,tételek!$A:$A,"&lt;"&amp;Részletes!BF1,tételek!$F:$F,$A$40,tételek!$C:$C,"&gt;"&amp;0)</f>
        <v>0</v>
      </c>
      <c r="BF42" s="70">
        <f>SUMIFS(tételek!$C:$C,tételek!$A:$A,"&gt;="&amp;Részletes!BF1,tételek!$A:$A,"&lt;"&amp;Részletes!BG1,tételek!$F:$F,$A$40,tételek!$C:$C,"&gt;"&amp;0)</f>
        <v>0</v>
      </c>
      <c r="BG42" s="70">
        <f>SUMIFS(tételek!$C:$C,tételek!$A:$A,"&gt;="&amp;Részletes!BG1,tételek!$A:$A,"&lt;"&amp;Részletes!BH1,tételek!$F:$F,$A$40,tételek!$C:$C,"&gt;"&amp;0)</f>
        <v>0</v>
      </c>
      <c r="BH42" s="70">
        <f>SUMIFS(tételek!$C:$C,tételek!$A:$A,"&gt;="&amp;Részletes!BH1,tételek!$A:$A,"&lt;"&amp;Részletes!BI1,tételek!$F:$F,$A$40,tételek!$C:$C,"&gt;"&amp;0)</f>
        <v>0</v>
      </c>
      <c r="BI42" s="70">
        <f>SUMIFS(tételek!$C:$C,tételek!$A:$A,"&gt;="&amp;Részletes!BI1,tételek!$A:$A,"&lt;"&amp;Részletes!BJ1,tételek!$F:$F,$A$40,tételek!$C:$C,"&gt;"&amp;0)</f>
        <v>0</v>
      </c>
      <c r="BJ42" s="70">
        <f>SUMIFS(tételek!$C:$C,tételek!$A:$A,"&gt;="&amp;Részletes!BJ1,tételek!$A:$A,"&lt;"&amp;Részletes!BK1,tételek!$F:$F,$A$40,tételek!$C:$C,"&gt;"&amp;0)</f>
        <v>0</v>
      </c>
      <c r="BK42" s="70">
        <f>SUMIFS(tételek!$C:$C,tételek!$A:$A,"&gt;="&amp;Részletes!BK1,tételek!$A:$A,"&lt;"&amp;Részletes!BL1,tételek!$F:$F,$A$40,tételek!$C:$C,"&gt;"&amp;0)</f>
        <v>0</v>
      </c>
      <c r="BL42" s="70">
        <f>SUMIFS(tételek!$C:$C,tételek!$A:$A,"&gt;="&amp;Részletes!BL1,tételek!$A:$A,"&lt;"&amp;Részletes!BM1,tételek!$F:$F,$A$40,tételek!$C:$C,"&gt;"&amp;0)</f>
        <v>0</v>
      </c>
      <c r="BM42" s="70">
        <f>SUMIFS(tételek!$C:$C,tételek!$A:$A,"&gt;="&amp;Részletes!BM1,tételek!$A:$A,"&lt;"&amp;Részletes!BN1,tételek!$F:$F,$A$40,tételek!$C:$C,"&gt;"&amp;0)</f>
        <v>0</v>
      </c>
      <c r="BN42" s="70">
        <f>SUMIFS(tételek!$C:$C,tételek!$A:$A,"&gt;="&amp;Részletes!BN1,tételek!$A:$A,"&lt;"&amp;Részletes!BO1,tételek!$F:$F,$A$40,tételek!$C:$C,"&gt;"&amp;0)</f>
        <v>0</v>
      </c>
      <c r="BO42" s="70">
        <f>SUMIFS(tételek!$C:$C,tételek!$A:$A,"&gt;="&amp;Részletes!BO1,tételek!$A:$A,"&lt;"&amp;Részletes!BP1,tételek!$F:$F,$A$40,tételek!$C:$C,"&gt;"&amp;0)</f>
        <v>0</v>
      </c>
      <c r="BP42" s="70">
        <f>SUMIFS(tételek!$C:$C,tételek!$A:$A,"&gt;="&amp;Részletes!BP1,tételek!$A:$A,"&lt;"&amp;Részletes!BQ1,tételek!$F:$F,$A$40,tételek!$C:$C,"&gt;"&amp;0)</f>
        <v>0</v>
      </c>
      <c r="BQ42" s="70">
        <f>SUMIFS(tételek!$C:$C,tételek!$A:$A,"&gt;="&amp;Részletes!BQ1,tételek!$A:$A,"&lt;"&amp;Részletes!BR1,tételek!$F:$F,$A$40,tételek!$C:$C,"&gt;"&amp;0)</f>
        <v>0</v>
      </c>
      <c r="BR42" s="70">
        <f>SUMIFS(tételek!$C:$C,tételek!$A:$A,"&gt;="&amp;Részletes!BR1,tételek!$A:$A,"&lt;"&amp;Részletes!BS1,tételek!$F:$F,$A$40,tételek!$C:$C,"&gt;"&amp;0)</f>
        <v>0</v>
      </c>
      <c r="BS42" s="70">
        <f>SUMIFS(tételek!$C:$C,tételek!$A:$A,"&gt;="&amp;Részletes!BS1,tételek!$A:$A,"&lt;"&amp;Részletes!BT1,tételek!$F:$F,$A$40,tételek!$C:$C,"&gt;"&amp;0)</f>
        <v>0</v>
      </c>
      <c r="BT42" s="70">
        <f>SUMIFS(tételek!$C:$C,tételek!$A:$A,"&gt;="&amp;Részletes!BT1,tételek!$A:$A,"&lt;"&amp;Részletes!BU1,tételek!$F:$F,$A$40,tételek!$C:$C,"&gt;"&amp;0)</f>
        <v>0</v>
      </c>
      <c r="BU42" s="70">
        <f>SUMIFS(tételek!$C:$C,tételek!$A:$A,"&gt;="&amp;Részletes!BU1,tételek!$A:$A,"&lt;"&amp;Részletes!BV1,tételek!$F:$F,$A$40,tételek!$C:$C,"&gt;"&amp;0)</f>
        <v>0</v>
      </c>
      <c r="BV42" s="70">
        <f>SUMIFS(tételek!$C:$C,tételek!$A:$A,"&gt;="&amp;Részletes!BV1,tételek!$A:$A,"&lt;"&amp;Részletes!BW1,tételek!$F:$F,$A$40,tételek!$C:$C,"&gt;"&amp;0)</f>
        <v>0</v>
      </c>
      <c r="BW42" s="70">
        <f>SUMIFS(tételek!$C:$C,tételek!$A:$A,"&gt;="&amp;Részletes!BW1,tételek!$A:$A,"&lt;"&amp;Részletes!BX1,tételek!$F:$F,$A$40,tételek!$C:$C,"&gt;"&amp;0)</f>
        <v>0</v>
      </c>
    </row>
    <row r="43" spans="1:75" x14ac:dyDescent="0.25">
      <c r="A43" s="70" t="s">
        <v>26</v>
      </c>
      <c r="B43" s="70">
        <f>SUMIFS(tételek!$C:$C,tételek!$A:$A,"&gt;="&amp;Részletes!B$1,tételek!$A:$A,"&lt;"&amp;Részletes!C$1,tételek!$F:$F,$A$40,tételek!$C:$C,"&lt;"&amp;0)</f>
        <v>-100</v>
      </c>
      <c r="C43" s="70">
        <f>SUMIFS(tételek!$C:$C,tételek!$A:$A,"&gt;="&amp;Részletes!C$1,tételek!$A:$A,"&lt;"&amp;Részletes!D$1,tételek!$F:$F,$A$40,tételek!$C:$C,"&lt;"&amp;0)</f>
        <v>-100</v>
      </c>
      <c r="D43" s="70">
        <f>SUMIFS(tételek!$C:$C,tételek!$A:$A,"&gt;="&amp;Részletes!D$1,tételek!$A:$A,"&lt;"&amp;Részletes!E$1,tételek!$F:$F,$A$40,tételek!$C:$C,"&lt;"&amp;0)</f>
        <v>-100</v>
      </c>
      <c r="E43" s="70">
        <f>SUMIFS(tételek!$C:$C,tételek!$A:$A,"&gt;="&amp;Részletes!E$1,tételek!$A:$A,"&lt;"&amp;Részletes!F$1,tételek!$F:$F,$A$40,tételek!$C:$C,"&lt;"&amp;0)</f>
        <v>-100</v>
      </c>
      <c r="F43" s="70">
        <f>SUMIFS(tételek!$C:$C,tételek!$A:$A,"&gt;="&amp;Részletes!F$1,tételek!$A:$A,"&lt;"&amp;Részletes!G$1,tételek!$F:$F,$A$40,tételek!$C:$C,"&lt;"&amp;0)</f>
        <v>-100</v>
      </c>
      <c r="G43" s="70">
        <f>SUMIFS(tételek!$C:$C,tételek!$A:$A,"&gt;="&amp;Részletes!G$1,tételek!$A:$A,"&lt;"&amp;Részletes!H$1,tételek!$F:$F,$A$40,tételek!$C:$C,"&lt;"&amp;0)</f>
        <v>-3299</v>
      </c>
      <c r="H43" s="70">
        <f>SUMIFS(tételek!$C:$C,tételek!$A:$A,"&gt;="&amp;Részletes!H$1,tételek!$A:$A,"&lt;"&amp;Részletes!I$1,tételek!$F:$F,$A$40,tételek!$C:$C,"&lt;"&amp;0)</f>
        <v>-100</v>
      </c>
      <c r="I43" s="70">
        <f>SUMIFS(tételek!$C:$C,tételek!$A:$A,"&gt;="&amp;Részletes!I$1,tételek!$A:$A,"&lt;"&amp;Részletes!J$1,tételek!$F:$F,$A$40,tételek!$C:$C,"&lt;"&amp;0)</f>
        <v>-100</v>
      </c>
      <c r="J43" s="70">
        <f>SUMIFS(tételek!$C:$C,tételek!$A:$A,"&gt;="&amp;Részletes!J$1,tételek!$A:$A,"&lt;"&amp;Részletes!K$1,tételek!$F:$F,$A$40,tételek!$C:$C,"&lt;"&amp;0)</f>
        <v>-100</v>
      </c>
      <c r="K43" s="70">
        <f>SUMIFS(tételek!$C:$C,tételek!$A:$A,"&gt;="&amp;Részletes!K$1,tételek!$A:$A,"&lt;"&amp;Részletes!L$1,tételek!$F:$F,$A$40,tételek!$C:$C,"&lt;"&amp;0)</f>
        <v>-100</v>
      </c>
      <c r="L43" s="70">
        <f>SUMIFS(tételek!$C:$C,tételek!$A:$A,"&gt;="&amp;Részletes!L$1,tételek!$A:$A,"&lt;"&amp;Részletes!M$1,tételek!$F:$F,$A$40,tételek!$C:$C,"&lt;"&amp;0)</f>
        <v>-462100</v>
      </c>
      <c r="M43" s="70">
        <f>SUMIFS(tételek!$C:$C,tételek!$A:$A,"&gt;="&amp;Részletes!M$1,tételek!$A:$A,"&lt;"&amp;Részletes!N$1,tételek!$F:$F,$A$40,tételek!$C:$C,"&lt;"&amp;0)</f>
        <v>-100</v>
      </c>
      <c r="N43" s="70">
        <f>SUMIFS(tételek!$C:$C,tételek!$A:$A,"&gt;="&amp;Részletes!N$1,tételek!$A:$A,"&lt;"&amp;Részletes!O$1,tételek!$F:$F,$A$40,tételek!$C:$C,"&lt;"&amp;0)</f>
        <v>-100</v>
      </c>
      <c r="O43" s="70">
        <f>SUMIFS(tételek!$C:$C,tételek!$A:$A,"&gt;="&amp;Részletes!O$1,tételek!$A:$A,"&lt;"&amp;Részletes!P$1,tételek!$F:$F,$A$40,tételek!$C:$C,"&lt;"&amp;0)</f>
        <v>-100</v>
      </c>
      <c r="P43" s="70">
        <f>SUMIFS(tételek!$C:$C,tételek!$A:$A,"&gt;="&amp;Részletes!P$1,tételek!$A:$A,"&lt;"&amp;Részletes!Q$1,tételek!$F:$F,$A$40,tételek!$C:$C,"&lt;"&amp;0)</f>
        <v>-100</v>
      </c>
      <c r="Q43" s="70">
        <f>SUMIFS(tételek!$C:$C,tételek!$A:$A,"&gt;="&amp;Részletes!Q$1,tételek!$A:$A,"&lt;"&amp;Részletes!R$1,tételek!$F:$F,$A$40,tételek!$C:$C,"&lt;"&amp;0)</f>
        <v>-100</v>
      </c>
      <c r="R43" s="70">
        <f>SUMIFS(tételek!$C:$C,tételek!$A:$A,"&gt;="&amp;Részletes!R$1,tételek!$A:$A,"&lt;"&amp;Részletes!S$1,tételek!$F:$F,$A$40,tételek!$C:$C,"&lt;"&amp;0)</f>
        <v>-100</v>
      </c>
      <c r="S43" s="70">
        <f>SUMIFS(tételek!$C:$C,tételek!$A:$A,"&gt;="&amp;Részletes!S$1,tételek!$A:$A,"&lt;"&amp;Részletes!T$1,tételek!$F:$F,$A$40,tételek!$C:$C,"&lt;"&amp;0)</f>
        <v>-100</v>
      </c>
      <c r="T43" s="70">
        <f>SUMIFS(tételek!$C:$C,tételek!$A:$A,"&gt;="&amp;Részletes!T$1,tételek!$A:$A,"&lt;"&amp;Részletes!U$1,tételek!$F:$F,$A$40,tételek!$C:$C,"&lt;"&amp;0)</f>
        <v>-100</v>
      </c>
      <c r="U43" s="70">
        <f>SUMIFS(tételek!$C:$C,tételek!$A:$A,"&gt;="&amp;Részletes!U$1,tételek!$A:$A,"&lt;"&amp;Részletes!V$1,tételek!$F:$F,$A$40,tételek!$C:$C,"&lt;"&amp;0)</f>
        <v>-2530</v>
      </c>
      <c r="V43" s="70">
        <f>SUMIFS(tételek!$C:$C,tételek!$A:$A,"&gt;="&amp;Részletes!V$1,tételek!$A:$A,"&lt;"&amp;Részletes!W$1,tételek!$F:$F,$A$40,tételek!$C:$C,"&lt;"&amp;0)</f>
        <v>-100</v>
      </c>
      <c r="W43" s="70">
        <f>SUMIFS(tételek!$C:$C,tételek!$A:$A,"&gt;="&amp;Részletes!W$1,tételek!$A:$A,"&lt;"&amp;Részletes!X$1,tételek!$F:$F,$A$40,tételek!$C:$C,"&lt;"&amp;0)</f>
        <v>-100</v>
      </c>
      <c r="X43" s="70">
        <f>SUMIFS(tételek!$C:$C,tételek!$A:$A,"&gt;="&amp;Részletes!X$1,tételek!$A:$A,"&lt;"&amp;Részletes!Y$1,tételek!$F:$F,$A$40,tételek!$C:$C,"&lt;"&amp;0)</f>
        <v>-434470</v>
      </c>
      <c r="Y43" s="70">
        <f>SUMIFS(tételek!$C:$C,tételek!$A:$A,"&gt;="&amp;Részletes!Y$1,tételek!$A:$A,"&lt;"&amp;Részletes!Z$1,tételek!$F:$F,$A$40,tételek!$C:$C,"&lt;"&amp;0)</f>
        <v>0</v>
      </c>
      <c r="Z43" s="70">
        <f>SUMIFS(tételek!$C:$C,tételek!$A:$A,"&gt;="&amp;Részletes!Z$1,tételek!$A:$A,"&lt;"&amp;Részletes!AA$1,tételek!$F:$F,$A$40,tételek!$C:$C,"&lt;"&amp;0)</f>
        <v>0</v>
      </c>
      <c r="AA43" s="70">
        <f>SUMIFS(tételek!$C:$C,tételek!$A:$A,"&gt;="&amp;Részletes!AA$1,tételek!$A:$A,"&lt;"&amp;Részletes!AB$1,tételek!$F:$F,$A$40,tételek!$C:$C,"&lt;"&amp;0)</f>
        <v>0</v>
      </c>
      <c r="AB43" s="70">
        <f>SUMIFS(tételek!$C:$C,tételek!$A:$A,"&gt;="&amp;Részletes!AB$1,tételek!$A:$A,"&lt;"&amp;Részletes!AC$1,tételek!$F:$F,$A$40,tételek!$C:$C,"&lt;"&amp;0)</f>
        <v>0</v>
      </c>
      <c r="AC43" s="70">
        <f>SUMIFS(tételek!$C:$C,tételek!$A:$A,"&gt;="&amp;Részletes!AC$1,tételek!$A:$A,"&lt;"&amp;Részletes!AD$1,tételek!$F:$F,$A$40,tételek!$C:$C,"&lt;"&amp;0)</f>
        <v>0</v>
      </c>
      <c r="AD43" s="70">
        <f>SUMIFS(tételek!$C:$C,tételek!$A:$A,"&gt;="&amp;Részletes!AD$1,tételek!$A:$A,"&lt;"&amp;Részletes!AE$1,tételek!$F:$F,$A$40,tételek!$C:$C,"&lt;"&amp;0)</f>
        <v>0</v>
      </c>
      <c r="AE43" s="70">
        <f>SUMIFS(tételek!$C:$C,tételek!$A:$A,"&gt;="&amp;Részletes!AE$1,tételek!$A:$A,"&lt;"&amp;Részletes!AF$1,tételek!$F:$F,$A$40,tételek!$C:$C,"&lt;"&amp;0)</f>
        <v>0</v>
      </c>
      <c r="AF43" s="70">
        <f>SUMIFS(tételek!$C:$C,tételek!$A:$A,"&gt;="&amp;Részletes!AF$1,tételek!$A:$A,"&lt;"&amp;Részletes!AG$1,tételek!$F:$F,$A$40,tételek!$C:$C,"&lt;"&amp;0)</f>
        <v>0</v>
      </c>
      <c r="AG43" s="70">
        <f>SUMIFS(tételek!$C:$C,tételek!$A:$A,"&gt;="&amp;Részletes!AG$1,tételek!$A:$A,"&lt;"&amp;Részletes!AH$1,tételek!$F:$F,$A$40,tételek!$C:$C,"&lt;"&amp;0)</f>
        <v>0</v>
      </c>
      <c r="AH43" s="70">
        <f>SUMIFS(tételek!$C:$C,tételek!$A:$A,"&gt;="&amp;Részletes!AH$1,tételek!$A:$A,"&lt;"&amp;Részletes!AI$1,tételek!$F:$F,$A$40,tételek!$C:$C,"&lt;"&amp;0)</f>
        <v>0</v>
      </c>
      <c r="AI43" s="70">
        <f>SUMIFS(tételek!$C:$C,tételek!$A:$A,"&gt;="&amp;Részletes!AI$1,tételek!$A:$A,"&lt;"&amp;Részletes!AJ$1,tételek!$F:$F,$A$40,tételek!$C:$C,"&lt;"&amp;0)</f>
        <v>0</v>
      </c>
      <c r="AJ43" s="70">
        <f>SUMIFS(tételek!$C:$C,tételek!$A:$A,"&gt;="&amp;Részletes!AJ$1,tételek!$A:$A,"&lt;"&amp;Részletes!AK$1,tételek!$F:$F,$A$40,tételek!$C:$C,"&lt;"&amp;0)</f>
        <v>0</v>
      </c>
      <c r="AK43" s="70">
        <f>SUMIFS(tételek!$C:$C,tételek!$A:$A,"&gt;="&amp;Részletes!AK$1,tételek!$A:$A,"&lt;"&amp;Részletes!AL$1,tételek!$F:$F,$A$40,tételek!$C:$C,"&lt;"&amp;0)</f>
        <v>-1390000</v>
      </c>
      <c r="AL43" s="70">
        <f>SUMIFS(tételek!$C:$C,tételek!$A:$A,"&gt;="&amp;Részletes!AL$1,tételek!$A:$A,"&lt;"&amp;Részletes!AM$1,tételek!$F:$F,$A$40,tételek!$C:$C,"&lt;"&amp;0)</f>
        <v>0</v>
      </c>
      <c r="AM43" s="70">
        <f>SUMIFS(tételek!$C:$C,tételek!$A:$A,"&gt;="&amp;Részletes!AM$1,tételek!$A:$A,"&lt;"&amp;Részletes!AN$1,tételek!$F:$F,$A$40,tételek!$C:$C,"&lt;"&amp;0)</f>
        <v>0</v>
      </c>
      <c r="AN43" s="70">
        <f>SUMIFS(tételek!$C:$C,tételek!$A:$A,"&gt;="&amp;Részletes!AN$1,tételek!$A:$A,"&lt;"&amp;Részletes!AO$1,tételek!$F:$F,$A$40,tételek!$C:$C,"&lt;"&amp;0)</f>
        <v>0</v>
      </c>
      <c r="AO43" s="70">
        <f>SUMIFS(tételek!$C:$C,tételek!$A:$A,"&gt;="&amp;Részletes!AO$1,tételek!$A:$A,"&lt;"&amp;Részletes!AP$1,tételek!$F:$F,$A$40,tételek!$C:$C,"&lt;"&amp;0)</f>
        <v>0</v>
      </c>
      <c r="AP43" s="70">
        <f>SUMIFS(tételek!$C:$C,tételek!$A:$A,"&gt;="&amp;Részletes!AP$1,tételek!$A:$A,"&lt;"&amp;Részletes!AQ$1,tételek!$F:$F,$A$40,tételek!$C:$C,"&lt;"&amp;0)</f>
        <v>0</v>
      </c>
      <c r="AQ43" s="70">
        <f>SUMIFS(tételek!$C:$C,tételek!$A:$A,"&gt;="&amp;Részletes!AQ$1,tételek!$A:$A,"&lt;"&amp;Részletes!AR$1,tételek!$F:$F,$A$40,tételek!$C:$C,"&lt;"&amp;0)</f>
        <v>0</v>
      </c>
      <c r="AR43" s="70">
        <f>SUMIFS(tételek!$C:$C,tételek!$A:$A,"&gt;="&amp;Részletes!AR$1,tételek!$A:$A,"&lt;"&amp;Részletes!AS$1,tételek!$F:$F,$A$40,tételek!$C:$C,"&lt;"&amp;0)</f>
        <v>0</v>
      </c>
      <c r="AS43" s="70">
        <f>SUMIFS(tételek!$C:$C,tételek!$A:$A,"&gt;="&amp;Részletes!AS$1,tételek!$A:$A,"&lt;"&amp;Részletes!AT$1,tételek!$F:$F,$A$40,tételek!$C:$C,"&lt;"&amp;0)</f>
        <v>0</v>
      </c>
      <c r="AT43" s="70">
        <f>SUMIFS(tételek!$C:$C,tételek!$A:$A,"&gt;="&amp;Részletes!AT$1,tételek!$A:$A,"&lt;"&amp;Részletes!AU$1,tételek!$F:$F,$A$40,tételek!$C:$C,"&lt;"&amp;0)</f>
        <v>0</v>
      </c>
      <c r="AU43" s="70">
        <f>SUMIFS(tételek!$C:$C,tételek!$A:$A,"&gt;="&amp;Részletes!AU$1,tételek!$A:$A,"&lt;"&amp;Részletes!AV$1,tételek!$F:$F,$A$40,tételek!$C:$C,"&lt;"&amp;0)</f>
        <v>0</v>
      </c>
      <c r="AV43" s="70">
        <f>SUMIFS(tételek!$C:$C,tételek!$A:$A,"&gt;="&amp;Részletes!AV$1,tételek!$A:$A,"&lt;"&amp;Részletes!AW$1,tételek!$F:$F,$A$40,tételek!$C:$C,"&lt;"&amp;0)</f>
        <v>0</v>
      </c>
      <c r="AW43" s="70">
        <f>SUMIFS(tételek!$C:$C,tételek!$A:$A,"&gt;="&amp;Részletes!AW$1,tételek!$A:$A,"&lt;"&amp;Részletes!AX$1,tételek!$F:$F,$A$40,tételek!$C:$C,"&lt;"&amp;0)</f>
        <v>0</v>
      </c>
      <c r="AX43" s="70">
        <f>SUMIFS(tételek!$C:$C,tételek!$A:$A,"&gt;="&amp;Részletes!AX$1,tételek!$A:$A,"&lt;"&amp;Részletes!AY$1,tételek!$F:$F,$A$40,tételek!$C:$C,"&lt;"&amp;0)</f>
        <v>0</v>
      </c>
      <c r="AY43" s="70">
        <f>SUMIFS(tételek!$C:$C,tételek!$A:$A,"&gt;="&amp;Részletes!AY$1,tételek!$A:$A,"&lt;"&amp;Részletes!AZ$1,tételek!$F:$F,$A$40,tételek!$C:$C,"&lt;"&amp;0)</f>
        <v>0</v>
      </c>
      <c r="AZ43" s="70">
        <f>SUMIFS(tételek!$C:$C,tételek!$A:$A,"&gt;="&amp;Részletes!AZ$1,tételek!$A:$A,"&lt;"&amp;Részletes!BA$1,tételek!$F:$F,$A$40,tételek!$C:$C,"&lt;"&amp;0)</f>
        <v>0</v>
      </c>
      <c r="BA43" s="70">
        <f>SUMIFS(tételek!$C:$C,tételek!$A:$A,"&gt;="&amp;Részletes!BA$1,tételek!$A:$A,"&lt;"&amp;Részletes!BB$1,tételek!$F:$F,$A$40,tételek!$C:$C,"&lt;"&amp;0)</f>
        <v>0</v>
      </c>
      <c r="BB43" s="70">
        <f>SUMIFS(tételek!$C:$C,tételek!$A:$A,"&gt;="&amp;Részletes!BB$1,tételek!$A:$A,"&lt;"&amp;Részletes!BC$1,tételek!$F:$F,$A$40,tételek!$C:$C,"&lt;"&amp;0)</f>
        <v>0</v>
      </c>
      <c r="BC43" s="70">
        <f>SUMIFS(tételek!$C:$C,tételek!$A:$A,"&gt;="&amp;Részletes!BC$1,tételek!$A:$A,"&lt;"&amp;Részletes!BD$1,tételek!$F:$F,$A$40,tételek!$C:$C,"&lt;"&amp;0)</f>
        <v>0</v>
      </c>
      <c r="BD43" s="70">
        <f>SUMIFS(tételek!$C:$C,tételek!$A:$A,"&gt;="&amp;Részletes!BD$1,tételek!$A:$A,"&lt;"&amp;Részletes!BE$1,tételek!$F:$F,$A$40,tételek!$C:$C,"&lt;"&amp;0)</f>
        <v>0</v>
      </c>
      <c r="BE43" s="70">
        <f>SUMIFS(tételek!$C:$C,tételek!$A:$A,"&gt;="&amp;Részletes!BE$1,tételek!$A:$A,"&lt;"&amp;Részletes!BF$1,tételek!$F:$F,$A$40,tételek!$C:$C,"&lt;"&amp;0)</f>
        <v>0</v>
      </c>
      <c r="BF43" s="70">
        <f>SUMIFS(tételek!$C:$C,tételek!$A:$A,"&gt;="&amp;Részletes!BF$1,tételek!$A:$A,"&lt;"&amp;Részletes!BG$1,tételek!$F:$F,$A$40,tételek!$C:$C,"&lt;"&amp;0)</f>
        <v>0</v>
      </c>
      <c r="BG43" s="70">
        <f>SUMIFS(tételek!$C:$C,tételek!$A:$A,"&gt;="&amp;Részletes!BG$1,tételek!$A:$A,"&lt;"&amp;Részletes!BH$1,tételek!$F:$F,$A$40,tételek!$C:$C,"&lt;"&amp;0)</f>
        <v>0</v>
      </c>
      <c r="BH43" s="70">
        <f>SUMIFS(tételek!$C:$C,tételek!$A:$A,"&gt;="&amp;Részletes!BH$1,tételek!$A:$A,"&lt;"&amp;Részletes!BI$1,tételek!$F:$F,$A$40,tételek!$C:$C,"&lt;"&amp;0)</f>
        <v>0</v>
      </c>
      <c r="BI43" s="70">
        <f>SUMIFS(tételek!$C:$C,tételek!$A:$A,"&gt;="&amp;Részletes!BI$1,tételek!$A:$A,"&lt;"&amp;Részletes!BJ$1,tételek!$F:$F,$A$40,tételek!$C:$C,"&lt;"&amp;0)</f>
        <v>0</v>
      </c>
      <c r="BJ43" s="70">
        <f>SUMIFS(tételek!$C:$C,tételek!$A:$A,"&gt;="&amp;Részletes!BJ$1,tételek!$A:$A,"&lt;"&amp;Részletes!BK$1,tételek!$F:$F,$A$40,tételek!$C:$C,"&lt;"&amp;0)</f>
        <v>0</v>
      </c>
      <c r="BK43" s="70">
        <f>SUMIFS(tételek!$C:$C,tételek!$A:$A,"&gt;="&amp;Részletes!BK$1,tételek!$A:$A,"&lt;"&amp;Részletes!BL$1,tételek!$F:$F,$A$40,tételek!$C:$C,"&lt;"&amp;0)</f>
        <v>0</v>
      </c>
      <c r="BL43" s="70">
        <f>SUMIFS(tételek!$C:$C,tételek!$A:$A,"&gt;="&amp;Részletes!BL$1,tételek!$A:$A,"&lt;"&amp;Részletes!BM$1,tételek!$F:$F,$A$40,tételek!$C:$C,"&lt;"&amp;0)</f>
        <v>0</v>
      </c>
      <c r="BM43" s="70">
        <f>SUMIFS(tételek!$C:$C,tételek!$A:$A,"&gt;="&amp;Részletes!BM$1,tételek!$A:$A,"&lt;"&amp;Részletes!BN$1,tételek!$F:$F,$A$40,tételek!$C:$C,"&lt;"&amp;0)</f>
        <v>0</v>
      </c>
      <c r="BN43" s="70">
        <f>SUMIFS(tételek!$C:$C,tételek!$A:$A,"&gt;="&amp;Részletes!BN$1,tételek!$A:$A,"&lt;"&amp;Részletes!BO$1,tételek!$F:$F,$A$40,tételek!$C:$C,"&lt;"&amp;0)</f>
        <v>0</v>
      </c>
      <c r="BO43" s="70">
        <f>SUMIFS(tételek!$C:$C,tételek!$A:$A,"&gt;="&amp;Részletes!BO$1,tételek!$A:$A,"&lt;"&amp;Részletes!BP$1,tételek!$F:$F,$A$40,tételek!$C:$C,"&lt;"&amp;0)</f>
        <v>0</v>
      </c>
      <c r="BP43" s="70">
        <f>SUMIFS(tételek!$C:$C,tételek!$A:$A,"&gt;="&amp;Részletes!BP$1,tételek!$A:$A,"&lt;"&amp;Részletes!BQ$1,tételek!$F:$F,$A$40,tételek!$C:$C,"&lt;"&amp;0)</f>
        <v>0</v>
      </c>
      <c r="BQ43" s="70">
        <f>SUMIFS(tételek!$C:$C,tételek!$A:$A,"&gt;="&amp;Részletes!BQ$1,tételek!$A:$A,"&lt;"&amp;Részletes!BR$1,tételek!$F:$F,$A$40,tételek!$C:$C,"&lt;"&amp;0)</f>
        <v>0</v>
      </c>
      <c r="BR43" s="70">
        <f>SUMIFS(tételek!$C:$C,tételek!$A:$A,"&gt;="&amp;Részletes!BR$1,tételek!$A:$A,"&lt;"&amp;Részletes!BS$1,tételek!$F:$F,$A$40,tételek!$C:$C,"&lt;"&amp;0)</f>
        <v>0</v>
      </c>
      <c r="BS43" s="70">
        <f>SUMIFS(tételek!$C:$C,tételek!$A:$A,"&gt;="&amp;Részletes!BS$1,tételek!$A:$A,"&lt;"&amp;Részletes!BT$1,tételek!$F:$F,$A$40,tételek!$C:$C,"&lt;"&amp;0)</f>
        <v>0</v>
      </c>
      <c r="BT43" s="70">
        <f>SUMIFS(tételek!$C:$C,tételek!$A:$A,"&gt;="&amp;Részletes!BT$1,tételek!$A:$A,"&lt;"&amp;Részletes!BU$1,tételek!$F:$F,$A$40,tételek!$C:$C,"&lt;"&amp;0)</f>
        <v>0</v>
      </c>
      <c r="BU43" s="70">
        <f>SUMIFS(tételek!$C:$C,tételek!$A:$A,"&gt;="&amp;Részletes!BU$1,tételek!$A:$A,"&lt;"&amp;Részletes!BV$1,tételek!$F:$F,$A$40,tételek!$C:$C,"&lt;"&amp;0)</f>
        <v>0</v>
      </c>
      <c r="BV43" s="70">
        <f>SUMIFS(tételek!$C:$C,tételek!$A:$A,"&gt;="&amp;Részletes!BV$1,tételek!$A:$A,"&lt;"&amp;Részletes!BW$1,tételek!$F:$F,$A$40,tételek!$C:$C,"&lt;"&amp;0)</f>
        <v>0</v>
      </c>
      <c r="BW43" s="70">
        <f>SUMIFS(tételek!$C:$C,tételek!$A:$A,"&gt;="&amp;Részletes!BW$1,tételek!$A:$A,"&lt;"&amp;Részletes!BX$1,tételek!$F:$F,$A$40,tételek!$C:$C,"&lt;"&amp;0)</f>
        <v>0</v>
      </c>
    </row>
    <row r="44" spans="1:75" x14ac:dyDescent="0.25">
      <c r="A44" s="73" t="s">
        <v>22</v>
      </c>
      <c r="B44" s="73">
        <f>SUM(B41:B43)</f>
        <v>97754</v>
      </c>
      <c r="C44" s="73">
        <f t="shared" ref="C44:L44" si="35">IF(C41&lt;&gt;"",C41,SUM(B41:B43))</f>
        <v>97810</v>
      </c>
      <c r="D44" s="73">
        <f t="shared" si="35"/>
        <v>97710</v>
      </c>
      <c r="E44" s="73">
        <f t="shared" si="35"/>
        <v>211610</v>
      </c>
      <c r="F44" s="73">
        <f t="shared" si="35"/>
        <v>211922</v>
      </c>
      <c r="G44" s="73">
        <f t="shared" si="35"/>
        <v>208623</v>
      </c>
      <c r="H44" s="73">
        <f t="shared" si="35"/>
        <v>208523</v>
      </c>
      <c r="I44" s="73">
        <f t="shared" si="35"/>
        <v>208767</v>
      </c>
      <c r="J44" s="73">
        <f t="shared" si="35"/>
        <v>208667</v>
      </c>
      <c r="K44" s="73">
        <f t="shared" si="35"/>
        <v>208567</v>
      </c>
      <c r="L44" s="73">
        <f t="shared" si="35"/>
        <v>543153</v>
      </c>
      <c r="M44" s="73">
        <f t="shared" ref="M44:AR44" si="36">IF(M41="",L44,SUM(M41:M43))</f>
        <v>542953</v>
      </c>
      <c r="N44" s="73">
        <f t="shared" si="36"/>
        <v>542853</v>
      </c>
      <c r="O44" s="73">
        <f t="shared" si="36"/>
        <v>547711</v>
      </c>
      <c r="P44" s="73">
        <f t="shared" si="36"/>
        <v>545132</v>
      </c>
      <c r="Q44" s="73">
        <f t="shared" si="36"/>
        <v>545032</v>
      </c>
      <c r="R44" s="73">
        <f t="shared" si="36"/>
        <v>778574</v>
      </c>
      <c r="S44" s="73">
        <f t="shared" si="36"/>
        <v>661653</v>
      </c>
      <c r="T44" s="73">
        <f t="shared" si="36"/>
        <v>661553</v>
      </c>
      <c r="U44" s="73">
        <f t="shared" si="36"/>
        <v>658979</v>
      </c>
      <c r="V44" s="73">
        <f t="shared" si="36"/>
        <v>660116</v>
      </c>
      <c r="W44" s="73">
        <f t="shared" si="36"/>
        <v>660016</v>
      </c>
      <c r="X44" s="73">
        <f t="shared" si="36"/>
        <v>1717976</v>
      </c>
      <c r="Y44" s="73">
        <f t="shared" si="36"/>
        <v>1189046</v>
      </c>
      <c r="Z44" s="73">
        <f t="shared" si="36"/>
        <v>1190143</v>
      </c>
      <c r="AA44" s="73">
        <f t="shared" si="36"/>
        <v>1190143</v>
      </c>
      <c r="AB44" s="73">
        <f t="shared" si="36"/>
        <v>1190143</v>
      </c>
      <c r="AC44" s="73">
        <f t="shared" si="36"/>
        <v>1190143</v>
      </c>
      <c r="AD44" s="73">
        <f t="shared" si="36"/>
        <v>1190143</v>
      </c>
      <c r="AE44" s="73">
        <f t="shared" si="36"/>
        <v>1190143</v>
      </c>
      <c r="AF44" s="73">
        <f t="shared" si="36"/>
        <v>1190143</v>
      </c>
      <c r="AG44" s="73">
        <f t="shared" si="36"/>
        <v>1190143</v>
      </c>
      <c r="AH44" s="73">
        <f t="shared" si="36"/>
        <v>1190143</v>
      </c>
      <c r="AI44" s="73">
        <f t="shared" si="36"/>
        <v>1190143</v>
      </c>
      <c r="AJ44" s="73">
        <f t="shared" si="36"/>
        <v>1190143</v>
      </c>
      <c r="AK44" s="73">
        <f t="shared" si="36"/>
        <v>4408</v>
      </c>
      <c r="AL44" s="73">
        <f t="shared" si="36"/>
        <v>9408</v>
      </c>
      <c r="AM44" s="73">
        <f t="shared" si="36"/>
        <v>10531</v>
      </c>
      <c r="AN44" s="73">
        <f t="shared" si="36"/>
        <v>10531</v>
      </c>
      <c r="AO44" s="73">
        <f t="shared" si="36"/>
        <v>10531</v>
      </c>
      <c r="AP44" s="73">
        <f t="shared" si="36"/>
        <v>10531</v>
      </c>
      <c r="AQ44" s="73">
        <f t="shared" si="36"/>
        <v>10531</v>
      </c>
      <c r="AR44" s="73">
        <f t="shared" si="36"/>
        <v>10531</v>
      </c>
      <c r="AS44" s="73">
        <f t="shared" ref="AS44:BX44" si="37">IF(AS41="",AR44,SUM(AS41:AS43))</f>
        <v>10531</v>
      </c>
      <c r="AT44" s="73">
        <f t="shared" si="37"/>
        <v>10531</v>
      </c>
      <c r="AU44" s="73">
        <f t="shared" si="37"/>
        <v>10531</v>
      </c>
      <c r="AV44" s="73">
        <f t="shared" si="37"/>
        <v>10531</v>
      </c>
      <c r="AW44" s="73">
        <f t="shared" si="37"/>
        <v>10531</v>
      </c>
      <c r="AX44" s="73">
        <f t="shared" si="37"/>
        <v>9231</v>
      </c>
      <c r="AY44" s="73">
        <f t="shared" si="37"/>
        <v>9231</v>
      </c>
      <c r="AZ44" s="73">
        <f t="shared" si="37"/>
        <v>9231</v>
      </c>
      <c r="BA44" s="73">
        <f t="shared" si="37"/>
        <v>9231</v>
      </c>
      <c r="BB44" s="73">
        <f t="shared" si="37"/>
        <v>9231</v>
      </c>
      <c r="BC44" s="73">
        <f t="shared" si="37"/>
        <v>9231</v>
      </c>
      <c r="BD44" s="73">
        <f t="shared" si="37"/>
        <v>9231</v>
      </c>
      <c r="BE44" s="73">
        <f t="shared" si="37"/>
        <v>9231</v>
      </c>
      <c r="BF44" s="73">
        <f t="shared" si="37"/>
        <v>9231</v>
      </c>
      <c r="BG44" s="73">
        <f t="shared" si="37"/>
        <v>9231</v>
      </c>
      <c r="BH44" s="73">
        <f t="shared" si="37"/>
        <v>9231</v>
      </c>
      <c r="BI44" s="73">
        <f t="shared" si="37"/>
        <v>9231</v>
      </c>
      <c r="BJ44" s="73">
        <f t="shared" si="37"/>
        <v>9231</v>
      </c>
      <c r="BK44" s="73">
        <f t="shared" si="37"/>
        <v>9231</v>
      </c>
      <c r="BL44" s="73">
        <f t="shared" si="37"/>
        <v>9231</v>
      </c>
      <c r="BM44" s="73">
        <f t="shared" si="37"/>
        <v>9231</v>
      </c>
      <c r="BN44" s="73">
        <f t="shared" si="37"/>
        <v>9231</v>
      </c>
      <c r="BO44" s="73">
        <f t="shared" si="37"/>
        <v>9231</v>
      </c>
      <c r="BP44" s="73">
        <f t="shared" si="37"/>
        <v>9231</v>
      </c>
      <c r="BQ44" s="73">
        <f t="shared" si="37"/>
        <v>9231</v>
      </c>
      <c r="BR44" s="73">
        <f t="shared" si="37"/>
        <v>9231</v>
      </c>
      <c r="BS44" s="73">
        <f t="shared" si="37"/>
        <v>9231</v>
      </c>
      <c r="BT44" s="73">
        <f t="shared" si="37"/>
        <v>9231</v>
      </c>
      <c r="BU44" s="73">
        <f t="shared" si="37"/>
        <v>9231</v>
      </c>
      <c r="BV44" s="73">
        <f t="shared" si="37"/>
        <v>9231</v>
      </c>
      <c r="BW44" s="73">
        <f t="shared" si="37"/>
        <v>9231</v>
      </c>
    </row>
    <row r="46" spans="1:75" ht="18.75" hidden="1" customHeight="1" x14ac:dyDescent="0.3">
      <c r="A46" s="80" t="s">
        <v>6</v>
      </c>
    </row>
    <row r="47" spans="1:75" hidden="1" x14ac:dyDescent="0.25">
      <c r="A47" s="70" t="s">
        <v>17</v>
      </c>
      <c r="B47" s="72">
        <v>164181</v>
      </c>
      <c r="C47" s="72">
        <v>164181</v>
      </c>
      <c r="D47" s="72">
        <v>164181</v>
      </c>
      <c r="E47" s="72">
        <v>164181</v>
      </c>
      <c r="F47" s="72">
        <v>164181</v>
      </c>
      <c r="G47" s="72">
        <v>164181</v>
      </c>
      <c r="H47" s="72">
        <v>164181</v>
      </c>
      <c r="I47" s="72">
        <v>164181</v>
      </c>
      <c r="J47" s="72">
        <v>164181</v>
      </c>
      <c r="K47" s="72">
        <v>164181</v>
      </c>
      <c r="L47" s="72">
        <v>164181</v>
      </c>
      <c r="M47" s="72">
        <v>164181</v>
      </c>
      <c r="N47" s="72">
        <v>164181</v>
      </c>
      <c r="O47" s="72">
        <v>164181</v>
      </c>
      <c r="P47" s="72">
        <v>164181</v>
      </c>
      <c r="Q47" s="72">
        <v>164181</v>
      </c>
      <c r="R47" s="72">
        <v>164181</v>
      </c>
      <c r="S47" s="72">
        <v>164181</v>
      </c>
      <c r="T47" s="72">
        <v>164181</v>
      </c>
      <c r="U47" s="72">
        <v>164181</v>
      </c>
      <c r="V47" s="72">
        <v>164181</v>
      </c>
      <c r="W47" s="72">
        <v>164181</v>
      </c>
      <c r="X47" s="72">
        <v>164181</v>
      </c>
      <c r="Y47" s="72">
        <v>164181</v>
      </c>
      <c r="Z47" s="72">
        <v>164181</v>
      </c>
      <c r="AA47" s="72">
        <v>164181</v>
      </c>
      <c r="AB47" s="72">
        <v>164181</v>
      </c>
      <c r="AC47" s="72">
        <v>164181</v>
      </c>
      <c r="AD47" s="72">
        <v>164181</v>
      </c>
      <c r="AE47" s="72">
        <v>164181</v>
      </c>
      <c r="AF47" s="72">
        <v>164181</v>
      </c>
      <c r="AG47" s="72"/>
      <c r="AH47" s="72"/>
      <c r="AI47" s="72"/>
      <c r="AJ47" s="72"/>
      <c r="AK47" s="72">
        <v>164181</v>
      </c>
      <c r="AL47" s="72">
        <v>0</v>
      </c>
      <c r="AM47" s="72">
        <v>0</v>
      </c>
      <c r="AN47" s="72">
        <v>0</v>
      </c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</row>
    <row r="48" spans="1:75" hidden="1" x14ac:dyDescent="0.25">
      <c r="A48" s="70" t="s">
        <v>25</v>
      </c>
    </row>
    <row r="49" spans="1:75" hidden="1" x14ac:dyDescent="0.25">
      <c r="A49" s="70" t="s">
        <v>26</v>
      </c>
    </row>
    <row r="50" spans="1:75" hidden="1" x14ac:dyDescent="0.25">
      <c r="A50" s="73" t="s">
        <v>22</v>
      </c>
      <c r="B50" s="73">
        <f t="shared" ref="B50:L50" si="38">SUM(B47:B49)</f>
        <v>164181</v>
      </c>
      <c r="C50" s="73">
        <f t="shared" si="38"/>
        <v>164181</v>
      </c>
      <c r="D50" s="73">
        <f t="shared" si="38"/>
        <v>164181</v>
      </c>
      <c r="E50" s="73">
        <f t="shared" si="38"/>
        <v>164181</v>
      </c>
      <c r="F50" s="73">
        <f t="shared" si="38"/>
        <v>164181</v>
      </c>
      <c r="G50" s="73">
        <f t="shared" si="38"/>
        <v>164181</v>
      </c>
      <c r="H50" s="73">
        <f t="shared" si="38"/>
        <v>164181</v>
      </c>
      <c r="I50" s="73">
        <f t="shared" si="38"/>
        <v>164181</v>
      </c>
      <c r="J50" s="73">
        <f t="shared" si="38"/>
        <v>164181</v>
      </c>
      <c r="K50" s="73">
        <f t="shared" si="38"/>
        <v>164181</v>
      </c>
      <c r="L50" s="73">
        <f t="shared" si="38"/>
        <v>164181</v>
      </c>
      <c r="M50" s="73">
        <f t="shared" ref="M50:AR50" si="39">IF(M47="",L50,SUM(M47:M49))</f>
        <v>164181</v>
      </c>
      <c r="N50" s="73">
        <f t="shared" si="39"/>
        <v>164181</v>
      </c>
      <c r="O50" s="73">
        <f t="shared" si="39"/>
        <v>164181</v>
      </c>
      <c r="P50" s="73">
        <f t="shared" si="39"/>
        <v>164181</v>
      </c>
      <c r="Q50" s="73">
        <f t="shared" si="39"/>
        <v>164181</v>
      </c>
      <c r="R50" s="73">
        <f t="shared" si="39"/>
        <v>164181</v>
      </c>
      <c r="S50" s="73">
        <f t="shared" si="39"/>
        <v>164181</v>
      </c>
      <c r="T50" s="73">
        <f t="shared" si="39"/>
        <v>164181</v>
      </c>
      <c r="U50" s="73">
        <f t="shared" si="39"/>
        <v>164181</v>
      </c>
      <c r="V50" s="73">
        <f t="shared" si="39"/>
        <v>164181</v>
      </c>
      <c r="W50" s="73">
        <f t="shared" si="39"/>
        <v>164181</v>
      </c>
      <c r="X50" s="73">
        <f t="shared" si="39"/>
        <v>164181</v>
      </c>
      <c r="Y50" s="73">
        <f t="shared" si="39"/>
        <v>164181</v>
      </c>
      <c r="Z50" s="73">
        <f t="shared" si="39"/>
        <v>164181</v>
      </c>
      <c r="AA50" s="73">
        <f t="shared" si="39"/>
        <v>164181</v>
      </c>
      <c r="AB50" s="73">
        <f t="shared" si="39"/>
        <v>164181</v>
      </c>
      <c r="AC50" s="73">
        <f t="shared" si="39"/>
        <v>164181</v>
      </c>
      <c r="AD50" s="73">
        <f t="shared" si="39"/>
        <v>164181</v>
      </c>
      <c r="AE50" s="73">
        <f t="shared" si="39"/>
        <v>164181</v>
      </c>
      <c r="AF50" s="73">
        <f t="shared" si="39"/>
        <v>164181</v>
      </c>
      <c r="AG50" s="73">
        <f t="shared" si="39"/>
        <v>164181</v>
      </c>
      <c r="AH50" s="73">
        <f t="shared" si="39"/>
        <v>164181</v>
      </c>
      <c r="AI50" s="73">
        <f t="shared" si="39"/>
        <v>164181</v>
      </c>
      <c r="AJ50" s="73">
        <f t="shared" si="39"/>
        <v>164181</v>
      </c>
      <c r="AK50" s="73">
        <f t="shared" si="39"/>
        <v>164181</v>
      </c>
      <c r="AL50" s="73">
        <f t="shared" si="39"/>
        <v>0</v>
      </c>
      <c r="AM50" s="73">
        <f t="shared" si="39"/>
        <v>0</v>
      </c>
      <c r="AN50" s="73">
        <f t="shared" si="39"/>
        <v>0</v>
      </c>
      <c r="AO50" s="73">
        <f t="shared" si="39"/>
        <v>0</v>
      </c>
      <c r="AP50" s="73">
        <f t="shared" si="39"/>
        <v>0</v>
      </c>
      <c r="AQ50" s="73">
        <f t="shared" si="39"/>
        <v>0</v>
      </c>
      <c r="AR50" s="73">
        <f t="shared" si="39"/>
        <v>0</v>
      </c>
      <c r="AS50" s="73">
        <f t="shared" ref="AS50:BX50" si="40">IF(AS47="",AR50,SUM(AS47:AS49))</f>
        <v>0</v>
      </c>
      <c r="AT50" s="73">
        <f t="shared" si="40"/>
        <v>0</v>
      </c>
      <c r="AU50" s="73">
        <f t="shared" si="40"/>
        <v>0</v>
      </c>
      <c r="AV50" s="73">
        <f t="shared" si="40"/>
        <v>0</v>
      </c>
      <c r="AW50" s="73">
        <f t="shared" si="40"/>
        <v>0</v>
      </c>
      <c r="AX50" s="73">
        <f t="shared" si="40"/>
        <v>0</v>
      </c>
      <c r="AY50" s="73">
        <f t="shared" si="40"/>
        <v>0</v>
      </c>
      <c r="AZ50" s="73">
        <f t="shared" si="40"/>
        <v>0</v>
      </c>
      <c r="BA50" s="73">
        <f t="shared" si="40"/>
        <v>0</v>
      </c>
      <c r="BB50" s="73">
        <f t="shared" si="40"/>
        <v>0</v>
      </c>
      <c r="BC50" s="73">
        <f t="shared" si="40"/>
        <v>0</v>
      </c>
      <c r="BD50" s="73">
        <f t="shared" si="40"/>
        <v>0</v>
      </c>
      <c r="BE50" s="73">
        <f t="shared" si="40"/>
        <v>0</v>
      </c>
      <c r="BF50" s="73">
        <f t="shared" si="40"/>
        <v>0</v>
      </c>
      <c r="BG50" s="73">
        <f t="shared" si="40"/>
        <v>0</v>
      </c>
      <c r="BH50" s="73">
        <f t="shared" si="40"/>
        <v>0</v>
      </c>
      <c r="BI50" s="73">
        <f t="shared" si="40"/>
        <v>0</v>
      </c>
      <c r="BJ50" s="73">
        <f t="shared" si="40"/>
        <v>0</v>
      </c>
      <c r="BK50" s="73">
        <f t="shared" si="40"/>
        <v>0</v>
      </c>
      <c r="BL50" s="73">
        <f t="shared" si="40"/>
        <v>0</v>
      </c>
      <c r="BM50" s="73">
        <f t="shared" si="40"/>
        <v>0</v>
      </c>
      <c r="BN50" s="73">
        <f t="shared" si="40"/>
        <v>0</v>
      </c>
      <c r="BO50" s="73">
        <f t="shared" si="40"/>
        <v>0</v>
      </c>
      <c r="BP50" s="73">
        <f t="shared" si="40"/>
        <v>0</v>
      </c>
      <c r="BQ50" s="73">
        <f t="shared" si="40"/>
        <v>0</v>
      </c>
      <c r="BR50" s="73">
        <f t="shared" si="40"/>
        <v>0</v>
      </c>
      <c r="BS50" s="73">
        <f t="shared" si="40"/>
        <v>0</v>
      </c>
      <c r="BT50" s="73">
        <f t="shared" si="40"/>
        <v>0</v>
      </c>
      <c r="BU50" s="73">
        <f t="shared" si="40"/>
        <v>0</v>
      </c>
      <c r="BV50" s="73">
        <f t="shared" si="40"/>
        <v>0</v>
      </c>
      <c r="BW50" s="73">
        <f t="shared" si="40"/>
        <v>0</v>
      </c>
    </row>
    <row r="52" spans="1:75" ht="18.75" customHeight="1" x14ac:dyDescent="0.3">
      <c r="A52" s="81" t="s">
        <v>7</v>
      </c>
    </row>
    <row r="53" spans="1:75" x14ac:dyDescent="0.25">
      <c r="A53" s="70" t="s">
        <v>25</v>
      </c>
      <c r="B53" s="70">
        <f>SUMIFS(tételek!$C:$C,tételek!$A:$A,"&gt;="&amp;Részletes!B1,tételek!$A:$A,"&lt;"&amp;Részletes!C1,tételek!$F:$F,$A$52,tételek!$C:$C,"&gt;"&amp;0)</f>
        <v>0</v>
      </c>
      <c r="C53" s="70">
        <f>SUMIFS(tételek!$C:$C,tételek!$A:$A,"&gt;="&amp;Részletes!C1,tételek!$A:$A,"&lt;"&amp;Részletes!D1,tételek!$F:$F,$A$52,tételek!$C:$C,"&gt;"&amp;0)</f>
        <v>0</v>
      </c>
      <c r="D53" s="70">
        <f>SUMIFS(tételek!$C:$C,tételek!$A:$A,"&gt;="&amp;Részletes!D1,tételek!$A:$A,"&lt;"&amp;Részletes!E1,tételek!$F:$F,$A$52,tételek!$C:$C,"&gt;"&amp;0)</f>
        <v>0</v>
      </c>
      <c r="E53" s="70">
        <f>SUMIFS(tételek!$C:$C,tételek!$A:$A,"&gt;="&amp;Részletes!E1,tételek!$A:$A,"&lt;"&amp;Részletes!F1,tételek!$F:$F,$A$52,tételek!$C:$C,"&gt;"&amp;0)</f>
        <v>30000</v>
      </c>
      <c r="F53" s="70">
        <f>SUMIFS(tételek!$C:$C,tételek!$A:$A,"&gt;="&amp;Részletes!F1,tételek!$A:$A,"&lt;"&amp;Részletes!G1,tételek!$F:$F,$A$52,tételek!$C:$C,"&gt;"&amp;0)</f>
        <v>39000</v>
      </c>
      <c r="G53" s="70">
        <f>SUMIFS(tételek!$C:$C,tételek!$A:$A,"&gt;="&amp;Részletes!G1,tételek!$A:$A,"&lt;"&amp;Részletes!H1,tételek!$F:$F,$A$52,tételek!$C:$C,"&gt;"&amp;0)</f>
        <v>39000</v>
      </c>
      <c r="H53" s="70">
        <f>SUMIFS(tételek!$C:$C,tételek!$A:$A,"&gt;="&amp;Részletes!H1,tételek!$A:$A,"&lt;"&amp;Részletes!I1,tételek!$F:$F,$A$52,tételek!$C:$C,"&gt;"&amp;0)</f>
        <v>0</v>
      </c>
      <c r="I53" s="70">
        <f>SUMIFS(tételek!$C:$C,tételek!$A:$A,"&gt;="&amp;Részletes!I1,tételek!$A:$A,"&lt;"&amp;Részletes!J1,tételek!$F:$F,$A$52,tételek!$C:$C,"&gt;"&amp;0)</f>
        <v>0</v>
      </c>
      <c r="J53" s="70">
        <f>SUMIFS(tételek!$C:$C,tételek!$A:$A,"&gt;="&amp;Részletes!J1,tételek!$A:$A,"&lt;"&amp;Részletes!K1,tételek!$F:$F,$A$52,tételek!$C:$C,"&gt;"&amp;0)</f>
        <v>4000</v>
      </c>
      <c r="K53" s="70">
        <f>SUMIFS(tételek!$C:$C,tételek!$A:$A,"&gt;="&amp;Részletes!K1,tételek!$A:$A,"&lt;"&amp;Részletes!L1,tételek!$F:$F,$A$52,tételek!$C:$C,"&gt;"&amp;0)</f>
        <v>149000</v>
      </c>
      <c r="L53" s="70">
        <f>SUMIFS(tételek!$C:$C,tételek!$A:$A,"&gt;="&amp;Részletes!L1,tételek!$A:$A,"&lt;"&amp;Részletes!M1,tételek!$F:$F,$A$52,tételek!$C:$C,"&gt;"&amp;0)</f>
        <v>300000</v>
      </c>
      <c r="M53" s="70">
        <f>SUMIFS(tételek!$C:$C,tételek!$A:$A,"&gt;="&amp;Részletes!M1,tételek!$A:$A,"&lt;"&amp;Részletes!N1,tételek!$F:$F,$A$52,tételek!$C:$C,"&gt;"&amp;0)</f>
        <v>0</v>
      </c>
      <c r="N53" s="70">
        <f>SUMIFS(tételek!$C:$C,tételek!$A:$A,"&gt;="&amp;Részletes!N1,tételek!$A:$A,"&lt;"&amp;Részletes!O1,tételek!$F:$F,$A$52,tételek!$C:$C,"&gt;"&amp;0)</f>
        <v>0</v>
      </c>
      <c r="O53" s="70">
        <f>SUMIFS(tételek!$C:$C,tételek!$A:$A,"&gt;="&amp;Részletes!O1,tételek!$A:$A,"&lt;"&amp;Részletes!P1,tételek!$F:$F,$A$52,tételek!$C:$C,"&gt;"&amp;0)</f>
        <v>0</v>
      </c>
      <c r="P53" s="70">
        <f>SUMIFS(tételek!$C:$C,tételek!$A:$A,"&gt;="&amp;Részletes!P1,tételek!$A:$A,"&lt;"&amp;Részletes!Q1,tételek!$F:$F,$A$52,tételek!$C:$C,"&gt;"&amp;0)</f>
        <v>0</v>
      </c>
      <c r="Q53" s="70">
        <f>SUMIFS(tételek!$C:$C,tételek!$A:$A,"&gt;="&amp;Részletes!Q1,tételek!$A:$A,"&lt;"&amp;Részletes!R1,tételek!$F:$F,$A$52,tételek!$C:$C,"&gt;"&amp;0)</f>
        <v>250000</v>
      </c>
      <c r="R53" s="70">
        <f>SUMIFS(tételek!$C:$C,tételek!$A:$A,"&gt;="&amp;Részletes!R1,tételek!$A:$A,"&lt;"&amp;Részletes!S1,tételek!$F:$F,$A$52,tételek!$C:$C,"&gt;"&amp;0)</f>
        <v>19000</v>
      </c>
      <c r="S53" s="70">
        <f>SUMIFS(tételek!$C:$C,tételek!$A:$A,"&gt;="&amp;Részletes!S1,tételek!$A:$A,"&lt;"&amp;Részletes!T1,tételek!$F:$F,$A$52,tételek!$C:$C,"&gt;"&amp;0)</f>
        <v>100000</v>
      </c>
      <c r="T53" s="70">
        <f>SUMIFS(tételek!$C:$C,tételek!$A:$A,"&gt;="&amp;Részletes!T1,tételek!$A:$A,"&lt;"&amp;Részletes!U1,tételek!$F:$F,$A$52,tételek!$C:$C,"&gt;"&amp;0)</f>
        <v>2150000</v>
      </c>
      <c r="U53" s="70">
        <f>SUMIFS(tételek!$C:$C,tételek!$A:$A,"&gt;="&amp;Részletes!U1,tételek!$A:$A,"&lt;"&amp;Részletes!V1,tételek!$F:$F,$A$52,tételek!$C:$C,"&gt;"&amp;0)</f>
        <v>0</v>
      </c>
      <c r="V53" s="70">
        <f>SUMIFS(tételek!$C:$C,tételek!$A:$A,"&gt;="&amp;Részletes!V1,tételek!$A:$A,"&lt;"&amp;Részletes!W1,tételek!$F:$F,$A$52,tételek!$C:$C,"&gt;"&amp;0)</f>
        <v>0</v>
      </c>
      <c r="W53" s="70">
        <f>SUMIFS(tételek!$C:$C,tételek!$A:$A,"&gt;="&amp;Részletes!W1,tételek!$A:$A,"&lt;"&amp;Részletes!X1,tételek!$F:$F,$A$52,tételek!$C:$C,"&gt;"&amp;0)</f>
        <v>0</v>
      </c>
      <c r="X53" s="70">
        <f>SUMIFS(tételek!$C:$C,tételek!$A:$A,"&gt;="&amp;Részletes!X1,tételek!$A:$A,"&lt;"&amp;Részletes!Y1,tételek!$F:$F,$A$52,tételek!$C:$C,"&gt;"&amp;0)</f>
        <v>0</v>
      </c>
      <c r="Y53" s="70">
        <f>SUMIFS(tételek!$C:$C,tételek!$A:$A,"&gt;="&amp;Részletes!Y1,tételek!$A:$A,"&lt;"&amp;Részletes!Z1,tételek!$F:$F,$A$52,tételek!$C:$C,"&gt;"&amp;0)</f>
        <v>0</v>
      </c>
      <c r="Z53" s="70">
        <f>SUMIFS(tételek!$C:$C,tételek!$A:$A,"&gt;="&amp;Részletes!Z1,tételek!$A:$A,"&lt;"&amp;Részletes!AA1,tételek!$F:$F,$A$52,tételek!$C:$C,"&gt;"&amp;0)</f>
        <v>0</v>
      </c>
      <c r="AA53" s="70">
        <f>SUMIFS(tételek!$C:$C,tételek!$A:$A,"&gt;="&amp;Részletes!AA1,tételek!$A:$A,"&lt;"&amp;Részletes!AB1,tételek!$F:$F,$A$52,tételek!$C:$C,"&gt;"&amp;0)</f>
        <v>0</v>
      </c>
      <c r="AB53" s="70">
        <f>SUMIFS(tételek!$C:$C,tételek!$A:$A,"&gt;="&amp;Részletes!AB1,tételek!$A:$A,"&lt;"&amp;Részletes!AC1,tételek!$F:$F,$A$52,tételek!$C:$C,"&gt;"&amp;0)</f>
        <v>0</v>
      </c>
      <c r="AC53" s="70">
        <f>SUMIFS(tételek!$C:$C,tételek!$A:$A,"&gt;="&amp;Részletes!AC1,tételek!$A:$A,"&lt;"&amp;Részletes!AD1,tételek!$F:$F,$A$52,tételek!$C:$C,"&gt;"&amp;0)</f>
        <v>0</v>
      </c>
      <c r="AD53" s="70">
        <f>SUMIFS(tételek!$C:$C,tételek!$A:$A,"&gt;="&amp;Részletes!AD1,tételek!$A:$A,"&lt;"&amp;Részletes!AE1,tételek!$F:$F,$A$52,tételek!$C:$C,"&gt;"&amp;0)</f>
        <v>129000</v>
      </c>
      <c r="AE53" s="70">
        <f>SUMIFS(tételek!$C:$C,tételek!$A:$A,"&gt;="&amp;Részletes!AE1,tételek!$A:$A,"&lt;"&amp;Részletes!AF1,tételek!$F:$F,$A$52,tételek!$C:$C,"&gt;"&amp;0)</f>
        <v>50000</v>
      </c>
      <c r="AF53" s="70">
        <f>SUMIFS(tételek!$C:$C,tételek!$A:$A,"&gt;="&amp;Részletes!AF1,tételek!$A:$A,"&lt;"&amp;Részletes!AG1,tételek!$F:$F,$A$52,tételek!$C:$C,"&gt;"&amp;0)</f>
        <v>180000</v>
      </c>
      <c r="AG53" s="70">
        <f>SUMIFS(tételek!$C:$C,tételek!$A:$A,"&gt;="&amp;Részletes!AG1,tételek!$A:$A,"&lt;"&amp;Részletes!AH1,tételek!$F:$F,$A$52,tételek!$C:$C,"&gt;"&amp;0)</f>
        <v>0</v>
      </c>
      <c r="AH53" s="70">
        <f>SUMIFS(tételek!$C:$C,tételek!$A:$A,"&gt;="&amp;Részletes!AH1,tételek!$A:$A,"&lt;"&amp;Részletes!AI1,tételek!$F:$F,$A$52,tételek!$C:$C,"&gt;"&amp;0)</f>
        <v>0</v>
      </c>
      <c r="AI53" s="70">
        <f>SUMIFS(tételek!$C:$C,tételek!$A:$A,"&gt;="&amp;Részletes!AI1,tételek!$A:$A,"&lt;"&amp;Részletes!AJ1,tételek!$F:$F,$A$52,tételek!$C:$C,"&gt;"&amp;0)</f>
        <v>100000</v>
      </c>
      <c r="AJ53" s="70">
        <f>SUMIFS(tételek!$C:$C,tételek!$A:$A,"&gt;="&amp;Részletes!AJ1,tételek!$A:$A,"&lt;"&amp;Részletes!AK1,tételek!$F:$F,$A$52,tételek!$C:$C,"&gt;"&amp;0)</f>
        <v>0</v>
      </c>
      <c r="AK53" s="70">
        <f>SUMIFS(tételek!$C:$C,tételek!$A:$A,"&gt;="&amp;Részletes!AK1,tételek!$A:$A,"&lt;"&amp;Részletes!AL1,tételek!$F:$F,$A$52,tételek!$C:$C,"&gt;"&amp;0)</f>
        <v>0</v>
      </c>
      <c r="AL53" s="70">
        <f>SUMIFS(tételek!$C:$C,tételek!$A:$A,"&gt;="&amp;Részletes!AL1,tételek!$A:$A,"&lt;"&amp;Részletes!AM1,tételek!$F:$F,$A$52,tételek!$C:$C,"&gt;"&amp;0)</f>
        <v>0</v>
      </c>
      <c r="AM53" s="70">
        <f>SUMIFS(tételek!$C:$C,tételek!$A:$A,"&gt;="&amp;Részletes!AM1,tételek!$A:$A,"&lt;"&amp;Részletes!AN1,tételek!$F:$F,$A$52,tételek!$C:$C,"&gt;"&amp;0)</f>
        <v>130000</v>
      </c>
      <c r="AN53" s="70">
        <f>SUMIFS(tételek!$C:$C,tételek!$A:$A,"&gt;="&amp;Részletes!AN1,tételek!$A:$A,"&lt;"&amp;Részletes!AO1,tételek!$F:$F,$A$52,tételek!$C:$C,"&gt;"&amp;0)</f>
        <v>0</v>
      </c>
      <c r="AO53" s="70">
        <f>SUMIFS(tételek!$C:$C,tételek!$A:$A,"&gt;="&amp;Részletes!AO1,tételek!$A:$A,"&lt;"&amp;Részletes!AP1,tételek!$F:$F,$A$52,tételek!$C:$C,"&gt;"&amp;0)</f>
        <v>0</v>
      </c>
      <c r="AP53" s="70">
        <f>SUMIFS(tételek!$C:$C,tételek!$A:$A,"&gt;="&amp;Részletes!AP1,tételek!$A:$A,"&lt;"&amp;Részletes!AQ1,tételek!$F:$F,$A$52,tételek!$C:$C,"&gt;"&amp;0)</f>
        <v>0</v>
      </c>
      <c r="AQ53" s="70">
        <f>SUMIFS(tételek!$C:$C,tételek!$A:$A,"&gt;="&amp;Részletes!AQ1,tételek!$A:$A,"&lt;"&amp;Részletes!AR1,tételek!$F:$F,$A$52,tételek!$C:$C,"&gt;"&amp;0)</f>
        <v>0</v>
      </c>
      <c r="AR53" s="70">
        <v>0</v>
      </c>
      <c r="AS53" s="70">
        <f>SUMIFS(tételek!$C:$C,tételek!$A:$A,"&gt;="&amp;Részletes!AS1,tételek!$A:$A,"&lt;"&amp;Részletes!AT1,tételek!$F:$F,$A$52,tételek!$C:$C,"&gt;"&amp;0)</f>
        <v>0</v>
      </c>
      <c r="AT53" s="70">
        <f>SUMIFS(tételek!$C:$C,tételek!$A:$A,"&gt;="&amp;Részletes!AT1,tételek!$A:$A,"&lt;"&amp;Részletes!AU1,tételek!$F:$F,$A$52,tételek!$C:$C,"&gt;"&amp;0)</f>
        <v>0</v>
      </c>
      <c r="AU53" s="70">
        <f>SUMIFS(tételek!$C:$C,tételek!$A:$A,"&gt;="&amp;Részletes!AU1,tételek!$A:$A,"&lt;"&amp;Részletes!AV1,tételek!$F:$F,$A$52,tételek!$C:$C,"&gt;"&amp;0)</f>
        <v>0</v>
      </c>
      <c r="AV53" s="70">
        <f>SUMIFS(tételek!$C:$C,tételek!$A:$A,"&gt;="&amp;Részletes!AV1,tételek!$A:$A,"&lt;"&amp;Részletes!AW1,tételek!$F:$F,$A$52,tételek!$C:$C,"&gt;"&amp;0)</f>
        <v>1300000</v>
      </c>
      <c r="AW53" s="70">
        <f>SUMIFS(tételek!$C:$C,tételek!$A:$A,"&gt;="&amp;Részletes!AW1,tételek!$A:$A,"&lt;"&amp;Részletes!AX1,tételek!$F:$F,$A$52,tételek!$C:$C,"&gt;"&amp;0)</f>
        <v>0</v>
      </c>
      <c r="AX53" s="70">
        <f>SUMIFS(tételek!$C:$C,tételek!$A:$A,"&gt;="&amp;Részletes!AX1,tételek!$A:$A,"&lt;"&amp;Részletes!AY1,tételek!$F:$F,$A$52,tételek!$C:$C,"&gt;"&amp;0)</f>
        <v>0</v>
      </c>
      <c r="AY53" s="70">
        <f>SUMIFS(tételek!$C:$C,tételek!$A:$A,"&gt;="&amp;Részletes!AY1,tételek!$A:$A,"&lt;"&amp;Részletes!AZ1,tételek!$F:$F,$A$52,tételek!$C:$C,"&gt;"&amp;0)</f>
        <v>0</v>
      </c>
      <c r="AZ53" s="70">
        <f>SUMIFS(tételek!$C:$C,tételek!$A:$A,"&gt;="&amp;Részletes!AZ1,tételek!$A:$A,"&lt;"&amp;Részletes!BA1,tételek!$F:$F,$A$52,tételek!$C:$C,"&gt;"&amp;0)</f>
        <v>0</v>
      </c>
      <c r="BA53" s="70">
        <f>SUMIFS(tételek!$C:$C,tételek!$A:$A,"&gt;="&amp;Részletes!BA1,tételek!$A:$A,"&lt;"&amp;Részletes!BB1,tételek!$F:$F,$A$52,tételek!$C:$C,"&gt;"&amp;0)</f>
        <v>0</v>
      </c>
      <c r="BB53" s="70">
        <f>SUMIFS(tételek!$C:$C,tételek!$A:$A,"&gt;="&amp;Részletes!BB1,tételek!$A:$A,"&lt;"&amp;Részletes!BC1,tételek!$F:$F,$A$52,tételek!$C:$C,"&gt;"&amp;0)</f>
        <v>0</v>
      </c>
      <c r="BC53" s="70">
        <f>SUMIFS(tételek!$C:$C,tételek!$A:$A,"&gt;="&amp;Részletes!BC1,tételek!$A:$A,"&lt;"&amp;Részletes!BD1,tételek!$F:$F,$A$52,tételek!$C:$C,"&gt;"&amp;0)</f>
        <v>0</v>
      </c>
      <c r="BD53" s="70">
        <f>SUMIFS(tételek!$C:$C,tételek!$A:$A,"&gt;="&amp;Részletes!BD1,tételek!$A:$A,"&lt;"&amp;Részletes!BE1,tételek!$F:$F,$A$52,tételek!$C:$C,"&gt;"&amp;0)</f>
        <v>0</v>
      </c>
      <c r="BE53" s="70">
        <f>SUMIFS(tételek!$C:$C,tételek!$A:$A,"&gt;="&amp;Részletes!BE1,tételek!$A:$A,"&lt;"&amp;Részletes!BF1,tételek!$F:$F,$A$52,tételek!$C:$C,"&gt;"&amp;0)</f>
        <v>0</v>
      </c>
      <c r="BF53" s="70">
        <f>SUMIFS(tételek!$C:$C,tételek!$A:$A,"&gt;="&amp;Részletes!BF1,tételek!$A:$A,"&lt;"&amp;Részletes!BG1,tételek!$F:$F,$A$52,tételek!$C:$C,"&gt;"&amp;0)</f>
        <v>0</v>
      </c>
      <c r="BG53" s="70">
        <f>SUMIFS(tételek!$C:$C,tételek!$A:$A,"&gt;="&amp;Részletes!BG1,tételek!$A:$A,"&lt;"&amp;Részletes!BH1,tételek!$F:$F,$A$52,tételek!$C:$C,"&gt;"&amp;0)</f>
        <v>0</v>
      </c>
      <c r="BH53" s="70">
        <f>SUMIFS(tételek!$C:$C,tételek!$A:$A,"&gt;="&amp;Részletes!BH1,tételek!$A:$A,"&lt;"&amp;Részletes!BI1,tételek!$F:$F,$A$52,tételek!$C:$C,"&gt;"&amp;0)</f>
        <v>0</v>
      </c>
      <c r="BI53" s="70">
        <f>SUMIFS(tételek!$C:$C,tételek!$A:$A,"&gt;="&amp;Részletes!BI1,tételek!$A:$A,"&lt;"&amp;Részletes!BJ1,tételek!$F:$F,$A$52,tételek!$C:$C,"&gt;"&amp;0)</f>
        <v>0</v>
      </c>
      <c r="BJ53" s="70">
        <f>SUMIFS(tételek!$C:$C,tételek!$A:$A,"&gt;="&amp;Részletes!BJ1,tételek!$A:$A,"&lt;"&amp;Részletes!BK1,tételek!$F:$F,$A$52,tételek!$C:$C,"&gt;"&amp;0)</f>
        <v>0</v>
      </c>
      <c r="BK53" s="70">
        <f>SUMIFS(tételek!$C:$C,tételek!$A:$A,"&gt;="&amp;Részletes!BK1,tételek!$A:$A,"&lt;"&amp;Részletes!BL1,tételek!$F:$F,$A$52,tételek!$C:$C,"&gt;"&amp;0)</f>
        <v>0</v>
      </c>
      <c r="BL53" s="70">
        <f>SUMIFS(tételek!$C:$C,tételek!$A:$A,"&gt;="&amp;Részletes!BL1,tételek!$A:$A,"&lt;"&amp;Részletes!BM1,tételek!$F:$F,$A$52,tételek!$C:$C,"&gt;"&amp;0)</f>
        <v>0</v>
      </c>
      <c r="BM53" s="70">
        <f>SUMIFS(tételek!$C:$C,tételek!$A:$A,"&gt;="&amp;Részletes!BM1,tételek!$A:$A,"&lt;"&amp;Részletes!BN1,tételek!$F:$F,$A$52,tételek!$C:$C,"&gt;"&amp;0)</f>
        <v>0</v>
      </c>
      <c r="BN53" s="70">
        <f>SUMIFS(tételek!$C:$C,tételek!$A:$A,"&gt;="&amp;Részletes!BN1,tételek!$A:$A,"&lt;"&amp;Részletes!BO1,tételek!$F:$F,$A$52,tételek!$C:$C,"&gt;"&amp;0)</f>
        <v>0</v>
      </c>
      <c r="BO53" s="70">
        <f>SUMIFS(tételek!$C:$C,tételek!$A:$A,"&gt;="&amp;Részletes!BO1,tételek!$A:$A,"&lt;"&amp;Részletes!BP1,tételek!$F:$F,$A$52,tételek!$C:$C,"&gt;"&amp;0)</f>
        <v>0</v>
      </c>
      <c r="BP53" s="70">
        <f>SUMIFS(tételek!$C:$C,tételek!$A:$A,"&gt;="&amp;Részletes!BP1,tételek!$A:$A,"&lt;"&amp;Részletes!BQ1,tételek!$F:$F,$A$52,tételek!$C:$C,"&gt;"&amp;0)</f>
        <v>0</v>
      </c>
      <c r="BQ53" s="70">
        <f>SUMIFS(tételek!$C:$C,tételek!$A:$A,"&gt;="&amp;Részletes!BQ1,tételek!$A:$A,"&lt;"&amp;Részletes!BR1,tételek!$F:$F,$A$52,tételek!$C:$C,"&gt;"&amp;0)</f>
        <v>0</v>
      </c>
      <c r="BR53" s="70">
        <f>SUMIFS(tételek!$C:$C,tételek!$A:$A,"&gt;="&amp;Részletes!BR1,tételek!$A:$A,"&lt;"&amp;Részletes!BS1,tételek!$F:$F,$A$52,tételek!$C:$C,"&gt;"&amp;0)</f>
        <v>0</v>
      </c>
      <c r="BS53" s="70">
        <f>SUMIFS(tételek!$C:$C,tételek!$A:$A,"&gt;="&amp;Részletes!BS1,tételek!$A:$A,"&lt;"&amp;Részletes!BT1,tételek!$F:$F,$A$52,tételek!$C:$C,"&gt;"&amp;0)</f>
        <v>0</v>
      </c>
      <c r="BT53" s="70">
        <f>SUMIFS(tételek!$C:$C,tételek!$A:$A,"&gt;="&amp;Részletes!BT1,tételek!$A:$A,"&lt;"&amp;Részletes!BU1,tételek!$F:$F,$A$52,tételek!$C:$C,"&gt;"&amp;0)</f>
        <v>0</v>
      </c>
      <c r="BU53" s="70">
        <f>SUMIFS(tételek!$C:$C,tételek!$A:$A,"&gt;="&amp;Részletes!BU1,tételek!$A:$A,"&lt;"&amp;Részletes!BV1,tételek!$F:$F,$A$52,tételek!$C:$C,"&gt;"&amp;0)</f>
        <v>0</v>
      </c>
      <c r="BV53" s="70">
        <f>SUMIFS(tételek!$C:$C,tételek!$A:$A,"&gt;="&amp;Részletes!BV1,tételek!$A:$A,"&lt;"&amp;Részletes!BW1,tételek!$F:$F,$A$52,tételek!$C:$C,"&gt;"&amp;0)</f>
        <v>0</v>
      </c>
      <c r="BW53" s="70">
        <f>SUMIFS(tételek!$C:$C,tételek!$A:$A,"&gt;="&amp;Részletes!BW1,tételek!$A:$A,"&lt;"&amp;Részletes!BX1,tételek!$F:$F,$A$52,tételek!$C:$C,"&gt;"&amp;0)</f>
        <v>0</v>
      </c>
    </row>
    <row r="54" spans="1:75" x14ac:dyDescent="0.25">
      <c r="A54" s="70" t="s">
        <v>26</v>
      </c>
      <c r="B54" s="70">
        <f>SUMIFS(tételek!$C:$C,tételek!$A:$A,"&gt;="&amp;Részletes!B$1,tételek!$A:$A,"&lt;"&amp;Részletes!C$1,tételek!$F:$F,$A$52,tételek!$C:$C,"&lt;"&amp;0)</f>
        <v>-110000</v>
      </c>
      <c r="C54" s="70">
        <f>SUMIFS(tételek!$C:$C,tételek!$A:$A,"&gt;="&amp;Részletes!C$1,tételek!$A:$A,"&lt;"&amp;Részletes!D$1,tételek!$F:$F,$A$52,tételek!$C:$C,"&lt;"&amp;0)</f>
        <v>-110000</v>
      </c>
      <c r="D54" s="70">
        <f>SUMIFS(tételek!$C:$C,tételek!$A:$A,"&gt;="&amp;Részletes!D$1,tételek!$A:$A,"&lt;"&amp;Részletes!E$1,tételek!$F:$F,$A$52,tételek!$C:$C,"&lt;"&amp;0)</f>
        <v>-110000</v>
      </c>
      <c r="E54" s="70">
        <f>SUMIFS(tételek!$C:$C,tételek!$A:$A,"&gt;="&amp;Részletes!E$1,tételek!$A:$A,"&lt;"&amp;Részletes!F$1,tételek!$F:$F,$A$52,tételek!$C:$C,"&lt;"&amp;0)</f>
        <v>-110000</v>
      </c>
      <c r="F54" s="70">
        <f>SUMIFS(tételek!$C:$C,tételek!$A:$A,"&gt;="&amp;Részletes!F$1,tételek!$A:$A,"&lt;"&amp;Részletes!G$1,tételek!$F:$F,$A$52,tételek!$C:$C,"&lt;"&amp;0)</f>
        <v>0</v>
      </c>
      <c r="G54" s="70">
        <f>SUMIFS(tételek!$C:$C,tételek!$A:$A,"&gt;="&amp;Részletes!G$1,tételek!$A:$A,"&lt;"&amp;Részletes!H$1,tételek!$F:$F,$A$52,tételek!$C:$C,"&lt;"&amp;0)</f>
        <v>0</v>
      </c>
      <c r="H54" s="70">
        <f>SUMIFS(tételek!$C:$C,tételek!$A:$A,"&gt;="&amp;Részletes!H$1,tételek!$A:$A,"&lt;"&amp;Részletes!I$1,tételek!$F:$F,$A$52,tételek!$C:$C,"&lt;"&amp;0)</f>
        <v>0</v>
      </c>
      <c r="I54" s="70">
        <f>SUMIFS(tételek!$C:$C,tételek!$A:$A,"&gt;="&amp;Részletes!I$1,tételek!$A:$A,"&lt;"&amp;Részletes!J$1,tételek!$F:$F,$A$52,tételek!$C:$C,"&lt;"&amp;0)</f>
        <v>0</v>
      </c>
      <c r="J54" s="70">
        <f>SUMIFS(tételek!$C:$C,tételek!$A:$A,"&gt;="&amp;Részletes!J$1,tételek!$A:$A,"&lt;"&amp;Részletes!K$1,tételek!$F:$F,$A$52,tételek!$C:$C,"&lt;"&amp;0)</f>
        <v>-114000</v>
      </c>
      <c r="K54" s="70">
        <f>SUMIFS(tételek!$C:$C,tételek!$A:$A,"&gt;="&amp;Részletes!K$1,tételek!$A:$A,"&lt;"&amp;Részletes!L$1,tételek!$F:$F,$A$52,tételek!$C:$C,"&lt;"&amp;0)</f>
        <v>-330000</v>
      </c>
      <c r="L54" s="70">
        <f>SUMIFS(tételek!$C:$C,tételek!$A:$A,"&gt;="&amp;Részletes!L$1,tételek!$A:$A,"&lt;"&amp;Részletes!M$1,tételek!$F:$F,$A$52,tételek!$C:$C,"&lt;"&amp;0)</f>
        <v>-315000</v>
      </c>
      <c r="M54" s="70">
        <f>SUMIFS(tételek!$C:$C,tételek!$A:$A,"&gt;="&amp;Részletes!M$1,tételek!$A:$A,"&lt;"&amp;Részletes!N$1,tételek!$F:$F,$A$52,tételek!$C:$C,"&lt;"&amp;0)</f>
        <v>-110000</v>
      </c>
      <c r="N54" s="70">
        <f>SUMIFS(tételek!$C:$C,tételek!$A:$A,"&gt;="&amp;Részletes!N$1,tételek!$A:$A,"&lt;"&amp;Részletes!O$1,tételek!$F:$F,$A$52,tételek!$C:$C,"&lt;"&amp;0)</f>
        <v>-510000</v>
      </c>
      <c r="O54" s="70">
        <f>SUMIFS(tételek!$C:$C,tételek!$A:$A,"&gt;="&amp;Részletes!O$1,tételek!$A:$A,"&lt;"&amp;Részletes!P$1,tételek!$F:$F,$A$52,tételek!$C:$C,"&lt;"&amp;0)</f>
        <v>-110000</v>
      </c>
      <c r="P54" s="70">
        <f>SUMIFS(tételek!$C:$C,tételek!$A:$A,"&gt;="&amp;Részletes!P$1,tételek!$A:$A,"&lt;"&amp;Részletes!Q$1,tételek!$F:$F,$A$52,tételek!$C:$C,"&lt;"&amp;0)</f>
        <v>-110000</v>
      </c>
      <c r="Q54" s="70">
        <f>SUMIFS(tételek!$C:$C,tételek!$A:$A,"&gt;="&amp;Részletes!Q$1,tételek!$A:$A,"&lt;"&amp;Részletes!R$1,tételek!$F:$F,$A$52,tételek!$C:$C,"&lt;"&amp;0)</f>
        <v>-110000</v>
      </c>
      <c r="R54" s="70">
        <f>SUMIFS(tételek!$C:$C,tételek!$A:$A,"&gt;="&amp;Részletes!R$1,tételek!$A:$A,"&lt;"&amp;Részletes!S$1,tételek!$F:$F,$A$52,tételek!$C:$C,"&lt;"&amp;0)</f>
        <v>0</v>
      </c>
      <c r="S54" s="70">
        <f>SUMIFS(tételek!$C:$C,tételek!$A:$A,"&gt;="&amp;Részletes!S$1,tételek!$A:$A,"&lt;"&amp;Részletes!T$1,tételek!$F:$F,$A$52,tételek!$C:$C,"&lt;"&amp;0)</f>
        <v>0</v>
      </c>
      <c r="T54" s="70">
        <f>SUMIFS(tételek!$C:$C,tételek!$A:$A,"&gt;="&amp;Részletes!T$1,tételek!$A:$A,"&lt;"&amp;Részletes!U$1,tételek!$F:$F,$A$52,tételek!$C:$C,"&lt;"&amp;0)</f>
        <v>-686000</v>
      </c>
      <c r="U54" s="70">
        <f>SUMIFS(tételek!$C:$C,tételek!$A:$A,"&gt;="&amp;Részletes!U$1,tételek!$A:$A,"&lt;"&amp;Részletes!V$1,tételek!$F:$F,$A$52,tételek!$C:$C,"&lt;"&amp;0)</f>
        <v>0</v>
      </c>
      <c r="V54" s="70">
        <f>SUMIFS(tételek!$C:$C,tételek!$A:$A,"&gt;="&amp;Részletes!V$1,tételek!$A:$A,"&lt;"&amp;Részletes!W$1,tételek!$F:$F,$A$52,tételek!$C:$C,"&lt;"&amp;0)</f>
        <v>0</v>
      </c>
      <c r="W54" s="70">
        <f>SUMIFS(tételek!$C:$C,tételek!$A:$A,"&gt;="&amp;Részletes!W$1,tételek!$A:$A,"&lt;"&amp;Részletes!X$1,tételek!$F:$F,$A$52,tételek!$C:$C,"&lt;"&amp;0)</f>
        <v>-13000</v>
      </c>
      <c r="X54" s="70">
        <f>SUMIFS(tételek!$C:$C,tételek!$A:$A,"&gt;="&amp;Részletes!X$1,tételek!$A:$A,"&lt;"&amp;Részletes!Y$1,tételek!$F:$F,$A$52,tételek!$C:$C,"&lt;"&amp;0)</f>
        <v>-364000</v>
      </c>
      <c r="Y54" s="70">
        <f>SUMIFS(tételek!$C:$C,tételek!$A:$A,"&gt;="&amp;Részletes!Y$1,tételek!$A:$A,"&lt;"&amp;Részletes!Z$1,tételek!$F:$F,$A$52,tételek!$C:$C,"&lt;"&amp;0)</f>
        <v>-106000</v>
      </c>
      <c r="Z54" s="70">
        <f>SUMIFS(tételek!$C:$C,tételek!$A:$A,"&gt;="&amp;Részletes!Z$1,tételek!$A:$A,"&lt;"&amp;Részletes!AA$1,tételek!$F:$F,$A$52,tételek!$C:$C,"&lt;"&amp;0)</f>
        <v>0</v>
      </c>
      <c r="AA54" s="70">
        <f>SUMIFS(tételek!$C:$C,tételek!$A:$A,"&gt;="&amp;Részletes!AA$1,tételek!$A:$A,"&lt;"&amp;Részletes!AB$1,tételek!$F:$F,$A$52,tételek!$C:$C,"&lt;"&amp;0)</f>
        <v>0</v>
      </c>
      <c r="AB54" s="70">
        <f>SUMIFS(tételek!$C:$C,tételek!$A:$A,"&gt;="&amp;Részletes!AB$1,tételek!$A:$A,"&lt;"&amp;Részletes!AC$1,tételek!$F:$F,$A$52,tételek!$C:$C,"&lt;"&amp;0)</f>
        <v>0</v>
      </c>
      <c r="AC54" s="70">
        <f>SUMIFS(tételek!$C:$C,tételek!$A:$A,"&gt;="&amp;Részletes!AC$1,tételek!$A:$A,"&lt;"&amp;Részletes!AD$1,tételek!$F:$F,$A$52,tételek!$C:$C,"&lt;"&amp;0)</f>
        <v>0</v>
      </c>
      <c r="AD54" s="70">
        <f>SUMIFS(tételek!$C:$C,tételek!$A:$A,"&gt;="&amp;Részletes!AD$1,tételek!$A:$A,"&lt;"&amp;Részletes!AE$1,tételek!$F:$F,$A$52,tételek!$C:$C,"&lt;"&amp;0)</f>
        <v>-437000</v>
      </c>
      <c r="AE54" s="70">
        <f>SUMIFS(tételek!$C:$C,tételek!$A:$A,"&gt;="&amp;Részletes!AE$1,tételek!$A:$A,"&lt;"&amp;Részletes!AF$1,tételek!$F:$F,$A$52,tételek!$C:$C,"&lt;"&amp;0)</f>
        <v>-168000</v>
      </c>
      <c r="AF54" s="70">
        <f>SUMIFS(tételek!$C:$C,tételek!$A:$A,"&gt;="&amp;Részletes!AF$1,tételek!$A:$A,"&lt;"&amp;Részletes!AG$1,tételek!$F:$F,$A$52,tételek!$C:$C,"&lt;"&amp;0)</f>
        <v>0</v>
      </c>
      <c r="AG54" s="70">
        <f>SUMIFS(tételek!$C:$C,tételek!$A:$A,"&gt;="&amp;Részletes!AG$1,tételek!$A:$A,"&lt;"&amp;Részletes!AH$1,tételek!$F:$F,$A$52,tételek!$C:$C,"&lt;"&amp;0)</f>
        <v>0</v>
      </c>
      <c r="AH54" s="70">
        <f>SUMIFS(tételek!$C:$C,tételek!$A:$A,"&gt;="&amp;Részletes!AH$1,tételek!$A:$A,"&lt;"&amp;Részletes!AI$1,tételek!$F:$F,$A$52,tételek!$C:$C,"&lt;"&amp;0)</f>
        <v>0</v>
      </c>
      <c r="AI54" s="70">
        <f>SUMIFS(tételek!$C:$C,tételek!$A:$A,"&gt;="&amp;Részletes!AI$1,tételek!$A:$A,"&lt;"&amp;Részletes!AJ$1,tételek!$F:$F,$A$52,tételek!$C:$C,"&lt;"&amp;0)</f>
        <v>0</v>
      </c>
      <c r="AJ54" s="70">
        <f>SUMIFS(tételek!$C:$C,tételek!$A:$A,"&gt;="&amp;Részletes!AJ$1,tételek!$A:$A,"&lt;"&amp;Részletes!AK$1,tételek!$F:$F,$A$52,tételek!$C:$C,"&lt;"&amp;0)</f>
        <v>0</v>
      </c>
      <c r="AK54" s="70">
        <f>SUMIFS(tételek!$C:$C,tételek!$A:$A,"&gt;="&amp;Részletes!AK$1,tételek!$A:$A,"&lt;"&amp;Részletes!AL$1,tételek!$F:$F,$A$52,tételek!$C:$C,"&lt;"&amp;0)</f>
        <v>0</v>
      </c>
      <c r="AL54" s="70">
        <f>SUMIFS(tételek!$C:$C,tételek!$A:$A,"&gt;="&amp;Részletes!AL$1,tételek!$A:$A,"&lt;"&amp;Részletes!AM$1,tételek!$F:$F,$A$52,tételek!$C:$C,"&lt;"&amp;0)</f>
        <v>0</v>
      </c>
      <c r="AM54" s="70">
        <f>SUMIFS(tételek!$C:$C,tételek!$A:$A,"&gt;="&amp;Részletes!AM$1,tételek!$A:$A,"&lt;"&amp;Részletes!AN$1,tételek!$F:$F,$A$52,tételek!$C:$C,"&lt;"&amp;0)</f>
        <v>0</v>
      </c>
      <c r="AN54" s="70">
        <f>SUMIFS(tételek!$C:$C,tételek!$A:$A,"&gt;="&amp;Részletes!AN$1,tételek!$A:$A,"&lt;"&amp;Részletes!AO$1,tételek!$F:$F,$A$52,tételek!$C:$C,"&lt;"&amp;0)</f>
        <v>0</v>
      </c>
      <c r="AO54" s="70">
        <f>SUMIFS(tételek!$C:$C,tételek!$A:$A,"&gt;="&amp;Részletes!AO$1,tételek!$A:$A,"&lt;"&amp;Részletes!AP$1,tételek!$F:$F,$A$52,tételek!$C:$C,"&lt;"&amp;0)</f>
        <v>0</v>
      </c>
      <c r="AP54" s="70">
        <f>SUMIFS(tételek!$C:$C,tételek!$A:$A,"&gt;="&amp;Részletes!AP$1,tételek!$A:$A,"&lt;"&amp;Részletes!AQ$1,tételek!$F:$F,$A$52,tételek!$C:$C,"&lt;"&amp;0)</f>
        <v>0</v>
      </c>
      <c r="AQ54" s="70">
        <f>SUMIFS(tételek!$C:$C,tételek!$A:$A,"&gt;="&amp;Részletes!AQ$1,tételek!$A:$A,"&lt;"&amp;Részletes!AR$1,tételek!$F:$F,$A$52,tételek!$C:$C,"&lt;"&amp;0)</f>
        <v>0</v>
      </c>
      <c r="AR54" s="70">
        <f>SUMIFS(tételek!$C:$C,tételek!$A:$A,"&gt;="&amp;Részletes!AR$1,tételek!$A:$A,"&lt;"&amp;Részletes!AS$1,tételek!$F:$F,$A$52,tételek!$C:$C,"&lt;"&amp;0)</f>
        <v>-90000</v>
      </c>
      <c r="AS54" s="70">
        <f>SUMIFS(tételek!$C:$C,tételek!$A:$A,"&gt;="&amp;Részletes!AS$1,tételek!$A:$A,"&lt;"&amp;Részletes!AT$1,tételek!$F:$F,$A$52,tételek!$C:$C,"&lt;"&amp;0)</f>
        <v>0</v>
      </c>
      <c r="AT54" s="70">
        <f>SUMIFS(tételek!$C:$C,tételek!$A:$A,"&gt;="&amp;Részletes!AT$1,tételek!$A:$A,"&lt;"&amp;Részletes!AU$1,tételek!$F:$F,$A$52,tételek!$C:$C,"&lt;"&amp;0)</f>
        <v>0</v>
      </c>
      <c r="AU54" s="70">
        <f>SUMIFS(tételek!$C:$C,tételek!$A:$A,"&gt;="&amp;Részletes!AU$1,tételek!$A:$A,"&lt;"&amp;Részletes!AV$1,tételek!$F:$F,$A$52,tételek!$C:$C,"&lt;"&amp;0)</f>
        <v>0</v>
      </c>
      <c r="AV54" s="70">
        <f>SUMIFS(tételek!$C:$C,tételek!$A:$A,"&gt;="&amp;Részletes!AV$1,tételek!$A:$A,"&lt;"&amp;Részletes!AW$1,tételek!$F:$F,$A$52,tételek!$C:$C,"&lt;"&amp;0)</f>
        <v>0</v>
      </c>
      <c r="AW54" s="70">
        <f>SUMIFS(tételek!$C:$C,tételek!$A:$A,"&gt;="&amp;Részletes!AW$1,tételek!$A:$A,"&lt;"&amp;Részletes!AX$1,tételek!$F:$F,$A$52,tételek!$C:$C,"&lt;"&amp;0)</f>
        <v>0</v>
      </c>
      <c r="AX54" s="70">
        <f>SUMIFS(tételek!$C:$C,tételek!$A:$A,"&gt;="&amp;Részletes!AX$1,tételek!$A:$A,"&lt;"&amp;Részletes!AY$1,tételek!$F:$F,$A$52,tételek!$C:$C,"&lt;"&amp;0)</f>
        <v>0</v>
      </c>
      <c r="AY54" s="70">
        <f>SUMIFS(tételek!$C:$C,tételek!$A:$A,"&gt;="&amp;Részletes!AY$1,tételek!$A:$A,"&lt;"&amp;Részletes!AZ$1,tételek!$F:$F,$A$52,tételek!$C:$C,"&lt;"&amp;0)</f>
        <v>0</v>
      </c>
      <c r="AZ54" s="70">
        <f>SUMIFS(tételek!$C:$C,tételek!$A:$A,"&gt;="&amp;Részletes!AZ$1,tételek!$A:$A,"&lt;"&amp;Részletes!BA$1,tételek!$F:$F,$A$52,tételek!$C:$C,"&lt;"&amp;0)</f>
        <v>-600000</v>
      </c>
      <c r="BA54" s="70">
        <f>SUMIFS(tételek!$C:$C,tételek!$A:$A,"&gt;="&amp;Részletes!BA$1,tételek!$A:$A,"&lt;"&amp;Részletes!BB$1,tételek!$F:$F,$A$52,tételek!$C:$C,"&lt;"&amp;0)</f>
        <v>0</v>
      </c>
      <c r="BB54" s="70">
        <f>SUMIFS(tételek!$C:$C,tételek!$A:$A,"&gt;="&amp;Részletes!BB$1,tételek!$A:$A,"&lt;"&amp;Részletes!BC$1,tételek!$F:$F,$A$52,tételek!$C:$C,"&lt;"&amp;0)</f>
        <v>0</v>
      </c>
      <c r="BC54" s="70">
        <f>SUMIFS(tételek!$C:$C,tételek!$A:$A,"&gt;="&amp;Részletes!BC$1,tételek!$A:$A,"&lt;"&amp;Részletes!BD$1,tételek!$F:$F,$A$52,tételek!$C:$C,"&lt;"&amp;0)</f>
        <v>0</v>
      </c>
      <c r="BD54" s="70">
        <f>SUMIFS(tételek!$C:$C,tételek!$A:$A,"&gt;="&amp;Részletes!BD$1,tételek!$A:$A,"&lt;"&amp;Részletes!BE$1,tételek!$F:$F,$A$52,tételek!$C:$C,"&lt;"&amp;0)</f>
        <v>0</v>
      </c>
      <c r="BE54" s="70">
        <f>SUMIFS(tételek!$C:$C,tételek!$A:$A,"&gt;="&amp;Részletes!BE$1,tételek!$A:$A,"&lt;"&amp;Részletes!BF$1,tételek!$F:$F,$A$52,tételek!$C:$C,"&lt;"&amp;0)</f>
        <v>0</v>
      </c>
      <c r="BF54" s="70">
        <f>SUMIFS(tételek!$C:$C,tételek!$A:$A,"&gt;="&amp;Részletes!BF$1,tételek!$A:$A,"&lt;"&amp;Részletes!BG$1,tételek!$F:$F,$A$52,tételek!$C:$C,"&lt;"&amp;0)</f>
        <v>0</v>
      </c>
      <c r="BG54" s="70">
        <f>SUMIFS(tételek!$C:$C,tételek!$A:$A,"&gt;="&amp;Részletes!BG$1,tételek!$A:$A,"&lt;"&amp;Részletes!BH$1,tételek!$F:$F,$A$52,tételek!$C:$C,"&lt;"&amp;0)</f>
        <v>0</v>
      </c>
      <c r="BH54" s="70">
        <f>SUMIFS(tételek!$C:$C,tételek!$A:$A,"&gt;="&amp;Részletes!BH$1,tételek!$A:$A,"&lt;"&amp;Részletes!BI$1,tételek!$F:$F,$A$52,tételek!$C:$C,"&lt;"&amp;0)</f>
        <v>0</v>
      </c>
      <c r="BI54" s="70">
        <f>SUMIFS(tételek!$C:$C,tételek!$A:$A,"&gt;="&amp;Részletes!BI$1,tételek!$A:$A,"&lt;"&amp;Részletes!BJ$1,tételek!$F:$F,$A$52,tételek!$C:$C,"&lt;"&amp;0)</f>
        <v>0</v>
      </c>
      <c r="BJ54" s="70">
        <f>SUMIFS(tételek!$C:$C,tételek!$A:$A,"&gt;="&amp;Részletes!BJ$1,tételek!$A:$A,"&lt;"&amp;Részletes!BK$1,tételek!$F:$F,$A$52,tételek!$C:$C,"&lt;"&amp;0)</f>
        <v>0</v>
      </c>
      <c r="BK54" s="70">
        <f>SUMIFS(tételek!$C:$C,tételek!$A:$A,"&gt;="&amp;Részletes!BK$1,tételek!$A:$A,"&lt;"&amp;Részletes!BL$1,tételek!$F:$F,$A$52,tételek!$C:$C,"&lt;"&amp;0)</f>
        <v>0</v>
      </c>
      <c r="BL54" s="70">
        <f>SUMIFS(tételek!$C:$C,tételek!$A:$A,"&gt;="&amp;Részletes!BL$1,tételek!$A:$A,"&lt;"&amp;Részletes!BM$1,tételek!$F:$F,$A$52,tételek!$C:$C,"&lt;"&amp;0)</f>
        <v>0</v>
      </c>
      <c r="BM54" s="70">
        <f>SUMIFS(tételek!$C:$C,tételek!$A:$A,"&gt;="&amp;Részletes!BM$1,tételek!$A:$A,"&lt;"&amp;Részletes!BN$1,tételek!$F:$F,$A$52,tételek!$C:$C,"&lt;"&amp;0)</f>
        <v>0</v>
      </c>
      <c r="BN54" s="70">
        <f>SUMIFS(tételek!$C:$C,tételek!$A:$A,"&gt;="&amp;Részletes!BN$1,tételek!$A:$A,"&lt;"&amp;Részletes!BO$1,tételek!$F:$F,$A$52,tételek!$C:$C,"&lt;"&amp;0)</f>
        <v>0</v>
      </c>
      <c r="BO54" s="70">
        <f>SUMIFS(tételek!$C:$C,tételek!$A:$A,"&gt;="&amp;Részletes!BO$1,tételek!$A:$A,"&lt;"&amp;Részletes!BP$1,tételek!$F:$F,$A$52,tételek!$C:$C,"&lt;"&amp;0)</f>
        <v>0</v>
      </c>
      <c r="BP54" s="70">
        <f>SUMIFS(tételek!$C:$C,tételek!$A:$A,"&gt;="&amp;Részletes!BP$1,tételek!$A:$A,"&lt;"&amp;Részletes!BQ$1,tételek!$F:$F,$A$52,tételek!$C:$C,"&lt;"&amp;0)</f>
        <v>0</v>
      </c>
      <c r="BQ54" s="70">
        <f>SUMIFS(tételek!$C:$C,tételek!$A:$A,"&gt;="&amp;Részletes!BQ$1,tételek!$A:$A,"&lt;"&amp;Részletes!BR$1,tételek!$F:$F,$A$52,tételek!$C:$C,"&lt;"&amp;0)</f>
        <v>0</v>
      </c>
      <c r="BR54" s="70">
        <f>SUMIFS(tételek!$C:$C,tételek!$A:$A,"&gt;="&amp;Részletes!BR$1,tételek!$A:$A,"&lt;"&amp;Részletes!BS$1,tételek!$F:$F,$A$52,tételek!$C:$C,"&lt;"&amp;0)</f>
        <v>0</v>
      </c>
      <c r="BS54" s="70">
        <f>SUMIFS(tételek!$C:$C,tételek!$A:$A,"&gt;="&amp;Részletes!BS$1,tételek!$A:$A,"&lt;"&amp;Részletes!BT$1,tételek!$F:$F,$A$52,tételek!$C:$C,"&lt;"&amp;0)</f>
        <v>0</v>
      </c>
      <c r="BT54" s="70">
        <f>SUMIFS(tételek!$C:$C,tételek!$A:$A,"&gt;="&amp;Részletes!BT$1,tételek!$A:$A,"&lt;"&amp;Részletes!BU$1,tételek!$F:$F,$A$52,tételek!$C:$C,"&lt;"&amp;0)</f>
        <v>0</v>
      </c>
      <c r="BU54" s="70">
        <f>SUMIFS(tételek!$C:$C,tételek!$A:$A,"&gt;="&amp;Részletes!BU$1,tételek!$A:$A,"&lt;"&amp;Részletes!BV$1,tételek!$F:$F,$A$52,tételek!$C:$C,"&lt;"&amp;0)</f>
        <v>0</v>
      </c>
      <c r="BV54" s="70">
        <f>SUMIFS(tételek!$C:$C,tételek!$A:$A,"&gt;="&amp;Részletes!BV$1,tételek!$A:$A,"&lt;"&amp;Részletes!BW$1,tételek!$F:$F,$A$52,tételek!$C:$C,"&lt;"&amp;0)</f>
        <v>0</v>
      </c>
      <c r="BW54" s="70">
        <f>SUMIFS(tételek!$C:$C,tételek!$A:$A,"&gt;="&amp;Részletes!BW$1,tételek!$A:$A,"&lt;"&amp;Részletes!BX$1,tételek!$F:$F,$A$52,tételek!$C:$C,"&lt;"&amp;0)</f>
        <v>0</v>
      </c>
    </row>
    <row r="55" spans="1:75" x14ac:dyDescent="0.25">
      <c r="A55" s="73" t="s">
        <v>22</v>
      </c>
      <c r="B55" s="73">
        <v>1668000</v>
      </c>
      <c r="C55" s="73">
        <v>1558000</v>
      </c>
      <c r="D55" s="73">
        <v>1448000</v>
      </c>
      <c r="E55" s="73">
        <v>1338000</v>
      </c>
      <c r="F55" s="73">
        <v>1258000</v>
      </c>
      <c r="G55" s="73">
        <v>1297000</v>
      </c>
      <c r="H55" s="73">
        <v>1336000</v>
      </c>
      <c r="I55" s="73">
        <v>1336000</v>
      </c>
      <c r="J55" s="73">
        <v>1336000</v>
      </c>
      <c r="K55" s="73">
        <v>1226000</v>
      </c>
      <c r="L55" s="73">
        <v>1045000</v>
      </c>
      <c r="M55" s="73">
        <f>L55+SUM(M53:M54)</f>
        <v>935000</v>
      </c>
      <c r="N55" s="73">
        <f>M55+SUM(N53:N54)</f>
        <v>425000</v>
      </c>
      <c r="O55" s="73">
        <f>N55+SUM(O53:O54)</f>
        <v>315000</v>
      </c>
      <c r="P55" s="73">
        <f>O55+SUM(P53:P54)</f>
        <v>205000</v>
      </c>
      <c r="Q55" s="73">
        <v>215000</v>
      </c>
      <c r="R55" s="73">
        <f>Q55+SUM(R53:R54)</f>
        <v>234000</v>
      </c>
      <c r="S55" s="73">
        <f>R55+SUM(S53:S54)</f>
        <v>334000</v>
      </c>
      <c r="T55" s="73">
        <f>S55+SUM(T53:T54)</f>
        <v>1798000</v>
      </c>
      <c r="U55" s="73">
        <f>T55+SUM(U53:U54)</f>
        <v>1798000</v>
      </c>
      <c r="V55" s="73">
        <v>1500000</v>
      </c>
      <c r="W55" s="73">
        <f t="shared" ref="W55:AC55" si="41">V55+SUM(W53:W54)</f>
        <v>1487000</v>
      </c>
      <c r="X55" s="73">
        <f t="shared" si="41"/>
        <v>1123000</v>
      </c>
      <c r="Y55" s="73">
        <f t="shared" si="41"/>
        <v>1017000</v>
      </c>
      <c r="Z55" s="73">
        <f t="shared" si="41"/>
        <v>1017000</v>
      </c>
      <c r="AA55" s="73">
        <f t="shared" si="41"/>
        <v>1017000</v>
      </c>
      <c r="AB55" s="73">
        <f t="shared" si="41"/>
        <v>1017000</v>
      </c>
      <c r="AC55" s="73">
        <f t="shared" si="41"/>
        <v>1017000</v>
      </c>
      <c r="AD55" s="73">
        <v>100000</v>
      </c>
      <c r="AE55" s="73">
        <v>0</v>
      </c>
      <c r="AF55" s="73">
        <f>AE55+SUM(AF53:AF54)</f>
        <v>180000</v>
      </c>
      <c r="AG55" s="73">
        <f>AF55+SUM(AG53:AG54)</f>
        <v>180000</v>
      </c>
      <c r="AH55" s="73">
        <f>AG55+SUM(AH53:AH54)</f>
        <v>180000</v>
      </c>
      <c r="AI55" s="73">
        <f>AH55+SUM(AI53:AI54)</f>
        <v>280000</v>
      </c>
      <c r="AJ55" s="73">
        <v>0</v>
      </c>
      <c r="AK55" s="73">
        <v>0</v>
      </c>
      <c r="AL55" s="73">
        <v>0</v>
      </c>
      <c r="AM55" s="73">
        <v>130000</v>
      </c>
      <c r="AN55" s="73">
        <f>AM55+SUM(AN53:AN54)</f>
        <v>130000</v>
      </c>
      <c r="AO55" s="73">
        <f>AN55+SUM(AO53:AO54)</f>
        <v>130000</v>
      </c>
      <c r="AP55" s="73">
        <f>AO55+SUM(AP53:AP54)</f>
        <v>130000</v>
      </c>
      <c r="AQ55" s="73">
        <f>AP55+SUM(AQ53:AQ54)</f>
        <v>130000</v>
      </c>
      <c r="AR55" s="73">
        <v>60000</v>
      </c>
      <c r="AS55" s="73">
        <f t="shared" ref="AS55:BW55" si="42">AR55+SUM(AS53:AS54)</f>
        <v>60000</v>
      </c>
      <c r="AT55" s="73">
        <f t="shared" si="42"/>
        <v>60000</v>
      </c>
      <c r="AU55" s="73">
        <f t="shared" si="42"/>
        <v>60000</v>
      </c>
      <c r="AV55" s="73">
        <f t="shared" si="42"/>
        <v>1360000</v>
      </c>
      <c r="AW55" s="73">
        <f t="shared" si="42"/>
        <v>1360000</v>
      </c>
      <c r="AX55" s="73">
        <f t="shared" si="42"/>
        <v>1360000</v>
      </c>
      <c r="AY55" s="73">
        <f t="shared" si="42"/>
        <v>1360000</v>
      </c>
      <c r="AZ55" s="73">
        <f t="shared" si="42"/>
        <v>760000</v>
      </c>
      <c r="BA55" s="73">
        <f t="shared" si="42"/>
        <v>760000</v>
      </c>
      <c r="BB55" s="73">
        <f t="shared" si="42"/>
        <v>760000</v>
      </c>
      <c r="BC55" s="73">
        <f t="shared" si="42"/>
        <v>760000</v>
      </c>
      <c r="BD55" s="73">
        <f t="shared" si="42"/>
        <v>760000</v>
      </c>
      <c r="BE55" s="73">
        <f t="shared" si="42"/>
        <v>760000</v>
      </c>
      <c r="BF55" s="73">
        <f t="shared" si="42"/>
        <v>760000</v>
      </c>
      <c r="BG55" s="73">
        <f t="shared" si="42"/>
        <v>760000</v>
      </c>
      <c r="BH55" s="73">
        <f t="shared" si="42"/>
        <v>760000</v>
      </c>
      <c r="BI55" s="73">
        <f t="shared" si="42"/>
        <v>760000</v>
      </c>
      <c r="BJ55" s="73">
        <f t="shared" si="42"/>
        <v>760000</v>
      </c>
      <c r="BK55" s="73">
        <f t="shared" si="42"/>
        <v>760000</v>
      </c>
      <c r="BL55" s="73">
        <f t="shared" si="42"/>
        <v>760000</v>
      </c>
      <c r="BM55" s="73">
        <f t="shared" si="42"/>
        <v>760000</v>
      </c>
      <c r="BN55" s="73">
        <f t="shared" si="42"/>
        <v>760000</v>
      </c>
      <c r="BO55" s="73">
        <f t="shared" si="42"/>
        <v>760000</v>
      </c>
      <c r="BP55" s="73">
        <f t="shared" si="42"/>
        <v>760000</v>
      </c>
      <c r="BQ55" s="73">
        <f t="shared" si="42"/>
        <v>760000</v>
      </c>
      <c r="BR55" s="73">
        <f t="shared" si="42"/>
        <v>760000</v>
      </c>
      <c r="BS55" s="73">
        <f t="shared" si="42"/>
        <v>760000</v>
      </c>
      <c r="BT55" s="73">
        <f t="shared" si="42"/>
        <v>760000</v>
      </c>
      <c r="BU55" s="73">
        <f t="shared" si="42"/>
        <v>760000</v>
      </c>
      <c r="BV55" s="73">
        <f t="shared" si="42"/>
        <v>760000</v>
      </c>
      <c r="BW55" s="73">
        <f t="shared" si="42"/>
        <v>760000</v>
      </c>
    </row>
    <row r="58" spans="1:75" ht="18.75" customHeight="1" x14ac:dyDescent="0.3">
      <c r="A58" s="40" t="s">
        <v>10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</row>
    <row r="59" spans="1:75" x14ac:dyDescent="0.25">
      <c r="A59" s="70" t="s">
        <v>17</v>
      </c>
      <c r="B59" s="72">
        <v>0</v>
      </c>
      <c r="C59" s="72">
        <v>0</v>
      </c>
      <c r="D59" s="72">
        <v>0</v>
      </c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72">
        <v>0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  <c r="P59" s="72">
        <v>0</v>
      </c>
      <c r="Q59" s="72">
        <v>0</v>
      </c>
      <c r="R59" s="72">
        <v>0</v>
      </c>
      <c r="S59" s="72">
        <f t="shared" ref="S59:AC59" si="43">T59-S60-S61</f>
        <v>-27085471.389999997</v>
      </c>
      <c r="T59" s="72">
        <f t="shared" si="43"/>
        <v>-27085471.389999997</v>
      </c>
      <c r="U59" s="72">
        <f t="shared" si="43"/>
        <v>-26879552.709999997</v>
      </c>
      <c r="V59" s="72">
        <f t="shared" si="43"/>
        <v>-26673215.559999999</v>
      </c>
      <c r="W59" s="72">
        <f t="shared" si="43"/>
        <v>-26673215.559999999</v>
      </c>
      <c r="X59" s="72">
        <f t="shared" si="43"/>
        <v>-26466035.559999999</v>
      </c>
      <c r="Y59" s="72">
        <f t="shared" si="43"/>
        <v>-26256685.559999999</v>
      </c>
      <c r="Z59" s="72">
        <f t="shared" si="43"/>
        <v>-26048658.82</v>
      </c>
      <c r="AA59" s="72">
        <f t="shared" si="43"/>
        <v>-25840209.32</v>
      </c>
      <c r="AB59" s="72">
        <f t="shared" si="43"/>
        <v>-25626213.789999999</v>
      </c>
      <c r="AC59" s="72">
        <f t="shared" si="43"/>
        <v>-35416905.789999999</v>
      </c>
      <c r="AD59" s="72">
        <f>-25201326.04-9958333.57</f>
        <v>-35159659.609999999</v>
      </c>
      <c r="AE59" s="72">
        <f>-24778062-9958333</f>
        <v>-34736395</v>
      </c>
      <c r="AF59" s="72"/>
      <c r="AG59" s="72"/>
      <c r="AH59" s="72"/>
      <c r="AI59" s="72">
        <f>-9958333-24353121</f>
        <v>-34311454</v>
      </c>
      <c r="AJ59" s="72"/>
      <c r="AK59" s="72">
        <f>-23926480-9958333</f>
        <v>-33884813</v>
      </c>
      <c r="AL59" s="72">
        <f>-23713299-9958333</f>
        <v>-33671632</v>
      </c>
      <c r="AM59" s="72"/>
      <c r="AN59" s="72">
        <v>-33239348</v>
      </c>
      <c r="AO59" s="72">
        <f>-9958333-23066522</f>
        <v>-33024855</v>
      </c>
      <c r="AP59" s="72">
        <f>-22850082-9958333</f>
        <v>-32808415</v>
      </c>
      <c r="AQ59" s="72">
        <v>-32591466.5495</v>
      </c>
      <c r="AR59" s="72">
        <f>-32375757</f>
        <v>-32375757</v>
      </c>
      <c r="AS59" s="72">
        <v>-32157957.655433331</v>
      </c>
      <c r="AT59" s="72">
        <f>-21984489-9958333</f>
        <v>-31942822</v>
      </c>
      <c r="AU59" s="72">
        <f>-9958333-21765920</f>
        <v>-31724253</v>
      </c>
      <c r="AV59" s="72">
        <f>-21548348-9958333</f>
        <v>-31506681</v>
      </c>
      <c r="AW59" s="72">
        <f>-21328922-9958333</f>
        <v>-31287255</v>
      </c>
      <c r="AX59" s="72">
        <v>-31067314.934833329</v>
      </c>
      <c r="AY59" s="72">
        <f>-(9958333+20891552)</f>
        <v>-30849885</v>
      </c>
      <c r="AZ59" s="72">
        <f>-20669471-9958333</f>
        <v>-30627804</v>
      </c>
      <c r="BA59" s="72">
        <v>-30408005</v>
      </c>
      <c r="BB59" s="72">
        <f>-20228084-9958333</f>
        <v>-30186417</v>
      </c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</row>
    <row r="60" spans="1:75" x14ac:dyDescent="0.25">
      <c r="A60" s="70" t="s">
        <v>31</v>
      </c>
      <c r="B60" s="70">
        <f>SUMIFS(tételek!$C:$C,tételek!$A:$A,"&gt;="&amp;Részletes!B1,tételek!$A:$A,"&lt;"&amp;Részletes!C1,tételek!$F:$F,$A$58,tételek!$C:$C,"&gt;"&amp;0)</f>
        <v>0</v>
      </c>
      <c r="C60" s="70">
        <f>SUMIFS(tételek!$C:$C,tételek!$A:$A,"&gt;="&amp;Részletes!C1,tételek!$A:$A,"&lt;"&amp;Részletes!D1,tételek!$F:$F,$A$58,tételek!$C:$C,"&gt;"&amp;0)</f>
        <v>0</v>
      </c>
      <c r="D60" s="70">
        <f>SUMIFS(tételek!$C:$C,tételek!$A:$A,"&gt;="&amp;Részletes!D1,tételek!$A:$A,"&lt;"&amp;Részletes!E1,tételek!$F:$F,$A$58,tételek!$C:$C,"&gt;"&amp;0)</f>
        <v>0</v>
      </c>
      <c r="E60" s="70">
        <f>SUMIFS(tételek!$C:$C,tételek!$A:$A,"&gt;="&amp;Részletes!E1,tételek!$A:$A,"&lt;"&amp;Részletes!F1,tételek!$F:$F,$A$58,tételek!$C:$C,"&gt;"&amp;0)</f>
        <v>0</v>
      </c>
      <c r="F60" s="70">
        <f>SUMIFS(tételek!$C:$C,tételek!$A:$A,"&gt;="&amp;Részletes!F1,tételek!$A:$A,"&lt;"&amp;Részletes!G1,tételek!$F:$F,$A$58,tételek!$C:$C,"&gt;"&amp;0)</f>
        <v>0</v>
      </c>
      <c r="G60" s="70">
        <f>SUMIFS(tételek!$C:$C,tételek!$A:$A,"&gt;="&amp;Részletes!G1,tételek!$A:$A,"&lt;"&amp;Részletes!H1,tételek!$F:$F,$A$58,tételek!$C:$C,"&gt;"&amp;0)</f>
        <v>0</v>
      </c>
      <c r="H60" s="70">
        <f>SUMIFS(tételek!$C:$C,tételek!$A:$A,"&gt;="&amp;Részletes!H1,tételek!$A:$A,"&lt;"&amp;Részletes!I1,tételek!$F:$F,$A$58,tételek!$C:$C,"&gt;"&amp;0)</f>
        <v>0</v>
      </c>
      <c r="I60" s="70">
        <f>SUMIFS(tételek!$C:$C,tételek!$A:$A,"&gt;="&amp;Részletes!I1,tételek!$A:$A,"&lt;"&amp;Részletes!J1,tételek!$F:$F,$A$58,tételek!$C:$C,"&gt;"&amp;0)</f>
        <v>0</v>
      </c>
      <c r="J60" s="70">
        <f>SUMIFS(tételek!$C:$C,tételek!$A:$A,"&gt;="&amp;Részletes!J1,tételek!$A:$A,"&lt;"&amp;Részletes!K1,tételek!$F:$F,$A$58,tételek!$C:$C,"&gt;"&amp;0)</f>
        <v>0</v>
      </c>
      <c r="K60" s="70">
        <f>SUMIFS(tételek!$C:$C,tételek!$A:$A,"&gt;="&amp;Részletes!K1,tételek!$A:$A,"&lt;"&amp;Részletes!L1,tételek!$F:$F,$A$58,tételek!$C:$C,"&gt;"&amp;0)</f>
        <v>0</v>
      </c>
      <c r="L60" s="70">
        <f>SUMIFS(tételek!$C:$C,tételek!$A:$A,"&gt;="&amp;Részletes!L1,tételek!$A:$A,"&lt;"&amp;Részletes!M1,tételek!$F:$F,$A$58,tételek!$C:$C,"&gt;"&amp;0)</f>
        <v>0</v>
      </c>
      <c r="M60" s="70">
        <f>SUMIFS(tételek!$C:$C,tételek!$A:$A,"&gt;="&amp;Részletes!M1,tételek!$A:$A,"&lt;"&amp;Részletes!N1,tételek!$F:$F,$A$58,tételek!$C:$C,"&gt;"&amp;0)</f>
        <v>0</v>
      </c>
      <c r="N60" s="70">
        <f>SUMIFS(tételek!$C:$C,tételek!$A:$A,"&gt;="&amp;Részletes!N1,tételek!$A:$A,"&lt;"&amp;Részletes!O1,tételek!$F:$F,$A$58,tételek!$C:$C,"&gt;"&amp;0)</f>
        <v>0</v>
      </c>
      <c r="O60" s="70">
        <f>SUMIFS(tételek!$C:$C,tételek!$A:$A,"&gt;="&amp;Részletes!O1,tételek!$A:$A,"&lt;"&amp;Részletes!P1,tételek!$F:$F,$A$58,tételek!$C:$C,"&gt;"&amp;0)</f>
        <v>0</v>
      </c>
      <c r="P60" s="70">
        <f>SUMIFS(tételek!$C:$C,tételek!$A:$A,"&gt;="&amp;Részletes!P1,tételek!$A:$A,"&lt;"&amp;Részletes!Q1,tételek!$F:$F,$A$58,tételek!$C:$C,"&gt;"&amp;0)</f>
        <v>0</v>
      </c>
      <c r="Q60" s="70">
        <f>SUMIFS(tételek!$C:$C,tételek!$A:$A,"&gt;="&amp;Részletes!Q1,tételek!$A:$A,"&lt;"&amp;Részletes!R1,tételek!$F:$F,$A$58,tételek!$C:$C,"&gt;"&amp;0)</f>
        <v>0</v>
      </c>
      <c r="R60" s="70">
        <f>SUMIFS(tételek!$C:$C,tételek!$A:$A,"&gt;="&amp;Részletes!R1,tételek!$A:$A,"&lt;"&amp;Részletes!S1,tételek!$F:$F,$A$58,tételek!$C:$C,"&gt;"&amp;0)</f>
        <v>600000</v>
      </c>
      <c r="S60" s="70">
        <f>SUMIFS(tételek!$C:$C,tételek!$A:$A,"&gt;="&amp;Részletes!S1,tételek!$A:$A,"&lt;"&amp;Részletes!T1,tételek!$F:$F,$A$58,tételek!$C:$C,"&gt;"&amp;0)</f>
        <v>0</v>
      </c>
      <c r="T60" s="70">
        <f>SUMIFS(tételek!$C:$C,tételek!$A:$A,"&gt;="&amp;Részletes!T1,tételek!$A:$A,"&lt;"&amp;Részletes!U1,tételek!$F:$F,$A$58,tételek!$C:$C,"&gt;"&amp;0)</f>
        <v>205918.68</v>
      </c>
      <c r="U60" s="70">
        <f>SUMIFS(tételek!$C:$C,tételek!$A:$A,"&gt;="&amp;Részletes!U1,tételek!$A:$A,"&lt;"&amp;Részletes!V1,tételek!$F:$F,$A$58,tételek!$C:$C,"&gt;"&amp;0)</f>
        <v>206337.15</v>
      </c>
      <c r="V60" s="70">
        <f>SUMIFS(tételek!$C:$C,tételek!$A:$A,"&gt;="&amp;Részletes!V1,tételek!$A:$A,"&lt;"&amp;Részletes!W1,tételek!$F:$F,$A$58,tételek!$C:$C,"&gt;"&amp;0)</f>
        <v>0</v>
      </c>
      <c r="W60" s="70">
        <f>SUMIFS(tételek!$C:$C,tételek!$A:$A,"&gt;="&amp;Részletes!W1,tételek!$A:$A,"&lt;"&amp;Részletes!X1,tételek!$F:$F,$A$58,tételek!$C:$C,"&gt;"&amp;0)</f>
        <v>207180</v>
      </c>
      <c r="X60" s="70">
        <f>SUMIFS(tételek!$C:$C,tételek!$A:$A,"&gt;="&amp;Részletes!X1,tételek!$A:$A,"&lt;"&amp;Részletes!Y1,tételek!$F:$F,$A$58,tételek!$C:$C,"&gt;"&amp;0)</f>
        <v>209350</v>
      </c>
      <c r="Y60" s="70">
        <f>SUMIFS(tételek!$C:$C,tételek!$A:$A,"&gt;="&amp;Részletes!Y1,tételek!$A:$A,"&lt;"&amp;Részletes!Z1,tételek!$F:$F,$A$58,tételek!$C:$C,"&gt;"&amp;0)</f>
        <v>208026.74</v>
      </c>
      <c r="Z60" s="70">
        <f>SUMIFS(tételek!$C:$C,tételek!$A:$A,"&gt;="&amp;Részletes!Z1,tételek!$A:$A,"&lt;"&amp;Részletes!AA1,tételek!$F:$F,$A$58,tételek!$C:$C,"&gt;"&amp;0)</f>
        <v>208449.5</v>
      </c>
      <c r="AA60" s="70">
        <f>SUMIFS(tételek!$C:$C,tételek!$A:$A,"&gt;="&amp;Részletes!AA1,tételek!$A:$A,"&lt;"&amp;Részletes!AB1,tételek!$F:$F,$A$58,tételek!$C:$C,"&gt;"&amp;0)</f>
        <v>213995.53</v>
      </c>
      <c r="AB60" s="70">
        <f>SUMIFS(tételek!$C:$C,tételek!$A:$A,"&gt;="&amp;Részletes!AB1,tételek!$A:$A,"&lt;"&amp;Részletes!AC1,tételek!$F:$F,$A$58,tételek!$C:$C,"&gt;"&amp;0)</f>
        <v>209308</v>
      </c>
      <c r="AC60" s="70">
        <f>SUMIFS(tételek!$C:$C,tételek!$A:$A,"&gt;="&amp;Részletes!AC1,tételek!$A:$A,"&lt;"&amp;Részletes!AD1,tételek!$F:$F,$A$58,tételek!$C:$C,"&gt;"&amp;0)</f>
        <v>257246.18</v>
      </c>
      <c r="AD60" s="70">
        <f>SUMIFS(tételek!$C:$C,tételek!$A:$A,"&gt;="&amp;Részletes!AD1,tételek!$A:$A,"&lt;"&amp;Részletes!AE1,tételek!$F:$F,$A$58,tételek!$C:$C,"&gt;"&amp;0)</f>
        <v>255996.1</v>
      </c>
      <c r="AE60" s="70">
        <f>SUMIFS(tételek!$C:$C,tételek!$A:$A,"&gt;="&amp;Részletes!AE1,tételek!$A:$A,"&lt;"&amp;Részletes!AF1,tételek!$F:$F,$A$58,tételek!$C:$C,"&gt;"&amp;0)</f>
        <v>295575.03999999998</v>
      </c>
      <c r="AF60" s="70">
        <f>SUMIFS(tételek!$C:$C,tételek!$A:$A,"&gt;="&amp;Részletes!AF1,tételek!$A:$A,"&lt;"&amp;Részletes!AG1,tételek!$F:$F,$A$58,tételek!$C:$C,"&gt;"&amp;0)</f>
        <v>211021.42</v>
      </c>
      <c r="AG60" s="70">
        <f>SUMIFS(tételek!$C:$C,tételek!$A:$A,"&gt;="&amp;Részletes!AG1,tételek!$A:$A,"&lt;"&amp;Részletes!AH1,tételek!$F:$F,$A$58,tételek!$C:$C,"&gt;"&amp;0)</f>
        <v>211450.26</v>
      </c>
      <c r="AH60" s="70">
        <f>SUMIFS(tételek!$C:$C,tételek!$A:$A,"&gt;="&amp;Részletes!AH1,tételek!$A:$A,"&lt;"&amp;Részletes!AI1,tételek!$F:$F,$A$58,tételek!$C:$C,"&gt;"&amp;0)</f>
        <v>213490.45</v>
      </c>
      <c r="AI60" s="70">
        <f>SUMIFS(tételek!$C:$C,tételek!$A:$A,"&gt;="&amp;Részletes!AI1,tételek!$A:$A,"&lt;"&amp;Részletes!AJ1,tételek!$F:$F,$A$58,tételek!$C:$C,"&gt;"&amp;0)</f>
        <v>212313.84</v>
      </c>
      <c r="AJ60" s="70">
        <f>SUMIFS(tételek!$C:$C,tételek!$A:$A,"&gt;="&amp;Részletes!AJ1,tételek!$A:$A,"&lt;"&amp;Részletes!AK1,tételek!$F:$F,$A$58,tételek!$C:$C,"&gt;"&amp;0)</f>
        <v>214327.87</v>
      </c>
      <c r="AK60" s="70">
        <f>SUMIFS(tételek!$C:$C,tételek!$A:$A,"&gt;="&amp;Részletes!AK1,tételek!$A:$A,"&lt;"&amp;Részletes!AL1,tételek!$F:$F,$A$58,tételek!$C:$C,"&gt;"&amp;0)</f>
        <v>213180.87</v>
      </c>
      <c r="AL60" s="70">
        <f>SUMIFS(tételek!$C:$C,tételek!$A:$A,"&gt;="&amp;Részletes!AL1,tételek!$A:$A,"&lt;"&amp;Részletes!AM1,tételek!$F:$F,$A$58,tételek!$C:$C,"&gt;"&amp;0)</f>
        <v>213614.1</v>
      </c>
      <c r="AM60" s="70">
        <f>SUMIFS(tételek!$C:$C,tételek!$A:$A,"&gt;="&amp;Részletes!AM1,tételek!$A:$A,"&lt;"&amp;Részletes!AN1,tételek!$F:$F,$A$58,tételek!$C:$C,"&gt;"&amp;0)</f>
        <v>218669.81</v>
      </c>
      <c r="AN60" s="70">
        <f>SUMIFS(tételek!$C:$C,tételek!$A:$A,"&gt;="&amp;Részletes!AN1,tételek!$A:$A,"&lt;"&amp;Részletes!AO1,tételek!$F:$F,$A$58,tételek!$C:$C,"&gt;"&amp;0)</f>
        <v>214492.59</v>
      </c>
      <c r="AO60" s="70">
        <f>SUMIFS(tételek!$C:$C,tételek!$A:$A,"&gt;="&amp;Részletes!AO1,tételek!$A:$A,"&lt;"&amp;Részletes!AP1,tételek!$F:$F,$A$58,tételek!$C:$C,"&gt;"&amp;0)</f>
        <v>216440.63</v>
      </c>
      <c r="AP60" s="70">
        <f>SUMIFS(tételek!$C:$C,tételek!$A:$A,"&gt;="&amp;Részletes!AP1,tételek!$A:$A,"&lt;"&amp;Részletes!AQ1,tételek!$F:$F,$A$58,tételek!$C:$C,"&gt;"&amp;0)</f>
        <v>215368.35</v>
      </c>
      <c r="AQ60" s="70">
        <f>SUMIFS(tételek!$C:$C,tételek!$A:$A,"&gt;="&amp;Részletes!AQ1,tételek!$A:$A,"&lt;"&amp;Részletes!AR1,tételek!$F:$F,$A$58,tételek!$C:$C,"&gt;"&amp;0)</f>
        <v>217289.85</v>
      </c>
      <c r="AR60" s="70">
        <f>SUMIFS(tételek!$C:$C,tételek!$A:$A,"&gt;="&amp;Részletes!AR1,tételek!$A:$A,"&lt;"&amp;Részletes!AS1,tételek!$F:$F,$A$58,tételek!$C:$C,"&gt;"&amp;0)</f>
        <v>216247.6</v>
      </c>
      <c r="AS60" s="70">
        <f>SUMIFS(tételek!$C:$C,tételek!$A:$A,"&gt;="&amp;Részletes!AS1,tételek!$A:$A,"&lt;"&amp;Részletes!AT1,tételek!$F:$F,$A$58,tételek!$C:$C,"&gt;"&amp;0)</f>
        <v>216687.07</v>
      </c>
      <c r="AT60" s="70">
        <f>SUMIFS(tételek!$C:$C,tételek!$A:$A,"&gt;="&amp;Részletes!AT1,tételek!$A:$A,"&lt;"&amp;Részletes!AU1,tételek!$F:$F,$A$58,tételek!$C:$C,"&gt;"&amp;0)</f>
        <v>218568.63</v>
      </c>
      <c r="AU60" s="70">
        <f>SUMIFS(tételek!$C:$C,tételek!$A:$A,"&gt;="&amp;Részletes!AU1,tételek!$A:$A,"&lt;"&amp;Részletes!AV1,tételek!$F:$F,$A$58,tételek!$C:$C,"&gt;"&amp;0)</f>
        <v>217571.6</v>
      </c>
      <c r="AV60" s="70">
        <f>SUMIFS(tételek!$C:$C,tételek!$A:$A,"&gt;="&amp;Részletes!AV1,tételek!$A:$A,"&lt;"&amp;Részletes!AW1,tételek!$F:$F,$A$58,tételek!$C:$C,"&gt;"&amp;0)</f>
        <v>219426.37</v>
      </c>
      <c r="AW60" s="70">
        <f>SUMIFS(tételek!$C:$C,tételek!$A:$A,"&gt;="&amp;Részletes!AW1,tételek!$A:$A,"&lt;"&amp;Részletes!AX1,tételek!$F:$F,$A$58,tételek!$C:$C,"&gt;"&amp;0)</f>
        <v>218459.69</v>
      </c>
      <c r="AX60" s="70">
        <f>SUMIFS(tételek!$C:$C,tételek!$A:$A,"&gt;="&amp;Részletes!AX1,tételek!$A:$A,"&lt;"&amp;Részletes!AY1,tételek!$F:$F,$A$58,tételek!$C:$C,"&gt;"&amp;0)</f>
        <v>218903.64</v>
      </c>
      <c r="AY60" s="70">
        <f>SUMIFS(tételek!$C:$C,tételek!$A:$A,"&gt;="&amp;Részletes!AY1,tételek!$A:$A,"&lt;"&amp;Részletes!AZ1,tételek!$F:$F,$A$58,tételek!$C:$C,"&gt;"&amp;0)</f>
        <v>222087.61</v>
      </c>
      <c r="AZ60" s="70">
        <f>SUMIFS(tételek!$C:$C,tételek!$A:$A,"&gt;="&amp;Részletes!AZ1,tételek!$A:$A,"&lt;"&amp;Részletes!BA1,tételek!$F:$F,$A$58,tételek!$C:$C,"&gt;"&amp;0)</f>
        <v>219799.83</v>
      </c>
      <c r="BA60" s="70">
        <f>SUMIFS(tételek!$C:$C,tételek!$A:$A,"&gt;="&amp;Részletes!BA1,tételek!$A:$A,"&lt;"&amp;Részletes!BB1,tételek!$F:$F,$A$58,tételek!$C:$C,"&gt;"&amp;0)</f>
        <v>221587.11</v>
      </c>
      <c r="BB60" s="70">
        <f>SUMIFS(tételek!$C:$C,tételek!$A:$A,"&gt;="&amp;Részletes!BB1,tételek!$A:$A,"&lt;"&amp;Részletes!BC1,tételek!$F:$F,$A$58,tételek!$C:$C,"&gt;"&amp;0)</f>
        <v>0</v>
      </c>
      <c r="BC60" s="70">
        <f>SUMIFS(tételek!$C:$C,tételek!$A:$A,"&gt;="&amp;Részletes!BC1,tételek!$A:$A,"&lt;"&amp;Részletes!BD1,tételek!$F:$F,$A$58,tételek!$C:$C,"&gt;"&amp;0)</f>
        <v>0</v>
      </c>
      <c r="BD60" s="70">
        <f>SUMIFS(tételek!$C:$C,tételek!$A:$A,"&gt;="&amp;Részletes!BD1,tételek!$A:$A,"&lt;"&amp;Részletes!BE1,tételek!$F:$F,$A$58,tételek!$C:$C,"&gt;"&amp;0)</f>
        <v>0</v>
      </c>
      <c r="BE60" s="70">
        <f>SUMIFS(tételek!$C:$C,tételek!$A:$A,"&gt;="&amp;Részletes!BE1,tételek!$A:$A,"&lt;"&amp;Részletes!BF1,tételek!$F:$F,$A$58,tételek!$C:$C,"&gt;"&amp;0)</f>
        <v>0</v>
      </c>
      <c r="BF60" s="70">
        <f>SUMIFS(tételek!$C:$C,tételek!$A:$A,"&gt;="&amp;Részletes!BF1,tételek!$A:$A,"&lt;"&amp;Részletes!BG1,tételek!$F:$F,$A$58,tételek!$C:$C,"&gt;"&amp;0)</f>
        <v>0</v>
      </c>
      <c r="BG60" s="70">
        <f>SUMIFS(tételek!$C:$C,tételek!$A:$A,"&gt;="&amp;Részletes!BG1,tételek!$A:$A,"&lt;"&amp;Részletes!BH1,tételek!$F:$F,$A$58,tételek!$C:$C,"&gt;"&amp;0)</f>
        <v>0</v>
      </c>
      <c r="BH60" s="70">
        <f>SUMIFS(tételek!$C:$C,tételek!$A:$A,"&gt;="&amp;Részletes!BH1,tételek!$A:$A,"&lt;"&amp;Részletes!BI1,tételek!$F:$F,$A$58,tételek!$C:$C,"&gt;"&amp;0)</f>
        <v>0</v>
      </c>
      <c r="BI60" s="70">
        <f>SUMIFS(tételek!$C:$C,tételek!$A:$A,"&gt;="&amp;Részletes!BI1,tételek!$A:$A,"&lt;"&amp;Részletes!BJ1,tételek!$F:$F,$A$58,tételek!$C:$C,"&gt;"&amp;0)</f>
        <v>0</v>
      </c>
      <c r="BJ60" s="70">
        <f>SUMIFS(tételek!$C:$C,tételek!$A:$A,"&gt;="&amp;Részletes!BJ1,tételek!$A:$A,"&lt;"&amp;Részletes!BK1,tételek!$F:$F,$A$58,tételek!$C:$C,"&gt;"&amp;0)</f>
        <v>0</v>
      </c>
      <c r="BK60" s="70">
        <f>SUMIFS(tételek!$C:$C,tételek!$A:$A,"&gt;="&amp;Részletes!BK1,tételek!$A:$A,"&lt;"&amp;Részletes!BL1,tételek!$F:$F,$A$58,tételek!$C:$C,"&gt;"&amp;0)</f>
        <v>0</v>
      </c>
      <c r="BL60" s="70">
        <f>SUMIFS(tételek!$C:$C,tételek!$A:$A,"&gt;="&amp;Részletes!BL1,tételek!$A:$A,"&lt;"&amp;Részletes!BM1,tételek!$F:$F,$A$58,tételek!$C:$C,"&gt;"&amp;0)</f>
        <v>0</v>
      </c>
      <c r="BM60" s="70">
        <f>SUMIFS(tételek!$C:$C,tételek!$A:$A,"&gt;="&amp;Részletes!BM1,tételek!$A:$A,"&lt;"&amp;Részletes!BN1,tételek!$F:$F,$A$58,tételek!$C:$C,"&gt;"&amp;0)</f>
        <v>0</v>
      </c>
      <c r="BN60" s="70">
        <f>SUMIFS(tételek!$C:$C,tételek!$A:$A,"&gt;="&amp;Részletes!BN1,tételek!$A:$A,"&lt;"&amp;Részletes!BO1,tételek!$F:$F,$A$58,tételek!$C:$C,"&gt;"&amp;0)</f>
        <v>0</v>
      </c>
      <c r="BO60" s="70">
        <f>SUMIFS(tételek!$C:$C,tételek!$A:$A,"&gt;="&amp;Részletes!BO1,tételek!$A:$A,"&lt;"&amp;Részletes!BP1,tételek!$F:$F,$A$58,tételek!$C:$C,"&gt;"&amp;0)</f>
        <v>0</v>
      </c>
      <c r="BP60" s="70">
        <f>SUMIFS(tételek!$C:$C,tételek!$A:$A,"&gt;="&amp;Részletes!BP1,tételek!$A:$A,"&lt;"&amp;Részletes!BQ1,tételek!$F:$F,$A$58,tételek!$C:$C,"&gt;"&amp;0)</f>
        <v>0</v>
      </c>
      <c r="BQ60" s="70">
        <f>SUMIFS(tételek!$C:$C,tételek!$A:$A,"&gt;="&amp;Részletes!BQ1,tételek!$A:$A,"&lt;"&amp;Részletes!BR1,tételek!$F:$F,$A$58,tételek!$C:$C,"&gt;"&amp;0)</f>
        <v>0</v>
      </c>
      <c r="BR60" s="70">
        <f>SUMIFS(tételek!$C:$C,tételek!$A:$A,"&gt;="&amp;Részletes!BR1,tételek!$A:$A,"&lt;"&amp;Részletes!BS1,tételek!$F:$F,$A$58,tételek!$C:$C,"&gt;"&amp;0)</f>
        <v>0</v>
      </c>
      <c r="BS60" s="70">
        <f>SUMIFS(tételek!$C:$C,tételek!$A:$A,"&gt;="&amp;Részletes!BS1,tételek!$A:$A,"&lt;"&amp;Részletes!BT1,tételek!$F:$F,$A$58,tételek!$C:$C,"&gt;"&amp;0)</f>
        <v>0</v>
      </c>
      <c r="BT60" s="70">
        <f>SUMIFS(tételek!$C:$C,tételek!$A:$A,"&gt;="&amp;Részletes!BT1,tételek!$A:$A,"&lt;"&amp;Részletes!BU1,tételek!$F:$F,$A$58,tételek!$C:$C,"&gt;"&amp;0)</f>
        <v>0</v>
      </c>
      <c r="BU60" s="70">
        <f>SUMIFS(tételek!$C:$C,tételek!$A:$A,"&gt;="&amp;Részletes!BU1,tételek!$A:$A,"&lt;"&amp;Részletes!BV1,tételek!$F:$F,$A$58,tételek!$C:$C,"&gt;"&amp;0)</f>
        <v>0</v>
      </c>
      <c r="BV60" s="70">
        <f>SUMIFS(tételek!$C:$C,tételek!$A:$A,"&gt;="&amp;Részletes!BV1,tételek!$A:$A,"&lt;"&amp;Részletes!BW1,tételek!$F:$F,$A$58,tételek!$C:$C,"&gt;"&amp;0)</f>
        <v>0</v>
      </c>
      <c r="BW60" s="70">
        <f>SUMIFS(tételek!$C:$C,tételek!$A:$A,"&gt;="&amp;Részletes!BW1,tételek!$A:$A,"&lt;"&amp;Részletes!BX1,tételek!$F:$F,$A$58,tételek!$C:$C,"&gt;"&amp;0)</f>
        <v>0</v>
      </c>
    </row>
    <row r="61" spans="1:75" x14ac:dyDescent="0.25">
      <c r="A61" s="70" t="s">
        <v>32</v>
      </c>
      <c r="B61" s="70">
        <f>SUMIFS(tételek!$C:$C,tételek!$A:$A,"&gt;="&amp;Részletes!B1,tételek!$A:$A,"&lt;"&amp;Részletes!C1,tételek!$F:$F,$A$58,tételek!$C:$C,"&lt;"&amp;0)</f>
        <v>0</v>
      </c>
      <c r="C61" s="70">
        <f>SUMIFS(tételek!$C:$C,tételek!$A:$A,"&gt;="&amp;Részletes!C1,tételek!$A:$A,"&lt;"&amp;Részletes!D1,tételek!$F:$F,$A$58,tételek!$C:$C,"&lt;"&amp;0)</f>
        <v>0</v>
      </c>
      <c r="D61" s="70">
        <f>SUMIFS(tételek!$C:$C,tételek!$A:$A,"&gt;="&amp;Részletes!D1,tételek!$A:$A,"&lt;"&amp;Részletes!E1,tételek!$F:$F,$A$58,tételek!$C:$C,"&lt;"&amp;0)</f>
        <v>0</v>
      </c>
      <c r="E61" s="70">
        <f>SUMIFS(tételek!$C:$C,tételek!$A:$A,"&gt;="&amp;Részletes!E1,tételek!$A:$A,"&lt;"&amp;Részletes!F1,tételek!$F:$F,$A$58,tételek!$C:$C,"&lt;"&amp;0)</f>
        <v>0</v>
      </c>
      <c r="F61" s="70">
        <f>SUMIFS(tételek!$C:$C,tételek!$A:$A,"&gt;="&amp;Részletes!F1,tételek!$A:$A,"&lt;"&amp;Részletes!G1,tételek!$F:$F,$A$58,tételek!$C:$C,"&lt;"&amp;0)</f>
        <v>0</v>
      </c>
      <c r="G61" s="70">
        <f>SUMIFS(tételek!$C:$C,tételek!$A:$A,"&gt;="&amp;Részletes!G1,tételek!$A:$A,"&lt;"&amp;Részletes!H1,tételek!$F:$F,$A$58,tételek!$C:$C,"&lt;"&amp;0)</f>
        <v>0</v>
      </c>
      <c r="H61" s="70">
        <f>SUMIFS(tételek!$C:$C,tételek!$A:$A,"&gt;="&amp;Részletes!H1,tételek!$A:$A,"&lt;"&amp;Részletes!I1,tételek!$F:$F,$A$58,tételek!$C:$C,"&lt;"&amp;0)</f>
        <v>0</v>
      </c>
      <c r="I61" s="70">
        <f>SUMIFS(tételek!$C:$C,tételek!$A:$A,"&gt;="&amp;Részletes!I1,tételek!$A:$A,"&lt;"&amp;Részletes!J1,tételek!$F:$F,$A$58,tételek!$C:$C,"&lt;"&amp;0)</f>
        <v>0</v>
      </c>
      <c r="J61" s="70">
        <f>SUMIFS(tételek!$C:$C,tételek!$A:$A,"&gt;="&amp;Részletes!J1,tételek!$A:$A,"&lt;"&amp;Részletes!K1,tételek!$F:$F,$A$58,tételek!$C:$C,"&lt;"&amp;0)</f>
        <v>0</v>
      </c>
      <c r="K61" s="70">
        <f>SUMIFS(tételek!$C:$C,tételek!$A:$A,"&gt;="&amp;Részletes!K1,tételek!$A:$A,"&lt;"&amp;Részletes!L1,tételek!$F:$F,$A$58,tételek!$C:$C,"&lt;"&amp;0)</f>
        <v>0</v>
      </c>
      <c r="L61" s="70">
        <f>SUMIFS(tételek!$C:$C,tételek!$A:$A,"&gt;="&amp;Részletes!L1,tételek!$A:$A,"&lt;"&amp;Részletes!M1,tételek!$F:$F,$A$58,tételek!$C:$C,"&lt;"&amp;0)</f>
        <v>0</v>
      </c>
      <c r="M61" s="70">
        <f>SUMIFS(tételek!$C:$C,tételek!$A:$A,"&gt;="&amp;Részletes!M1,tételek!$A:$A,"&lt;"&amp;Részletes!N1,tételek!$F:$F,$A$58,tételek!$C:$C,"&lt;"&amp;0)</f>
        <v>0</v>
      </c>
      <c r="N61" s="70">
        <f>SUMIFS(tételek!$C:$C,tételek!$A:$A,"&gt;="&amp;Részletes!N1,tételek!$A:$A,"&lt;"&amp;Részletes!O1,tételek!$F:$F,$A$58,tételek!$C:$C,"&lt;"&amp;0)</f>
        <v>0</v>
      </c>
      <c r="O61" s="70">
        <f>SUMIFS(tételek!$C:$C,tételek!$A:$A,"&gt;="&amp;Részletes!O1,tételek!$A:$A,"&lt;"&amp;Részletes!P1,tételek!$F:$F,$A$58,tételek!$C:$C,"&lt;"&amp;0)</f>
        <v>0</v>
      </c>
      <c r="P61" s="70">
        <f>SUMIFS(tételek!$C:$C,tételek!$A:$A,"&gt;="&amp;Részletes!P1,tételek!$A:$A,"&lt;"&amp;Részletes!Q1,tételek!$F:$F,$A$58,tételek!$C:$C,"&lt;"&amp;0)</f>
        <v>0</v>
      </c>
      <c r="Q61" s="70">
        <f>SUMIFS(tételek!$C:$C,tételek!$A:$A,"&gt;="&amp;Részletes!Q1,tételek!$A:$A,"&lt;"&amp;Részletes!R1,tételek!$F:$F,$A$58,tételek!$C:$C,"&lt;"&amp;0)</f>
        <v>0</v>
      </c>
      <c r="R61" s="70">
        <f>SUMIFS(tételek!$C:$C,tételek!$A:$A,"&gt;="&amp;Részletes!R1,tételek!$A:$A,"&lt;"&amp;Részletes!S1,tételek!$F:$F,$A$58,tételek!$C:$C,"&lt;"&amp;0)</f>
        <v>-27500000</v>
      </c>
      <c r="S61" s="70">
        <f>SUMIFS(tételek!$C:$C,tételek!$A:$A,"&gt;="&amp;Részletes!S1,tételek!$A:$A,"&lt;"&amp;Részletes!T1,tételek!$F:$F,$A$58,tételek!$C:$C,"&lt;"&amp;0)</f>
        <v>0</v>
      </c>
      <c r="T61" s="70">
        <f>SUMIFS(tételek!$C:$C,tételek!$A:$A,"&gt;="&amp;Részletes!T1,tételek!$A:$A,"&lt;"&amp;Részletes!U1,tételek!$F:$F,$A$58,tételek!$C:$C,"&lt;"&amp;0)</f>
        <v>0</v>
      </c>
      <c r="U61" s="70">
        <f>SUMIFS(tételek!$C:$C,tételek!$A:$A,"&gt;="&amp;Részletes!U1,tételek!$A:$A,"&lt;"&amp;Részletes!V1,tételek!$F:$F,$A$58,tételek!$C:$C,"&lt;"&amp;0)</f>
        <v>0</v>
      </c>
      <c r="V61" s="70">
        <f>SUMIFS(tételek!$C:$C,tételek!$A:$A,"&gt;="&amp;Részletes!V1,tételek!$A:$A,"&lt;"&amp;Részletes!W1,tételek!$F:$F,$A$58,tételek!$C:$C,"&lt;"&amp;0)</f>
        <v>0</v>
      </c>
      <c r="W61" s="70">
        <f>SUMIFS(tételek!$C:$C,tételek!$A:$A,"&gt;="&amp;Részletes!W1,tételek!$A:$A,"&lt;"&amp;Részletes!X1,tételek!$F:$F,$A$58,tételek!$C:$C,"&lt;"&amp;0)</f>
        <v>0</v>
      </c>
      <c r="X61" s="70">
        <f>SUMIFS(tételek!$C:$C,tételek!$A:$A,"&gt;="&amp;Részletes!X1,tételek!$A:$A,"&lt;"&amp;Részletes!Y1,tételek!$F:$F,$A$58,tételek!$C:$C,"&lt;"&amp;0)</f>
        <v>0</v>
      </c>
      <c r="Y61" s="70">
        <f>SUMIFS(tételek!$C:$C,tételek!$A:$A,"&gt;="&amp;Részletes!Y1,tételek!$A:$A,"&lt;"&amp;Részletes!Z1,tételek!$F:$F,$A$58,tételek!$C:$C,"&lt;"&amp;0)</f>
        <v>0</v>
      </c>
      <c r="Z61" s="70">
        <f>SUMIFS(tételek!$C:$C,tételek!$A:$A,"&gt;="&amp;Részletes!Z1,tételek!$A:$A,"&lt;"&amp;Részletes!AA1,tételek!$F:$F,$A$58,tételek!$C:$C,"&lt;"&amp;0)</f>
        <v>0</v>
      </c>
      <c r="AA61" s="70">
        <f>SUMIFS(tételek!$C:$C,tételek!$A:$A,"&gt;="&amp;Részletes!AA1,tételek!$A:$A,"&lt;"&amp;Részletes!AB1,tételek!$F:$F,$A$58,tételek!$C:$C,"&lt;"&amp;0)</f>
        <v>0</v>
      </c>
      <c r="AB61" s="70">
        <f>SUMIFS(tételek!$C:$C,tételek!$A:$A,"&gt;="&amp;Részletes!AB1,tételek!$A:$A,"&lt;"&amp;Részletes!AC1,tételek!$F:$F,$A$58,tételek!$C:$C,"&lt;"&amp;0)</f>
        <v>-10000000</v>
      </c>
      <c r="AC61" s="70">
        <f>SUMIFS(tételek!$C:$C,tételek!$A:$A,"&gt;="&amp;Részletes!AC1,tételek!$A:$A,"&lt;"&amp;Részletes!AD1,tételek!$F:$F,$A$58,tételek!$C:$C,"&lt;"&amp;0)</f>
        <v>0</v>
      </c>
      <c r="AD61" s="70">
        <f>SUMIFS(tételek!$C:$C,tételek!$A:$A,"&gt;="&amp;Részletes!AD1,tételek!$A:$A,"&lt;"&amp;Részletes!AE1,tételek!$F:$F,$A$58,tételek!$C:$C,"&lt;"&amp;0)</f>
        <v>0</v>
      </c>
      <c r="AE61" s="70">
        <f>SUMIFS(tételek!$C:$C,tételek!$A:$A,"&gt;="&amp;Részletes!AE1,tételek!$A:$A,"&lt;"&amp;Részletes!AF1,tételek!$F:$F,$A$58,tételek!$C:$C,"&lt;"&amp;0)</f>
        <v>0</v>
      </c>
      <c r="AF61" s="70">
        <f>SUMIFS(tételek!$C:$C,tételek!$A:$A,"&gt;="&amp;Részletes!AF1,tételek!$A:$A,"&lt;"&amp;Részletes!AG1,tételek!$F:$F,$A$58,tételek!$C:$C,"&lt;"&amp;0)</f>
        <v>-83332.86</v>
      </c>
      <c r="AG61" s="70">
        <f>SUMIFS(tételek!$C:$C,tételek!$A:$A,"&gt;="&amp;Részletes!AG1,tételek!$A:$A,"&lt;"&amp;Részletes!AH1,tételek!$F:$F,$A$58,tételek!$C:$C,"&lt;"&amp;0)</f>
        <v>0</v>
      </c>
      <c r="AH61" s="70">
        <f>SUMIFS(tételek!$C:$C,tételek!$A:$A,"&gt;="&amp;Részletes!AH1,tételek!$A:$A,"&lt;"&amp;Részletes!AI1,tételek!$F:$F,$A$58,tételek!$C:$C,"&lt;"&amp;0)</f>
        <v>0</v>
      </c>
      <c r="AI61" s="70">
        <f>SUMIFS(tételek!$C:$C,tételek!$A:$A,"&gt;="&amp;Részletes!AI1,tételek!$A:$A,"&lt;"&amp;Részletes!AJ1,tételek!$F:$F,$A$58,tételek!$C:$C,"&lt;"&amp;0)</f>
        <v>0</v>
      </c>
      <c r="AJ61" s="70">
        <f>SUMIFS(tételek!$C:$C,tételek!$A:$A,"&gt;="&amp;Részletes!AJ1,tételek!$A:$A,"&lt;"&amp;Részletes!AK1,tételek!$F:$F,$A$58,tételek!$C:$C,"&lt;"&amp;0)</f>
        <v>0</v>
      </c>
      <c r="AK61" s="70">
        <f>SUMIFS(tételek!$C:$C,tételek!$A:$A,"&gt;="&amp;Részletes!AK1,tételek!$A:$A,"&lt;"&amp;Részletes!AL1,tételek!$F:$F,$A$58,tételek!$C:$C,"&lt;"&amp;0)</f>
        <v>0</v>
      </c>
      <c r="AL61" s="70">
        <f>SUMIFS(tételek!$C:$C,tételek!$A:$A,"&gt;="&amp;Részletes!AL1,tételek!$A:$A,"&lt;"&amp;Részletes!AM1,tételek!$F:$F,$A$58,tételek!$C:$C,"&lt;"&amp;0)</f>
        <v>0</v>
      </c>
      <c r="AM61" s="70">
        <f>SUMIFS(tételek!$C:$C,tételek!$A:$A,"&gt;="&amp;Részletes!AM1,tételek!$A:$A,"&lt;"&amp;Részletes!AN1,tételek!$F:$F,$A$58,tételek!$C:$C,"&lt;"&amp;0)</f>
        <v>0</v>
      </c>
      <c r="AN61" s="70">
        <f>SUMIFS(tételek!$C:$C,tételek!$A:$A,"&gt;="&amp;Részletes!AN1,tételek!$A:$A,"&lt;"&amp;Részletes!AO1,tételek!$F:$F,$A$58,tételek!$C:$C,"&lt;"&amp;0)</f>
        <v>0</v>
      </c>
      <c r="AO61" s="70">
        <f>SUMIFS(tételek!$C:$C,tételek!$A:$A,"&gt;="&amp;Részletes!AO1,tételek!$A:$A,"&lt;"&amp;Részletes!AP1,tételek!$F:$F,$A$58,tételek!$C:$C,"&lt;"&amp;0)</f>
        <v>0</v>
      </c>
      <c r="AP61" s="70">
        <f>SUMIFS(tételek!$C:$C,tételek!$A:$A,"&gt;="&amp;Részletes!AP1,tételek!$A:$A,"&lt;"&amp;Részletes!AQ1,tételek!$F:$F,$A$58,tételek!$C:$C,"&lt;"&amp;0)</f>
        <v>0</v>
      </c>
      <c r="AQ61" s="70">
        <f>SUMIFS(tételek!$C:$C,tételek!$A:$A,"&gt;="&amp;Részletes!AQ1,tételek!$A:$A,"&lt;"&amp;Részletes!AR1,tételek!$F:$F,$A$58,tételek!$C:$C,"&lt;"&amp;0)</f>
        <v>0</v>
      </c>
      <c r="AR61" s="70">
        <f>SUMIFS(tételek!$C:$C,tételek!$A:$A,"&gt;="&amp;Részletes!AR1,tételek!$A:$A,"&lt;"&amp;Részletes!AS1,tételek!$F:$F,$A$58,tételek!$C:$C,"&lt;"&amp;0)</f>
        <v>0</v>
      </c>
      <c r="AS61" s="70">
        <f>SUMIFS(tételek!$C:$C,tételek!$A:$A,"&gt;="&amp;Részletes!AS1,tételek!$A:$A,"&lt;"&amp;Részletes!AT1,tételek!$F:$F,$A$58,tételek!$C:$C,"&lt;"&amp;0)</f>
        <v>0</v>
      </c>
      <c r="AT61" s="70">
        <f>SUMIFS(tételek!$C:$C,tételek!$A:$A,"&gt;="&amp;Részletes!AT1,tételek!$A:$A,"&lt;"&amp;Részletes!AU1,tételek!$F:$F,$A$58,tételek!$C:$C,"&lt;"&amp;0)</f>
        <v>0</v>
      </c>
      <c r="AU61" s="70">
        <f>SUMIFS(tételek!$C:$C,tételek!$A:$A,"&gt;="&amp;Részletes!AU1,tételek!$A:$A,"&lt;"&amp;Részletes!AV1,tételek!$F:$F,$A$58,tételek!$C:$C,"&lt;"&amp;0)</f>
        <v>0</v>
      </c>
      <c r="AV61" s="70">
        <f>SUMIFS(tételek!$C:$C,tételek!$A:$A,"&gt;="&amp;Részletes!AV1,tételek!$A:$A,"&lt;"&amp;Részletes!AW1,tételek!$F:$F,$A$58,tételek!$C:$C,"&lt;"&amp;0)</f>
        <v>0</v>
      </c>
      <c r="AW61" s="70">
        <f>SUMIFS(tételek!$C:$C,tételek!$A:$A,"&gt;="&amp;Részletes!AW1,tételek!$A:$A,"&lt;"&amp;Részletes!AX1,tételek!$F:$F,$A$58,tételek!$C:$C,"&lt;"&amp;0)</f>
        <v>0</v>
      </c>
      <c r="AX61" s="70">
        <f>SUMIFS(tételek!$C:$C,tételek!$A:$A,"&gt;="&amp;Részletes!AX1,tételek!$A:$A,"&lt;"&amp;Részletes!AY1,tételek!$F:$F,$A$58,tételek!$C:$C,"&lt;"&amp;0)</f>
        <v>0</v>
      </c>
      <c r="AY61" s="70">
        <f>SUMIFS(tételek!$C:$C,tételek!$A:$A,"&gt;="&amp;Részletes!AY1,tételek!$A:$A,"&lt;"&amp;Részletes!AZ1,tételek!$F:$F,$A$58,tételek!$C:$C,"&lt;"&amp;0)</f>
        <v>0</v>
      </c>
      <c r="AZ61" s="70">
        <f>SUMIFS(tételek!$C:$C,tételek!$A:$A,"&gt;="&amp;Részletes!AZ1,tételek!$A:$A,"&lt;"&amp;Részletes!BA1,tételek!$F:$F,$A$58,tételek!$C:$C,"&lt;"&amp;0)</f>
        <v>0</v>
      </c>
      <c r="BA61" s="70">
        <f>SUMIFS(tételek!$C:$C,tételek!$A:$A,"&gt;="&amp;Részletes!BA1,tételek!$A:$A,"&lt;"&amp;Részletes!BB1,tételek!$F:$F,$A$58,tételek!$C:$C,"&lt;"&amp;0)</f>
        <v>0</v>
      </c>
      <c r="BB61" s="70">
        <f>SUMIFS(tételek!$C:$C,tételek!$A:$A,"&gt;="&amp;Részletes!BB1,tételek!$A:$A,"&lt;"&amp;Részletes!BC1,tételek!$F:$F,$A$58,tételek!$C:$C,"&lt;"&amp;0)</f>
        <v>0</v>
      </c>
      <c r="BC61" s="70">
        <f>SUMIFS(tételek!$C:$C,tételek!$A:$A,"&gt;="&amp;Részletes!BC1,tételek!$A:$A,"&lt;"&amp;Részletes!BD1,tételek!$F:$F,$A$58,tételek!$C:$C,"&lt;"&amp;0)</f>
        <v>0</v>
      </c>
      <c r="BD61" s="70">
        <f>SUMIFS(tételek!$C:$C,tételek!$A:$A,"&gt;="&amp;Részletes!BD1,tételek!$A:$A,"&lt;"&amp;Részletes!BE1,tételek!$F:$F,$A$58,tételek!$C:$C,"&lt;"&amp;0)</f>
        <v>0</v>
      </c>
      <c r="BE61" s="70">
        <f>SUMIFS(tételek!$C:$C,tételek!$A:$A,"&gt;="&amp;Részletes!BE1,tételek!$A:$A,"&lt;"&amp;Részletes!BF1,tételek!$F:$F,$A$58,tételek!$C:$C,"&lt;"&amp;0)</f>
        <v>0</v>
      </c>
      <c r="BF61" s="70">
        <f>SUMIFS(tételek!$C:$C,tételek!$A:$A,"&gt;="&amp;Részletes!BF1,tételek!$A:$A,"&lt;"&amp;Részletes!BG1,tételek!$F:$F,$A$58,tételek!$C:$C,"&lt;"&amp;0)</f>
        <v>0</v>
      </c>
      <c r="BG61" s="70">
        <f>SUMIFS(tételek!$C:$C,tételek!$A:$A,"&gt;="&amp;Részletes!BG1,tételek!$A:$A,"&lt;"&amp;Részletes!BH1,tételek!$F:$F,$A$58,tételek!$C:$C,"&lt;"&amp;0)</f>
        <v>0</v>
      </c>
      <c r="BH61" s="70">
        <f>SUMIFS(tételek!$C:$C,tételek!$A:$A,"&gt;="&amp;Részletes!BH1,tételek!$A:$A,"&lt;"&amp;Részletes!BI1,tételek!$F:$F,$A$58,tételek!$C:$C,"&lt;"&amp;0)</f>
        <v>0</v>
      </c>
      <c r="BI61" s="70">
        <f>SUMIFS(tételek!$C:$C,tételek!$A:$A,"&gt;="&amp;Részletes!BI1,tételek!$A:$A,"&lt;"&amp;Részletes!BJ1,tételek!$F:$F,$A$58,tételek!$C:$C,"&lt;"&amp;0)</f>
        <v>0</v>
      </c>
      <c r="BJ61" s="70">
        <f>SUMIFS(tételek!$C:$C,tételek!$A:$A,"&gt;="&amp;Részletes!BJ1,tételek!$A:$A,"&lt;"&amp;Részletes!BK1,tételek!$F:$F,$A$58,tételek!$C:$C,"&lt;"&amp;0)</f>
        <v>0</v>
      </c>
      <c r="BK61" s="70">
        <f>SUMIFS(tételek!$C:$C,tételek!$A:$A,"&gt;="&amp;Részletes!BK1,tételek!$A:$A,"&lt;"&amp;Részletes!BL1,tételek!$F:$F,$A$58,tételek!$C:$C,"&lt;"&amp;0)</f>
        <v>0</v>
      </c>
      <c r="BL61" s="70">
        <f>SUMIFS(tételek!$C:$C,tételek!$A:$A,"&gt;="&amp;Részletes!BL1,tételek!$A:$A,"&lt;"&amp;Részletes!BM1,tételek!$F:$F,$A$58,tételek!$C:$C,"&lt;"&amp;0)</f>
        <v>0</v>
      </c>
      <c r="BM61" s="70">
        <f>SUMIFS(tételek!$C:$C,tételek!$A:$A,"&gt;="&amp;Részletes!BM1,tételek!$A:$A,"&lt;"&amp;Részletes!BN1,tételek!$F:$F,$A$58,tételek!$C:$C,"&lt;"&amp;0)</f>
        <v>0</v>
      </c>
      <c r="BN61" s="70">
        <f>SUMIFS(tételek!$C:$C,tételek!$A:$A,"&gt;="&amp;Részletes!BN1,tételek!$A:$A,"&lt;"&amp;Részletes!BO1,tételek!$F:$F,$A$58,tételek!$C:$C,"&lt;"&amp;0)</f>
        <v>0</v>
      </c>
      <c r="BO61" s="70">
        <f>SUMIFS(tételek!$C:$C,tételek!$A:$A,"&gt;="&amp;Részletes!BO1,tételek!$A:$A,"&lt;"&amp;Részletes!BP1,tételek!$F:$F,$A$58,tételek!$C:$C,"&lt;"&amp;0)</f>
        <v>0</v>
      </c>
      <c r="BP61" s="70">
        <f>SUMIFS(tételek!$C:$C,tételek!$A:$A,"&gt;="&amp;Részletes!BP1,tételek!$A:$A,"&lt;"&amp;Részletes!BQ1,tételek!$F:$F,$A$58,tételek!$C:$C,"&lt;"&amp;0)</f>
        <v>0</v>
      </c>
      <c r="BQ61" s="70">
        <f>SUMIFS(tételek!$C:$C,tételek!$A:$A,"&gt;="&amp;Részletes!BQ1,tételek!$A:$A,"&lt;"&amp;Részletes!BR1,tételek!$F:$F,$A$58,tételek!$C:$C,"&lt;"&amp;0)</f>
        <v>0</v>
      </c>
      <c r="BR61" s="70">
        <f>SUMIFS(tételek!$C:$C,tételek!$A:$A,"&gt;="&amp;Részletes!BR1,tételek!$A:$A,"&lt;"&amp;Részletes!BS1,tételek!$F:$F,$A$58,tételek!$C:$C,"&lt;"&amp;0)</f>
        <v>0</v>
      </c>
      <c r="BS61" s="70">
        <f>SUMIFS(tételek!$C:$C,tételek!$A:$A,"&gt;="&amp;Részletes!BS1,tételek!$A:$A,"&lt;"&amp;Részletes!BT1,tételek!$F:$F,$A$58,tételek!$C:$C,"&lt;"&amp;0)</f>
        <v>0</v>
      </c>
      <c r="BT61" s="70">
        <f>SUMIFS(tételek!$C:$C,tételek!$A:$A,"&gt;="&amp;Részletes!BT1,tételek!$A:$A,"&lt;"&amp;Részletes!BU1,tételek!$F:$F,$A$58,tételek!$C:$C,"&lt;"&amp;0)</f>
        <v>0</v>
      </c>
      <c r="BU61" s="70">
        <f>SUMIFS(tételek!$C:$C,tételek!$A:$A,"&gt;="&amp;Részletes!BU1,tételek!$A:$A,"&lt;"&amp;Részletes!BV1,tételek!$F:$F,$A$58,tételek!$C:$C,"&lt;"&amp;0)</f>
        <v>0</v>
      </c>
      <c r="BV61" s="70">
        <f>SUMIFS(tételek!$C:$C,tételek!$A:$A,"&gt;="&amp;Részletes!BV1,tételek!$A:$A,"&lt;"&amp;Részletes!BW1,tételek!$F:$F,$A$58,tételek!$C:$C,"&lt;"&amp;0)</f>
        <v>0</v>
      </c>
      <c r="BW61" s="70">
        <f>SUMIFS(tételek!$C:$C,tételek!$A:$A,"&gt;="&amp;Részletes!BW1,tételek!$A:$A,"&lt;"&amp;Részletes!BX1,tételek!$F:$F,$A$58,tételek!$C:$C,"&lt;"&amp;0)</f>
        <v>0</v>
      </c>
    </row>
    <row r="62" spans="1:75" x14ac:dyDescent="0.25">
      <c r="A62" s="70" t="s">
        <v>20</v>
      </c>
      <c r="B62" s="70">
        <v>0</v>
      </c>
      <c r="C62" s="70">
        <v>0</v>
      </c>
      <c r="D62" s="70">
        <v>0</v>
      </c>
      <c r="E62" s="70">
        <v>0</v>
      </c>
      <c r="F62" s="70">
        <v>0</v>
      </c>
      <c r="G62" s="70">
        <v>0</v>
      </c>
      <c r="H62" s="70">
        <v>0</v>
      </c>
      <c r="I62" s="70">
        <v>0</v>
      </c>
      <c r="J62" s="70">
        <v>0</v>
      </c>
      <c r="K62" s="70">
        <v>0</v>
      </c>
      <c r="L62" s="70">
        <v>0</v>
      </c>
      <c r="M62" s="70">
        <v>0</v>
      </c>
      <c r="N62" s="70">
        <v>0</v>
      </c>
      <c r="O62" s="70">
        <v>0</v>
      </c>
      <c r="P62" s="70">
        <v>0</v>
      </c>
      <c r="Q62" s="70">
        <v>0</v>
      </c>
      <c r="R62" s="70">
        <v>0</v>
      </c>
      <c r="S62" s="70">
        <v>0</v>
      </c>
      <c r="T62" s="70">
        <v>0</v>
      </c>
      <c r="U62" s="70">
        <v>0</v>
      </c>
      <c r="V62" s="70">
        <v>0</v>
      </c>
      <c r="W62" s="70">
        <v>0</v>
      </c>
      <c r="X62" s="70">
        <v>0</v>
      </c>
      <c r="Y62" s="70">
        <v>0</v>
      </c>
      <c r="Z62" s="70">
        <v>0</v>
      </c>
      <c r="AA62" s="70">
        <v>0</v>
      </c>
      <c r="AB62" s="70">
        <v>0</v>
      </c>
      <c r="AC62" s="70">
        <v>0</v>
      </c>
      <c r="AD62" s="70">
        <v>0</v>
      </c>
      <c r="AE62" s="70">
        <v>0</v>
      </c>
      <c r="AF62" s="70">
        <v>0</v>
      </c>
      <c r="AG62" s="70">
        <v>0</v>
      </c>
      <c r="AH62" s="70">
        <v>0</v>
      </c>
      <c r="AI62" s="70">
        <v>0</v>
      </c>
      <c r="AJ62" s="70">
        <v>0</v>
      </c>
      <c r="AK62" s="70">
        <v>0</v>
      </c>
      <c r="AL62" s="70">
        <v>0</v>
      </c>
      <c r="AM62" s="70">
        <v>0</v>
      </c>
      <c r="AN62" s="70">
        <v>0</v>
      </c>
      <c r="AO62" s="70">
        <v>0</v>
      </c>
      <c r="AP62" s="70">
        <v>0</v>
      </c>
      <c r="AQ62" s="70">
        <v>0</v>
      </c>
      <c r="AR62" s="70">
        <v>0</v>
      </c>
      <c r="AS62" s="70">
        <v>0</v>
      </c>
      <c r="AT62" s="70">
        <v>0</v>
      </c>
      <c r="AU62" s="70">
        <v>0</v>
      </c>
      <c r="AV62" s="70">
        <v>0</v>
      </c>
      <c r="AW62" s="70">
        <v>0</v>
      </c>
      <c r="AX62" s="70">
        <v>0</v>
      </c>
      <c r="AY62" s="70">
        <v>0</v>
      </c>
      <c r="AZ62" s="70">
        <v>0</v>
      </c>
      <c r="BA62" s="70">
        <v>0</v>
      </c>
      <c r="BB62" s="70">
        <v>0</v>
      </c>
      <c r="BC62" s="70">
        <v>0</v>
      </c>
      <c r="BD62" s="70">
        <v>0</v>
      </c>
      <c r="BE62" s="70">
        <v>0</v>
      </c>
      <c r="BF62" s="70">
        <v>0</v>
      </c>
      <c r="BG62" s="70">
        <v>0</v>
      </c>
      <c r="BH62" s="70">
        <v>0</v>
      </c>
      <c r="BI62" s="70">
        <v>0</v>
      </c>
      <c r="BJ62" s="70">
        <v>0</v>
      </c>
      <c r="BK62" s="70">
        <v>0</v>
      </c>
      <c r="BL62" s="70">
        <v>0</v>
      </c>
      <c r="BM62" s="70">
        <v>0</v>
      </c>
      <c r="BN62" s="70">
        <v>0</v>
      </c>
      <c r="BO62" s="70">
        <v>0</v>
      </c>
      <c r="BP62" s="70">
        <v>0</v>
      </c>
      <c r="BQ62" s="70">
        <v>0</v>
      </c>
      <c r="BR62" s="70">
        <v>0</v>
      </c>
      <c r="BS62" s="70">
        <v>0</v>
      </c>
      <c r="BT62" s="70">
        <v>0</v>
      </c>
      <c r="BU62" s="70">
        <v>0</v>
      </c>
      <c r="BV62" s="70">
        <v>0</v>
      </c>
      <c r="BW62" s="70">
        <v>0</v>
      </c>
    </row>
    <row r="63" spans="1:75" x14ac:dyDescent="0.25">
      <c r="A63" s="70" t="s">
        <v>21</v>
      </c>
      <c r="B63" s="70">
        <v>0</v>
      </c>
      <c r="C63" s="70">
        <v>0</v>
      </c>
      <c r="D63" s="70">
        <v>0</v>
      </c>
      <c r="E63" s="70">
        <v>0</v>
      </c>
      <c r="F63" s="70">
        <v>0</v>
      </c>
      <c r="G63" s="70">
        <v>0</v>
      </c>
      <c r="H63" s="70">
        <v>0</v>
      </c>
      <c r="I63" s="70">
        <v>0</v>
      </c>
      <c r="J63" s="70">
        <v>0</v>
      </c>
      <c r="K63" s="70">
        <v>0</v>
      </c>
      <c r="L63" s="70">
        <v>0</v>
      </c>
      <c r="M63" s="70">
        <v>0</v>
      </c>
      <c r="N63" s="70">
        <v>0</v>
      </c>
      <c r="O63" s="70">
        <v>0</v>
      </c>
      <c r="P63" s="70">
        <v>0</v>
      </c>
      <c r="Q63" s="70">
        <v>0</v>
      </c>
      <c r="R63" s="70">
        <v>0</v>
      </c>
      <c r="S63" s="70">
        <f>R64*(1+2.36%/12)+S62</f>
        <v>-26952903.333333332</v>
      </c>
      <c r="T63" s="70">
        <f t="shared" ref="T63:AC63" si="44">S64*(1+2.36%/12)+T62+Törlesztő</f>
        <v>-26876934.483733665</v>
      </c>
      <c r="U63" s="70">
        <f t="shared" si="44"/>
        <v>-26876934.483733665</v>
      </c>
      <c r="V63" s="70">
        <f t="shared" si="44"/>
        <v>-26670610.830329664</v>
      </c>
      <c r="W63" s="70">
        <f t="shared" si="44"/>
        <v>-26463867.883934665</v>
      </c>
      <c r="X63" s="70">
        <f t="shared" si="44"/>
        <v>-26463867.883934665</v>
      </c>
      <c r="Y63" s="70">
        <f t="shared" si="44"/>
        <v>-26256280.429934666</v>
      </c>
      <c r="Z63" s="70">
        <f t="shared" si="44"/>
        <v>-26046518.708267998</v>
      </c>
      <c r="AA63" s="70">
        <f t="shared" si="44"/>
        <v>-25838082.849012665</v>
      </c>
      <c r="AB63" s="70">
        <f t="shared" si="44"/>
        <v>-25629223.398329332</v>
      </c>
      <c r="AC63" s="70">
        <f t="shared" si="44"/>
        <v>-25414807.010453667</v>
      </c>
      <c r="AD63" s="70">
        <f>AC64+((AC64-10000000)*2.36%/12)+AD62+Törlesztő</f>
        <v>-35244420.704720333</v>
      </c>
      <c r="AE63" s="70">
        <f>AD64+((AD64-10000000)*2.36%/12)+AE62+Törlesztő</f>
        <v>-34986668.607233003</v>
      </c>
      <c r="AF63" s="70">
        <f t="shared" ref="AF63:BW63" si="45">AE64+((AE64+10000000)*2.36%/12)+AF62+Törlesztő</f>
        <v>-34523238.243500002</v>
      </c>
      <c r="AG63" s="70">
        <f t="shared" si="45"/>
        <v>-34309662.27871222</v>
      </c>
      <c r="AH63" s="70">
        <f t="shared" si="45"/>
        <v>-34095666.281193689</v>
      </c>
      <c r="AI63" s="70">
        <f t="shared" si="45"/>
        <v>-33881249.424880035</v>
      </c>
      <c r="AJ63" s="70">
        <f t="shared" si="45"/>
        <v>-34097461.526199996</v>
      </c>
      <c r="AK63" s="70">
        <f t="shared" si="45"/>
        <v>-33883048.200534858</v>
      </c>
      <c r="AL63" s="70">
        <f t="shared" si="45"/>
        <v>-33669981.465566665</v>
      </c>
      <c r="AM63" s="70">
        <f t="shared" si="45"/>
        <v>-33456381.209600002</v>
      </c>
      <c r="AN63" s="70">
        <f t="shared" si="45"/>
        <v>-33240707.092645548</v>
      </c>
      <c r="AO63" s="70">
        <f t="shared" si="45"/>
        <v>-33023247.051066667</v>
      </c>
      <c r="AP63" s="70">
        <f t="shared" si="45"/>
        <v>-32808332.214833334</v>
      </c>
      <c r="AQ63" s="70">
        <f t="shared" si="45"/>
        <v>-32591466.5495</v>
      </c>
      <c r="AR63" s="70">
        <f t="shared" si="45"/>
        <v>-32374091.433714017</v>
      </c>
      <c r="AS63" s="70">
        <f t="shared" si="45"/>
        <v>-32157957.655433334</v>
      </c>
      <c r="AT63" s="70">
        <f t="shared" si="45"/>
        <v>-31939729.972155683</v>
      </c>
      <c r="AU63" s="70">
        <f t="shared" si="45"/>
        <v>-31724171.216600001</v>
      </c>
      <c r="AV63" s="70">
        <f t="shared" si="45"/>
        <v>-31505172.364233334</v>
      </c>
      <c r="AW63" s="70">
        <f t="shared" si="45"/>
        <v>-31287172.472633332</v>
      </c>
      <c r="AX63" s="70">
        <f t="shared" si="45"/>
        <v>-31067314.934833333</v>
      </c>
      <c r="AY63" s="70">
        <f t="shared" si="45"/>
        <v>-30846942.320871834</v>
      </c>
      <c r="AZ63" s="70">
        <f t="shared" si="45"/>
        <v>-30629084.773833334</v>
      </c>
      <c r="BA63" s="70">
        <f t="shared" si="45"/>
        <v>-30406567.014533333</v>
      </c>
      <c r="BB63" s="70">
        <f t="shared" si="45"/>
        <v>-30186335.743166666</v>
      </c>
      <c r="BC63" s="70">
        <f t="shared" si="45"/>
        <v>-29964311.953433335</v>
      </c>
      <c r="BD63" s="70">
        <f t="shared" si="45"/>
        <v>-29741770.100275088</v>
      </c>
      <c r="BE63" s="70">
        <f t="shared" si="45"/>
        <v>-29518790.581472296</v>
      </c>
      <c r="BF63" s="70">
        <f t="shared" si="45"/>
        <v>-29295372.536282524</v>
      </c>
      <c r="BG63" s="70">
        <f t="shared" si="45"/>
        <v>-29071515.102270547</v>
      </c>
      <c r="BH63" s="70">
        <f t="shared" si="45"/>
        <v>-28847217.415305011</v>
      </c>
      <c r="BI63" s="70">
        <f t="shared" si="45"/>
        <v>-28622478.60955511</v>
      </c>
      <c r="BJ63" s="70">
        <f t="shared" si="45"/>
        <v>-28397297.817487236</v>
      </c>
      <c r="BK63" s="70">
        <f t="shared" si="45"/>
        <v>-28171674.169861626</v>
      </c>
      <c r="BL63" s="70">
        <f t="shared" si="45"/>
        <v>-27945606.795729019</v>
      </c>
      <c r="BM63" s="70">
        <f t="shared" si="45"/>
        <v>-27719094.822427284</v>
      </c>
      <c r="BN63" s="70">
        <f t="shared" si="45"/>
        <v>-27492137.375578057</v>
      </c>
      <c r="BO63" s="70">
        <f t="shared" si="45"/>
        <v>-27264733.579083361</v>
      </c>
      <c r="BP63" s="70">
        <f t="shared" si="45"/>
        <v>-27036882.555122226</v>
      </c>
      <c r="BQ63" s="70">
        <f t="shared" si="45"/>
        <v>-26808583.4241473</v>
      </c>
      <c r="BR63" s="70">
        <f t="shared" si="45"/>
        <v>-26579835.304881457</v>
      </c>
      <c r="BS63" s="70">
        <f t="shared" si="45"/>
        <v>-26350637.314314391</v>
      </c>
      <c r="BT63" s="70">
        <f t="shared" si="45"/>
        <v>-26120988.567699209</v>
      </c>
      <c r="BU63" s="70">
        <f t="shared" si="45"/>
        <v>-25890888.178549018</v>
      </c>
      <c r="BV63" s="70">
        <f t="shared" si="45"/>
        <v>-25660335.258633498</v>
      </c>
      <c r="BW63" s="70">
        <f t="shared" si="45"/>
        <v>-25429328.917975478</v>
      </c>
    </row>
    <row r="64" spans="1:75" collapsed="1" x14ac:dyDescent="0.25">
      <c r="A64" s="73" t="s">
        <v>22</v>
      </c>
      <c r="B64" s="73">
        <f t="shared" ref="B64:Q64" si="46">B59+B60+B61</f>
        <v>0</v>
      </c>
      <c r="C64" s="73">
        <f t="shared" si="46"/>
        <v>0</v>
      </c>
      <c r="D64" s="73">
        <f t="shared" si="46"/>
        <v>0</v>
      </c>
      <c r="E64" s="73">
        <f t="shared" si="46"/>
        <v>0</v>
      </c>
      <c r="F64" s="73">
        <f t="shared" si="46"/>
        <v>0</v>
      </c>
      <c r="G64" s="73">
        <f t="shared" si="46"/>
        <v>0</v>
      </c>
      <c r="H64" s="73">
        <f t="shared" si="46"/>
        <v>0</v>
      </c>
      <c r="I64" s="73">
        <f t="shared" si="46"/>
        <v>0</v>
      </c>
      <c r="J64" s="73">
        <f t="shared" si="46"/>
        <v>0</v>
      </c>
      <c r="K64" s="73">
        <f t="shared" si="46"/>
        <v>0</v>
      </c>
      <c r="L64" s="73">
        <f t="shared" si="46"/>
        <v>0</v>
      </c>
      <c r="M64" s="73">
        <f t="shared" si="46"/>
        <v>0</v>
      </c>
      <c r="N64" s="73">
        <f t="shared" si="46"/>
        <v>0</v>
      </c>
      <c r="O64" s="73">
        <f t="shared" si="46"/>
        <v>0</v>
      </c>
      <c r="P64" s="73">
        <f t="shared" si="46"/>
        <v>0</v>
      </c>
      <c r="Q64" s="73">
        <f t="shared" si="46"/>
        <v>0</v>
      </c>
      <c r="R64" s="73">
        <f>SUM(R60:R61)</f>
        <v>-26900000</v>
      </c>
      <c r="S64" s="73">
        <f t="shared" ref="S64:AX64" si="47">IF(S59&lt;&gt;"",S59,S63)</f>
        <v>-27085471.389999997</v>
      </c>
      <c r="T64" s="73">
        <f t="shared" si="47"/>
        <v>-27085471.389999997</v>
      </c>
      <c r="U64" s="73">
        <f t="shared" si="47"/>
        <v>-26879552.709999997</v>
      </c>
      <c r="V64" s="73">
        <f t="shared" si="47"/>
        <v>-26673215.559999999</v>
      </c>
      <c r="W64" s="73">
        <f t="shared" si="47"/>
        <v>-26673215.559999999</v>
      </c>
      <c r="X64" s="73">
        <f t="shared" si="47"/>
        <v>-26466035.559999999</v>
      </c>
      <c r="Y64" s="73">
        <f t="shared" si="47"/>
        <v>-26256685.559999999</v>
      </c>
      <c r="Z64" s="73">
        <f t="shared" si="47"/>
        <v>-26048658.82</v>
      </c>
      <c r="AA64" s="73">
        <f t="shared" si="47"/>
        <v>-25840209.32</v>
      </c>
      <c r="AB64" s="73">
        <f t="shared" si="47"/>
        <v>-25626213.789999999</v>
      </c>
      <c r="AC64" s="73">
        <f t="shared" si="47"/>
        <v>-35416905.789999999</v>
      </c>
      <c r="AD64" s="73">
        <f t="shared" si="47"/>
        <v>-35159659.609999999</v>
      </c>
      <c r="AE64" s="73">
        <f t="shared" si="47"/>
        <v>-34736395</v>
      </c>
      <c r="AF64" s="73">
        <f t="shared" si="47"/>
        <v>-34523238.243500002</v>
      </c>
      <c r="AG64" s="73">
        <f t="shared" si="47"/>
        <v>-34309662.27871222</v>
      </c>
      <c r="AH64" s="73">
        <f t="shared" si="47"/>
        <v>-34095666.281193689</v>
      </c>
      <c r="AI64" s="73">
        <f t="shared" si="47"/>
        <v>-34311454</v>
      </c>
      <c r="AJ64" s="73">
        <f t="shared" si="47"/>
        <v>-34097461.526199996</v>
      </c>
      <c r="AK64" s="73">
        <f t="shared" si="47"/>
        <v>-33884813</v>
      </c>
      <c r="AL64" s="73">
        <f t="shared" si="47"/>
        <v>-33671632</v>
      </c>
      <c r="AM64" s="73">
        <f t="shared" si="47"/>
        <v>-33456381.209600002</v>
      </c>
      <c r="AN64" s="73">
        <f t="shared" si="47"/>
        <v>-33239348</v>
      </c>
      <c r="AO64" s="73">
        <f t="shared" si="47"/>
        <v>-33024855</v>
      </c>
      <c r="AP64" s="73">
        <f t="shared" si="47"/>
        <v>-32808415</v>
      </c>
      <c r="AQ64" s="73">
        <f t="shared" si="47"/>
        <v>-32591466.5495</v>
      </c>
      <c r="AR64" s="73">
        <f t="shared" si="47"/>
        <v>-32375757</v>
      </c>
      <c r="AS64" s="73">
        <f t="shared" si="47"/>
        <v>-32157957.655433331</v>
      </c>
      <c r="AT64" s="73">
        <f t="shared" si="47"/>
        <v>-31942822</v>
      </c>
      <c r="AU64" s="73">
        <f t="shared" si="47"/>
        <v>-31724253</v>
      </c>
      <c r="AV64" s="73">
        <f t="shared" si="47"/>
        <v>-31506681</v>
      </c>
      <c r="AW64" s="73">
        <f t="shared" si="47"/>
        <v>-31287255</v>
      </c>
      <c r="AX64" s="73">
        <f t="shared" si="47"/>
        <v>-31067314.934833329</v>
      </c>
      <c r="AY64" s="73">
        <f t="shared" ref="AY64:CD64" si="48">IF(AY59&lt;&gt;"",AY59,AY63)</f>
        <v>-30849885</v>
      </c>
      <c r="AZ64" s="73">
        <f t="shared" si="48"/>
        <v>-30627804</v>
      </c>
      <c r="BA64" s="73">
        <f t="shared" si="48"/>
        <v>-30408005</v>
      </c>
      <c r="BB64" s="73">
        <f t="shared" si="48"/>
        <v>-30186417</v>
      </c>
      <c r="BC64" s="73">
        <f t="shared" si="48"/>
        <v>-29964311.953433335</v>
      </c>
      <c r="BD64" s="73">
        <f t="shared" si="48"/>
        <v>-29741770.100275088</v>
      </c>
      <c r="BE64" s="73">
        <f t="shared" si="48"/>
        <v>-29518790.581472296</v>
      </c>
      <c r="BF64" s="73">
        <f t="shared" si="48"/>
        <v>-29295372.536282524</v>
      </c>
      <c r="BG64" s="73">
        <f t="shared" si="48"/>
        <v>-29071515.102270547</v>
      </c>
      <c r="BH64" s="73">
        <f t="shared" si="48"/>
        <v>-28847217.415305011</v>
      </c>
      <c r="BI64" s="73">
        <f t="shared" si="48"/>
        <v>-28622478.60955511</v>
      </c>
      <c r="BJ64" s="73">
        <f t="shared" si="48"/>
        <v>-28397297.817487236</v>
      </c>
      <c r="BK64" s="73">
        <f t="shared" si="48"/>
        <v>-28171674.169861626</v>
      </c>
      <c r="BL64" s="73">
        <f t="shared" si="48"/>
        <v>-27945606.795729019</v>
      </c>
      <c r="BM64" s="73">
        <f t="shared" si="48"/>
        <v>-27719094.822427284</v>
      </c>
      <c r="BN64" s="73">
        <f t="shared" si="48"/>
        <v>-27492137.375578057</v>
      </c>
      <c r="BO64" s="73">
        <f t="shared" si="48"/>
        <v>-27264733.579083361</v>
      </c>
      <c r="BP64" s="73">
        <f t="shared" si="48"/>
        <v>-27036882.555122226</v>
      </c>
      <c r="BQ64" s="73">
        <f t="shared" si="48"/>
        <v>-26808583.4241473</v>
      </c>
      <c r="BR64" s="73">
        <f t="shared" si="48"/>
        <v>-26579835.304881457</v>
      </c>
      <c r="BS64" s="73">
        <f t="shared" si="48"/>
        <v>-26350637.314314391</v>
      </c>
      <c r="BT64" s="73">
        <f t="shared" si="48"/>
        <v>-26120988.567699209</v>
      </c>
      <c r="BU64" s="73">
        <f t="shared" si="48"/>
        <v>-25890888.178549018</v>
      </c>
      <c r="BV64" s="73">
        <f t="shared" si="48"/>
        <v>-25660335.258633498</v>
      </c>
      <c r="BW64" s="73">
        <f t="shared" si="48"/>
        <v>-25429328.917975478</v>
      </c>
    </row>
    <row r="72" spans="1:75" ht="20.25" customHeight="1" thickBot="1" x14ac:dyDescent="0.35">
      <c r="A72" s="82" t="s">
        <v>33</v>
      </c>
    </row>
    <row r="73" spans="1:75" ht="15.75" customHeight="1" thickTop="1" x14ac:dyDescent="0.25">
      <c r="A73" s="70" t="s">
        <v>34</v>
      </c>
      <c r="B73" s="70">
        <f t="shared" ref="B73:AG73" si="49">B4+B12+B20+B36+B28+B42+B48+B53</f>
        <v>572166.99</v>
      </c>
      <c r="C73" s="70">
        <f t="shared" si="49"/>
        <v>684410.21</v>
      </c>
      <c r="D73" s="70">
        <f t="shared" si="49"/>
        <v>656687.99</v>
      </c>
      <c r="E73" s="70">
        <f t="shared" si="49"/>
        <v>588370.43999999994</v>
      </c>
      <c r="F73" s="70">
        <f t="shared" si="49"/>
        <v>1078716.96</v>
      </c>
      <c r="G73" s="70">
        <f t="shared" si="49"/>
        <v>1078266.44</v>
      </c>
      <c r="H73" s="70">
        <f t="shared" si="49"/>
        <v>13862738.99</v>
      </c>
      <c r="I73" s="70">
        <f t="shared" si="49"/>
        <v>9574473.4499999993</v>
      </c>
      <c r="J73" s="70">
        <f t="shared" si="49"/>
        <v>2065674</v>
      </c>
      <c r="K73" s="70">
        <f t="shared" si="49"/>
        <v>1229156.49</v>
      </c>
      <c r="L73" s="70">
        <f t="shared" si="49"/>
        <v>2151624</v>
      </c>
      <c r="M73" s="70">
        <f t="shared" si="49"/>
        <v>2424064.65</v>
      </c>
      <c r="N73" s="70">
        <f t="shared" si="49"/>
        <v>1032485</v>
      </c>
      <c r="O73" s="70">
        <f t="shared" si="49"/>
        <v>8417356.5500000007</v>
      </c>
      <c r="P73" s="70">
        <f t="shared" si="49"/>
        <v>1046759</v>
      </c>
      <c r="Q73" s="70">
        <f t="shared" si="49"/>
        <v>4750478.7300000004</v>
      </c>
      <c r="R73" s="70">
        <f t="shared" si="49"/>
        <v>31498072.710000001</v>
      </c>
      <c r="S73" s="70">
        <f t="shared" si="49"/>
        <v>2075753.23</v>
      </c>
      <c r="T73" s="70">
        <f t="shared" si="49"/>
        <v>4226440.3100000005</v>
      </c>
      <c r="U73" s="70">
        <f t="shared" si="49"/>
        <v>6047118.1299999999</v>
      </c>
      <c r="V73" s="70">
        <f t="shared" si="49"/>
        <v>1002232.75</v>
      </c>
      <c r="W73" s="70">
        <f t="shared" si="49"/>
        <v>1232532</v>
      </c>
      <c r="X73" s="70">
        <f t="shared" si="49"/>
        <v>2868767.55</v>
      </c>
      <c r="Y73" s="70">
        <f t="shared" si="49"/>
        <v>991697</v>
      </c>
      <c r="Z73" s="70">
        <f t="shared" si="49"/>
        <v>1044084</v>
      </c>
      <c r="AA73" s="70">
        <f t="shared" si="49"/>
        <v>1109258.3399999999</v>
      </c>
      <c r="AB73" s="70">
        <f t="shared" si="49"/>
        <v>11062761</v>
      </c>
      <c r="AC73" s="70">
        <f t="shared" si="49"/>
        <v>11041317</v>
      </c>
      <c r="AD73" s="70">
        <f t="shared" si="49"/>
        <v>1210901.17</v>
      </c>
      <c r="AE73" s="70">
        <f t="shared" si="49"/>
        <v>2975337</v>
      </c>
      <c r="AF73" s="70">
        <f t="shared" si="49"/>
        <v>1407332.2000000002</v>
      </c>
      <c r="AG73" s="70">
        <f t="shared" si="49"/>
        <v>1251702.8500000001</v>
      </c>
      <c r="AH73" s="70">
        <f t="shared" ref="AH73:BM73" si="50">AH4+AH12+AH20+AH36+AH28+AH42+AH48+AH53</f>
        <v>1368937</v>
      </c>
      <c r="AI73" s="70">
        <f t="shared" si="50"/>
        <v>1229082</v>
      </c>
      <c r="AJ73" s="70">
        <f t="shared" si="50"/>
        <v>1394671.0699999998</v>
      </c>
      <c r="AK73" s="70">
        <f t="shared" si="50"/>
        <v>3825120.66</v>
      </c>
      <c r="AL73" s="70">
        <f t="shared" si="50"/>
        <v>2534174</v>
      </c>
      <c r="AM73" s="70">
        <f t="shared" si="50"/>
        <v>2311472.11</v>
      </c>
      <c r="AN73" s="70">
        <f t="shared" si="50"/>
        <v>2842866</v>
      </c>
      <c r="AO73" s="70">
        <f t="shared" si="50"/>
        <v>2031166</v>
      </c>
      <c r="AP73" s="70">
        <f t="shared" si="50"/>
        <v>1327404.5</v>
      </c>
      <c r="AQ73" s="70">
        <f t="shared" si="50"/>
        <v>2522355</v>
      </c>
      <c r="AR73" s="70">
        <f t="shared" si="50"/>
        <v>1954593</v>
      </c>
      <c r="AS73" s="70">
        <f t="shared" si="50"/>
        <v>1382624.2</v>
      </c>
      <c r="AT73" s="70">
        <f t="shared" si="50"/>
        <v>1223099.24</v>
      </c>
      <c r="AU73" s="70">
        <f t="shared" si="50"/>
        <v>2311355</v>
      </c>
      <c r="AV73" s="70">
        <f t="shared" si="50"/>
        <v>2708037.26</v>
      </c>
      <c r="AW73" s="70">
        <f t="shared" si="50"/>
        <v>1558072.19</v>
      </c>
      <c r="AX73" s="70">
        <f t="shared" si="50"/>
        <v>1382276</v>
      </c>
      <c r="AY73" s="70">
        <f t="shared" si="50"/>
        <v>1349353.46</v>
      </c>
      <c r="AZ73" s="70">
        <f t="shared" si="50"/>
        <v>1459786.42</v>
      </c>
      <c r="BA73" s="70">
        <f t="shared" si="50"/>
        <v>1378211</v>
      </c>
      <c r="BB73" s="70">
        <f t="shared" si="50"/>
        <v>0</v>
      </c>
      <c r="BC73" s="70">
        <f t="shared" si="50"/>
        <v>0</v>
      </c>
      <c r="BD73" s="70">
        <f t="shared" si="50"/>
        <v>0</v>
      </c>
      <c r="BE73" s="70">
        <f t="shared" si="50"/>
        <v>0</v>
      </c>
      <c r="BF73" s="70">
        <f t="shared" si="50"/>
        <v>0</v>
      </c>
      <c r="BG73" s="70">
        <f t="shared" si="50"/>
        <v>0</v>
      </c>
      <c r="BH73" s="70">
        <f t="shared" si="50"/>
        <v>0</v>
      </c>
      <c r="BI73" s="70">
        <f t="shared" si="50"/>
        <v>0</v>
      </c>
      <c r="BJ73" s="70">
        <f t="shared" si="50"/>
        <v>0</v>
      </c>
      <c r="BK73" s="70">
        <f t="shared" si="50"/>
        <v>0</v>
      </c>
      <c r="BL73" s="70">
        <f t="shared" si="50"/>
        <v>0</v>
      </c>
      <c r="BM73" s="70">
        <f t="shared" si="50"/>
        <v>0</v>
      </c>
      <c r="BN73" s="70">
        <f t="shared" ref="BN73:BW73" si="51">BN4+BN12+BN20+BN36+BN28+BN42+BN48+BN53</f>
        <v>0</v>
      </c>
      <c r="BO73" s="70">
        <f t="shared" si="51"/>
        <v>0</v>
      </c>
      <c r="BP73" s="70">
        <f t="shared" si="51"/>
        <v>0</v>
      </c>
      <c r="BQ73" s="70">
        <f t="shared" si="51"/>
        <v>0</v>
      </c>
      <c r="BR73" s="70">
        <f t="shared" si="51"/>
        <v>0</v>
      </c>
      <c r="BS73" s="70">
        <f t="shared" si="51"/>
        <v>0</v>
      </c>
      <c r="BT73" s="70">
        <f t="shared" si="51"/>
        <v>0</v>
      </c>
      <c r="BU73" s="70">
        <f t="shared" si="51"/>
        <v>0</v>
      </c>
      <c r="BV73" s="70">
        <f t="shared" si="51"/>
        <v>0</v>
      </c>
      <c r="BW73" s="70">
        <f t="shared" si="51"/>
        <v>0</v>
      </c>
    </row>
    <row r="74" spans="1:75" x14ac:dyDescent="0.25">
      <c r="A74" s="70" t="s">
        <v>30</v>
      </c>
      <c r="B74" s="70">
        <f t="shared" ref="B74:AG74" si="52">B5+B13+B21+B37+B29+B43+B49+B54</f>
        <v>-882266.27</v>
      </c>
      <c r="C74" s="70">
        <f t="shared" si="52"/>
        <v>-496884.62000000005</v>
      </c>
      <c r="D74" s="70">
        <f t="shared" si="52"/>
        <v>-334699.55</v>
      </c>
      <c r="E74" s="70">
        <f t="shared" si="52"/>
        <v>-573385.34</v>
      </c>
      <c r="F74" s="70">
        <f t="shared" si="52"/>
        <v>-444351.25</v>
      </c>
      <c r="G74" s="70">
        <f t="shared" si="52"/>
        <v>-539033.47</v>
      </c>
      <c r="H74" s="70">
        <f t="shared" si="52"/>
        <v>-10281649.550000001</v>
      </c>
      <c r="I74" s="70">
        <f t="shared" si="52"/>
        <v>-8896198.5299999993</v>
      </c>
      <c r="J74" s="70">
        <f t="shared" si="52"/>
        <v>-1452794</v>
      </c>
      <c r="K74" s="70">
        <f t="shared" si="52"/>
        <v>-618192.07000000007</v>
      </c>
      <c r="L74" s="70">
        <f t="shared" si="52"/>
        <v>-1700285.83</v>
      </c>
      <c r="M74" s="70">
        <f t="shared" si="52"/>
        <v>-1761309.14</v>
      </c>
      <c r="N74" s="70">
        <f t="shared" si="52"/>
        <v>-713761</v>
      </c>
      <c r="O74" s="70">
        <f t="shared" si="52"/>
        <v>-16064642.08</v>
      </c>
      <c r="P74" s="70">
        <f t="shared" si="52"/>
        <v>-415071</v>
      </c>
      <c r="Q74" s="70">
        <f t="shared" si="52"/>
        <v>-10154635.859999999</v>
      </c>
      <c r="R74" s="70">
        <f t="shared" si="52"/>
        <v>-31075519.350000001</v>
      </c>
      <c r="S74" s="70">
        <f t="shared" si="52"/>
        <v>-2551984.56</v>
      </c>
      <c r="T74" s="70">
        <f t="shared" si="52"/>
        <v>-4956896.79</v>
      </c>
      <c r="U74" s="70">
        <f t="shared" si="52"/>
        <v>-10853709.01</v>
      </c>
      <c r="V74" s="70">
        <f t="shared" si="52"/>
        <v>-644384.05000000005</v>
      </c>
      <c r="W74" s="70">
        <f t="shared" si="52"/>
        <v>-854607</v>
      </c>
      <c r="X74" s="70">
        <f t="shared" si="52"/>
        <v>-2577257.73</v>
      </c>
      <c r="Y74" s="70">
        <f t="shared" si="52"/>
        <v>-1016769.0900000001</v>
      </c>
      <c r="Z74" s="70">
        <f t="shared" si="52"/>
        <v>-777321.79</v>
      </c>
      <c r="AA74" s="70">
        <f t="shared" si="52"/>
        <v>-844185.20000000007</v>
      </c>
      <c r="AB74" s="70">
        <f t="shared" si="52"/>
        <v>-765471.79</v>
      </c>
      <c r="AC74" s="70">
        <f t="shared" si="52"/>
        <v>-11132000.890000001</v>
      </c>
      <c r="AD74" s="70">
        <f t="shared" si="52"/>
        <v>-1569570.51</v>
      </c>
      <c r="AE74" s="70">
        <f t="shared" si="52"/>
        <v>-2504934.54</v>
      </c>
      <c r="AF74" s="70">
        <f t="shared" si="52"/>
        <v>-1084407.79</v>
      </c>
      <c r="AG74" s="70">
        <f t="shared" si="52"/>
        <v>-1293776.77</v>
      </c>
      <c r="AH74" s="70">
        <f t="shared" ref="AH74:BM74" si="53">AH5+AH13+AH21+AH37+AH29+AH43+AH49+AH54</f>
        <v>-1576910.79</v>
      </c>
      <c r="AI74" s="70">
        <f t="shared" si="53"/>
        <v>-1120217.79</v>
      </c>
      <c r="AJ74" s="70">
        <f t="shared" si="53"/>
        <v>-936877.10000000009</v>
      </c>
      <c r="AK74" s="70">
        <f t="shared" si="53"/>
        <v>-3099232.99</v>
      </c>
      <c r="AL74" s="70">
        <f t="shared" si="53"/>
        <v>-2135138.06</v>
      </c>
      <c r="AM74" s="70">
        <f t="shared" si="53"/>
        <v>-1102785.75</v>
      </c>
      <c r="AN74" s="70">
        <f t="shared" si="53"/>
        <v>-2584966.98</v>
      </c>
      <c r="AO74" s="70">
        <f t="shared" si="53"/>
        <v>-8225281.79</v>
      </c>
      <c r="AP74" s="70">
        <f t="shared" si="53"/>
        <v>-1245706.1600000001</v>
      </c>
      <c r="AQ74" s="70">
        <f t="shared" si="53"/>
        <v>-1367466.79</v>
      </c>
      <c r="AR74" s="70">
        <f t="shared" si="53"/>
        <v>-2368332.79</v>
      </c>
      <c r="AS74" s="70">
        <f t="shared" si="53"/>
        <v>-1022419.04</v>
      </c>
      <c r="AT74" s="70">
        <f t="shared" si="53"/>
        <v>-1150705.06</v>
      </c>
      <c r="AU74" s="70">
        <f t="shared" si="53"/>
        <v>-2470829.79</v>
      </c>
      <c r="AV74" s="70">
        <f t="shared" si="53"/>
        <v>-1370694.9</v>
      </c>
      <c r="AW74" s="70">
        <f t="shared" si="53"/>
        <v>-1160497.0599999998</v>
      </c>
      <c r="AX74" s="70">
        <f t="shared" si="53"/>
        <v>-1471601.79</v>
      </c>
      <c r="AY74" s="70">
        <f t="shared" si="53"/>
        <v>-1672277.23</v>
      </c>
      <c r="AZ74" s="70">
        <f t="shared" si="53"/>
        <v>-1756545.44</v>
      </c>
      <c r="BA74" s="70">
        <f t="shared" si="53"/>
        <v>-1062516.79</v>
      </c>
      <c r="BB74" s="70">
        <f t="shared" si="53"/>
        <v>0</v>
      </c>
      <c r="BC74" s="70">
        <f t="shared" si="53"/>
        <v>0</v>
      </c>
      <c r="BD74" s="70">
        <f t="shared" si="53"/>
        <v>0</v>
      </c>
      <c r="BE74" s="70">
        <f t="shared" si="53"/>
        <v>0</v>
      </c>
      <c r="BF74" s="70">
        <f t="shared" si="53"/>
        <v>0</v>
      </c>
      <c r="BG74" s="70">
        <f t="shared" si="53"/>
        <v>0</v>
      </c>
      <c r="BH74" s="70">
        <f t="shared" si="53"/>
        <v>0</v>
      </c>
      <c r="BI74" s="70">
        <f t="shared" si="53"/>
        <v>0</v>
      </c>
      <c r="BJ74" s="70">
        <f t="shared" si="53"/>
        <v>0</v>
      </c>
      <c r="BK74" s="70">
        <f t="shared" si="53"/>
        <v>0</v>
      </c>
      <c r="BL74" s="70">
        <f t="shared" si="53"/>
        <v>0</v>
      </c>
      <c r="BM74" s="70">
        <f t="shared" si="53"/>
        <v>0</v>
      </c>
      <c r="BN74" s="70">
        <f t="shared" ref="BN74:BW74" si="54">BN5+BN13+BN21+BN37+BN29+BN43+BN49+BN54</f>
        <v>0</v>
      </c>
      <c r="BO74" s="70">
        <f t="shared" si="54"/>
        <v>0</v>
      </c>
      <c r="BP74" s="70">
        <f t="shared" si="54"/>
        <v>0</v>
      </c>
      <c r="BQ74" s="70">
        <f t="shared" si="54"/>
        <v>0</v>
      </c>
      <c r="BR74" s="70">
        <f t="shared" si="54"/>
        <v>0</v>
      </c>
      <c r="BS74" s="70">
        <f t="shared" si="54"/>
        <v>0</v>
      </c>
      <c r="BT74" s="70">
        <f t="shared" si="54"/>
        <v>0</v>
      </c>
      <c r="BU74" s="70">
        <f t="shared" si="54"/>
        <v>0</v>
      </c>
      <c r="BV74" s="70">
        <f t="shared" si="54"/>
        <v>0</v>
      </c>
      <c r="BW74" s="70">
        <f t="shared" si="54"/>
        <v>0</v>
      </c>
    </row>
    <row r="75" spans="1:75" x14ac:dyDescent="0.25">
      <c r="A75" s="70" t="s">
        <v>35</v>
      </c>
      <c r="B75" s="70">
        <f t="shared" ref="B75:AG75" si="55">SUM(B73:B74)</f>
        <v>-310099.28000000003</v>
      </c>
      <c r="C75" s="70">
        <f t="shared" si="55"/>
        <v>187525.58999999991</v>
      </c>
      <c r="D75" s="70">
        <f t="shared" si="55"/>
        <v>321988.44</v>
      </c>
      <c r="E75" s="70">
        <f t="shared" si="55"/>
        <v>14985.099999999977</v>
      </c>
      <c r="F75" s="70">
        <f t="shared" si="55"/>
        <v>634365.71</v>
      </c>
      <c r="G75" s="70">
        <f t="shared" si="55"/>
        <v>539232.97</v>
      </c>
      <c r="H75" s="70">
        <f t="shared" si="55"/>
        <v>3581089.4399999995</v>
      </c>
      <c r="I75" s="70">
        <f t="shared" si="55"/>
        <v>678274.91999999993</v>
      </c>
      <c r="J75" s="70">
        <f t="shared" si="55"/>
        <v>612880</v>
      </c>
      <c r="K75" s="70">
        <f t="shared" si="55"/>
        <v>610964.41999999993</v>
      </c>
      <c r="L75" s="70">
        <f t="shared" si="55"/>
        <v>451338.16999999993</v>
      </c>
      <c r="M75" s="70">
        <f t="shared" si="55"/>
        <v>662755.51</v>
      </c>
      <c r="N75" s="70">
        <f t="shared" si="55"/>
        <v>318724</v>
      </c>
      <c r="O75" s="70">
        <f t="shared" si="55"/>
        <v>-7647285.5299999993</v>
      </c>
      <c r="P75" s="70">
        <f t="shared" si="55"/>
        <v>631688</v>
      </c>
      <c r="Q75" s="70">
        <f t="shared" si="55"/>
        <v>-5404157.129999999</v>
      </c>
      <c r="R75" s="70">
        <f t="shared" si="55"/>
        <v>422553.3599999994</v>
      </c>
      <c r="S75" s="70">
        <f t="shared" si="55"/>
        <v>-476231.33000000007</v>
      </c>
      <c r="T75" s="70">
        <f t="shared" si="55"/>
        <v>-730456.47999999952</v>
      </c>
      <c r="U75" s="70">
        <f t="shared" si="55"/>
        <v>-4806590.88</v>
      </c>
      <c r="V75" s="70">
        <f t="shared" si="55"/>
        <v>357848.69999999995</v>
      </c>
      <c r="W75" s="70">
        <f t="shared" si="55"/>
        <v>377925</v>
      </c>
      <c r="X75" s="70">
        <f t="shared" si="55"/>
        <v>291509.81999999983</v>
      </c>
      <c r="Y75" s="70">
        <f t="shared" si="55"/>
        <v>-25072.090000000084</v>
      </c>
      <c r="Z75" s="70">
        <f t="shared" si="55"/>
        <v>266762.20999999996</v>
      </c>
      <c r="AA75" s="70">
        <f t="shared" si="55"/>
        <v>265073.13999999978</v>
      </c>
      <c r="AB75" s="70">
        <f t="shared" si="55"/>
        <v>10297289.210000001</v>
      </c>
      <c r="AC75" s="70">
        <f t="shared" si="55"/>
        <v>-90683.890000000596</v>
      </c>
      <c r="AD75" s="70">
        <f t="shared" si="55"/>
        <v>-358669.34000000008</v>
      </c>
      <c r="AE75" s="70">
        <f t="shared" si="55"/>
        <v>470402.45999999996</v>
      </c>
      <c r="AF75" s="70">
        <f t="shared" si="55"/>
        <v>322924.41000000015</v>
      </c>
      <c r="AG75" s="70">
        <f t="shared" si="55"/>
        <v>-42073.919999999925</v>
      </c>
      <c r="AH75" s="70">
        <f t="shared" ref="AH75:BM75" si="56">SUM(AH73:AH74)</f>
        <v>-207973.79000000004</v>
      </c>
      <c r="AI75" s="70">
        <f t="shared" si="56"/>
        <v>108864.20999999996</v>
      </c>
      <c r="AJ75" s="70">
        <f t="shared" si="56"/>
        <v>457793.96999999974</v>
      </c>
      <c r="AK75" s="70">
        <f t="shared" si="56"/>
        <v>725887.66999999993</v>
      </c>
      <c r="AL75" s="70">
        <f t="shared" si="56"/>
        <v>399035.93999999994</v>
      </c>
      <c r="AM75" s="70">
        <f t="shared" si="56"/>
        <v>1208686.3599999999</v>
      </c>
      <c r="AN75" s="70">
        <f t="shared" si="56"/>
        <v>257899.02000000002</v>
      </c>
      <c r="AO75" s="70">
        <f t="shared" si="56"/>
        <v>-6194115.79</v>
      </c>
      <c r="AP75" s="70">
        <f t="shared" si="56"/>
        <v>81698.339999999851</v>
      </c>
      <c r="AQ75" s="70">
        <f t="shared" si="56"/>
        <v>1154888.21</v>
      </c>
      <c r="AR75" s="70">
        <f t="shared" si="56"/>
        <v>-413739.79000000004</v>
      </c>
      <c r="AS75" s="70">
        <f t="shared" si="56"/>
        <v>360205.15999999992</v>
      </c>
      <c r="AT75" s="70">
        <f t="shared" si="56"/>
        <v>72394.179999999935</v>
      </c>
      <c r="AU75" s="70">
        <f t="shared" si="56"/>
        <v>-159474.79000000004</v>
      </c>
      <c r="AV75" s="70">
        <f t="shared" si="56"/>
        <v>1337342.3599999999</v>
      </c>
      <c r="AW75" s="70">
        <f t="shared" si="56"/>
        <v>397575.13000000012</v>
      </c>
      <c r="AX75" s="70">
        <f t="shared" si="56"/>
        <v>-89325.790000000037</v>
      </c>
      <c r="AY75" s="70">
        <f t="shared" si="56"/>
        <v>-322923.77</v>
      </c>
      <c r="AZ75" s="70">
        <f t="shared" si="56"/>
        <v>-296759.02</v>
      </c>
      <c r="BA75" s="70">
        <f t="shared" si="56"/>
        <v>315694.20999999996</v>
      </c>
      <c r="BB75" s="70">
        <f t="shared" si="56"/>
        <v>0</v>
      </c>
      <c r="BC75" s="70">
        <f t="shared" si="56"/>
        <v>0</v>
      </c>
      <c r="BD75" s="70">
        <f t="shared" si="56"/>
        <v>0</v>
      </c>
      <c r="BE75" s="70">
        <f t="shared" si="56"/>
        <v>0</v>
      </c>
      <c r="BF75" s="70">
        <f t="shared" si="56"/>
        <v>0</v>
      </c>
      <c r="BG75" s="70">
        <f t="shared" si="56"/>
        <v>0</v>
      </c>
      <c r="BH75" s="70">
        <f t="shared" si="56"/>
        <v>0</v>
      </c>
      <c r="BI75" s="70">
        <f t="shared" si="56"/>
        <v>0</v>
      </c>
      <c r="BJ75" s="70">
        <f t="shared" si="56"/>
        <v>0</v>
      </c>
      <c r="BK75" s="70">
        <f t="shared" si="56"/>
        <v>0</v>
      </c>
      <c r="BL75" s="70">
        <f t="shared" si="56"/>
        <v>0</v>
      </c>
      <c r="BM75" s="70">
        <f t="shared" si="56"/>
        <v>0</v>
      </c>
      <c r="BN75" s="70">
        <f t="shared" ref="BN75:CS75" si="57">SUM(BN73:BN74)</f>
        <v>0</v>
      </c>
      <c r="BO75" s="70">
        <f t="shared" si="57"/>
        <v>0</v>
      </c>
      <c r="BP75" s="70">
        <f t="shared" si="57"/>
        <v>0</v>
      </c>
      <c r="BQ75" s="70">
        <f t="shared" si="57"/>
        <v>0</v>
      </c>
      <c r="BR75" s="70">
        <f t="shared" si="57"/>
        <v>0</v>
      </c>
      <c r="BS75" s="70">
        <f t="shared" si="57"/>
        <v>0</v>
      </c>
      <c r="BT75" s="70">
        <f t="shared" si="57"/>
        <v>0</v>
      </c>
      <c r="BU75" s="70">
        <f t="shared" si="57"/>
        <v>0</v>
      </c>
      <c r="BV75" s="70">
        <f t="shared" si="57"/>
        <v>0</v>
      </c>
      <c r="BW75" s="70">
        <f t="shared" si="57"/>
        <v>0</v>
      </c>
    </row>
  </sheetData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G4956"/>
  <sheetViews>
    <sheetView tabSelected="1" zoomScale="80" zoomScaleNormal="80" workbookViewId="0">
      <pane xSplit="1" ySplit="1" topLeftCell="B2" activePane="bottomRight" state="frozen"/>
      <selection activeCell="F45" sqref="F45"/>
      <selection pane="topRight" activeCell="F45" sqref="F45"/>
      <selection pane="bottomLeft" activeCell="F45" sqref="F45"/>
      <selection pane="bottomRight" sqref="A1:F1"/>
    </sheetView>
  </sheetViews>
  <sheetFormatPr defaultRowHeight="15" x14ac:dyDescent="0.25"/>
  <cols>
    <col min="1" max="1" width="22.85546875" style="64" bestFit="1" customWidth="1"/>
    <col min="2" max="2" width="98" style="64" bestFit="1" customWidth="1"/>
    <col min="3" max="3" width="17" style="64" bestFit="1" customWidth="1"/>
    <col min="4" max="4" width="15.5703125" style="64" bestFit="1" customWidth="1"/>
    <col min="5" max="5" width="23.140625" style="64" customWidth="1"/>
    <col min="6" max="6" width="28.42578125" style="64" bestFit="1" customWidth="1"/>
    <col min="7" max="7" width="13.42578125" style="64" bestFit="1" customWidth="1"/>
  </cols>
  <sheetData>
    <row r="1" spans="1:6" ht="20.25" customHeight="1" thickBot="1" x14ac:dyDescent="0.3">
      <c r="A1" s="66" t="s">
        <v>36</v>
      </c>
      <c r="B1" s="66" t="s">
        <v>37</v>
      </c>
      <c r="C1" s="66" t="s">
        <v>38</v>
      </c>
      <c r="D1" s="66" t="s">
        <v>39</v>
      </c>
      <c r="E1" s="66" t="s">
        <v>40</v>
      </c>
      <c r="F1" s="66" t="s">
        <v>41</v>
      </c>
    </row>
    <row r="2" spans="1:6" ht="15.75" customHeight="1" thickTop="1" x14ac:dyDescent="0.25">
      <c r="A2" s="62">
        <v>45443</v>
      </c>
      <c r="B2" s="62" t="s">
        <v>42</v>
      </c>
      <c r="C2" s="23">
        <v>13980</v>
      </c>
      <c r="D2" s="24"/>
      <c r="E2" s="24"/>
      <c r="F2" s="63" t="s">
        <v>0</v>
      </c>
    </row>
    <row r="3" spans="1:6" x14ac:dyDescent="0.25">
      <c r="A3" s="62">
        <v>45443</v>
      </c>
      <c r="B3" s="62" t="s">
        <v>43</v>
      </c>
      <c r="C3" s="23">
        <v>-2613</v>
      </c>
      <c r="D3" s="24"/>
      <c r="E3" s="24"/>
      <c r="F3" s="63" t="s">
        <v>0</v>
      </c>
    </row>
    <row r="4" spans="1:6" x14ac:dyDescent="0.25">
      <c r="A4" s="62">
        <v>45443</v>
      </c>
      <c r="B4" s="62" t="s">
        <v>44</v>
      </c>
      <c r="C4" s="23">
        <v>-2700</v>
      </c>
      <c r="D4" s="24"/>
      <c r="E4" s="24"/>
      <c r="F4" s="63" t="s">
        <v>0</v>
      </c>
    </row>
    <row r="5" spans="1:6" x14ac:dyDescent="0.25">
      <c r="A5" s="62">
        <v>45443</v>
      </c>
      <c r="B5" s="62" t="s">
        <v>45</v>
      </c>
      <c r="C5" s="23">
        <v>-20000</v>
      </c>
      <c r="D5" s="24" t="s">
        <v>46</v>
      </c>
      <c r="E5" s="24" t="s">
        <v>47</v>
      </c>
      <c r="F5" s="63" t="s">
        <v>0</v>
      </c>
    </row>
    <row r="6" spans="1:6" x14ac:dyDescent="0.25">
      <c r="A6" s="62">
        <v>45442</v>
      </c>
      <c r="B6" s="62" t="s">
        <v>48</v>
      </c>
      <c r="C6" s="23">
        <v>-2735</v>
      </c>
      <c r="D6" s="24" t="s">
        <v>49</v>
      </c>
      <c r="E6" s="24" t="s">
        <v>50</v>
      </c>
      <c r="F6" s="63" t="s">
        <v>0</v>
      </c>
    </row>
    <row r="7" spans="1:6" x14ac:dyDescent="0.25">
      <c r="A7" s="62">
        <v>45441</v>
      </c>
      <c r="B7" s="62" t="s">
        <v>51</v>
      </c>
      <c r="C7" s="23">
        <v>-1100</v>
      </c>
      <c r="D7" s="24" t="s">
        <v>52</v>
      </c>
      <c r="E7" s="24" t="s">
        <v>53</v>
      </c>
      <c r="F7" s="63" t="s">
        <v>0</v>
      </c>
    </row>
    <row r="8" spans="1:6" x14ac:dyDescent="0.25">
      <c r="A8" s="62">
        <v>45441</v>
      </c>
      <c r="B8" s="62" t="s">
        <v>54</v>
      </c>
      <c r="C8" s="23">
        <v>-3755</v>
      </c>
      <c r="D8" s="24" t="s">
        <v>52</v>
      </c>
      <c r="E8" s="24" t="s">
        <v>53</v>
      </c>
      <c r="F8" s="63" t="s">
        <v>0</v>
      </c>
    </row>
    <row r="9" spans="1:6" x14ac:dyDescent="0.25">
      <c r="A9" s="62">
        <v>45441</v>
      </c>
      <c r="B9" s="62" t="s">
        <v>55</v>
      </c>
      <c r="C9" s="23">
        <v>-22850</v>
      </c>
      <c r="D9" s="24" t="s">
        <v>49</v>
      </c>
      <c r="E9" s="24" t="s">
        <v>56</v>
      </c>
      <c r="F9" s="63" t="s">
        <v>0</v>
      </c>
    </row>
    <row r="10" spans="1:6" x14ac:dyDescent="0.25">
      <c r="A10" s="62">
        <v>45440</v>
      </c>
      <c r="B10" s="62" t="s">
        <v>57</v>
      </c>
      <c r="C10" s="23">
        <v>-555</v>
      </c>
      <c r="D10" s="24" t="s">
        <v>58</v>
      </c>
      <c r="E10" s="24" t="s">
        <v>59</v>
      </c>
      <c r="F10" s="63" t="s">
        <v>0</v>
      </c>
    </row>
    <row r="11" spans="1:6" x14ac:dyDescent="0.25">
      <c r="A11" s="62">
        <v>45440</v>
      </c>
      <c r="B11" s="62" t="s">
        <v>60</v>
      </c>
      <c r="C11" s="23">
        <v>-16042</v>
      </c>
      <c r="D11" s="24" t="s">
        <v>46</v>
      </c>
      <c r="E11" s="24" t="s">
        <v>61</v>
      </c>
      <c r="F11" s="63" t="s">
        <v>0</v>
      </c>
    </row>
    <row r="12" spans="1:6" x14ac:dyDescent="0.25">
      <c r="A12" s="62">
        <v>45439</v>
      </c>
      <c r="B12" s="62" t="s">
        <v>62</v>
      </c>
      <c r="C12" s="23">
        <v>-8521</v>
      </c>
      <c r="D12" s="24" t="s">
        <v>46</v>
      </c>
      <c r="E12" s="24" t="s">
        <v>63</v>
      </c>
      <c r="F12" s="63" t="s">
        <v>0</v>
      </c>
    </row>
    <row r="13" spans="1:6" x14ac:dyDescent="0.25">
      <c r="A13" s="62">
        <v>45439</v>
      </c>
      <c r="B13" s="62" t="s">
        <v>64</v>
      </c>
      <c r="C13" s="23">
        <v>-401</v>
      </c>
      <c r="D13" s="24" t="s">
        <v>46</v>
      </c>
      <c r="E13" s="24" t="s">
        <v>63</v>
      </c>
      <c r="F13" s="63" t="s">
        <v>0</v>
      </c>
    </row>
    <row r="14" spans="1:6" x14ac:dyDescent="0.25">
      <c r="A14" s="62">
        <v>45439</v>
      </c>
      <c r="B14" s="62" t="s">
        <v>65</v>
      </c>
      <c r="C14" s="23">
        <v>-1000</v>
      </c>
      <c r="D14" s="24" t="s">
        <v>46</v>
      </c>
      <c r="E14" s="24" t="s">
        <v>63</v>
      </c>
      <c r="F14" s="63" t="s">
        <v>0</v>
      </c>
    </row>
    <row r="15" spans="1:6" x14ac:dyDescent="0.25">
      <c r="A15" s="62">
        <v>45439</v>
      </c>
      <c r="B15" s="62" t="s">
        <v>66</v>
      </c>
      <c r="C15" s="23">
        <v>12199</v>
      </c>
      <c r="D15" s="24" t="s">
        <v>49</v>
      </c>
      <c r="E15" s="24" t="s">
        <v>67</v>
      </c>
      <c r="F15" s="63" t="s">
        <v>0</v>
      </c>
    </row>
    <row r="16" spans="1:6" x14ac:dyDescent="0.25">
      <c r="A16" s="62">
        <v>45439</v>
      </c>
      <c r="B16" s="62" t="s">
        <v>68</v>
      </c>
      <c r="C16" s="23">
        <v>-500</v>
      </c>
      <c r="D16" s="24" t="s">
        <v>49</v>
      </c>
      <c r="E16" s="24" t="s">
        <v>56</v>
      </c>
      <c r="F16" s="63" t="s">
        <v>0</v>
      </c>
    </row>
    <row r="17" spans="1:6" x14ac:dyDescent="0.25">
      <c r="A17" s="62">
        <v>45439</v>
      </c>
      <c r="B17" s="62" t="s">
        <v>69</v>
      </c>
      <c r="C17" s="23">
        <v>-864</v>
      </c>
      <c r="D17" s="24" t="s">
        <v>49</v>
      </c>
      <c r="E17" s="24" t="s">
        <v>56</v>
      </c>
      <c r="F17" s="63" t="s">
        <v>0</v>
      </c>
    </row>
    <row r="18" spans="1:6" x14ac:dyDescent="0.25">
      <c r="A18" s="62">
        <v>45439</v>
      </c>
      <c r="B18" s="62" t="s">
        <v>70</v>
      </c>
      <c r="C18" s="23">
        <v>-1218</v>
      </c>
      <c r="D18" s="24" t="s">
        <v>49</v>
      </c>
      <c r="E18" s="24" t="s">
        <v>56</v>
      </c>
      <c r="F18" s="63" t="s">
        <v>0</v>
      </c>
    </row>
    <row r="19" spans="1:6" x14ac:dyDescent="0.25">
      <c r="A19" s="62">
        <v>45439</v>
      </c>
      <c r="B19" s="62" t="s">
        <v>71</v>
      </c>
      <c r="C19" s="23">
        <v>-1500</v>
      </c>
      <c r="D19" s="24" t="s">
        <v>72</v>
      </c>
      <c r="E19" s="24" t="s">
        <v>73</v>
      </c>
      <c r="F19" s="63" t="s">
        <v>0</v>
      </c>
    </row>
    <row r="20" spans="1:6" x14ac:dyDescent="0.25">
      <c r="A20" s="62">
        <v>45439</v>
      </c>
      <c r="B20" s="62" t="s">
        <v>74</v>
      </c>
      <c r="C20" s="23">
        <v>-1570</v>
      </c>
      <c r="D20" s="24" t="s">
        <v>49</v>
      </c>
      <c r="E20" s="24" t="s">
        <v>56</v>
      </c>
      <c r="F20" s="63" t="s">
        <v>0</v>
      </c>
    </row>
    <row r="21" spans="1:6" x14ac:dyDescent="0.25">
      <c r="A21" s="62">
        <v>45439</v>
      </c>
      <c r="B21" s="62" t="s">
        <v>75</v>
      </c>
      <c r="C21" s="23">
        <v>-1836</v>
      </c>
      <c r="D21" s="24" t="s">
        <v>49</v>
      </c>
      <c r="E21" s="24" t="s">
        <v>56</v>
      </c>
      <c r="F21" s="63" t="s">
        <v>0</v>
      </c>
    </row>
    <row r="22" spans="1:6" x14ac:dyDescent="0.25">
      <c r="A22" s="62">
        <v>45439</v>
      </c>
      <c r="B22" s="62" t="s">
        <v>76</v>
      </c>
      <c r="C22" s="23">
        <v>-3900</v>
      </c>
      <c r="D22" s="24" t="s">
        <v>52</v>
      </c>
      <c r="E22" s="24" t="s">
        <v>52</v>
      </c>
      <c r="F22" s="63" t="s">
        <v>0</v>
      </c>
    </row>
    <row r="23" spans="1:6" x14ac:dyDescent="0.25">
      <c r="A23" s="62">
        <v>45439</v>
      </c>
      <c r="B23" s="62" t="s">
        <v>77</v>
      </c>
      <c r="C23" s="23">
        <v>-3980</v>
      </c>
      <c r="D23" s="24" t="s">
        <v>52</v>
      </c>
      <c r="E23" s="24" t="s">
        <v>52</v>
      </c>
      <c r="F23" s="63" t="s">
        <v>0</v>
      </c>
    </row>
    <row r="24" spans="1:6" x14ac:dyDescent="0.25">
      <c r="A24" s="62">
        <v>45439</v>
      </c>
      <c r="B24" s="62" t="s">
        <v>78</v>
      </c>
      <c r="C24" s="23">
        <v>-4490</v>
      </c>
      <c r="D24" s="24" t="s">
        <v>52</v>
      </c>
      <c r="E24" s="24" t="s">
        <v>52</v>
      </c>
      <c r="F24" s="63" t="s">
        <v>0</v>
      </c>
    </row>
    <row r="25" spans="1:6" x14ac:dyDescent="0.25">
      <c r="A25" s="62">
        <v>45439</v>
      </c>
      <c r="B25" s="62" t="s">
        <v>79</v>
      </c>
      <c r="C25" s="23">
        <v>-6824</v>
      </c>
      <c r="D25" s="24" t="s">
        <v>46</v>
      </c>
      <c r="E25" s="24" t="s">
        <v>80</v>
      </c>
      <c r="F25" s="63" t="s">
        <v>0</v>
      </c>
    </row>
    <row r="26" spans="1:6" x14ac:dyDescent="0.25">
      <c r="A26" s="62">
        <v>45439</v>
      </c>
      <c r="B26" s="62" t="s">
        <v>81</v>
      </c>
      <c r="C26" s="23">
        <v>-14938</v>
      </c>
      <c r="D26" s="24" t="s">
        <v>49</v>
      </c>
      <c r="E26" s="24" t="s">
        <v>56</v>
      </c>
      <c r="F26" s="63" t="s">
        <v>0</v>
      </c>
    </row>
    <row r="27" spans="1:6" x14ac:dyDescent="0.25">
      <c r="A27" s="62">
        <v>45439</v>
      </c>
      <c r="B27" s="62" t="s">
        <v>82</v>
      </c>
      <c r="C27" s="23">
        <v>-26775</v>
      </c>
      <c r="D27" s="24" t="s">
        <v>83</v>
      </c>
      <c r="E27" s="24" t="s">
        <v>84</v>
      </c>
      <c r="F27" s="63" t="s">
        <v>0</v>
      </c>
    </row>
    <row r="28" spans="1:6" x14ac:dyDescent="0.25">
      <c r="A28" s="62">
        <v>45436</v>
      </c>
      <c r="B28" s="62" t="s">
        <v>85</v>
      </c>
      <c r="C28" s="23">
        <v>-1690</v>
      </c>
      <c r="D28" s="24" t="s">
        <v>52</v>
      </c>
      <c r="E28" s="24" t="s">
        <v>53</v>
      </c>
      <c r="F28" s="63" t="s">
        <v>0</v>
      </c>
    </row>
    <row r="29" spans="1:6" x14ac:dyDescent="0.25">
      <c r="A29" s="62">
        <v>45436</v>
      </c>
      <c r="B29" s="62" t="s">
        <v>86</v>
      </c>
      <c r="C29" s="23">
        <v>-2700</v>
      </c>
      <c r="D29" s="24" t="s">
        <v>52</v>
      </c>
      <c r="E29" s="24" t="s">
        <v>53</v>
      </c>
      <c r="F29" s="63" t="s">
        <v>0</v>
      </c>
    </row>
    <row r="30" spans="1:6" x14ac:dyDescent="0.25">
      <c r="A30" s="62">
        <v>45436</v>
      </c>
      <c r="B30" s="62" t="s">
        <v>87</v>
      </c>
      <c r="C30" s="23">
        <v>-2740</v>
      </c>
      <c r="D30" s="24" t="s">
        <v>49</v>
      </c>
      <c r="E30" s="24" t="s">
        <v>56</v>
      </c>
      <c r="F30" s="63" t="s">
        <v>0</v>
      </c>
    </row>
    <row r="31" spans="1:6" x14ac:dyDescent="0.25">
      <c r="A31" s="62">
        <v>45435</v>
      </c>
      <c r="B31" s="62" t="s">
        <v>88</v>
      </c>
      <c r="C31" s="23">
        <v>-6389</v>
      </c>
      <c r="D31" s="24" t="s">
        <v>49</v>
      </c>
      <c r="E31" s="24" t="s">
        <v>56</v>
      </c>
      <c r="F31" s="63" t="s">
        <v>0</v>
      </c>
    </row>
    <row r="32" spans="1:6" x14ac:dyDescent="0.25">
      <c r="A32" s="62">
        <v>45435</v>
      </c>
      <c r="B32" s="62" t="s">
        <v>89</v>
      </c>
      <c r="C32" s="23">
        <v>-20000</v>
      </c>
      <c r="D32" s="24" t="s">
        <v>90</v>
      </c>
      <c r="E32" s="24" t="s">
        <v>91</v>
      </c>
      <c r="F32" s="63" t="s">
        <v>0</v>
      </c>
    </row>
    <row r="33" spans="1:6" x14ac:dyDescent="0.25">
      <c r="A33" s="62">
        <v>45435</v>
      </c>
      <c r="B33" s="62" t="s">
        <v>92</v>
      </c>
      <c r="C33" s="23">
        <v>-22350</v>
      </c>
      <c r="D33" s="24" t="s">
        <v>90</v>
      </c>
      <c r="E33" s="24" t="s">
        <v>93</v>
      </c>
      <c r="F33" s="63" t="s">
        <v>0</v>
      </c>
    </row>
    <row r="34" spans="1:6" x14ac:dyDescent="0.25">
      <c r="A34" s="62">
        <v>45435</v>
      </c>
      <c r="B34" s="62" t="s">
        <v>94</v>
      </c>
      <c r="C34" s="23">
        <v>-24592</v>
      </c>
      <c r="D34" s="24" t="s">
        <v>49</v>
      </c>
      <c r="E34" s="24" t="s">
        <v>56</v>
      </c>
      <c r="F34" s="63" t="s">
        <v>0</v>
      </c>
    </row>
    <row r="35" spans="1:6" x14ac:dyDescent="0.25">
      <c r="A35" s="62">
        <v>45433</v>
      </c>
      <c r="B35" s="62" t="s">
        <v>95</v>
      </c>
      <c r="C35" s="23">
        <v>-3091</v>
      </c>
      <c r="D35" s="24" t="s">
        <v>46</v>
      </c>
      <c r="E35" s="24" t="s">
        <v>63</v>
      </c>
      <c r="F35" s="63" t="s">
        <v>0</v>
      </c>
    </row>
    <row r="36" spans="1:6" x14ac:dyDescent="0.25">
      <c r="A36" s="62">
        <v>45433</v>
      </c>
      <c r="B36" s="62" t="s">
        <v>96</v>
      </c>
      <c r="C36" s="23">
        <v>-300</v>
      </c>
      <c r="D36" s="24" t="s">
        <v>72</v>
      </c>
      <c r="E36" s="24" t="s">
        <v>73</v>
      </c>
      <c r="F36" s="63" t="s">
        <v>0</v>
      </c>
    </row>
    <row r="37" spans="1:6" x14ac:dyDescent="0.25">
      <c r="A37" s="62">
        <v>45433</v>
      </c>
      <c r="B37" s="62" t="s">
        <v>97</v>
      </c>
      <c r="C37" s="23">
        <v>-230</v>
      </c>
      <c r="D37" s="24" t="s">
        <v>46</v>
      </c>
      <c r="E37" s="24" t="s">
        <v>61</v>
      </c>
      <c r="F37" s="63" t="s">
        <v>0</v>
      </c>
    </row>
    <row r="38" spans="1:6" x14ac:dyDescent="0.25">
      <c r="A38" s="62">
        <v>45433</v>
      </c>
      <c r="B38" s="62" t="s">
        <v>98</v>
      </c>
      <c r="C38" s="23">
        <v>-799</v>
      </c>
      <c r="D38" s="24" t="s">
        <v>49</v>
      </c>
      <c r="E38" s="24" t="s">
        <v>56</v>
      </c>
      <c r="F38" s="63" t="s">
        <v>0</v>
      </c>
    </row>
    <row r="39" spans="1:6" x14ac:dyDescent="0.25">
      <c r="A39" s="62">
        <v>45433</v>
      </c>
      <c r="B39" s="62" t="s">
        <v>99</v>
      </c>
      <c r="C39" s="23">
        <v>-1329</v>
      </c>
      <c r="D39" s="24" t="s">
        <v>49</v>
      </c>
      <c r="E39" s="24" t="s">
        <v>56</v>
      </c>
      <c r="F39" s="63" t="s">
        <v>0</v>
      </c>
    </row>
    <row r="40" spans="1:6" x14ac:dyDescent="0.25">
      <c r="A40" s="62">
        <v>45433</v>
      </c>
      <c r="B40" s="62" t="s">
        <v>100</v>
      </c>
      <c r="C40" s="23">
        <v>-2110</v>
      </c>
      <c r="D40" s="24" t="s">
        <v>49</v>
      </c>
      <c r="E40" s="24" t="s">
        <v>56</v>
      </c>
      <c r="F40" s="63" t="s">
        <v>0</v>
      </c>
    </row>
    <row r="41" spans="1:6" x14ac:dyDescent="0.25">
      <c r="A41" s="62">
        <v>45433</v>
      </c>
      <c r="B41" s="62" t="s">
        <v>101</v>
      </c>
      <c r="C41" s="23">
        <v>-2484</v>
      </c>
      <c r="D41" s="24" t="s">
        <v>49</v>
      </c>
      <c r="E41" s="24" t="s">
        <v>56</v>
      </c>
      <c r="F41" s="63" t="s">
        <v>0</v>
      </c>
    </row>
    <row r="42" spans="1:6" x14ac:dyDescent="0.25">
      <c r="A42" s="62">
        <v>45433</v>
      </c>
      <c r="B42" s="62" t="s">
        <v>102</v>
      </c>
      <c r="C42" s="23">
        <v>-2548</v>
      </c>
      <c r="D42" s="24" t="s">
        <v>49</v>
      </c>
      <c r="E42" s="24" t="s">
        <v>56</v>
      </c>
      <c r="F42" s="63" t="s">
        <v>0</v>
      </c>
    </row>
    <row r="43" spans="1:6" x14ac:dyDescent="0.25">
      <c r="A43" s="62">
        <v>45433</v>
      </c>
      <c r="B43" s="62" t="s">
        <v>103</v>
      </c>
      <c r="C43" s="23">
        <v>-3936</v>
      </c>
      <c r="D43" s="24" t="s">
        <v>49</v>
      </c>
      <c r="E43" s="24" t="s">
        <v>56</v>
      </c>
      <c r="F43" s="63" t="s">
        <v>0</v>
      </c>
    </row>
    <row r="44" spans="1:6" x14ac:dyDescent="0.25">
      <c r="A44" s="62">
        <v>45433</v>
      </c>
      <c r="B44" s="62" t="s">
        <v>104</v>
      </c>
      <c r="C44" s="23">
        <v>-13550</v>
      </c>
      <c r="D44" s="24" t="s">
        <v>49</v>
      </c>
      <c r="E44" s="24" t="s">
        <v>56</v>
      </c>
      <c r="F44" s="63" t="s">
        <v>0</v>
      </c>
    </row>
    <row r="45" spans="1:6" x14ac:dyDescent="0.25">
      <c r="A45" s="62">
        <v>45433</v>
      </c>
      <c r="B45" s="62" t="s">
        <v>105</v>
      </c>
      <c r="C45" s="23">
        <v>-16657</v>
      </c>
      <c r="D45" s="24" t="s">
        <v>90</v>
      </c>
      <c r="E45" s="24" t="s">
        <v>106</v>
      </c>
      <c r="F45" s="63" t="s">
        <v>0</v>
      </c>
    </row>
    <row r="46" spans="1:6" x14ac:dyDescent="0.25">
      <c r="A46" s="62">
        <v>45433</v>
      </c>
      <c r="B46" s="62" t="s">
        <v>107</v>
      </c>
      <c r="C46" s="23">
        <v>-18725</v>
      </c>
      <c r="D46" s="24" t="s">
        <v>49</v>
      </c>
      <c r="E46" s="24" t="s">
        <v>56</v>
      </c>
      <c r="F46" s="63" t="s">
        <v>0</v>
      </c>
    </row>
    <row r="47" spans="1:6" x14ac:dyDescent="0.25">
      <c r="A47" s="62">
        <v>45433</v>
      </c>
      <c r="B47" s="62" t="s">
        <v>108</v>
      </c>
      <c r="C47" s="23">
        <v>-37845</v>
      </c>
      <c r="D47" s="24" t="s">
        <v>72</v>
      </c>
      <c r="E47" s="24" t="s">
        <v>109</v>
      </c>
      <c r="F47" s="63" t="s">
        <v>0</v>
      </c>
    </row>
    <row r="48" spans="1:6" x14ac:dyDescent="0.25">
      <c r="A48" s="62">
        <v>45433</v>
      </c>
      <c r="B48" s="62" t="s">
        <v>110</v>
      </c>
      <c r="C48" s="23">
        <v>-80300</v>
      </c>
      <c r="D48" s="24" t="s">
        <v>90</v>
      </c>
      <c r="E48" s="24" t="s">
        <v>111</v>
      </c>
      <c r="F48" s="63" t="s">
        <v>0</v>
      </c>
    </row>
    <row r="49" spans="1:6" x14ac:dyDescent="0.25">
      <c r="A49" s="62">
        <v>45430</v>
      </c>
      <c r="B49" s="62" t="s">
        <v>112</v>
      </c>
      <c r="C49" s="23">
        <v>-5970</v>
      </c>
      <c r="D49" s="24" t="s">
        <v>49</v>
      </c>
      <c r="E49" s="24" t="s">
        <v>56</v>
      </c>
      <c r="F49" s="63" t="s">
        <v>0</v>
      </c>
    </row>
    <row r="50" spans="1:6" x14ac:dyDescent="0.25">
      <c r="A50" s="62">
        <v>45429</v>
      </c>
      <c r="B50" s="62" t="s">
        <v>113</v>
      </c>
      <c r="C50" s="23">
        <v>-899</v>
      </c>
      <c r="D50" s="24" t="s">
        <v>49</v>
      </c>
      <c r="E50" s="24" t="s">
        <v>56</v>
      </c>
      <c r="F50" s="63" t="s">
        <v>0</v>
      </c>
    </row>
    <row r="51" spans="1:6" x14ac:dyDescent="0.25">
      <c r="A51" s="62">
        <v>45429</v>
      </c>
      <c r="B51" s="62" t="s">
        <v>114</v>
      </c>
      <c r="C51" s="23">
        <v>-1090</v>
      </c>
      <c r="D51" s="24" t="s">
        <v>52</v>
      </c>
      <c r="E51" s="24" t="s">
        <v>53</v>
      </c>
      <c r="F51" s="63" t="s">
        <v>0</v>
      </c>
    </row>
    <row r="52" spans="1:6" x14ac:dyDescent="0.25">
      <c r="A52" s="62">
        <v>45429</v>
      </c>
      <c r="B52" s="62" t="s">
        <v>115</v>
      </c>
      <c r="C52" s="23">
        <v>-1630</v>
      </c>
      <c r="D52" s="24" t="s">
        <v>52</v>
      </c>
      <c r="E52" s="24" t="s">
        <v>53</v>
      </c>
      <c r="F52" s="63" t="s">
        <v>0</v>
      </c>
    </row>
    <row r="53" spans="1:6" x14ac:dyDescent="0.25">
      <c r="A53" s="62">
        <v>45429</v>
      </c>
      <c r="B53" s="62" t="s">
        <v>116</v>
      </c>
      <c r="C53" s="23">
        <v>-8681</v>
      </c>
      <c r="D53" s="24" t="s">
        <v>46</v>
      </c>
      <c r="E53" s="24" t="s">
        <v>61</v>
      </c>
      <c r="F53" s="63" t="s">
        <v>0</v>
      </c>
    </row>
    <row r="54" spans="1:6" x14ac:dyDescent="0.25">
      <c r="A54" s="62">
        <v>45429</v>
      </c>
      <c r="B54" s="62" t="s">
        <v>117</v>
      </c>
      <c r="C54" s="23">
        <v>-26638</v>
      </c>
      <c r="D54" s="24" t="s">
        <v>72</v>
      </c>
      <c r="E54" s="24" t="s">
        <v>109</v>
      </c>
      <c r="F54" s="63" t="s">
        <v>0</v>
      </c>
    </row>
    <row r="55" spans="1:6" x14ac:dyDescent="0.25">
      <c r="A55" s="62">
        <v>45428</v>
      </c>
      <c r="B55" s="62" t="s">
        <v>118</v>
      </c>
      <c r="C55" s="23">
        <v>-850</v>
      </c>
      <c r="D55" s="24" t="s">
        <v>52</v>
      </c>
      <c r="E55" s="24" t="s">
        <v>53</v>
      </c>
      <c r="F55" s="63" t="s">
        <v>0</v>
      </c>
    </row>
    <row r="56" spans="1:6" x14ac:dyDescent="0.25">
      <c r="A56" s="62">
        <v>45428</v>
      </c>
      <c r="B56" s="62" t="s">
        <v>119</v>
      </c>
      <c r="C56" s="23">
        <v>-1999</v>
      </c>
      <c r="D56" s="24" t="s">
        <v>46</v>
      </c>
      <c r="E56" s="24" t="s">
        <v>61</v>
      </c>
      <c r="F56" s="63" t="s">
        <v>0</v>
      </c>
    </row>
    <row r="57" spans="1:6" x14ac:dyDescent="0.25">
      <c r="A57" s="62">
        <v>45428</v>
      </c>
      <c r="B57" s="62" t="s">
        <v>120</v>
      </c>
      <c r="C57" s="23">
        <v>-2500</v>
      </c>
      <c r="D57" s="24" t="s">
        <v>52</v>
      </c>
      <c r="E57" s="24" t="s">
        <v>53</v>
      </c>
      <c r="F57" s="63" t="s">
        <v>0</v>
      </c>
    </row>
    <row r="58" spans="1:6" x14ac:dyDescent="0.25">
      <c r="A58" s="62">
        <v>45428</v>
      </c>
      <c r="B58" s="62" t="s">
        <v>121</v>
      </c>
      <c r="C58" s="23">
        <v>-3850</v>
      </c>
      <c r="D58" s="24" t="s">
        <v>90</v>
      </c>
      <c r="E58" s="24" t="s">
        <v>59</v>
      </c>
      <c r="F58" s="63" t="s">
        <v>0</v>
      </c>
    </row>
    <row r="59" spans="1:6" x14ac:dyDescent="0.25">
      <c r="A59" s="62">
        <v>45428</v>
      </c>
      <c r="B59" s="62" t="s">
        <v>122</v>
      </c>
      <c r="C59" s="23">
        <v>-11638</v>
      </c>
      <c r="D59" s="24" t="s">
        <v>46</v>
      </c>
      <c r="E59" s="24" t="s">
        <v>61</v>
      </c>
      <c r="F59" s="63" t="s">
        <v>0</v>
      </c>
    </row>
    <row r="60" spans="1:6" x14ac:dyDescent="0.25">
      <c r="A60" s="62">
        <v>45428</v>
      </c>
      <c r="B60" s="62" t="s">
        <v>123</v>
      </c>
      <c r="C60" s="23">
        <v>-14346</v>
      </c>
      <c r="D60" s="24" t="s">
        <v>49</v>
      </c>
      <c r="E60" s="24" t="s">
        <v>56</v>
      </c>
      <c r="F60" s="63" t="s">
        <v>0</v>
      </c>
    </row>
    <row r="61" spans="1:6" x14ac:dyDescent="0.25">
      <c r="A61" s="62">
        <v>45427</v>
      </c>
      <c r="B61" s="62" t="s">
        <v>124</v>
      </c>
      <c r="C61" s="23">
        <v>-750</v>
      </c>
      <c r="D61" s="24" t="s">
        <v>49</v>
      </c>
      <c r="E61" s="24" t="s">
        <v>56</v>
      </c>
      <c r="F61" s="63" t="s">
        <v>0</v>
      </c>
    </row>
    <row r="62" spans="1:6" x14ac:dyDescent="0.25">
      <c r="A62" s="62">
        <v>45427</v>
      </c>
      <c r="B62" s="62" t="s">
        <v>125</v>
      </c>
      <c r="C62" s="23">
        <v>-1200</v>
      </c>
      <c r="D62" s="24" t="s">
        <v>72</v>
      </c>
      <c r="E62" s="24" t="s">
        <v>126</v>
      </c>
      <c r="F62" s="63" t="s">
        <v>0</v>
      </c>
    </row>
    <row r="63" spans="1:6" x14ac:dyDescent="0.25">
      <c r="A63" s="62">
        <v>45427</v>
      </c>
      <c r="B63" s="62" t="s">
        <v>125</v>
      </c>
      <c r="C63" s="23">
        <v>-1200</v>
      </c>
      <c r="D63" s="24" t="s">
        <v>72</v>
      </c>
      <c r="E63" s="24" t="s">
        <v>126</v>
      </c>
      <c r="F63" s="63" t="s">
        <v>0</v>
      </c>
    </row>
    <row r="64" spans="1:6" x14ac:dyDescent="0.25">
      <c r="A64" s="62">
        <v>45427</v>
      </c>
      <c r="B64" s="62" t="s">
        <v>127</v>
      </c>
      <c r="C64" s="23">
        <v>-1245</v>
      </c>
      <c r="D64" s="24" t="s">
        <v>52</v>
      </c>
      <c r="E64" s="24" t="s">
        <v>53</v>
      </c>
      <c r="F64" s="63" t="s">
        <v>0</v>
      </c>
    </row>
    <row r="65" spans="1:6" x14ac:dyDescent="0.25">
      <c r="A65" s="62">
        <v>45427</v>
      </c>
      <c r="B65" s="62" t="s">
        <v>128</v>
      </c>
      <c r="C65" s="23">
        <v>-2590</v>
      </c>
      <c r="D65" s="24" t="s">
        <v>52</v>
      </c>
      <c r="E65" s="24" t="s">
        <v>53</v>
      </c>
      <c r="F65" s="63" t="s">
        <v>0</v>
      </c>
    </row>
    <row r="66" spans="1:6" x14ac:dyDescent="0.25">
      <c r="A66" s="62">
        <v>45427</v>
      </c>
      <c r="B66" s="62" t="s">
        <v>129</v>
      </c>
      <c r="C66" s="23">
        <v>-2910</v>
      </c>
      <c r="D66" s="24" t="s">
        <v>49</v>
      </c>
      <c r="E66" s="24" t="s">
        <v>56</v>
      </c>
      <c r="F66" s="63" t="s">
        <v>0</v>
      </c>
    </row>
    <row r="67" spans="1:6" x14ac:dyDescent="0.25">
      <c r="A67" s="62">
        <v>45427</v>
      </c>
      <c r="B67" s="62" t="s">
        <v>130</v>
      </c>
      <c r="C67" s="23">
        <v>-16918</v>
      </c>
      <c r="D67" s="24" t="s">
        <v>49</v>
      </c>
      <c r="E67" s="24" t="s">
        <v>56</v>
      </c>
      <c r="F67" s="63" t="s">
        <v>0</v>
      </c>
    </row>
    <row r="68" spans="1:6" x14ac:dyDescent="0.25">
      <c r="A68" s="62">
        <v>45426</v>
      </c>
      <c r="B68" s="62" t="s">
        <v>131</v>
      </c>
      <c r="C68" s="23">
        <v>-1000</v>
      </c>
      <c r="D68" s="24" t="s">
        <v>72</v>
      </c>
      <c r="E68" s="24" t="s">
        <v>73</v>
      </c>
      <c r="F68" s="63" t="s">
        <v>0</v>
      </c>
    </row>
    <row r="69" spans="1:6" x14ac:dyDescent="0.25">
      <c r="A69" s="62">
        <v>45425</v>
      </c>
      <c r="B69" s="62" t="s">
        <v>132</v>
      </c>
      <c r="C69" s="23">
        <v>-200</v>
      </c>
      <c r="D69" s="24" t="s">
        <v>49</v>
      </c>
      <c r="E69" s="24" t="s">
        <v>56</v>
      </c>
      <c r="F69" s="63" t="s">
        <v>0</v>
      </c>
    </row>
    <row r="70" spans="1:6" x14ac:dyDescent="0.25">
      <c r="A70" s="62">
        <v>45425</v>
      </c>
      <c r="B70" s="62" t="s">
        <v>133</v>
      </c>
      <c r="C70" s="23">
        <v>-1300</v>
      </c>
      <c r="D70" s="24" t="s">
        <v>52</v>
      </c>
      <c r="E70" s="24" t="s">
        <v>134</v>
      </c>
      <c r="F70" s="63" t="s">
        <v>0</v>
      </c>
    </row>
    <row r="71" spans="1:6" x14ac:dyDescent="0.25">
      <c r="A71" s="62">
        <v>45425</v>
      </c>
      <c r="B71" s="62" t="s">
        <v>135</v>
      </c>
      <c r="C71" s="23">
        <v>-1547</v>
      </c>
      <c r="D71" s="24" t="s">
        <v>49</v>
      </c>
      <c r="E71" s="24" t="s">
        <v>56</v>
      </c>
      <c r="F71" s="63" t="s">
        <v>0</v>
      </c>
    </row>
    <row r="72" spans="1:6" x14ac:dyDescent="0.25">
      <c r="A72" s="62">
        <v>45425</v>
      </c>
      <c r="B72" s="62" t="s">
        <v>136</v>
      </c>
      <c r="C72" s="23">
        <v>-2200</v>
      </c>
      <c r="D72" s="24" t="s">
        <v>52</v>
      </c>
      <c r="E72" s="24" t="s">
        <v>134</v>
      </c>
      <c r="F72" s="63" t="s">
        <v>0</v>
      </c>
    </row>
    <row r="73" spans="1:6" x14ac:dyDescent="0.25">
      <c r="A73" s="62">
        <v>45425</v>
      </c>
      <c r="B73" s="62" t="s">
        <v>137</v>
      </c>
      <c r="C73" s="23">
        <v>-5495</v>
      </c>
      <c r="D73" s="24" t="s">
        <v>49</v>
      </c>
      <c r="E73" s="24" t="s">
        <v>50</v>
      </c>
      <c r="F73" s="63" t="s">
        <v>0</v>
      </c>
    </row>
    <row r="74" spans="1:6" x14ac:dyDescent="0.25">
      <c r="A74" s="62">
        <v>45425</v>
      </c>
      <c r="B74" s="62" t="s">
        <v>138</v>
      </c>
      <c r="C74" s="23">
        <v>-21253</v>
      </c>
      <c r="D74" s="24" t="s">
        <v>52</v>
      </c>
      <c r="E74" s="24" t="s">
        <v>52</v>
      </c>
      <c r="F74" s="63" t="s">
        <v>0</v>
      </c>
    </row>
    <row r="75" spans="1:6" x14ac:dyDescent="0.25">
      <c r="A75" s="62">
        <v>45422</v>
      </c>
      <c r="B75" s="62" t="s">
        <v>139</v>
      </c>
      <c r="C75" s="23">
        <v>1065712</v>
      </c>
      <c r="D75" s="24" t="s">
        <v>58</v>
      </c>
      <c r="E75" s="24" t="s">
        <v>58</v>
      </c>
      <c r="F75" s="63" t="s">
        <v>0</v>
      </c>
    </row>
    <row r="76" spans="1:6" x14ac:dyDescent="0.25">
      <c r="A76" s="62">
        <v>45422</v>
      </c>
      <c r="B76" s="62" t="s">
        <v>140</v>
      </c>
      <c r="C76" s="23">
        <v>-1440</v>
      </c>
      <c r="D76" s="24" t="s">
        <v>49</v>
      </c>
      <c r="E76" s="24" t="s">
        <v>56</v>
      </c>
      <c r="F76" s="63" t="s">
        <v>0</v>
      </c>
    </row>
    <row r="77" spans="1:6" x14ac:dyDescent="0.25">
      <c r="A77" s="62">
        <v>45422</v>
      </c>
      <c r="B77" s="62" t="s">
        <v>141</v>
      </c>
      <c r="C77" s="23">
        <v>-1800</v>
      </c>
      <c r="D77" s="24" t="s">
        <v>52</v>
      </c>
      <c r="E77" s="24" t="s">
        <v>53</v>
      </c>
      <c r="F77" s="63" t="s">
        <v>0</v>
      </c>
    </row>
    <row r="78" spans="1:6" x14ac:dyDescent="0.25">
      <c r="A78" s="62">
        <v>45422</v>
      </c>
      <c r="B78" s="62" t="s">
        <v>142</v>
      </c>
      <c r="C78" s="23">
        <v>-40217.68</v>
      </c>
      <c r="D78" s="24" t="s">
        <v>46</v>
      </c>
      <c r="E78" s="24" t="s">
        <v>10</v>
      </c>
      <c r="F78" s="63" t="s">
        <v>0</v>
      </c>
    </row>
    <row r="79" spans="1:6" x14ac:dyDescent="0.25">
      <c r="A79" s="62">
        <v>45422</v>
      </c>
      <c r="B79" s="62" t="s">
        <v>143</v>
      </c>
      <c r="C79" s="23">
        <v>221587.11</v>
      </c>
      <c r="D79" s="24" t="s">
        <v>46</v>
      </c>
      <c r="E79" s="24" t="s">
        <v>10</v>
      </c>
      <c r="F79" s="63" t="s">
        <v>10</v>
      </c>
    </row>
    <row r="80" spans="1:6" x14ac:dyDescent="0.25">
      <c r="A80" s="62">
        <v>45422</v>
      </c>
      <c r="B80" s="62" t="s">
        <v>143</v>
      </c>
      <c r="C80" s="23">
        <v>-221587.11</v>
      </c>
      <c r="D80" s="24" t="s">
        <v>46</v>
      </c>
      <c r="E80" s="24" t="s">
        <v>10</v>
      </c>
      <c r="F80" s="63" t="s">
        <v>0</v>
      </c>
    </row>
    <row r="81" spans="1:6" x14ac:dyDescent="0.25">
      <c r="A81" s="62">
        <v>45420</v>
      </c>
      <c r="B81" s="62" t="s">
        <v>144</v>
      </c>
      <c r="C81" s="23">
        <v>-8518</v>
      </c>
      <c r="D81" s="24" t="s">
        <v>46</v>
      </c>
      <c r="E81" s="24" t="s">
        <v>145</v>
      </c>
      <c r="F81" s="63" t="s">
        <v>0</v>
      </c>
    </row>
    <row r="82" spans="1:6" x14ac:dyDescent="0.25">
      <c r="A82" s="62">
        <v>45420</v>
      </c>
      <c r="B82" s="62" t="s">
        <v>146</v>
      </c>
      <c r="C82" s="23">
        <v>-4980</v>
      </c>
      <c r="D82" s="24" t="s">
        <v>49</v>
      </c>
      <c r="E82" s="24" t="s">
        <v>56</v>
      </c>
      <c r="F82" s="63" t="s">
        <v>0</v>
      </c>
    </row>
    <row r="83" spans="1:6" x14ac:dyDescent="0.25">
      <c r="A83" s="62">
        <v>45420</v>
      </c>
      <c r="B83" s="62" t="s">
        <v>147</v>
      </c>
      <c r="C83" s="23">
        <v>-5390</v>
      </c>
      <c r="D83" s="24" t="s">
        <v>72</v>
      </c>
      <c r="E83" s="24" t="s">
        <v>126</v>
      </c>
      <c r="F83" s="63" t="s">
        <v>0</v>
      </c>
    </row>
    <row r="84" spans="1:6" x14ac:dyDescent="0.25">
      <c r="A84" s="62">
        <v>45420</v>
      </c>
      <c r="B84" s="62" t="s">
        <v>112</v>
      </c>
      <c r="C84" s="23">
        <v>-6340</v>
      </c>
      <c r="D84" s="24" t="s">
        <v>49</v>
      </c>
      <c r="E84" s="24" t="s">
        <v>56</v>
      </c>
      <c r="F84" s="63" t="s">
        <v>0</v>
      </c>
    </row>
    <row r="85" spans="1:6" x14ac:dyDescent="0.25">
      <c r="A85" s="62">
        <v>45420</v>
      </c>
      <c r="B85" s="62" t="s">
        <v>148</v>
      </c>
      <c r="C85" s="23">
        <v>-24847</v>
      </c>
      <c r="D85" s="24" t="s">
        <v>49</v>
      </c>
      <c r="E85" s="24" t="s">
        <v>56</v>
      </c>
      <c r="F85" s="63" t="s">
        <v>0</v>
      </c>
    </row>
    <row r="86" spans="1:6" x14ac:dyDescent="0.25">
      <c r="A86" s="62">
        <v>45419</v>
      </c>
      <c r="B86" s="62" t="s">
        <v>149</v>
      </c>
      <c r="C86" s="23">
        <v>-11512</v>
      </c>
      <c r="D86" s="24" t="s">
        <v>46</v>
      </c>
      <c r="E86" s="24" t="s">
        <v>150</v>
      </c>
      <c r="F86" s="63" t="s">
        <v>0</v>
      </c>
    </row>
    <row r="87" spans="1:6" x14ac:dyDescent="0.25">
      <c r="A87" s="62">
        <v>45419</v>
      </c>
      <c r="B87" s="62" t="s">
        <v>151</v>
      </c>
      <c r="C87" s="23">
        <v>-7650</v>
      </c>
      <c r="D87" s="24" t="s">
        <v>52</v>
      </c>
      <c r="E87" s="24" t="s">
        <v>134</v>
      </c>
      <c r="F87" s="63" t="s">
        <v>0</v>
      </c>
    </row>
    <row r="88" spans="1:6" x14ac:dyDescent="0.25">
      <c r="A88" s="62">
        <v>45418</v>
      </c>
      <c r="B88" s="62" t="s">
        <v>152</v>
      </c>
      <c r="C88" s="23">
        <v>-251</v>
      </c>
      <c r="D88" s="24" t="s">
        <v>49</v>
      </c>
      <c r="E88" s="24" t="s">
        <v>56</v>
      </c>
      <c r="F88" s="63" t="s">
        <v>0</v>
      </c>
    </row>
    <row r="89" spans="1:6" x14ac:dyDescent="0.25">
      <c r="A89" s="62">
        <v>45418</v>
      </c>
      <c r="B89" s="62" t="s">
        <v>153</v>
      </c>
      <c r="C89" s="23">
        <v>-590</v>
      </c>
      <c r="D89" s="24" t="s">
        <v>49</v>
      </c>
      <c r="E89" s="24" t="s">
        <v>56</v>
      </c>
      <c r="F89" s="63" t="s">
        <v>0</v>
      </c>
    </row>
    <row r="90" spans="1:6" x14ac:dyDescent="0.25">
      <c r="A90" s="62">
        <v>45418</v>
      </c>
      <c r="B90" s="62" t="s">
        <v>154</v>
      </c>
      <c r="C90" s="23">
        <v>-1918</v>
      </c>
      <c r="D90" s="24" t="s">
        <v>46</v>
      </c>
      <c r="E90" s="24" t="s">
        <v>61</v>
      </c>
      <c r="F90" s="63" t="s">
        <v>0</v>
      </c>
    </row>
    <row r="91" spans="1:6" x14ac:dyDescent="0.25">
      <c r="A91" s="62">
        <v>45418</v>
      </c>
      <c r="B91" s="62" t="s">
        <v>155</v>
      </c>
      <c r="C91" s="23">
        <v>-1948</v>
      </c>
      <c r="D91" s="24" t="s">
        <v>49</v>
      </c>
      <c r="E91" s="24" t="s">
        <v>56</v>
      </c>
      <c r="F91" s="63" t="s">
        <v>0</v>
      </c>
    </row>
    <row r="92" spans="1:6" x14ac:dyDescent="0.25">
      <c r="A92" s="62">
        <v>45418</v>
      </c>
      <c r="B92" s="62" t="s">
        <v>156</v>
      </c>
      <c r="C92" s="23">
        <v>-1980</v>
      </c>
      <c r="D92" s="24" t="s">
        <v>52</v>
      </c>
      <c r="E92" s="24" t="s">
        <v>53</v>
      </c>
      <c r="F92" s="63" t="s">
        <v>0</v>
      </c>
    </row>
    <row r="93" spans="1:6" x14ac:dyDescent="0.25">
      <c r="A93" s="62">
        <v>45418</v>
      </c>
      <c r="B93" s="62" t="s">
        <v>157</v>
      </c>
      <c r="C93" s="23">
        <v>-1990</v>
      </c>
      <c r="D93" s="24" t="s">
        <v>46</v>
      </c>
      <c r="E93" s="24" t="s">
        <v>63</v>
      </c>
      <c r="F93" s="63" t="s">
        <v>0</v>
      </c>
    </row>
    <row r="94" spans="1:6" x14ac:dyDescent="0.25">
      <c r="A94" s="62">
        <v>45418</v>
      </c>
      <c r="B94" s="62" t="s">
        <v>158</v>
      </c>
      <c r="C94" s="23">
        <v>-2099</v>
      </c>
      <c r="D94" s="24" t="s">
        <v>49</v>
      </c>
      <c r="E94" s="24" t="s">
        <v>56</v>
      </c>
      <c r="F94" s="63" t="s">
        <v>0</v>
      </c>
    </row>
    <row r="95" spans="1:6" x14ac:dyDescent="0.25">
      <c r="A95" s="62">
        <v>45418</v>
      </c>
      <c r="B95" s="62" t="s">
        <v>159</v>
      </c>
      <c r="C95" s="23">
        <v>-2340</v>
      </c>
      <c r="D95" s="24" t="s">
        <v>49</v>
      </c>
      <c r="E95" s="24" t="s">
        <v>56</v>
      </c>
      <c r="F95" s="63" t="s">
        <v>0</v>
      </c>
    </row>
    <row r="96" spans="1:6" x14ac:dyDescent="0.25">
      <c r="A96" s="62">
        <v>45418</v>
      </c>
      <c r="B96" s="62" t="s">
        <v>160</v>
      </c>
      <c r="C96" s="23">
        <v>-2750</v>
      </c>
      <c r="D96" s="24" t="s">
        <v>49</v>
      </c>
      <c r="E96" s="24" t="s">
        <v>56</v>
      </c>
      <c r="F96" s="63" t="s">
        <v>0</v>
      </c>
    </row>
    <row r="97" spans="1:6" x14ac:dyDescent="0.25">
      <c r="A97" s="62">
        <v>45418</v>
      </c>
      <c r="B97" s="62" t="s">
        <v>161</v>
      </c>
      <c r="C97" s="23">
        <v>-3300</v>
      </c>
      <c r="D97" s="24" t="s">
        <v>49</v>
      </c>
      <c r="E97" s="24" t="s">
        <v>56</v>
      </c>
      <c r="F97" s="63" t="s">
        <v>0</v>
      </c>
    </row>
    <row r="98" spans="1:6" x14ac:dyDescent="0.25">
      <c r="A98" s="62">
        <v>45418</v>
      </c>
      <c r="B98" s="62" t="s">
        <v>162</v>
      </c>
      <c r="C98" s="23">
        <v>-3546</v>
      </c>
      <c r="D98" s="24" t="s">
        <v>49</v>
      </c>
      <c r="E98" s="24" t="s">
        <v>56</v>
      </c>
      <c r="F98" s="63" t="s">
        <v>0</v>
      </c>
    </row>
    <row r="99" spans="1:6" x14ac:dyDescent="0.25">
      <c r="A99" s="62">
        <v>45418</v>
      </c>
      <c r="B99" s="62" t="s">
        <v>163</v>
      </c>
      <c r="C99" s="23">
        <v>-3572</v>
      </c>
      <c r="D99" s="24" t="s">
        <v>49</v>
      </c>
      <c r="E99" s="24" t="s">
        <v>164</v>
      </c>
      <c r="F99" s="63" t="s">
        <v>0</v>
      </c>
    </row>
    <row r="100" spans="1:6" x14ac:dyDescent="0.25">
      <c r="A100" s="62">
        <v>45418</v>
      </c>
      <c r="B100" s="62" t="s">
        <v>165</v>
      </c>
      <c r="C100" s="23">
        <v>-8459</v>
      </c>
      <c r="D100" s="24" t="s">
        <v>49</v>
      </c>
      <c r="E100" s="24" t="s">
        <v>56</v>
      </c>
      <c r="F100" s="63" t="s">
        <v>0</v>
      </c>
    </row>
    <row r="101" spans="1:6" x14ac:dyDescent="0.25">
      <c r="A101" s="62">
        <v>45418</v>
      </c>
      <c r="B101" s="62" t="s">
        <v>166</v>
      </c>
      <c r="C101" s="23">
        <v>-8608</v>
      </c>
      <c r="D101" s="24" t="s">
        <v>167</v>
      </c>
      <c r="E101" s="24" t="s">
        <v>168</v>
      </c>
      <c r="F101" s="63" t="s">
        <v>0</v>
      </c>
    </row>
    <row r="102" spans="1:6" x14ac:dyDescent="0.25">
      <c r="A102" s="62">
        <v>45418</v>
      </c>
      <c r="B102" s="62" t="s">
        <v>169</v>
      </c>
      <c r="C102" s="23">
        <v>-11530</v>
      </c>
      <c r="D102" s="24" t="s">
        <v>52</v>
      </c>
      <c r="E102" s="24" t="s">
        <v>53</v>
      </c>
      <c r="F102" s="63" t="s">
        <v>0</v>
      </c>
    </row>
    <row r="103" spans="1:6" x14ac:dyDescent="0.25">
      <c r="A103" s="62">
        <v>45418</v>
      </c>
      <c r="B103" s="62" t="s">
        <v>170</v>
      </c>
      <c r="C103" s="23">
        <v>-13648</v>
      </c>
      <c r="D103" s="24" t="s">
        <v>49</v>
      </c>
      <c r="E103" s="24" t="s">
        <v>56</v>
      </c>
      <c r="F103" s="63" t="s">
        <v>0</v>
      </c>
    </row>
    <row r="104" spans="1:6" x14ac:dyDescent="0.25">
      <c r="A104" s="62">
        <v>45417</v>
      </c>
      <c r="B104" s="62" t="s">
        <v>171</v>
      </c>
      <c r="C104" s="23">
        <v>2250</v>
      </c>
      <c r="D104" s="24" t="s">
        <v>167</v>
      </c>
      <c r="E104" s="24" t="s">
        <v>168</v>
      </c>
      <c r="F104" s="63" t="s">
        <v>0</v>
      </c>
    </row>
    <row r="105" spans="1:6" x14ac:dyDescent="0.25">
      <c r="A105" s="62">
        <v>45415</v>
      </c>
      <c r="B105" s="62" t="s">
        <v>172</v>
      </c>
      <c r="C105" s="23">
        <v>252090</v>
      </c>
      <c r="D105" s="24" t="s">
        <v>58</v>
      </c>
      <c r="E105" s="24" t="s">
        <v>58</v>
      </c>
      <c r="F105" s="63" t="s">
        <v>0</v>
      </c>
    </row>
    <row r="106" spans="1:6" x14ac:dyDescent="0.25">
      <c r="A106" s="62">
        <v>45415</v>
      </c>
      <c r="B106" s="62" t="s">
        <v>173</v>
      </c>
      <c r="C106" s="23">
        <v>-8389</v>
      </c>
      <c r="D106" s="24" t="s">
        <v>90</v>
      </c>
      <c r="E106" s="24" t="s">
        <v>174</v>
      </c>
      <c r="F106" s="63" t="s">
        <v>0</v>
      </c>
    </row>
    <row r="107" spans="1:6" x14ac:dyDescent="0.25">
      <c r="A107" s="62">
        <v>45414</v>
      </c>
      <c r="B107" s="62" t="s">
        <v>175</v>
      </c>
      <c r="C107" s="23">
        <v>-1291</v>
      </c>
      <c r="D107" s="24" t="s">
        <v>46</v>
      </c>
      <c r="E107" s="24" t="s">
        <v>63</v>
      </c>
      <c r="F107" s="63" t="s">
        <v>0</v>
      </c>
    </row>
    <row r="108" spans="1:6" x14ac:dyDescent="0.25">
      <c r="A108" s="62">
        <v>45414</v>
      </c>
      <c r="B108" s="62" t="s">
        <v>176</v>
      </c>
      <c r="C108" s="23">
        <v>31980</v>
      </c>
      <c r="D108" s="24" t="s">
        <v>49</v>
      </c>
      <c r="E108" s="24" t="s">
        <v>50</v>
      </c>
      <c r="F108" s="63" t="s">
        <v>0</v>
      </c>
    </row>
    <row r="109" spans="1:6" x14ac:dyDescent="0.25">
      <c r="A109" s="62">
        <v>45414</v>
      </c>
      <c r="B109" s="62" t="s">
        <v>177</v>
      </c>
      <c r="C109" s="23">
        <v>-1357</v>
      </c>
      <c r="D109" s="24" t="s">
        <v>49</v>
      </c>
      <c r="E109" s="24" t="s">
        <v>56</v>
      </c>
      <c r="F109" s="63" t="s">
        <v>0</v>
      </c>
    </row>
    <row r="110" spans="1:6" x14ac:dyDescent="0.25">
      <c r="A110" s="62">
        <v>45414</v>
      </c>
      <c r="B110" s="62" t="s">
        <v>178</v>
      </c>
      <c r="C110" s="23">
        <v>-2550</v>
      </c>
      <c r="D110" s="24" t="s">
        <v>52</v>
      </c>
      <c r="E110" s="24" t="s">
        <v>53</v>
      </c>
      <c r="F110" s="63" t="s">
        <v>0</v>
      </c>
    </row>
    <row r="111" spans="1:6" x14ac:dyDescent="0.25">
      <c r="A111" s="62">
        <v>45414</v>
      </c>
      <c r="B111" s="62" t="s">
        <v>179</v>
      </c>
      <c r="C111" s="23">
        <v>-7980</v>
      </c>
      <c r="D111" s="24" t="s">
        <v>52</v>
      </c>
      <c r="E111" s="24" t="s">
        <v>53</v>
      </c>
      <c r="F111" s="63" t="s">
        <v>0</v>
      </c>
    </row>
    <row r="112" spans="1:6" x14ac:dyDescent="0.25">
      <c r="A112" s="62">
        <v>45414</v>
      </c>
      <c r="B112" s="62" t="s">
        <v>180</v>
      </c>
      <c r="C112" s="23">
        <v>-9050</v>
      </c>
      <c r="D112" s="24" t="s">
        <v>46</v>
      </c>
      <c r="E112" s="24" t="s">
        <v>61</v>
      </c>
      <c r="F112" s="63" t="s">
        <v>0</v>
      </c>
    </row>
    <row r="113" spans="1:6" x14ac:dyDescent="0.25">
      <c r="A113" s="62">
        <v>45414</v>
      </c>
      <c r="B113" s="62" t="s">
        <v>181</v>
      </c>
      <c r="C113" s="23">
        <v>-21597</v>
      </c>
      <c r="D113" s="24" t="s">
        <v>49</v>
      </c>
      <c r="E113" s="24" t="s">
        <v>56</v>
      </c>
      <c r="F113" s="63" t="s">
        <v>0</v>
      </c>
    </row>
    <row r="114" spans="1:6" x14ac:dyDescent="0.25">
      <c r="A114" s="62">
        <v>45414</v>
      </c>
      <c r="B114" s="62" t="s">
        <v>182</v>
      </c>
      <c r="C114" s="23">
        <v>-52561</v>
      </c>
      <c r="D114" s="24" t="s">
        <v>167</v>
      </c>
      <c r="E114" s="24" t="s">
        <v>183</v>
      </c>
      <c r="F114" s="63" t="s">
        <v>0</v>
      </c>
    </row>
    <row r="115" spans="1:6" x14ac:dyDescent="0.25">
      <c r="A115" s="62">
        <v>45412</v>
      </c>
      <c r="B115" s="62" t="s">
        <v>43</v>
      </c>
      <c r="C115" s="23">
        <v>-2613</v>
      </c>
      <c r="D115" s="24" t="s">
        <v>167</v>
      </c>
      <c r="E115" s="24" t="s">
        <v>168</v>
      </c>
      <c r="F115" s="63" t="s">
        <v>0</v>
      </c>
    </row>
    <row r="116" spans="1:6" x14ac:dyDescent="0.25">
      <c r="A116" s="62">
        <v>45412</v>
      </c>
      <c r="B116" s="62" t="s">
        <v>184</v>
      </c>
      <c r="C116" s="23">
        <v>-3731</v>
      </c>
      <c r="D116" s="24" t="s">
        <v>90</v>
      </c>
      <c r="E116" s="24" t="s">
        <v>185</v>
      </c>
      <c r="F116" s="63" t="s">
        <v>0</v>
      </c>
    </row>
    <row r="117" spans="1:6" x14ac:dyDescent="0.25">
      <c r="A117" s="62">
        <v>45412</v>
      </c>
      <c r="B117" s="62" t="s">
        <v>186</v>
      </c>
      <c r="C117" s="23">
        <v>-9766</v>
      </c>
      <c r="D117" s="24" t="s">
        <v>49</v>
      </c>
      <c r="E117" s="24" t="s">
        <v>56</v>
      </c>
      <c r="F117" s="63" t="s">
        <v>0</v>
      </c>
    </row>
    <row r="118" spans="1:6" x14ac:dyDescent="0.25">
      <c r="A118" s="62">
        <v>45412</v>
      </c>
      <c r="B118" s="62" t="s">
        <v>187</v>
      </c>
      <c r="C118" s="23">
        <v>-11832</v>
      </c>
      <c r="D118" s="24" t="s">
        <v>90</v>
      </c>
      <c r="E118" s="24" t="s">
        <v>185</v>
      </c>
      <c r="F118" s="63" t="s">
        <v>0</v>
      </c>
    </row>
    <row r="119" spans="1:6" x14ac:dyDescent="0.25">
      <c r="A119" s="62">
        <v>45411</v>
      </c>
      <c r="B119" s="62" t="s">
        <v>188</v>
      </c>
      <c r="C119" s="23">
        <v>-700</v>
      </c>
      <c r="D119" s="24" t="s">
        <v>52</v>
      </c>
      <c r="E119" s="24" t="s">
        <v>134</v>
      </c>
      <c r="F119" s="63" t="s">
        <v>0</v>
      </c>
    </row>
    <row r="120" spans="1:6" x14ac:dyDescent="0.25">
      <c r="A120" s="62">
        <v>45411</v>
      </c>
      <c r="B120" s="62" t="s">
        <v>189</v>
      </c>
      <c r="C120" s="23">
        <v>-2500</v>
      </c>
      <c r="D120" s="24" t="s">
        <v>52</v>
      </c>
      <c r="E120" s="24" t="s">
        <v>53</v>
      </c>
      <c r="F120" s="63" t="s">
        <v>0</v>
      </c>
    </row>
    <row r="121" spans="1:6" x14ac:dyDescent="0.25">
      <c r="A121" s="62">
        <v>45411</v>
      </c>
      <c r="B121" s="62" t="s">
        <v>190</v>
      </c>
      <c r="C121" s="23">
        <v>-4287</v>
      </c>
      <c r="D121" s="24" t="s">
        <v>49</v>
      </c>
      <c r="E121" s="24" t="s">
        <v>56</v>
      </c>
      <c r="F121" s="63" t="s">
        <v>0</v>
      </c>
    </row>
    <row r="122" spans="1:6" x14ac:dyDescent="0.25">
      <c r="A122" s="62">
        <v>45411</v>
      </c>
      <c r="B122" s="62" t="s">
        <v>191</v>
      </c>
      <c r="C122" s="23">
        <v>-5395</v>
      </c>
      <c r="D122" s="24" t="s">
        <v>49</v>
      </c>
      <c r="E122" s="24" t="s">
        <v>56</v>
      </c>
      <c r="F122" s="63" t="s">
        <v>0</v>
      </c>
    </row>
    <row r="123" spans="1:6" x14ac:dyDescent="0.25">
      <c r="A123" s="62">
        <v>45411</v>
      </c>
      <c r="B123" s="62" t="s">
        <v>192</v>
      </c>
      <c r="C123" s="23">
        <v>-7469</v>
      </c>
      <c r="D123" s="24" t="s">
        <v>49</v>
      </c>
      <c r="E123" s="24" t="s">
        <v>56</v>
      </c>
      <c r="F123" s="63" t="s">
        <v>0</v>
      </c>
    </row>
    <row r="124" spans="1:6" x14ac:dyDescent="0.25">
      <c r="A124" s="62">
        <v>45411</v>
      </c>
      <c r="B124" s="62" t="s">
        <v>193</v>
      </c>
      <c r="C124" s="23">
        <v>-11437</v>
      </c>
      <c r="D124" s="24" t="s">
        <v>49</v>
      </c>
      <c r="E124" s="24" t="s">
        <v>56</v>
      </c>
      <c r="F124" s="63" t="s">
        <v>0</v>
      </c>
    </row>
    <row r="125" spans="1:6" x14ac:dyDescent="0.25">
      <c r="A125" s="62">
        <v>45411</v>
      </c>
      <c r="B125" s="62" t="s">
        <v>194</v>
      </c>
      <c r="C125" s="23">
        <v>-15114</v>
      </c>
      <c r="D125" s="24" t="s">
        <v>90</v>
      </c>
      <c r="E125" s="24" t="s">
        <v>93</v>
      </c>
      <c r="F125" s="63" t="s">
        <v>0</v>
      </c>
    </row>
    <row r="126" spans="1:6" x14ac:dyDescent="0.25">
      <c r="A126" s="62">
        <v>45411</v>
      </c>
      <c r="B126" s="62" t="s">
        <v>195</v>
      </c>
      <c r="C126" s="23">
        <v>-27994</v>
      </c>
      <c r="D126" s="24" t="s">
        <v>49</v>
      </c>
      <c r="E126" s="24" t="s">
        <v>56</v>
      </c>
      <c r="F126" s="63" t="s">
        <v>0</v>
      </c>
    </row>
    <row r="127" spans="1:6" x14ac:dyDescent="0.25">
      <c r="A127" s="62">
        <v>45411</v>
      </c>
      <c r="B127" s="62" t="s">
        <v>196</v>
      </c>
      <c r="C127" s="23">
        <v>-570</v>
      </c>
      <c r="D127" s="24" t="s">
        <v>72</v>
      </c>
      <c r="E127" s="24" t="s">
        <v>197</v>
      </c>
      <c r="F127" s="63" t="s">
        <v>0</v>
      </c>
    </row>
    <row r="128" spans="1:6" x14ac:dyDescent="0.25">
      <c r="A128" s="62">
        <v>45408</v>
      </c>
      <c r="B128" s="62" t="s">
        <v>198</v>
      </c>
      <c r="C128" s="23">
        <v>-1880</v>
      </c>
      <c r="D128" s="24" t="s">
        <v>52</v>
      </c>
      <c r="E128" s="24" t="s">
        <v>53</v>
      </c>
      <c r="F128" s="63" t="s">
        <v>0</v>
      </c>
    </row>
    <row r="129" spans="1:6" x14ac:dyDescent="0.25">
      <c r="A129" s="62">
        <v>45408</v>
      </c>
      <c r="B129" s="62" t="s">
        <v>199</v>
      </c>
      <c r="C129" s="23">
        <v>-4980</v>
      </c>
      <c r="D129" s="24" t="s">
        <v>90</v>
      </c>
      <c r="E129" s="24" t="s">
        <v>106</v>
      </c>
      <c r="F129" s="63" t="s">
        <v>0</v>
      </c>
    </row>
    <row r="130" spans="1:6" x14ac:dyDescent="0.25">
      <c r="A130" s="62">
        <v>45408</v>
      </c>
      <c r="B130" s="62" t="s">
        <v>200</v>
      </c>
      <c r="C130" s="23">
        <v>-10000</v>
      </c>
      <c r="D130" s="24" t="s">
        <v>90</v>
      </c>
      <c r="E130" s="24" t="s">
        <v>91</v>
      </c>
      <c r="F130" s="63" t="s">
        <v>0</v>
      </c>
    </row>
    <row r="131" spans="1:6" x14ac:dyDescent="0.25">
      <c r="A131" s="62">
        <v>45408</v>
      </c>
      <c r="B131" s="62" t="s">
        <v>201</v>
      </c>
      <c r="C131" s="23">
        <v>-999.5</v>
      </c>
      <c r="D131" s="24" t="s">
        <v>46</v>
      </c>
      <c r="E131" s="24" t="s">
        <v>63</v>
      </c>
      <c r="F131" s="63" t="s">
        <v>0</v>
      </c>
    </row>
    <row r="132" spans="1:6" x14ac:dyDescent="0.25">
      <c r="A132" s="62">
        <v>45407</v>
      </c>
      <c r="B132" s="62" t="s">
        <v>202</v>
      </c>
      <c r="C132" s="23">
        <v>-7389</v>
      </c>
      <c r="D132" s="24" t="s">
        <v>49</v>
      </c>
      <c r="E132" s="24" t="s">
        <v>164</v>
      </c>
      <c r="F132" s="63" t="s">
        <v>0</v>
      </c>
    </row>
    <row r="133" spans="1:6" x14ac:dyDescent="0.25">
      <c r="A133" s="62">
        <v>45407</v>
      </c>
      <c r="B133" s="62" t="s">
        <v>203</v>
      </c>
      <c r="C133" s="23">
        <v>-15299</v>
      </c>
      <c r="D133" s="24" t="s">
        <v>49</v>
      </c>
      <c r="E133" s="24" t="s">
        <v>56</v>
      </c>
      <c r="F133" s="63" t="s">
        <v>0</v>
      </c>
    </row>
    <row r="134" spans="1:6" x14ac:dyDescent="0.25">
      <c r="A134" s="62">
        <v>45407</v>
      </c>
      <c r="B134" s="62" t="s">
        <v>204</v>
      </c>
      <c r="C134" s="23">
        <v>-617</v>
      </c>
      <c r="D134" s="24" t="s">
        <v>72</v>
      </c>
      <c r="E134" s="24" t="s">
        <v>197</v>
      </c>
      <c r="F134" s="63" t="s">
        <v>0</v>
      </c>
    </row>
    <row r="135" spans="1:6" x14ac:dyDescent="0.25">
      <c r="A135" s="62">
        <v>45407</v>
      </c>
      <c r="B135" s="62" t="s">
        <v>205</v>
      </c>
      <c r="C135" s="23">
        <v>-600000</v>
      </c>
      <c r="D135" s="24" t="s">
        <v>206</v>
      </c>
      <c r="E135" s="24" t="s">
        <v>206</v>
      </c>
      <c r="F135" s="63" t="s">
        <v>7</v>
      </c>
    </row>
    <row r="136" spans="1:6" x14ac:dyDescent="0.25">
      <c r="A136" s="62">
        <v>45406</v>
      </c>
      <c r="B136" s="62" t="s">
        <v>207</v>
      </c>
      <c r="C136" s="23">
        <v>-2871</v>
      </c>
      <c r="D136" s="24" t="s">
        <v>52</v>
      </c>
      <c r="E136" s="24" t="s">
        <v>53</v>
      </c>
      <c r="F136" s="63" t="s">
        <v>0</v>
      </c>
    </row>
    <row r="137" spans="1:6" x14ac:dyDescent="0.25">
      <c r="A137" s="62">
        <v>45405</v>
      </c>
      <c r="B137" s="62" t="s">
        <v>208</v>
      </c>
      <c r="C137" s="23">
        <v>-500</v>
      </c>
      <c r="D137" s="24" t="s">
        <v>52</v>
      </c>
      <c r="E137" s="24" t="s">
        <v>134</v>
      </c>
      <c r="F137" s="63" t="s">
        <v>0</v>
      </c>
    </row>
    <row r="138" spans="1:6" x14ac:dyDescent="0.25">
      <c r="A138" s="62">
        <v>45405</v>
      </c>
      <c r="B138" s="62" t="s">
        <v>209</v>
      </c>
      <c r="C138" s="23">
        <v>-900</v>
      </c>
      <c r="D138" s="24" t="s">
        <v>72</v>
      </c>
      <c r="E138" s="24" t="s">
        <v>73</v>
      </c>
      <c r="F138" s="63" t="s">
        <v>0</v>
      </c>
    </row>
    <row r="139" spans="1:6" x14ac:dyDescent="0.25">
      <c r="A139" s="62">
        <v>45405</v>
      </c>
      <c r="B139" s="62" t="s">
        <v>210</v>
      </c>
      <c r="C139" s="23">
        <v>-1300</v>
      </c>
      <c r="D139" s="24" t="s">
        <v>52</v>
      </c>
      <c r="E139" s="24" t="s">
        <v>134</v>
      </c>
      <c r="F139" s="63" t="s">
        <v>0</v>
      </c>
    </row>
    <row r="140" spans="1:6" x14ac:dyDescent="0.25">
      <c r="A140" s="62">
        <v>45405</v>
      </c>
      <c r="B140" s="62" t="s">
        <v>211</v>
      </c>
      <c r="C140" s="23">
        <v>-2715</v>
      </c>
      <c r="D140" s="24" t="s">
        <v>90</v>
      </c>
      <c r="E140" s="24" t="s">
        <v>59</v>
      </c>
      <c r="F140" s="63" t="s">
        <v>0</v>
      </c>
    </row>
    <row r="141" spans="1:6" x14ac:dyDescent="0.25">
      <c r="A141" s="62">
        <v>45405</v>
      </c>
      <c r="B141" s="62" t="s">
        <v>212</v>
      </c>
      <c r="C141" s="23">
        <v>-6590</v>
      </c>
      <c r="D141" s="24" t="s">
        <v>49</v>
      </c>
      <c r="E141" s="24" t="s">
        <v>213</v>
      </c>
      <c r="F141" s="63" t="s">
        <v>0</v>
      </c>
    </row>
    <row r="142" spans="1:6" x14ac:dyDescent="0.25">
      <c r="A142" s="62">
        <v>45405</v>
      </c>
      <c r="B142" s="62" t="s">
        <v>214</v>
      </c>
      <c r="C142" s="23">
        <v>-12186</v>
      </c>
      <c r="D142" s="24" t="s">
        <v>49</v>
      </c>
      <c r="E142" s="24" t="s">
        <v>56</v>
      </c>
      <c r="F142" s="63" t="s">
        <v>0</v>
      </c>
    </row>
    <row r="143" spans="1:6" x14ac:dyDescent="0.25">
      <c r="A143" s="62">
        <v>45405</v>
      </c>
      <c r="B143" s="62" t="s">
        <v>215</v>
      </c>
      <c r="C143" s="23">
        <v>-20657</v>
      </c>
      <c r="D143" s="24" t="s">
        <v>49</v>
      </c>
      <c r="E143" s="24" t="s">
        <v>56</v>
      </c>
      <c r="F143" s="63" t="s">
        <v>0</v>
      </c>
    </row>
    <row r="144" spans="1:6" x14ac:dyDescent="0.25">
      <c r="A144" s="62">
        <v>45405</v>
      </c>
      <c r="B144" s="62" t="s">
        <v>216</v>
      </c>
      <c r="C144" s="23">
        <v>-29064</v>
      </c>
      <c r="D144" s="24" t="s">
        <v>49</v>
      </c>
      <c r="E144" s="24" t="s">
        <v>56</v>
      </c>
      <c r="F144" s="63" t="s">
        <v>0</v>
      </c>
    </row>
    <row r="145" spans="1:6" x14ac:dyDescent="0.25">
      <c r="A145" s="62">
        <v>45404</v>
      </c>
      <c r="B145" s="62" t="s">
        <v>217</v>
      </c>
      <c r="C145" s="23">
        <v>-650</v>
      </c>
      <c r="D145" s="24" t="s">
        <v>52</v>
      </c>
      <c r="E145" s="24" t="s">
        <v>134</v>
      </c>
      <c r="F145" s="63" t="s">
        <v>0</v>
      </c>
    </row>
    <row r="146" spans="1:6" x14ac:dyDescent="0.25">
      <c r="A146" s="62">
        <v>45404</v>
      </c>
      <c r="B146" s="62" t="s">
        <v>218</v>
      </c>
      <c r="C146" s="23">
        <v>-1490</v>
      </c>
      <c r="D146" s="24" t="s">
        <v>49</v>
      </c>
      <c r="E146" s="24" t="s">
        <v>56</v>
      </c>
      <c r="F146" s="63" t="s">
        <v>0</v>
      </c>
    </row>
    <row r="147" spans="1:6" x14ac:dyDescent="0.25">
      <c r="A147" s="62">
        <v>45404</v>
      </c>
      <c r="B147" s="62" t="s">
        <v>219</v>
      </c>
      <c r="C147" s="23">
        <v>-2000</v>
      </c>
      <c r="D147" s="24" t="s">
        <v>83</v>
      </c>
      <c r="E147" s="24" t="s">
        <v>84</v>
      </c>
      <c r="F147" s="63" t="s">
        <v>0</v>
      </c>
    </row>
    <row r="148" spans="1:6" x14ac:dyDescent="0.25">
      <c r="A148" s="62">
        <v>45404</v>
      </c>
      <c r="B148" s="62" t="s">
        <v>220</v>
      </c>
      <c r="C148" s="23">
        <v>-2090</v>
      </c>
      <c r="D148" s="24" t="s">
        <v>49</v>
      </c>
      <c r="E148" s="24" t="s">
        <v>56</v>
      </c>
      <c r="F148" s="63" t="s">
        <v>0</v>
      </c>
    </row>
    <row r="149" spans="1:6" x14ac:dyDescent="0.25">
      <c r="A149" s="62">
        <v>45404</v>
      </c>
      <c r="B149" s="62" t="s">
        <v>221</v>
      </c>
      <c r="C149" s="23">
        <v>-2180</v>
      </c>
      <c r="D149" s="24" t="s">
        <v>46</v>
      </c>
      <c r="E149" s="24" t="s">
        <v>61</v>
      </c>
      <c r="F149" s="63" t="s">
        <v>0</v>
      </c>
    </row>
    <row r="150" spans="1:6" x14ac:dyDescent="0.25">
      <c r="A150" s="62">
        <v>45404</v>
      </c>
      <c r="B150" s="62" t="s">
        <v>222</v>
      </c>
      <c r="C150" s="23">
        <v>-7710</v>
      </c>
      <c r="D150" s="24" t="s">
        <v>49</v>
      </c>
      <c r="E150" s="24" t="s">
        <v>56</v>
      </c>
      <c r="F150" s="63" t="s">
        <v>0</v>
      </c>
    </row>
    <row r="151" spans="1:6" x14ac:dyDescent="0.25">
      <c r="A151" s="62">
        <v>45404</v>
      </c>
      <c r="B151" s="62" t="s">
        <v>223</v>
      </c>
      <c r="C151" s="23">
        <v>-17986</v>
      </c>
      <c r="D151" s="24" t="s">
        <v>49</v>
      </c>
      <c r="E151" s="24" t="s">
        <v>56</v>
      </c>
      <c r="F151" s="63" t="s">
        <v>0</v>
      </c>
    </row>
    <row r="152" spans="1:6" x14ac:dyDescent="0.25">
      <c r="A152" s="62">
        <v>45404</v>
      </c>
      <c r="B152" s="62" t="s">
        <v>224</v>
      </c>
      <c r="C152" s="23">
        <v>-2833</v>
      </c>
      <c r="D152" s="24" t="s">
        <v>52</v>
      </c>
      <c r="E152" s="24" t="s">
        <v>53</v>
      </c>
      <c r="F152" s="63" t="s">
        <v>0</v>
      </c>
    </row>
    <row r="153" spans="1:6" x14ac:dyDescent="0.25">
      <c r="A153" s="62">
        <v>45401</v>
      </c>
      <c r="B153" s="62" t="s">
        <v>225</v>
      </c>
      <c r="C153" s="23">
        <v>-138</v>
      </c>
      <c r="D153" s="24" t="s">
        <v>90</v>
      </c>
      <c r="E153" s="24" t="s">
        <v>59</v>
      </c>
      <c r="F153" s="63" t="s">
        <v>0</v>
      </c>
    </row>
    <row r="154" spans="1:6" x14ac:dyDescent="0.25">
      <c r="A154" s="62">
        <v>45401</v>
      </c>
      <c r="B154" s="62" t="s">
        <v>226</v>
      </c>
      <c r="C154" s="23">
        <v>-1090</v>
      </c>
      <c r="D154" s="24" t="s">
        <v>52</v>
      </c>
      <c r="E154" s="24" t="s">
        <v>134</v>
      </c>
      <c r="F154" s="63" t="s">
        <v>0</v>
      </c>
    </row>
    <row r="155" spans="1:6" x14ac:dyDescent="0.25">
      <c r="A155" s="62">
        <v>45401</v>
      </c>
      <c r="B155" s="62" t="s">
        <v>227</v>
      </c>
      <c r="C155" s="23">
        <v>-1200</v>
      </c>
      <c r="D155" s="24" t="s">
        <v>72</v>
      </c>
      <c r="E155" s="24" t="s">
        <v>126</v>
      </c>
      <c r="F155" s="63" t="s">
        <v>0</v>
      </c>
    </row>
    <row r="156" spans="1:6" x14ac:dyDescent="0.25">
      <c r="A156" s="62">
        <v>45401</v>
      </c>
      <c r="B156" s="62" t="s">
        <v>227</v>
      </c>
      <c r="C156" s="23">
        <v>-1200</v>
      </c>
      <c r="D156" s="24" t="s">
        <v>72</v>
      </c>
      <c r="E156" s="24" t="s">
        <v>126</v>
      </c>
      <c r="F156" s="63" t="s">
        <v>0</v>
      </c>
    </row>
    <row r="157" spans="1:6" x14ac:dyDescent="0.25">
      <c r="A157" s="62">
        <v>45401</v>
      </c>
      <c r="B157" s="62" t="s">
        <v>228</v>
      </c>
      <c r="C157" s="23">
        <v>-1580</v>
      </c>
      <c r="D157" s="24" t="s">
        <v>52</v>
      </c>
      <c r="E157" s="24" t="s">
        <v>134</v>
      </c>
      <c r="F157" s="63" t="s">
        <v>0</v>
      </c>
    </row>
    <row r="158" spans="1:6" x14ac:dyDescent="0.25">
      <c r="A158" s="62">
        <v>45401</v>
      </c>
      <c r="B158" s="62" t="s">
        <v>229</v>
      </c>
      <c r="C158" s="23">
        <v>-2200</v>
      </c>
      <c r="D158" s="24" t="s">
        <v>49</v>
      </c>
      <c r="E158" s="24" t="s">
        <v>56</v>
      </c>
      <c r="F158" s="63" t="s">
        <v>0</v>
      </c>
    </row>
    <row r="159" spans="1:6" x14ac:dyDescent="0.25">
      <c r="A159" s="62">
        <v>45401</v>
      </c>
      <c r="B159" s="62" t="s">
        <v>230</v>
      </c>
      <c r="C159" s="23">
        <v>-3030</v>
      </c>
      <c r="D159" s="24" t="s">
        <v>52</v>
      </c>
      <c r="E159" s="24" t="s">
        <v>134</v>
      </c>
      <c r="F159" s="63" t="s">
        <v>0</v>
      </c>
    </row>
    <row r="160" spans="1:6" x14ac:dyDescent="0.25">
      <c r="A160" s="62">
        <v>45401</v>
      </c>
      <c r="B160" s="62" t="s">
        <v>231</v>
      </c>
      <c r="C160" s="23">
        <v>-25490</v>
      </c>
      <c r="D160" s="24" t="s">
        <v>49</v>
      </c>
      <c r="E160" s="24" t="s">
        <v>232</v>
      </c>
      <c r="F160" s="63" t="s">
        <v>0</v>
      </c>
    </row>
    <row r="161" spans="1:6" x14ac:dyDescent="0.25">
      <c r="A161" s="62">
        <v>45401</v>
      </c>
      <c r="B161" s="62" t="s">
        <v>233</v>
      </c>
      <c r="C161" s="23">
        <v>115552</v>
      </c>
      <c r="D161" s="24" t="s">
        <v>206</v>
      </c>
      <c r="E161" s="24" t="s">
        <v>234</v>
      </c>
      <c r="F161" s="63" t="s">
        <v>0</v>
      </c>
    </row>
    <row r="162" spans="1:6" x14ac:dyDescent="0.25">
      <c r="A162" s="62">
        <v>45400</v>
      </c>
      <c r="B162" s="62" t="s">
        <v>235</v>
      </c>
      <c r="C162" s="23">
        <v>-1690</v>
      </c>
      <c r="D162" s="24" t="s">
        <v>52</v>
      </c>
      <c r="E162" s="24" t="s">
        <v>53</v>
      </c>
      <c r="F162" s="63" t="s">
        <v>0</v>
      </c>
    </row>
    <row r="163" spans="1:6" x14ac:dyDescent="0.25">
      <c r="A163" s="62">
        <v>45400</v>
      </c>
      <c r="B163" s="62" t="s">
        <v>236</v>
      </c>
      <c r="C163" s="23">
        <v>-3000</v>
      </c>
      <c r="D163" s="24" t="s">
        <v>52</v>
      </c>
      <c r="E163" s="24" t="s">
        <v>53</v>
      </c>
      <c r="F163" s="63" t="s">
        <v>0</v>
      </c>
    </row>
    <row r="164" spans="1:6" x14ac:dyDescent="0.25">
      <c r="A164" s="62">
        <v>45400</v>
      </c>
      <c r="B164" s="62" t="s">
        <v>237</v>
      </c>
      <c r="C164" s="23">
        <v>-11564</v>
      </c>
      <c r="D164" s="24" t="s">
        <v>49</v>
      </c>
      <c r="E164" s="24" t="s">
        <v>56</v>
      </c>
      <c r="F164" s="63" t="s">
        <v>0</v>
      </c>
    </row>
    <row r="165" spans="1:6" x14ac:dyDescent="0.25">
      <c r="A165" s="62">
        <v>45400</v>
      </c>
      <c r="B165" s="62" t="s">
        <v>238</v>
      </c>
      <c r="C165" s="23">
        <v>-17072</v>
      </c>
      <c r="D165" s="24" t="s">
        <v>49</v>
      </c>
      <c r="E165" s="24" t="s">
        <v>56</v>
      </c>
      <c r="F165" s="63" t="s">
        <v>0</v>
      </c>
    </row>
    <row r="166" spans="1:6" x14ac:dyDescent="0.25">
      <c r="A166" s="62">
        <v>45400</v>
      </c>
      <c r="B166" s="62" t="s">
        <v>239</v>
      </c>
      <c r="C166" s="23">
        <v>-24390</v>
      </c>
      <c r="D166" s="24" t="s">
        <v>49</v>
      </c>
      <c r="E166" s="24" t="s">
        <v>50</v>
      </c>
      <c r="F166" s="63" t="s">
        <v>0</v>
      </c>
    </row>
    <row r="167" spans="1:6" x14ac:dyDescent="0.25">
      <c r="A167" s="62">
        <v>45400</v>
      </c>
      <c r="B167" s="62" t="s">
        <v>240</v>
      </c>
      <c r="C167" s="23">
        <v>-8517</v>
      </c>
      <c r="D167" s="24" t="s">
        <v>46</v>
      </c>
      <c r="E167" s="24" t="s">
        <v>145</v>
      </c>
      <c r="F167" s="63" t="s">
        <v>0</v>
      </c>
    </row>
    <row r="168" spans="1:6" x14ac:dyDescent="0.25">
      <c r="A168" s="62">
        <v>45400</v>
      </c>
      <c r="B168" s="62" t="s">
        <v>241</v>
      </c>
      <c r="C168" s="23">
        <v>-3090</v>
      </c>
      <c r="D168" s="24" t="s">
        <v>46</v>
      </c>
      <c r="E168" s="24" t="s">
        <v>63</v>
      </c>
      <c r="F168" s="63" t="s">
        <v>0</v>
      </c>
    </row>
    <row r="169" spans="1:6" x14ac:dyDescent="0.25">
      <c r="A169" s="62">
        <v>45399</v>
      </c>
      <c r="B169" s="62" t="s">
        <v>242</v>
      </c>
      <c r="C169" s="23">
        <v>-4198</v>
      </c>
      <c r="D169" s="24" t="s">
        <v>49</v>
      </c>
      <c r="E169" s="24" t="s">
        <v>56</v>
      </c>
      <c r="F169" s="63" t="s">
        <v>0</v>
      </c>
    </row>
    <row r="170" spans="1:6" x14ac:dyDescent="0.25">
      <c r="A170" s="62">
        <v>45399</v>
      </c>
      <c r="B170" s="62" t="s">
        <v>243</v>
      </c>
      <c r="C170" s="23">
        <v>-7000</v>
      </c>
      <c r="D170" s="24" t="s">
        <v>46</v>
      </c>
      <c r="E170" s="24" t="s">
        <v>61</v>
      </c>
      <c r="F170" s="63" t="s">
        <v>0</v>
      </c>
    </row>
    <row r="171" spans="1:6" x14ac:dyDescent="0.25">
      <c r="A171" s="62">
        <v>45399</v>
      </c>
      <c r="B171" s="62" t="s">
        <v>244</v>
      </c>
      <c r="C171" s="23">
        <v>-6824</v>
      </c>
      <c r="D171" s="24" t="s">
        <v>46</v>
      </c>
      <c r="E171" s="24" t="s">
        <v>80</v>
      </c>
      <c r="F171" s="63" t="s">
        <v>0</v>
      </c>
    </row>
    <row r="172" spans="1:6" x14ac:dyDescent="0.25">
      <c r="A172" s="62">
        <v>45399</v>
      </c>
      <c r="B172" s="62" t="s">
        <v>245</v>
      </c>
      <c r="C172" s="23">
        <v>-8520</v>
      </c>
      <c r="D172" s="24" t="s">
        <v>46</v>
      </c>
      <c r="E172" s="24" t="s">
        <v>63</v>
      </c>
      <c r="F172" s="63" t="s">
        <v>0</v>
      </c>
    </row>
    <row r="173" spans="1:6" x14ac:dyDescent="0.25">
      <c r="A173" s="62">
        <v>45398</v>
      </c>
      <c r="B173" s="62" t="s">
        <v>246</v>
      </c>
      <c r="C173" s="23">
        <v>-1448</v>
      </c>
      <c r="D173" s="24" t="s">
        <v>49</v>
      </c>
      <c r="E173" s="24" t="s">
        <v>56</v>
      </c>
      <c r="F173" s="63" t="s">
        <v>0</v>
      </c>
    </row>
    <row r="174" spans="1:6" x14ac:dyDescent="0.25">
      <c r="A174" s="62">
        <v>45398</v>
      </c>
      <c r="B174" s="62" t="s">
        <v>247</v>
      </c>
      <c r="C174" s="23">
        <v>-2468</v>
      </c>
      <c r="D174" s="24" t="s">
        <v>49</v>
      </c>
      <c r="E174" s="24" t="s">
        <v>56</v>
      </c>
      <c r="F174" s="63" t="s">
        <v>0</v>
      </c>
    </row>
    <row r="175" spans="1:6" x14ac:dyDescent="0.25">
      <c r="A175" s="62">
        <v>45398</v>
      </c>
      <c r="B175" s="62" t="s">
        <v>248</v>
      </c>
      <c r="C175" s="23">
        <v>-28161</v>
      </c>
      <c r="D175" s="24" t="s">
        <v>72</v>
      </c>
      <c r="E175" s="24" t="s">
        <v>109</v>
      </c>
      <c r="F175" s="63" t="s">
        <v>0</v>
      </c>
    </row>
    <row r="176" spans="1:6" x14ac:dyDescent="0.25">
      <c r="A176" s="62">
        <v>45398</v>
      </c>
      <c r="B176" s="62" t="s">
        <v>249</v>
      </c>
      <c r="C176" s="23">
        <v>-999</v>
      </c>
      <c r="D176" s="24" t="s">
        <v>49</v>
      </c>
      <c r="E176" s="24" t="s">
        <v>56</v>
      </c>
      <c r="F176" s="63" t="s">
        <v>0</v>
      </c>
    </row>
    <row r="177" spans="1:6" x14ac:dyDescent="0.25">
      <c r="A177" s="62">
        <v>45397</v>
      </c>
      <c r="B177" s="62" t="s">
        <v>250</v>
      </c>
      <c r="C177" s="23">
        <v>-565</v>
      </c>
      <c r="D177" s="24" t="s">
        <v>49</v>
      </c>
      <c r="E177" s="24" t="s">
        <v>56</v>
      </c>
      <c r="F177" s="63" t="s">
        <v>0</v>
      </c>
    </row>
    <row r="178" spans="1:6" x14ac:dyDescent="0.25">
      <c r="A178" s="62">
        <v>45397</v>
      </c>
      <c r="B178" s="62" t="s">
        <v>251</v>
      </c>
      <c r="C178" s="23">
        <v>-798</v>
      </c>
      <c r="D178" s="24" t="s">
        <v>49</v>
      </c>
      <c r="E178" s="24" t="s">
        <v>56</v>
      </c>
      <c r="F178" s="63" t="s">
        <v>0</v>
      </c>
    </row>
    <row r="179" spans="1:6" x14ac:dyDescent="0.25">
      <c r="A179" s="62">
        <v>45397</v>
      </c>
      <c r="B179" s="62" t="s">
        <v>252</v>
      </c>
      <c r="C179" s="23">
        <v>-899</v>
      </c>
      <c r="D179" s="24" t="s">
        <v>49</v>
      </c>
      <c r="E179" s="24" t="s">
        <v>56</v>
      </c>
      <c r="F179" s="63" t="s">
        <v>0</v>
      </c>
    </row>
    <row r="180" spans="1:6" x14ac:dyDescent="0.25">
      <c r="A180" s="62">
        <v>45397</v>
      </c>
      <c r="B180" s="62" t="s">
        <v>253</v>
      </c>
      <c r="C180" s="23">
        <v>-920</v>
      </c>
      <c r="D180" s="24" t="s">
        <v>49</v>
      </c>
      <c r="E180" s="24" t="s">
        <v>56</v>
      </c>
      <c r="F180" s="63" t="s">
        <v>0</v>
      </c>
    </row>
    <row r="181" spans="1:6" x14ac:dyDescent="0.25">
      <c r="A181" s="62">
        <v>45397</v>
      </c>
      <c r="B181" s="62" t="s">
        <v>254</v>
      </c>
      <c r="C181" s="23">
        <v>-1628</v>
      </c>
      <c r="D181" s="24" t="s">
        <v>49</v>
      </c>
      <c r="E181" s="24" t="s">
        <v>56</v>
      </c>
      <c r="F181" s="63" t="s">
        <v>0</v>
      </c>
    </row>
    <row r="182" spans="1:6" x14ac:dyDescent="0.25">
      <c r="A182" s="62">
        <v>45397</v>
      </c>
      <c r="B182" s="62" t="s">
        <v>255</v>
      </c>
      <c r="C182" s="23">
        <v>-1723</v>
      </c>
      <c r="D182" s="24" t="s">
        <v>49</v>
      </c>
      <c r="E182" s="24" t="s">
        <v>56</v>
      </c>
      <c r="F182" s="63" t="s">
        <v>0</v>
      </c>
    </row>
    <row r="183" spans="1:6" x14ac:dyDescent="0.25">
      <c r="A183" s="62">
        <v>45397</v>
      </c>
      <c r="B183" s="62" t="s">
        <v>256</v>
      </c>
      <c r="C183" s="23">
        <v>-1783</v>
      </c>
      <c r="D183" s="24" t="s">
        <v>90</v>
      </c>
      <c r="E183" s="24" t="s">
        <v>59</v>
      </c>
      <c r="F183" s="63" t="s">
        <v>0</v>
      </c>
    </row>
    <row r="184" spans="1:6" x14ac:dyDescent="0.25">
      <c r="A184" s="62">
        <v>45397</v>
      </c>
      <c r="B184" s="62" t="s">
        <v>257</v>
      </c>
      <c r="C184" s="23">
        <v>-2059</v>
      </c>
      <c r="D184" s="24" t="s">
        <v>49</v>
      </c>
      <c r="E184" s="24" t="s">
        <v>56</v>
      </c>
      <c r="F184" s="63" t="s">
        <v>0</v>
      </c>
    </row>
    <row r="185" spans="1:6" x14ac:dyDescent="0.25">
      <c r="A185" s="62">
        <v>45397</v>
      </c>
      <c r="B185" s="62" t="s">
        <v>258</v>
      </c>
      <c r="C185" s="23">
        <v>-2200</v>
      </c>
      <c r="D185" s="24" t="s">
        <v>52</v>
      </c>
      <c r="E185" s="24" t="s">
        <v>53</v>
      </c>
      <c r="F185" s="63" t="s">
        <v>0</v>
      </c>
    </row>
    <row r="186" spans="1:6" x14ac:dyDescent="0.25">
      <c r="A186" s="62">
        <v>45397</v>
      </c>
      <c r="B186" s="62" t="s">
        <v>259</v>
      </c>
      <c r="C186" s="23">
        <v>-5996</v>
      </c>
      <c r="D186" s="24" t="s">
        <v>46</v>
      </c>
      <c r="E186" s="24" t="s">
        <v>61</v>
      </c>
      <c r="F186" s="63" t="s">
        <v>0</v>
      </c>
    </row>
    <row r="187" spans="1:6" x14ac:dyDescent="0.25">
      <c r="A187" s="62">
        <v>45397</v>
      </c>
      <c r="B187" s="62" t="s">
        <v>260</v>
      </c>
      <c r="C187" s="23">
        <v>-7117</v>
      </c>
      <c r="D187" s="24" t="s">
        <v>49</v>
      </c>
      <c r="E187" s="24" t="s">
        <v>56</v>
      </c>
      <c r="F187" s="63" t="s">
        <v>0</v>
      </c>
    </row>
    <row r="188" spans="1:6" x14ac:dyDescent="0.25">
      <c r="A188" s="62">
        <v>45397</v>
      </c>
      <c r="B188" s="62" t="s">
        <v>261</v>
      </c>
      <c r="C188" s="23">
        <v>-8108</v>
      </c>
      <c r="D188" s="24" t="s">
        <v>90</v>
      </c>
      <c r="E188" s="24" t="s">
        <v>59</v>
      </c>
      <c r="F188" s="63" t="s">
        <v>0</v>
      </c>
    </row>
    <row r="189" spans="1:6" x14ac:dyDescent="0.25">
      <c r="A189" s="62">
        <v>45397</v>
      </c>
      <c r="B189" s="62" t="s">
        <v>262</v>
      </c>
      <c r="C189" s="23">
        <v>-15525</v>
      </c>
      <c r="D189" s="24" t="s">
        <v>49</v>
      </c>
      <c r="E189" s="24" t="s">
        <v>56</v>
      </c>
      <c r="F189" s="63" t="s">
        <v>0</v>
      </c>
    </row>
    <row r="190" spans="1:6" x14ac:dyDescent="0.25">
      <c r="A190" s="62">
        <v>45397</v>
      </c>
      <c r="B190" s="62" t="s">
        <v>263</v>
      </c>
      <c r="C190" s="23">
        <v>-18097</v>
      </c>
      <c r="D190" s="24" t="s">
        <v>49</v>
      </c>
      <c r="E190" s="24" t="s">
        <v>56</v>
      </c>
      <c r="F190" s="63" t="s">
        <v>0</v>
      </c>
    </row>
    <row r="191" spans="1:6" x14ac:dyDescent="0.25">
      <c r="A191" s="62">
        <v>45397</v>
      </c>
      <c r="B191" s="62" t="s">
        <v>264</v>
      </c>
      <c r="C191" s="23">
        <v>-40845</v>
      </c>
      <c r="D191" s="24" t="s">
        <v>72</v>
      </c>
      <c r="E191" s="24" t="s">
        <v>109</v>
      </c>
      <c r="F191" s="63" t="s">
        <v>0</v>
      </c>
    </row>
    <row r="192" spans="1:6" x14ac:dyDescent="0.25">
      <c r="A192" s="62">
        <v>45397</v>
      </c>
      <c r="B192" s="62" t="s">
        <v>265</v>
      </c>
      <c r="C192" s="23">
        <v>-30360</v>
      </c>
      <c r="D192" s="24" t="s">
        <v>72</v>
      </c>
      <c r="E192" s="24" t="s">
        <v>266</v>
      </c>
      <c r="F192" s="63" t="s">
        <v>0</v>
      </c>
    </row>
    <row r="193" spans="1:6" x14ac:dyDescent="0.25">
      <c r="A193" s="62">
        <v>45395</v>
      </c>
      <c r="B193" s="62" t="s">
        <v>112</v>
      </c>
      <c r="C193" s="23">
        <v>-3090</v>
      </c>
      <c r="D193" s="24" t="s">
        <v>49</v>
      </c>
      <c r="E193" s="24" t="s">
        <v>56</v>
      </c>
      <c r="F193" s="63" t="s">
        <v>0</v>
      </c>
    </row>
    <row r="194" spans="1:6" x14ac:dyDescent="0.25">
      <c r="A194" s="62">
        <v>45394</v>
      </c>
      <c r="B194" s="62" t="s">
        <v>267</v>
      </c>
      <c r="C194" s="23">
        <v>-1980</v>
      </c>
      <c r="D194" s="24" t="s">
        <v>52</v>
      </c>
      <c r="E194" s="24" t="s">
        <v>134</v>
      </c>
      <c r="F194" s="63" t="s">
        <v>0</v>
      </c>
    </row>
    <row r="195" spans="1:6" x14ac:dyDescent="0.25">
      <c r="A195" s="62">
        <v>45394</v>
      </c>
      <c r="B195" s="62" t="s">
        <v>268</v>
      </c>
      <c r="C195" s="23">
        <v>-2700</v>
      </c>
      <c r="D195" s="24" t="s">
        <v>52</v>
      </c>
      <c r="E195" s="24" t="s">
        <v>53</v>
      </c>
      <c r="F195" s="63" t="s">
        <v>0</v>
      </c>
    </row>
    <row r="196" spans="1:6" x14ac:dyDescent="0.25">
      <c r="A196" s="62">
        <v>45393</v>
      </c>
      <c r="B196" s="62" t="s">
        <v>269</v>
      </c>
      <c r="C196" s="23">
        <v>-1710</v>
      </c>
      <c r="D196" s="24" t="s">
        <v>52</v>
      </c>
      <c r="E196" s="24" t="s">
        <v>134</v>
      </c>
      <c r="F196" s="63" t="s">
        <v>0</v>
      </c>
    </row>
    <row r="197" spans="1:6" x14ac:dyDescent="0.25">
      <c r="A197" s="62">
        <v>45393</v>
      </c>
      <c r="B197" s="62" t="s">
        <v>270</v>
      </c>
      <c r="C197" s="23">
        <v>-2310</v>
      </c>
      <c r="D197" s="24" t="s">
        <v>49</v>
      </c>
      <c r="E197" s="24" t="s">
        <v>56</v>
      </c>
      <c r="F197" s="63" t="s">
        <v>0</v>
      </c>
    </row>
    <row r="198" spans="1:6" x14ac:dyDescent="0.25">
      <c r="A198" s="62">
        <v>45393</v>
      </c>
      <c r="B198" s="62" t="s">
        <v>271</v>
      </c>
      <c r="C198" s="23">
        <v>-10000</v>
      </c>
      <c r="D198" s="24" t="s">
        <v>90</v>
      </c>
      <c r="E198" s="24" t="s">
        <v>91</v>
      </c>
      <c r="F198" s="63" t="s">
        <v>0</v>
      </c>
    </row>
    <row r="199" spans="1:6" x14ac:dyDescent="0.25">
      <c r="A199" s="62">
        <v>45392</v>
      </c>
      <c r="B199" s="62" t="s">
        <v>272</v>
      </c>
      <c r="C199" s="23">
        <v>-2555</v>
      </c>
      <c r="D199" s="24" t="s">
        <v>49</v>
      </c>
      <c r="E199" s="24" t="s">
        <v>56</v>
      </c>
      <c r="F199" s="63" t="s">
        <v>0</v>
      </c>
    </row>
    <row r="200" spans="1:6" x14ac:dyDescent="0.25">
      <c r="A200" s="62">
        <v>45392</v>
      </c>
      <c r="B200" s="62" t="s">
        <v>273</v>
      </c>
      <c r="C200" s="23">
        <v>-18580</v>
      </c>
      <c r="D200" s="24" t="s">
        <v>46</v>
      </c>
      <c r="E200" s="24" t="s">
        <v>61</v>
      </c>
      <c r="F200" s="63" t="s">
        <v>0</v>
      </c>
    </row>
    <row r="201" spans="1:6" x14ac:dyDescent="0.25">
      <c r="A201" s="62">
        <v>45392</v>
      </c>
      <c r="B201" s="62" t="s">
        <v>274</v>
      </c>
      <c r="C201" s="23">
        <v>-42004.959999999999</v>
      </c>
      <c r="D201" s="24" t="s">
        <v>46</v>
      </c>
      <c r="E201" s="24" t="s">
        <v>10</v>
      </c>
      <c r="F201" s="63" t="s">
        <v>0</v>
      </c>
    </row>
    <row r="202" spans="1:6" x14ac:dyDescent="0.25">
      <c r="A202" s="62">
        <v>45392</v>
      </c>
      <c r="B202" s="62" t="s">
        <v>275</v>
      </c>
      <c r="C202" s="23">
        <v>219799.83</v>
      </c>
      <c r="D202" s="24" t="s">
        <v>46</v>
      </c>
      <c r="E202" s="24" t="s">
        <v>10</v>
      </c>
      <c r="F202" s="63" t="s">
        <v>10</v>
      </c>
    </row>
    <row r="203" spans="1:6" x14ac:dyDescent="0.25">
      <c r="A203" s="62">
        <v>45392</v>
      </c>
      <c r="B203" s="62" t="s">
        <v>275</v>
      </c>
      <c r="C203" s="23">
        <v>-219799.83</v>
      </c>
      <c r="D203" s="24" t="s">
        <v>46</v>
      </c>
      <c r="E203" s="24" t="s">
        <v>10</v>
      </c>
      <c r="F203" s="63" t="s">
        <v>0</v>
      </c>
    </row>
    <row r="204" spans="1:6" x14ac:dyDescent="0.25">
      <c r="A204" s="62">
        <v>45392</v>
      </c>
      <c r="B204" s="62" t="s">
        <v>276</v>
      </c>
      <c r="C204" s="23">
        <v>-792</v>
      </c>
      <c r="D204" s="24" t="s">
        <v>72</v>
      </c>
      <c r="E204" s="24" t="s">
        <v>73</v>
      </c>
      <c r="F204" s="63" t="s">
        <v>0</v>
      </c>
    </row>
    <row r="205" spans="1:6" x14ac:dyDescent="0.25">
      <c r="A205" s="62">
        <v>45392</v>
      </c>
      <c r="B205" s="62" t="s">
        <v>233</v>
      </c>
      <c r="C205" s="23">
        <v>1081812</v>
      </c>
      <c r="D205" s="24" t="s">
        <v>58</v>
      </c>
      <c r="E205" s="24" t="s">
        <v>58</v>
      </c>
      <c r="F205" s="63" t="s">
        <v>0</v>
      </c>
    </row>
    <row r="206" spans="1:6" x14ac:dyDescent="0.25">
      <c r="A206" s="62">
        <v>45391</v>
      </c>
      <c r="B206" s="62" t="s">
        <v>277</v>
      </c>
      <c r="C206" s="23">
        <v>-1810</v>
      </c>
      <c r="D206" s="24" t="s">
        <v>49</v>
      </c>
      <c r="E206" s="24" t="s">
        <v>56</v>
      </c>
      <c r="F206" s="63" t="s">
        <v>0</v>
      </c>
    </row>
    <row r="207" spans="1:6" x14ac:dyDescent="0.25">
      <c r="A207" s="62">
        <v>45391</v>
      </c>
      <c r="B207" s="62" t="s">
        <v>278</v>
      </c>
      <c r="C207" s="23">
        <v>-27182</v>
      </c>
      <c r="D207" s="24" t="s">
        <v>46</v>
      </c>
      <c r="E207" s="24" t="s">
        <v>61</v>
      </c>
      <c r="F207" s="63" t="s">
        <v>0</v>
      </c>
    </row>
    <row r="208" spans="1:6" x14ac:dyDescent="0.25">
      <c r="A208" s="62">
        <v>45390</v>
      </c>
      <c r="B208" s="62" t="s">
        <v>279</v>
      </c>
      <c r="C208" s="23">
        <v>-798</v>
      </c>
      <c r="D208" s="24" t="s">
        <v>49</v>
      </c>
      <c r="E208" s="24" t="s">
        <v>56</v>
      </c>
      <c r="F208" s="63" t="s">
        <v>0</v>
      </c>
    </row>
    <row r="209" spans="1:6" x14ac:dyDescent="0.25">
      <c r="A209" s="62">
        <v>45390</v>
      </c>
      <c r="B209" s="62" t="s">
        <v>280</v>
      </c>
      <c r="C209" s="23">
        <v>-999</v>
      </c>
      <c r="D209" s="24" t="s">
        <v>49</v>
      </c>
      <c r="E209" s="24" t="s">
        <v>56</v>
      </c>
      <c r="F209" s="63" t="s">
        <v>0</v>
      </c>
    </row>
    <row r="210" spans="1:6" x14ac:dyDescent="0.25">
      <c r="A210" s="62">
        <v>45390</v>
      </c>
      <c r="B210" s="62" t="s">
        <v>281</v>
      </c>
      <c r="C210" s="23">
        <v>-1095</v>
      </c>
      <c r="D210" s="24" t="s">
        <v>49</v>
      </c>
      <c r="E210" s="24" t="s">
        <v>56</v>
      </c>
      <c r="F210" s="63" t="s">
        <v>0</v>
      </c>
    </row>
    <row r="211" spans="1:6" x14ac:dyDescent="0.25">
      <c r="A211" s="62">
        <v>45390</v>
      </c>
      <c r="B211" s="62" t="s">
        <v>282</v>
      </c>
      <c r="C211" s="23">
        <v>-1695</v>
      </c>
      <c r="D211" s="24" t="s">
        <v>49</v>
      </c>
      <c r="E211" s="24" t="s">
        <v>50</v>
      </c>
      <c r="F211" s="63" t="s">
        <v>0</v>
      </c>
    </row>
    <row r="212" spans="1:6" x14ac:dyDescent="0.25">
      <c r="A212" s="62">
        <v>45390</v>
      </c>
      <c r="B212" s="62" t="s">
        <v>283</v>
      </c>
      <c r="C212" s="23">
        <v>-2530</v>
      </c>
      <c r="D212" s="24" t="s">
        <v>49</v>
      </c>
      <c r="E212" s="24" t="s">
        <v>56</v>
      </c>
      <c r="F212" s="63" t="s">
        <v>0</v>
      </c>
    </row>
    <row r="213" spans="1:6" x14ac:dyDescent="0.25">
      <c r="A213" s="62">
        <v>45390</v>
      </c>
      <c r="B213" s="62" t="s">
        <v>284</v>
      </c>
      <c r="C213" s="23">
        <v>-3937</v>
      </c>
      <c r="D213" s="24" t="s">
        <v>49</v>
      </c>
      <c r="E213" s="24" t="s">
        <v>56</v>
      </c>
      <c r="F213" s="63" t="s">
        <v>0</v>
      </c>
    </row>
    <row r="214" spans="1:6" x14ac:dyDescent="0.25">
      <c r="A214" s="62">
        <v>45390</v>
      </c>
      <c r="B214" s="62" t="s">
        <v>285</v>
      </c>
      <c r="C214" s="23">
        <v>-14577</v>
      </c>
      <c r="D214" s="24" t="s">
        <v>49</v>
      </c>
      <c r="E214" s="24" t="s">
        <v>56</v>
      </c>
      <c r="F214" s="63" t="s">
        <v>0</v>
      </c>
    </row>
    <row r="215" spans="1:6" x14ac:dyDescent="0.25">
      <c r="A215" s="62">
        <v>45390</v>
      </c>
      <c r="B215" s="62" t="s">
        <v>286</v>
      </c>
      <c r="C215" s="23">
        <v>-22498</v>
      </c>
      <c r="D215" s="24" t="s">
        <v>46</v>
      </c>
      <c r="E215" s="24" t="s">
        <v>61</v>
      </c>
      <c r="F215" s="63" t="s">
        <v>0</v>
      </c>
    </row>
    <row r="216" spans="1:6" x14ac:dyDescent="0.25">
      <c r="A216" s="62">
        <v>45390</v>
      </c>
      <c r="B216" s="62" t="s">
        <v>287</v>
      </c>
      <c r="C216" s="23">
        <v>-24099</v>
      </c>
      <c r="D216" s="24" t="s">
        <v>49</v>
      </c>
      <c r="E216" s="24" t="s">
        <v>50</v>
      </c>
      <c r="F216" s="63" t="s">
        <v>0</v>
      </c>
    </row>
    <row r="217" spans="1:6" x14ac:dyDescent="0.25">
      <c r="A217" s="62">
        <v>45390</v>
      </c>
      <c r="B217" s="62" t="s">
        <v>288</v>
      </c>
      <c r="C217" s="23">
        <v>-31980</v>
      </c>
      <c r="D217" s="24" t="s">
        <v>49</v>
      </c>
      <c r="E217" s="24" t="s">
        <v>50</v>
      </c>
      <c r="F217" s="63" t="s">
        <v>0</v>
      </c>
    </row>
    <row r="218" spans="1:6" x14ac:dyDescent="0.25">
      <c r="A218" s="62">
        <v>45387</v>
      </c>
      <c r="B218" s="62" t="s">
        <v>171</v>
      </c>
      <c r="C218" s="23">
        <v>1914</v>
      </c>
      <c r="D218" s="24" t="s">
        <v>167</v>
      </c>
      <c r="E218" s="24" t="s">
        <v>168</v>
      </c>
      <c r="F218" s="63" t="s">
        <v>0</v>
      </c>
    </row>
    <row r="219" spans="1:6" x14ac:dyDescent="0.25">
      <c r="A219" s="62">
        <v>45387</v>
      </c>
      <c r="B219" s="62" t="s">
        <v>289</v>
      </c>
      <c r="C219" s="23">
        <v>-565</v>
      </c>
      <c r="D219" s="24" t="s">
        <v>49</v>
      </c>
      <c r="E219" s="24" t="s">
        <v>56</v>
      </c>
      <c r="F219" s="63" t="s">
        <v>0</v>
      </c>
    </row>
    <row r="220" spans="1:6" x14ac:dyDescent="0.25">
      <c r="A220" s="62">
        <v>45387</v>
      </c>
      <c r="B220" s="62" t="s">
        <v>290</v>
      </c>
      <c r="C220" s="23">
        <v>-1498</v>
      </c>
      <c r="D220" s="24" t="s">
        <v>49</v>
      </c>
      <c r="E220" s="24" t="s">
        <v>56</v>
      </c>
      <c r="F220" s="63" t="s">
        <v>0</v>
      </c>
    </row>
    <row r="221" spans="1:6" x14ac:dyDescent="0.25">
      <c r="A221" s="62">
        <v>45387</v>
      </c>
      <c r="B221" s="62" t="s">
        <v>291</v>
      </c>
      <c r="C221" s="23">
        <v>-1920</v>
      </c>
      <c r="D221" s="24" t="s">
        <v>49</v>
      </c>
      <c r="E221" s="24" t="s">
        <v>56</v>
      </c>
      <c r="F221" s="63" t="s">
        <v>0</v>
      </c>
    </row>
    <row r="222" spans="1:6" x14ac:dyDescent="0.25">
      <c r="A222" s="62">
        <v>45386</v>
      </c>
      <c r="B222" s="62" t="s">
        <v>292</v>
      </c>
      <c r="C222" s="23">
        <v>-1399</v>
      </c>
      <c r="D222" s="24" t="s">
        <v>49</v>
      </c>
      <c r="E222" s="24" t="s">
        <v>56</v>
      </c>
      <c r="F222" s="63" t="s">
        <v>0</v>
      </c>
    </row>
    <row r="223" spans="1:6" x14ac:dyDescent="0.25">
      <c r="A223" s="62">
        <v>45386</v>
      </c>
      <c r="B223" s="62" t="s">
        <v>293</v>
      </c>
      <c r="C223" s="23">
        <v>-1990</v>
      </c>
      <c r="D223" s="24" t="s">
        <v>46</v>
      </c>
      <c r="E223" s="24" t="s">
        <v>63</v>
      </c>
      <c r="F223" s="63" t="s">
        <v>0</v>
      </c>
    </row>
    <row r="224" spans="1:6" x14ac:dyDescent="0.25">
      <c r="A224" s="62">
        <v>45386</v>
      </c>
      <c r="B224" s="62" t="s">
        <v>294</v>
      </c>
      <c r="C224" s="23">
        <v>-2700</v>
      </c>
      <c r="D224" s="24" t="s">
        <v>52</v>
      </c>
      <c r="E224" s="24" t="s">
        <v>53</v>
      </c>
      <c r="F224" s="63" t="s">
        <v>0</v>
      </c>
    </row>
    <row r="225" spans="1:6" x14ac:dyDescent="0.25">
      <c r="A225" s="62">
        <v>45386</v>
      </c>
      <c r="B225" s="62" t="s">
        <v>295</v>
      </c>
      <c r="C225" s="23">
        <v>-3707</v>
      </c>
      <c r="D225" s="24" t="s">
        <v>49</v>
      </c>
      <c r="E225" s="24" t="s">
        <v>56</v>
      </c>
      <c r="F225" s="63" t="s">
        <v>0</v>
      </c>
    </row>
    <row r="226" spans="1:6" x14ac:dyDescent="0.25">
      <c r="A226" s="62">
        <v>45386</v>
      </c>
      <c r="B226" s="62" t="s">
        <v>296</v>
      </c>
      <c r="C226" s="23">
        <v>-9841</v>
      </c>
      <c r="D226" s="24" t="s">
        <v>49</v>
      </c>
      <c r="E226" s="24" t="s">
        <v>56</v>
      </c>
      <c r="F226" s="63" t="s">
        <v>0</v>
      </c>
    </row>
    <row r="227" spans="1:6" x14ac:dyDescent="0.25">
      <c r="A227" s="62">
        <v>45386</v>
      </c>
      <c r="B227" s="62" t="s">
        <v>297</v>
      </c>
      <c r="C227" s="23">
        <v>-16140</v>
      </c>
      <c r="D227" s="24" t="s">
        <v>46</v>
      </c>
      <c r="E227" s="24" t="s">
        <v>61</v>
      </c>
      <c r="F227" s="63" t="s">
        <v>0</v>
      </c>
    </row>
    <row r="228" spans="1:6" x14ac:dyDescent="0.25">
      <c r="A228" s="62">
        <v>45386</v>
      </c>
      <c r="B228" s="62" t="s">
        <v>298</v>
      </c>
      <c r="C228" s="23">
        <v>-20380</v>
      </c>
      <c r="D228" s="24" t="s">
        <v>49</v>
      </c>
      <c r="E228" s="24" t="s">
        <v>50</v>
      </c>
      <c r="F228" s="63" t="s">
        <v>0</v>
      </c>
    </row>
    <row r="229" spans="1:6" x14ac:dyDescent="0.25">
      <c r="A229" s="62">
        <v>45386</v>
      </c>
      <c r="B229" s="62" t="s">
        <v>299</v>
      </c>
      <c r="C229" s="23">
        <v>-28354</v>
      </c>
      <c r="D229" s="24" t="s">
        <v>72</v>
      </c>
      <c r="E229" s="24" t="s">
        <v>109</v>
      </c>
      <c r="F229" s="63" t="s">
        <v>0</v>
      </c>
    </row>
    <row r="230" spans="1:6" x14ac:dyDescent="0.25">
      <c r="A230" s="62">
        <v>45385</v>
      </c>
      <c r="B230" s="62" t="s">
        <v>172</v>
      </c>
      <c r="C230" s="23">
        <v>260490</v>
      </c>
      <c r="D230" s="24" t="s">
        <v>58</v>
      </c>
      <c r="E230" s="24" t="s">
        <v>58</v>
      </c>
      <c r="F230" s="63" t="s">
        <v>0</v>
      </c>
    </row>
    <row r="231" spans="1:6" x14ac:dyDescent="0.25">
      <c r="A231" s="62">
        <v>45385</v>
      </c>
      <c r="B231" s="62" t="s">
        <v>112</v>
      </c>
      <c r="C231" s="23">
        <v>-15990</v>
      </c>
      <c r="D231" s="24" t="s">
        <v>49</v>
      </c>
      <c r="E231" s="24" t="s">
        <v>56</v>
      </c>
      <c r="F231" s="63" t="s">
        <v>0</v>
      </c>
    </row>
    <row r="232" spans="1:6" x14ac:dyDescent="0.25">
      <c r="A232" s="62">
        <v>45385</v>
      </c>
      <c r="B232" s="62" t="s">
        <v>196</v>
      </c>
      <c r="C232" s="23">
        <v>-570</v>
      </c>
      <c r="D232" s="24" t="s">
        <v>72</v>
      </c>
      <c r="E232" s="24" t="s">
        <v>197</v>
      </c>
      <c r="F232" s="63" t="s">
        <v>0</v>
      </c>
    </row>
    <row r="233" spans="1:6" x14ac:dyDescent="0.25">
      <c r="A233" s="62">
        <v>45384</v>
      </c>
      <c r="B233" s="62" t="s">
        <v>300</v>
      </c>
      <c r="C233" s="23">
        <v>-1277</v>
      </c>
      <c r="D233" s="24" t="s">
        <v>49</v>
      </c>
      <c r="E233" s="24" t="s">
        <v>56</v>
      </c>
      <c r="F233" s="63" t="s">
        <v>0</v>
      </c>
    </row>
    <row r="234" spans="1:6" x14ac:dyDescent="0.25">
      <c r="A234" s="62">
        <v>45384</v>
      </c>
      <c r="B234" s="62" t="s">
        <v>301</v>
      </c>
      <c r="C234" s="23">
        <v>-1399</v>
      </c>
      <c r="D234" s="24" t="s">
        <v>49</v>
      </c>
      <c r="E234" s="24" t="s">
        <v>56</v>
      </c>
      <c r="F234" s="63" t="s">
        <v>0</v>
      </c>
    </row>
    <row r="235" spans="1:6" x14ac:dyDescent="0.25">
      <c r="A235" s="62">
        <v>45384</v>
      </c>
      <c r="B235" s="62" t="s">
        <v>302</v>
      </c>
      <c r="C235" s="23">
        <v>-1934</v>
      </c>
      <c r="D235" s="24" t="s">
        <v>49</v>
      </c>
      <c r="E235" s="24" t="s">
        <v>56</v>
      </c>
      <c r="F235" s="63" t="s">
        <v>0</v>
      </c>
    </row>
    <row r="236" spans="1:6" x14ac:dyDescent="0.25">
      <c r="A236" s="62">
        <v>45384</v>
      </c>
      <c r="B236" s="62" t="s">
        <v>303</v>
      </c>
      <c r="C236" s="23">
        <v>-2490</v>
      </c>
      <c r="D236" s="24" t="s">
        <v>52</v>
      </c>
      <c r="E236" s="24" t="s">
        <v>53</v>
      </c>
      <c r="F236" s="63" t="s">
        <v>0</v>
      </c>
    </row>
    <row r="237" spans="1:6" x14ac:dyDescent="0.25">
      <c r="A237" s="62">
        <v>45384</v>
      </c>
      <c r="B237" s="62" t="s">
        <v>304</v>
      </c>
      <c r="C237" s="23">
        <v>-3130</v>
      </c>
      <c r="D237" s="24" t="s">
        <v>49</v>
      </c>
      <c r="E237" s="24" t="s">
        <v>56</v>
      </c>
      <c r="F237" s="63" t="s">
        <v>0</v>
      </c>
    </row>
    <row r="238" spans="1:6" x14ac:dyDescent="0.25">
      <c r="A238" s="62">
        <v>45384</v>
      </c>
      <c r="B238" s="62" t="s">
        <v>305</v>
      </c>
      <c r="C238" s="23">
        <v>-3490</v>
      </c>
      <c r="D238" s="24" t="s">
        <v>90</v>
      </c>
      <c r="E238" s="24" t="s">
        <v>93</v>
      </c>
      <c r="F238" s="63" t="s">
        <v>0</v>
      </c>
    </row>
    <row r="239" spans="1:6" x14ac:dyDescent="0.25">
      <c r="A239" s="62">
        <v>45384</v>
      </c>
      <c r="B239" s="62" t="s">
        <v>306</v>
      </c>
      <c r="C239" s="23">
        <v>-8628</v>
      </c>
      <c r="D239" s="24" t="s">
        <v>49</v>
      </c>
      <c r="E239" s="24" t="s">
        <v>56</v>
      </c>
      <c r="F239" s="63" t="s">
        <v>0</v>
      </c>
    </row>
    <row r="240" spans="1:6" x14ac:dyDescent="0.25">
      <c r="A240" s="62">
        <v>45384</v>
      </c>
      <c r="B240" s="62" t="s">
        <v>307</v>
      </c>
      <c r="C240" s="23">
        <v>-11935</v>
      </c>
      <c r="D240" s="24" t="s">
        <v>49</v>
      </c>
      <c r="E240" s="24" t="s">
        <v>56</v>
      </c>
      <c r="F240" s="63" t="s">
        <v>0</v>
      </c>
    </row>
    <row r="241" spans="1:6" x14ac:dyDescent="0.25">
      <c r="A241" s="62">
        <v>45384</v>
      </c>
      <c r="B241" s="62" t="s">
        <v>308</v>
      </c>
      <c r="C241" s="23">
        <v>-13035</v>
      </c>
      <c r="D241" s="24" t="s">
        <v>49</v>
      </c>
      <c r="E241" s="24" t="s">
        <v>56</v>
      </c>
      <c r="F241" s="63" t="s">
        <v>0</v>
      </c>
    </row>
    <row r="242" spans="1:6" x14ac:dyDescent="0.25">
      <c r="A242" s="62">
        <v>45384</v>
      </c>
      <c r="B242" s="62" t="s">
        <v>309</v>
      </c>
      <c r="C242" s="23">
        <v>-2.76</v>
      </c>
      <c r="D242" s="24" t="s">
        <v>167</v>
      </c>
      <c r="E242" s="24" t="s">
        <v>32</v>
      </c>
      <c r="F242" s="63" t="s">
        <v>0</v>
      </c>
    </row>
    <row r="243" spans="1:6" x14ac:dyDescent="0.25">
      <c r="A243" s="62">
        <v>45384</v>
      </c>
      <c r="B243" s="62" t="s">
        <v>310</v>
      </c>
      <c r="C243" s="23">
        <v>-2.39</v>
      </c>
      <c r="D243" s="24" t="s">
        <v>167</v>
      </c>
      <c r="E243" s="24" t="s">
        <v>32</v>
      </c>
      <c r="F243" s="63" t="s">
        <v>0</v>
      </c>
    </row>
    <row r="244" spans="1:6" x14ac:dyDescent="0.25">
      <c r="A244" s="62">
        <v>45384</v>
      </c>
      <c r="B244" s="62" t="s">
        <v>196</v>
      </c>
      <c r="C244" s="23">
        <v>-570</v>
      </c>
      <c r="D244" s="24" t="s">
        <v>72</v>
      </c>
      <c r="E244" s="24" t="s">
        <v>197</v>
      </c>
      <c r="F244" s="63" t="s">
        <v>0</v>
      </c>
    </row>
    <row r="245" spans="1:6" x14ac:dyDescent="0.25">
      <c r="A245" s="62">
        <v>45384</v>
      </c>
      <c r="B245" s="62" t="s">
        <v>311</v>
      </c>
      <c r="C245" s="23">
        <v>-1800</v>
      </c>
      <c r="D245" s="24" t="s">
        <v>72</v>
      </c>
      <c r="E245" s="24" t="s">
        <v>197</v>
      </c>
      <c r="F245" s="63" t="s">
        <v>0</v>
      </c>
    </row>
    <row r="246" spans="1:6" x14ac:dyDescent="0.25">
      <c r="A246" s="62">
        <v>45384</v>
      </c>
      <c r="B246" s="62" t="s">
        <v>312</v>
      </c>
      <c r="C246" s="23">
        <v>-1290</v>
      </c>
      <c r="D246" s="24" t="s">
        <v>46</v>
      </c>
      <c r="E246" s="24" t="s">
        <v>63</v>
      </c>
      <c r="F246" s="63" t="s">
        <v>0</v>
      </c>
    </row>
    <row r="247" spans="1:6" x14ac:dyDescent="0.25">
      <c r="A247" s="62">
        <v>45384</v>
      </c>
      <c r="B247" s="62" t="s">
        <v>32</v>
      </c>
      <c r="C247" s="23">
        <v>18.420000000000002</v>
      </c>
      <c r="D247" s="24" t="s">
        <v>167</v>
      </c>
      <c r="E247" s="24" t="s">
        <v>32</v>
      </c>
      <c r="F247" s="63" t="s">
        <v>0</v>
      </c>
    </row>
    <row r="248" spans="1:6" x14ac:dyDescent="0.25">
      <c r="A248" s="62">
        <v>45382</v>
      </c>
      <c r="B248" s="62" t="s">
        <v>313</v>
      </c>
      <c r="C248" s="23">
        <v>19.46</v>
      </c>
      <c r="D248" s="24" t="s">
        <v>167</v>
      </c>
      <c r="E248" s="24" t="s">
        <v>168</v>
      </c>
      <c r="F248" s="63" t="s">
        <v>0</v>
      </c>
    </row>
    <row r="249" spans="1:6" x14ac:dyDescent="0.25">
      <c r="A249" s="62">
        <v>45382</v>
      </c>
      <c r="B249" s="62" t="s">
        <v>314</v>
      </c>
      <c r="C249" s="23">
        <v>-2.52</v>
      </c>
      <c r="D249" s="24" t="s">
        <v>167</v>
      </c>
      <c r="E249" s="24" t="s">
        <v>32</v>
      </c>
      <c r="F249" s="63" t="s">
        <v>0</v>
      </c>
    </row>
    <row r="250" spans="1:6" x14ac:dyDescent="0.25">
      <c r="A250" s="62">
        <v>45382</v>
      </c>
      <c r="B250" s="62" t="s">
        <v>315</v>
      </c>
      <c r="C250" s="23">
        <v>-2.92</v>
      </c>
      <c r="D250" s="24" t="s">
        <v>167</v>
      </c>
      <c r="E250" s="24" t="s">
        <v>168</v>
      </c>
      <c r="F250" s="63" t="s">
        <v>0</v>
      </c>
    </row>
    <row r="251" spans="1:6" x14ac:dyDescent="0.25">
      <c r="A251" s="62">
        <v>45382</v>
      </c>
      <c r="B251" s="62" t="s">
        <v>43</v>
      </c>
      <c r="C251" s="23">
        <v>-2222</v>
      </c>
      <c r="D251" s="24" t="s">
        <v>167</v>
      </c>
      <c r="E251" s="24" t="s">
        <v>168</v>
      </c>
      <c r="F251" s="63" t="s">
        <v>0</v>
      </c>
    </row>
    <row r="252" spans="1:6" x14ac:dyDescent="0.25">
      <c r="A252" s="62">
        <v>45379</v>
      </c>
      <c r="B252" s="62" t="s">
        <v>316</v>
      </c>
      <c r="C252" s="23">
        <v>-1580</v>
      </c>
      <c r="D252" s="24" t="s">
        <v>52</v>
      </c>
      <c r="E252" s="24" t="s">
        <v>134</v>
      </c>
      <c r="F252" s="63" t="s">
        <v>0</v>
      </c>
    </row>
    <row r="253" spans="1:6" x14ac:dyDescent="0.25">
      <c r="A253" s="62">
        <v>45379</v>
      </c>
      <c r="B253" s="62" t="s">
        <v>317</v>
      </c>
      <c r="C253" s="23">
        <v>-3000</v>
      </c>
      <c r="D253" s="24" t="s">
        <v>52</v>
      </c>
      <c r="E253" s="24" t="s">
        <v>53</v>
      </c>
      <c r="F253" s="63" t="s">
        <v>0</v>
      </c>
    </row>
    <row r="254" spans="1:6" x14ac:dyDescent="0.25">
      <c r="A254" s="62">
        <v>45379</v>
      </c>
      <c r="B254" s="62" t="s">
        <v>318</v>
      </c>
      <c r="C254" s="23">
        <v>-5799</v>
      </c>
      <c r="D254" s="24" t="s">
        <v>49</v>
      </c>
      <c r="E254" s="24" t="s">
        <v>56</v>
      </c>
      <c r="F254" s="63" t="s">
        <v>0</v>
      </c>
    </row>
    <row r="255" spans="1:6" x14ac:dyDescent="0.25">
      <c r="A255" s="62">
        <v>45379</v>
      </c>
      <c r="B255" s="62" t="s">
        <v>319</v>
      </c>
      <c r="C255" s="23">
        <v>-7288</v>
      </c>
      <c r="D255" s="24" t="s">
        <v>90</v>
      </c>
      <c r="E255" s="24" t="s">
        <v>106</v>
      </c>
      <c r="F255" s="63" t="s">
        <v>0</v>
      </c>
    </row>
    <row r="256" spans="1:6" x14ac:dyDescent="0.25">
      <c r="A256" s="62">
        <v>45379</v>
      </c>
      <c r="B256" s="62" t="s">
        <v>320</v>
      </c>
      <c r="C256" s="23">
        <v>-7479</v>
      </c>
      <c r="D256" s="24" t="s">
        <v>49</v>
      </c>
      <c r="E256" s="24" t="s">
        <v>50</v>
      </c>
      <c r="F256" s="63" t="s">
        <v>0</v>
      </c>
    </row>
    <row r="257" spans="1:6" x14ac:dyDescent="0.25">
      <c r="A257" s="62">
        <v>45379</v>
      </c>
      <c r="B257" s="62" t="s">
        <v>321</v>
      </c>
      <c r="C257" s="23">
        <v>-9480</v>
      </c>
      <c r="D257" s="24" t="s">
        <v>49</v>
      </c>
      <c r="E257" s="24" t="s">
        <v>213</v>
      </c>
      <c r="F257" s="63" t="s">
        <v>0</v>
      </c>
    </row>
    <row r="258" spans="1:6" x14ac:dyDescent="0.25">
      <c r="A258" s="62">
        <v>45379</v>
      </c>
      <c r="B258" s="62" t="s">
        <v>322</v>
      </c>
      <c r="C258" s="23">
        <v>-16962</v>
      </c>
      <c r="D258" s="24" t="s">
        <v>49</v>
      </c>
      <c r="E258" s="24" t="s">
        <v>56</v>
      </c>
      <c r="F258" s="63" t="s">
        <v>0</v>
      </c>
    </row>
    <row r="259" spans="1:6" x14ac:dyDescent="0.25">
      <c r="A259" s="62">
        <v>45379</v>
      </c>
      <c r="B259" s="62" t="s">
        <v>323</v>
      </c>
      <c r="C259" s="23">
        <v>-20725</v>
      </c>
      <c r="D259" s="24" t="s">
        <v>49</v>
      </c>
      <c r="E259" s="24" t="s">
        <v>56</v>
      </c>
      <c r="F259" s="63" t="s">
        <v>0</v>
      </c>
    </row>
    <row r="260" spans="1:6" x14ac:dyDescent="0.25">
      <c r="A260" s="62">
        <v>45378</v>
      </c>
      <c r="B260" s="62" t="s">
        <v>324</v>
      </c>
      <c r="C260" s="23">
        <v>-625</v>
      </c>
      <c r="D260" s="24" t="s">
        <v>49</v>
      </c>
      <c r="E260" s="24" t="s">
        <v>56</v>
      </c>
      <c r="F260" s="63" t="s">
        <v>0</v>
      </c>
    </row>
    <row r="261" spans="1:6" x14ac:dyDescent="0.25">
      <c r="A261" s="62">
        <v>45378</v>
      </c>
      <c r="B261" s="62" t="s">
        <v>112</v>
      </c>
      <c r="C261" s="23">
        <v>-2270</v>
      </c>
      <c r="D261" s="24" t="s">
        <v>49</v>
      </c>
      <c r="E261" s="24" t="s">
        <v>56</v>
      </c>
      <c r="F261" s="63" t="s">
        <v>0</v>
      </c>
    </row>
    <row r="262" spans="1:6" x14ac:dyDescent="0.25">
      <c r="A262" s="62">
        <v>45378</v>
      </c>
      <c r="B262" s="62" t="s">
        <v>325</v>
      </c>
      <c r="C262" s="23">
        <v>-144000</v>
      </c>
      <c r="D262" s="24" t="s">
        <v>206</v>
      </c>
      <c r="E262" s="24" t="s">
        <v>234</v>
      </c>
      <c r="F262" s="63" t="s">
        <v>0</v>
      </c>
    </row>
    <row r="263" spans="1:6" x14ac:dyDescent="0.25">
      <c r="A263" s="62">
        <v>45377</v>
      </c>
      <c r="B263" s="62" t="s">
        <v>326</v>
      </c>
      <c r="C263" s="23">
        <v>-10000</v>
      </c>
      <c r="D263" s="24" t="s">
        <v>90</v>
      </c>
      <c r="E263" s="24" t="s">
        <v>91</v>
      </c>
      <c r="F263" s="63" t="s">
        <v>0</v>
      </c>
    </row>
    <row r="264" spans="1:6" x14ac:dyDescent="0.25">
      <c r="A264" s="62">
        <v>45377</v>
      </c>
      <c r="B264" s="62" t="s">
        <v>327</v>
      </c>
      <c r="C264" s="23">
        <v>-13888</v>
      </c>
      <c r="D264" s="24" t="s">
        <v>46</v>
      </c>
      <c r="E264" s="24" t="s">
        <v>150</v>
      </c>
      <c r="F264" s="63" t="s">
        <v>0</v>
      </c>
    </row>
    <row r="265" spans="1:6" x14ac:dyDescent="0.25">
      <c r="A265" s="62">
        <v>45377</v>
      </c>
      <c r="B265" s="62" t="s">
        <v>328</v>
      </c>
      <c r="C265" s="23">
        <v>-7416</v>
      </c>
      <c r="D265" s="24" t="s">
        <v>46</v>
      </c>
      <c r="E265" s="24" t="s">
        <v>63</v>
      </c>
      <c r="F265" s="63" t="s">
        <v>0</v>
      </c>
    </row>
    <row r="266" spans="1:6" x14ac:dyDescent="0.25">
      <c r="A266" s="62">
        <v>45377</v>
      </c>
      <c r="B266" s="62" t="s">
        <v>329</v>
      </c>
      <c r="C266" s="23">
        <v>-6824</v>
      </c>
      <c r="D266" s="24" t="s">
        <v>46</v>
      </c>
      <c r="E266" s="24" t="s">
        <v>80</v>
      </c>
      <c r="F266" s="63" t="s">
        <v>0</v>
      </c>
    </row>
    <row r="267" spans="1:6" x14ac:dyDescent="0.25">
      <c r="A267" s="62">
        <v>45376</v>
      </c>
      <c r="B267" s="62" t="s">
        <v>330</v>
      </c>
      <c r="C267" s="23">
        <v>-778</v>
      </c>
      <c r="D267" s="24" t="s">
        <v>49</v>
      </c>
      <c r="E267" s="24" t="s">
        <v>56</v>
      </c>
      <c r="F267" s="63" t="s">
        <v>0</v>
      </c>
    </row>
    <row r="268" spans="1:6" x14ac:dyDescent="0.25">
      <c r="A268" s="62">
        <v>45376</v>
      </c>
      <c r="B268" s="62" t="s">
        <v>331</v>
      </c>
      <c r="C268" s="23">
        <v>-790</v>
      </c>
      <c r="D268" s="24" t="s">
        <v>49</v>
      </c>
      <c r="E268" s="24" t="s">
        <v>56</v>
      </c>
      <c r="F268" s="63" t="s">
        <v>0</v>
      </c>
    </row>
    <row r="269" spans="1:6" x14ac:dyDescent="0.25">
      <c r="A269" s="62">
        <v>45376</v>
      </c>
      <c r="B269" s="62" t="s">
        <v>332</v>
      </c>
      <c r="C269" s="23">
        <v>-920</v>
      </c>
      <c r="D269" s="24" t="s">
        <v>49</v>
      </c>
      <c r="E269" s="24" t="s">
        <v>56</v>
      </c>
      <c r="F269" s="63" t="s">
        <v>0</v>
      </c>
    </row>
    <row r="270" spans="1:6" x14ac:dyDescent="0.25">
      <c r="A270" s="62">
        <v>45376</v>
      </c>
      <c r="B270" s="62" t="s">
        <v>333</v>
      </c>
      <c r="C270" s="23">
        <v>-940</v>
      </c>
      <c r="D270" s="24" t="s">
        <v>49</v>
      </c>
      <c r="E270" s="24" t="s">
        <v>56</v>
      </c>
      <c r="F270" s="63" t="s">
        <v>0</v>
      </c>
    </row>
    <row r="271" spans="1:6" x14ac:dyDescent="0.25">
      <c r="A271" s="62">
        <v>45376</v>
      </c>
      <c r="B271" s="62" t="s">
        <v>334</v>
      </c>
      <c r="C271" s="23">
        <v>-1223</v>
      </c>
      <c r="D271" s="24" t="s">
        <v>49</v>
      </c>
      <c r="E271" s="24" t="s">
        <v>56</v>
      </c>
      <c r="F271" s="63" t="s">
        <v>0</v>
      </c>
    </row>
    <row r="272" spans="1:6" x14ac:dyDescent="0.25">
      <c r="A272" s="62">
        <v>45376</v>
      </c>
      <c r="B272" s="62" t="s">
        <v>335</v>
      </c>
      <c r="C272" s="23">
        <v>-1567</v>
      </c>
      <c r="D272" s="24" t="s">
        <v>49</v>
      </c>
      <c r="E272" s="24" t="s">
        <v>56</v>
      </c>
      <c r="F272" s="63" t="s">
        <v>0</v>
      </c>
    </row>
    <row r="273" spans="1:6" x14ac:dyDescent="0.25">
      <c r="A273" s="62">
        <v>45376</v>
      </c>
      <c r="B273" s="62" t="s">
        <v>336</v>
      </c>
      <c r="C273" s="23">
        <v>-1729</v>
      </c>
      <c r="D273" s="24" t="s">
        <v>49</v>
      </c>
      <c r="E273" s="24" t="s">
        <v>56</v>
      </c>
      <c r="F273" s="63" t="s">
        <v>0</v>
      </c>
    </row>
    <row r="274" spans="1:6" x14ac:dyDescent="0.25">
      <c r="A274" s="62">
        <v>45376</v>
      </c>
      <c r="B274" s="62" t="s">
        <v>337</v>
      </c>
      <c r="C274" s="23">
        <v>-1800</v>
      </c>
      <c r="D274" s="24" t="s">
        <v>72</v>
      </c>
      <c r="E274" s="24" t="s">
        <v>73</v>
      </c>
      <c r="F274" s="63" t="s">
        <v>0</v>
      </c>
    </row>
    <row r="275" spans="1:6" x14ac:dyDescent="0.25">
      <c r="A275" s="62">
        <v>45376</v>
      </c>
      <c r="B275" s="62" t="s">
        <v>338</v>
      </c>
      <c r="C275" s="23">
        <v>-1993</v>
      </c>
      <c r="D275" s="24" t="s">
        <v>49</v>
      </c>
      <c r="E275" s="24" t="s">
        <v>56</v>
      </c>
      <c r="F275" s="63" t="s">
        <v>0</v>
      </c>
    </row>
    <row r="276" spans="1:6" x14ac:dyDescent="0.25">
      <c r="A276" s="62">
        <v>45376</v>
      </c>
      <c r="B276" s="62" t="s">
        <v>339</v>
      </c>
      <c r="C276" s="23">
        <v>-2100</v>
      </c>
      <c r="D276" s="24" t="s">
        <v>49</v>
      </c>
      <c r="E276" s="24" t="s">
        <v>50</v>
      </c>
      <c r="F276" s="63" t="s">
        <v>0</v>
      </c>
    </row>
    <row r="277" spans="1:6" x14ac:dyDescent="0.25">
      <c r="A277" s="62">
        <v>45376</v>
      </c>
      <c r="B277" s="62" t="s">
        <v>340</v>
      </c>
      <c r="C277" s="23">
        <v>-2229</v>
      </c>
      <c r="D277" s="24" t="s">
        <v>49</v>
      </c>
      <c r="E277" s="24" t="s">
        <v>50</v>
      </c>
      <c r="F277" s="63" t="s">
        <v>0</v>
      </c>
    </row>
    <row r="278" spans="1:6" x14ac:dyDescent="0.25">
      <c r="A278" s="62">
        <v>45376</v>
      </c>
      <c r="B278" s="62" t="s">
        <v>341</v>
      </c>
      <c r="C278" s="23">
        <v>-8426</v>
      </c>
      <c r="D278" s="24" t="s">
        <v>52</v>
      </c>
      <c r="E278" s="24" t="s">
        <v>134</v>
      </c>
      <c r="F278" s="63" t="s">
        <v>0</v>
      </c>
    </row>
    <row r="279" spans="1:6" x14ac:dyDescent="0.25">
      <c r="A279" s="62">
        <v>45376</v>
      </c>
      <c r="B279" s="62" t="s">
        <v>342</v>
      </c>
      <c r="C279" s="23">
        <v>-8888</v>
      </c>
      <c r="D279" s="24" t="s">
        <v>46</v>
      </c>
      <c r="E279" s="24" t="s">
        <v>61</v>
      </c>
      <c r="F279" s="63" t="s">
        <v>0</v>
      </c>
    </row>
    <row r="280" spans="1:6" x14ac:dyDescent="0.25">
      <c r="A280" s="62">
        <v>45376</v>
      </c>
      <c r="B280" s="62" t="s">
        <v>343</v>
      </c>
      <c r="C280" s="23">
        <v>-10911</v>
      </c>
      <c r="D280" s="24" t="s">
        <v>49</v>
      </c>
      <c r="E280" s="24" t="s">
        <v>164</v>
      </c>
      <c r="F280" s="63" t="s">
        <v>0</v>
      </c>
    </row>
    <row r="281" spans="1:6" x14ac:dyDescent="0.25">
      <c r="A281" s="62">
        <v>45376</v>
      </c>
      <c r="B281" s="62" t="s">
        <v>344</v>
      </c>
      <c r="C281" s="23">
        <v>-16348</v>
      </c>
      <c r="D281" s="24" t="s">
        <v>49</v>
      </c>
      <c r="E281" s="24" t="s">
        <v>56</v>
      </c>
      <c r="F281" s="63" t="s">
        <v>0</v>
      </c>
    </row>
    <row r="282" spans="1:6" x14ac:dyDescent="0.25">
      <c r="A282" s="62">
        <v>45376</v>
      </c>
      <c r="B282" s="62" t="s">
        <v>345</v>
      </c>
      <c r="C282" s="23">
        <v>-24692</v>
      </c>
      <c r="D282" s="24" t="s">
        <v>90</v>
      </c>
      <c r="E282" s="24" t="s">
        <v>59</v>
      </c>
      <c r="F282" s="63" t="s">
        <v>0</v>
      </c>
    </row>
    <row r="283" spans="1:6" x14ac:dyDescent="0.25">
      <c r="A283" s="62">
        <v>45376</v>
      </c>
      <c r="B283" s="62" t="s">
        <v>346</v>
      </c>
      <c r="C283" s="23">
        <v>-56928</v>
      </c>
      <c r="D283" s="24" t="s">
        <v>46</v>
      </c>
      <c r="E283" s="24" t="s">
        <v>61</v>
      </c>
      <c r="F283" s="63" t="s">
        <v>0</v>
      </c>
    </row>
    <row r="284" spans="1:6" x14ac:dyDescent="0.25">
      <c r="A284" s="62">
        <v>45376</v>
      </c>
      <c r="B284" s="62" t="s">
        <v>347</v>
      </c>
      <c r="C284" s="23">
        <v>-999</v>
      </c>
      <c r="D284" s="24" t="s">
        <v>46</v>
      </c>
      <c r="E284" s="24" t="s">
        <v>63</v>
      </c>
      <c r="F284" s="63" t="s">
        <v>0</v>
      </c>
    </row>
    <row r="285" spans="1:6" x14ac:dyDescent="0.25">
      <c r="A285" s="62">
        <v>45376</v>
      </c>
      <c r="B285" s="62" t="s">
        <v>348</v>
      </c>
      <c r="C285" s="23">
        <v>-5848</v>
      </c>
      <c r="D285" s="24" t="s">
        <v>49</v>
      </c>
      <c r="E285" s="24" t="s">
        <v>56</v>
      </c>
      <c r="F285" s="63" t="s">
        <v>0</v>
      </c>
    </row>
    <row r="286" spans="1:6" x14ac:dyDescent="0.25">
      <c r="A286" s="62">
        <v>45373</v>
      </c>
      <c r="B286" s="62" t="s">
        <v>349</v>
      </c>
      <c r="C286" s="23">
        <v>-1280</v>
      </c>
      <c r="D286" s="24" t="s">
        <v>49</v>
      </c>
      <c r="E286" s="24" t="s">
        <v>56</v>
      </c>
      <c r="F286" s="63" t="s">
        <v>0</v>
      </c>
    </row>
    <row r="287" spans="1:6" x14ac:dyDescent="0.25">
      <c r="A287" s="62">
        <v>45373</v>
      </c>
      <c r="B287" s="62" t="s">
        <v>350</v>
      </c>
      <c r="C287" s="23">
        <v>-3896</v>
      </c>
      <c r="D287" s="24" t="s">
        <v>49</v>
      </c>
      <c r="E287" s="24" t="s">
        <v>56</v>
      </c>
      <c r="F287" s="63" t="s">
        <v>0</v>
      </c>
    </row>
    <row r="288" spans="1:6" x14ac:dyDescent="0.25">
      <c r="A288" s="62">
        <v>45372</v>
      </c>
      <c r="B288" s="62" t="s">
        <v>351</v>
      </c>
      <c r="C288" s="23">
        <v>-177</v>
      </c>
      <c r="D288" s="24" t="s">
        <v>49</v>
      </c>
      <c r="E288" s="24" t="s">
        <v>56</v>
      </c>
      <c r="F288" s="63" t="s">
        <v>0</v>
      </c>
    </row>
    <row r="289" spans="1:6" x14ac:dyDescent="0.25">
      <c r="A289" s="62">
        <v>45372</v>
      </c>
      <c r="B289" s="62" t="s">
        <v>352</v>
      </c>
      <c r="C289" s="23">
        <v>-1400</v>
      </c>
      <c r="D289" s="24" t="s">
        <v>46</v>
      </c>
      <c r="E289" s="24" t="s">
        <v>61</v>
      </c>
      <c r="F289" s="63" t="s">
        <v>0</v>
      </c>
    </row>
    <row r="290" spans="1:6" x14ac:dyDescent="0.25">
      <c r="A290" s="62">
        <v>45372</v>
      </c>
      <c r="B290" s="62" t="s">
        <v>353</v>
      </c>
      <c r="C290" s="23">
        <v>-2100</v>
      </c>
      <c r="D290" s="24" t="s">
        <v>46</v>
      </c>
      <c r="E290" s="24" t="s">
        <v>61</v>
      </c>
      <c r="F290" s="63" t="s">
        <v>0</v>
      </c>
    </row>
    <row r="291" spans="1:6" x14ac:dyDescent="0.25">
      <c r="A291" s="62">
        <v>45372</v>
      </c>
      <c r="B291" s="62" t="s">
        <v>354</v>
      </c>
      <c r="C291" s="23">
        <v>-6753</v>
      </c>
      <c r="D291" s="24" t="s">
        <v>49</v>
      </c>
      <c r="E291" s="24" t="s">
        <v>56</v>
      </c>
      <c r="F291" s="63" t="s">
        <v>0</v>
      </c>
    </row>
    <row r="292" spans="1:6" x14ac:dyDescent="0.25">
      <c r="A292" s="62">
        <v>45371</v>
      </c>
      <c r="B292" s="62" t="s">
        <v>355</v>
      </c>
      <c r="C292" s="23">
        <v>-618</v>
      </c>
      <c r="D292" s="24" t="s">
        <v>49</v>
      </c>
      <c r="E292" s="24" t="s">
        <v>56</v>
      </c>
      <c r="F292" s="63" t="s">
        <v>0</v>
      </c>
    </row>
    <row r="293" spans="1:6" x14ac:dyDescent="0.25">
      <c r="A293" s="62">
        <v>45371</v>
      </c>
      <c r="B293" s="62" t="s">
        <v>356</v>
      </c>
      <c r="C293" s="23">
        <v>-2798</v>
      </c>
      <c r="D293" s="24" t="s">
        <v>49</v>
      </c>
      <c r="E293" s="24" t="s">
        <v>56</v>
      </c>
      <c r="F293" s="63" t="s">
        <v>0</v>
      </c>
    </row>
    <row r="294" spans="1:6" x14ac:dyDescent="0.25">
      <c r="A294" s="62">
        <v>45371</v>
      </c>
      <c r="B294" s="62" t="s">
        <v>357</v>
      </c>
      <c r="C294" s="23">
        <v>-5994</v>
      </c>
      <c r="D294" s="24" t="s">
        <v>46</v>
      </c>
      <c r="E294" s="24" t="s">
        <v>61</v>
      </c>
      <c r="F294" s="63" t="s">
        <v>0</v>
      </c>
    </row>
    <row r="295" spans="1:6" x14ac:dyDescent="0.25">
      <c r="A295" s="62">
        <v>45371</v>
      </c>
      <c r="B295" s="62" t="s">
        <v>358</v>
      </c>
      <c r="C295" s="23">
        <v>-12266</v>
      </c>
      <c r="D295" s="24" t="s">
        <v>49</v>
      </c>
      <c r="E295" s="24" t="s">
        <v>56</v>
      </c>
      <c r="F295" s="63" t="s">
        <v>0</v>
      </c>
    </row>
    <row r="296" spans="1:6" x14ac:dyDescent="0.25">
      <c r="A296" s="62">
        <v>45371</v>
      </c>
      <c r="B296" s="62" t="s">
        <v>359</v>
      </c>
      <c r="C296" s="23">
        <v>-20128</v>
      </c>
      <c r="D296" s="24" t="s">
        <v>49</v>
      </c>
      <c r="E296" s="24" t="s">
        <v>56</v>
      </c>
      <c r="F296" s="63" t="s">
        <v>0</v>
      </c>
    </row>
    <row r="297" spans="1:6" x14ac:dyDescent="0.25">
      <c r="A297" s="62">
        <v>45371</v>
      </c>
      <c r="B297" s="62" t="s">
        <v>360</v>
      </c>
      <c r="C297" s="23">
        <v>-39600</v>
      </c>
      <c r="D297" s="24" t="s">
        <v>72</v>
      </c>
      <c r="E297" s="24" t="s">
        <v>109</v>
      </c>
      <c r="F297" s="63" t="s">
        <v>0</v>
      </c>
    </row>
    <row r="298" spans="1:6" x14ac:dyDescent="0.25">
      <c r="A298" s="62">
        <v>45370</v>
      </c>
      <c r="B298" s="62" t="s">
        <v>361</v>
      </c>
      <c r="C298" s="23">
        <v>-2140</v>
      </c>
      <c r="D298" s="24" t="s">
        <v>52</v>
      </c>
      <c r="E298" s="24" t="s">
        <v>52</v>
      </c>
      <c r="F298" s="63" t="s">
        <v>0</v>
      </c>
    </row>
    <row r="299" spans="1:6" x14ac:dyDescent="0.25">
      <c r="A299" s="62">
        <v>45370</v>
      </c>
      <c r="B299" s="62" t="s">
        <v>362</v>
      </c>
      <c r="C299" s="23">
        <v>-2750</v>
      </c>
      <c r="D299" s="24" t="s">
        <v>52</v>
      </c>
      <c r="E299" s="24" t="s">
        <v>52</v>
      </c>
      <c r="F299" s="63" t="s">
        <v>0</v>
      </c>
    </row>
    <row r="300" spans="1:6" x14ac:dyDescent="0.25">
      <c r="A300" s="62">
        <v>45370</v>
      </c>
      <c r="B300" s="62" t="s">
        <v>363</v>
      </c>
      <c r="C300" s="23">
        <v>-6500</v>
      </c>
      <c r="D300" s="24" t="s">
        <v>52</v>
      </c>
      <c r="E300" s="24" t="s">
        <v>52</v>
      </c>
      <c r="F300" s="63" t="s">
        <v>0</v>
      </c>
    </row>
    <row r="301" spans="1:6" x14ac:dyDescent="0.25">
      <c r="A301" s="62">
        <v>45370</v>
      </c>
      <c r="B301" s="62" t="s">
        <v>364</v>
      </c>
      <c r="C301" s="23">
        <v>-8517</v>
      </c>
      <c r="D301" s="24" t="s">
        <v>46</v>
      </c>
      <c r="E301" s="24" t="s">
        <v>145</v>
      </c>
      <c r="F301" s="63" t="s">
        <v>0</v>
      </c>
    </row>
    <row r="302" spans="1:6" x14ac:dyDescent="0.25">
      <c r="A302" s="62">
        <v>45369</v>
      </c>
      <c r="B302" s="62" t="s">
        <v>365</v>
      </c>
      <c r="C302" s="23">
        <v>-608</v>
      </c>
      <c r="D302" s="24" t="s">
        <v>49</v>
      </c>
      <c r="E302" s="24" t="s">
        <v>56</v>
      </c>
      <c r="F302" s="63" t="s">
        <v>0</v>
      </c>
    </row>
    <row r="303" spans="1:6" x14ac:dyDescent="0.25">
      <c r="A303" s="62">
        <v>45369</v>
      </c>
      <c r="B303" s="62" t="s">
        <v>366</v>
      </c>
      <c r="C303" s="23">
        <v>-850</v>
      </c>
      <c r="D303" s="24" t="s">
        <v>52</v>
      </c>
      <c r="E303" s="24" t="s">
        <v>53</v>
      </c>
      <c r="F303" s="63" t="s">
        <v>0</v>
      </c>
    </row>
    <row r="304" spans="1:6" x14ac:dyDescent="0.25">
      <c r="A304" s="62">
        <v>45369</v>
      </c>
      <c r="B304" s="62" t="s">
        <v>112</v>
      </c>
      <c r="C304" s="23">
        <v>-1110</v>
      </c>
      <c r="D304" s="24" t="s">
        <v>49</v>
      </c>
      <c r="E304" s="24" t="s">
        <v>56</v>
      </c>
      <c r="F304" s="63" t="s">
        <v>0</v>
      </c>
    </row>
    <row r="305" spans="1:6" x14ac:dyDescent="0.25">
      <c r="A305" s="62">
        <v>45369</v>
      </c>
      <c r="B305" s="62" t="s">
        <v>367</v>
      </c>
      <c r="C305" s="23">
        <v>-1420</v>
      </c>
      <c r="D305" s="24" t="s">
        <v>49</v>
      </c>
      <c r="E305" s="24" t="s">
        <v>56</v>
      </c>
      <c r="F305" s="63" t="s">
        <v>0</v>
      </c>
    </row>
    <row r="306" spans="1:6" x14ac:dyDescent="0.25">
      <c r="A306" s="62">
        <v>45369</v>
      </c>
      <c r="B306" s="62" t="s">
        <v>368</v>
      </c>
      <c r="C306" s="23">
        <v>-1575</v>
      </c>
      <c r="D306" s="24" t="s">
        <v>49</v>
      </c>
      <c r="E306" s="24" t="s">
        <v>56</v>
      </c>
      <c r="F306" s="63" t="s">
        <v>0</v>
      </c>
    </row>
    <row r="307" spans="1:6" x14ac:dyDescent="0.25">
      <c r="A307" s="62">
        <v>45369</v>
      </c>
      <c r="B307" s="62" t="s">
        <v>369</v>
      </c>
      <c r="C307" s="23">
        <v>-2195</v>
      </c>
      <c r="D307" s="24" t="s">
        <v>49</v>
      </c>
      <c r="E307" s="24" t="s">
        <v>56</v>
      </c>
      <c r="F307" s="63" t="s">
        <v>0</v>
      </c>
    </row>
    <row r="308" spans="1:6" x14ac:dyDescent="0.25">
      <c r="A308" s="62">
        <v>45369</v>
      </c>
      <c r="B308" s="62" t="s">
        <v>370</v>
      </c>
      <c r="C308" s="23">
        <v>-2280</v>
      </c>
      <c r="D308" s="24" t="s">
        <v>46</v>
      </c>
      <c r="E308" s="24" t="s">
        <v>61</v>
      </c>
      <c r="F308" s="63" t="s">
        <v>0</v>
      </c>
    </row>
    <row r="309" spans="1:6" x14ac:dyDescent="0.25">
      <c r="A309" s="62">
        <v>45369</v>
      </c>
      <c r="B309" s="62" t="s">
        <v>371</v>
      </c>
      <c r="C309" s="23">
        <v>-2700</v>
      </c>
      <c r="D309" s="24" t="s">
        <v>52</v>
      </c>
      <c r="E309" s="24" t="s">
        <v>53</v>
      </c>
      <c r="F309" s="63" t="s">
        <v>0</v>
      </c>
    </row>
    <row r="310" spans="1:6" x14ac:dyDescent="0.25">
      <c r="A310" s="62">
        <v>45369</v>
      </c>
      <c r="B310" s="62" t="s">
        <v>372</v>
      </c>
      <c r="C310" s="23">
        <v>-4073</v>
      </c>
      <c r="D310" s="24" t="s">
        <v>46</v>
      </c>
      <c r="E310" s="24" t="s">
        <v>61</v>
      </c>
      <c r="F310" s="63" t="s">
        <v>0</v>
      </c>
    </row>
    <row r="311" spans="1:6" x14ac:dyDescent="0.25">
      <c r="A311" s="62">
        <v>45369</v>
      </c>
      <c r="B311" s="62" t="s">
        <v>373</v>
      </c>
      <c r="C311" s="23">
        <v>-5999</v>
      </c>
      <c r="D311" s="24" t="s">
        <v>49</v>
      </c>
      <c r="E311" s="24" t="s">
        <v>56</v>
      </c>
      <c r="F311" s="63" t="s">
        <v>0</v>
      </c>
    </row>
    <row r="312" spans="1:6" x14ac:dyDescent="0.25">
      <c r="A312" s="62">
        <v>45369</v>
      </c>
      <c r="B312" s="62" t="s">
        <v>374</v>
      </c>
      <c r="C312" s="23">
        <v>-11428</v>
      </c>
      <c r="D312" s="24" t="s">
        <v>49</v>
      </c>
      <c r="E312" s="24" t="s">
        <v>56</v>
      </c>
      <c r="F312" s="63" t="s">
        <v>0</v>
      </c>
    </row>
    <row r="313" spans="1:6" x14ac:dyDescent="0.25">
      <c r="A313" s="62">
        <v>45369</v>
      </c>
      <c r="B313" s="62" t="s">
        <v>375</v>
      </c>
      <c r="C313" s="23">
        <v>-15271</v>
      </c>
      <c r="D313" s="24" t="s">
        <v>49</v>
      </c>
      <c r="E313" s="24" t="s">
        <v>56</v>
      </c>
      <c r="F313" s="63" t="s">
        <v>0</v>
      </c>
    </row>
    <row r="314" spans="1:6" x14ac:dyDescent="0.25">
      <c r="A314" s="62">
        <v>45369</v>
      </c>
      <c r="B314" s="62" t="s">
        <v>376</v>
      </c>
      <c r="C314" s="23">
        <v>-15986</v>
      </c>
      <c r="D314" s="24" t="s">
        <v>72</v>
      </c>
      <c r="E314" s="24" t="s">
        <v>109</v>
      </c>
      <c r="F314" s="63" t="s">
        <v>0</v>
      </c>
    </row>
    <row r="315" spans="1:6" x14ac:dyDescent="0.25">
      <c r="A315" s="62">
        <v>45369</v>
      </c>
      <c r="B315" s="62" t="s">
        <v>377</v>
      </c>
      <c r="C315" s="23">
        <v>-26381</v>
      </c>
      <c r="D315" s="24" t="s">
        <v>49</v>
      </c>
      <c r="E315" s="24" t="s">
        <v>56</v>
      </c>
      <c r="F315" s="63" t="s">
        <v>0</v>
      </c>
    </row>
    <row r="316" spans="1:6" x14ac:dyDescent="0.25">
      <c r="A316" s="62">
        <v>45369</v>
      </c>
      <c r="B316" s="62" t="s">
        <v>378</v>
      </c>
      <c r="C316" s="23">
        <v>-29970</v>
      </c>
      <c r="D316" s="24" t="s">
        <v>46</v>
      </c>
      <c r="E316" s="24" t="s">
        <v>61</v>
      </c>
      <c r="F316" s="63" t="s">
        <v>0</v>
      </c>
    </row>
    <row r="317" spans="1:6" x14ac:dyDescent="0.25">
      <c r="A317" s="62">
        <v>45369</v>
      </c>
      <c r="B317" s="62" t="s">
        <v>379</v>
      </c>
      <c r="C317" s="23">
        <v>-3090</v>
      </c>
      <c r="D317" s="24" t="s">
        <v>46</v>
      </c>
      <c r="E317" s="24" t="s">
        <v>63</v>
      </c>
      <c r="F317" s="63" t="s">
        <v>0</v>
      </c>
    </row>
    <row r="318" spans="1:6" x14ac:dyDescent="0.25">
      <c r="A318" s="62">
        <v>45369</v>
      </c>
      <c r="B318" s="62" t="s">
        <v>380</v>
      </c>
      <c r="C318" s="23">
        <v>-550</v>
      </c>
      <c r="D318" s="24" t="s">
        <v>52</v>
      </c>
      <c r="E318" s="24" t="s">
        <v>134</v>
      </c>
      <c r="F318" s="63" t="s">
        <v>0</v>
      </c>
    </row>
    <row r="319" spans="1:6" x14ac:dyDescent="0.25">
      <c r="A319" s="62">
        <v>45365</v>
      </c>
      <c r="B319" s="62" t="s">
        <v>381</v>
      </c>
      <c r="C319" s="23">
        <v>-1259</v>
      </c>
      <c r="D319" s="24" t="s">
        <v>49</v>
      </c>
      <c r="E319" s="24" t="s">
        <v>56</v>
      </c>
      <c r="F319" s="63" t="s">
        <v>0</v>
      </c>
    </row>
    <row r="320" spans="1:6" x14ac:dyDescent="0.25">
      <c r="A320" s="62">
        <v>45365</v>
      </c>
      <c r="B320" s="62" t="s">
        <v>382</v>
      </c>
      <c r="C320" s="23">
        <v>-1640</v>
      </c>
      <c r="D320" s="24" t="s">
        <v>52</v>
      </c>
      <c r="E320" s="24" t="s">
        <v>134</v>
      </c>
      <c r="F320" s="63" t="s">
        <v>0</v>
      </c>
    </row>
    <row r="321" spans="1:6" x14ac:dyDescent="0.25">
      <c r="A321" s="62">
        <v>45365</v>
      </c>
      <c r="B321" s="62" t="s">
        <v>112</v>
      </c>
      <c r="C321" s="23">
        <v>-6570</v>
      </c>
      <c r="D321" s="24" t="s">
        <v>49</v>
      </c>
      <c r="E321" s="24" t="s">
        <v>56</v>
      </c>
      <c r="F321" s="63" t="s">
        <v>0</v>
      </c>
    </row>
    <row r="322" spans="1:6" x14ac:dyDescent="0.25">
      <c r="A322" s="62">
        <v>45365</v>
      </c>
      <c r="B322" s="62" t="s">
        <v>383</v>
      </c>
      <c r="C322" s="23">
        <v>-10000</v>
      </c>
      <c r="D322" s="24" t="s">
        <v>90</v>
      </c>
      <c r="E322" s="24" t="s">
        <v>91</v>
      </c>
      <c r="F322" s="63" t="s">
        <v>0</v>
      </c>
    </row>
    <row r="323" spans="1:6" x14ac:dyDescent="0.25">
      <c r="A323" s="62">
        <v>45365</v>
      </c>
      <c r="B323" s="62" t="s">
        <v>384</v>
      </c>
      <c r="C323" s="23">
        <v>-249900</v>
      </c>
      <c r="D323" s="24" t="s">
        <v>46</v>
      </c>
      <c r="E323" s="24" t="s">
        <v>61</v>
      </c>
      <c r="F323" s="63" t="s">
        <v>0</v>
      </c>
    </row>
    <row r="324" spans="1:6" x14ac:dyDescent="0.25">
      <c r="A324" s="62">
        <v>45364</v>
      </c>
      <c r="B324" s="62" t="s">
        <v>385</v>
      </c>
      <c r="C324" s="23">
        <v>-22500</v>
      </c>
      <c r="D324" s="24" t="s">
        <v>46</v>
      </c>
      <c r="E324" s="24" t="s">
        <v>47</v>
      </c>
      <c r="F324" s="63" t="s">
        <v>0</v>
      </c>
    </row>
    <row r="325" spans="1:6" x14ac:dyDescent="0.25">
      <c r="A325" s="62">
        <v>45363</v>
      </c>
      <c r="B325" s="62" t="s">
        <v>386</v>
      </c>
      <c r="C325" s="23">
        <v>-6323</v>
      </c>
      <c r="D325" s="24" t="s">
        <v>49</v>
      </c>
      <c r="E325" s="24" t="s">
        <v>56</v>
      </c>
      <c r="F325" s="63" t="s">
        <v>0</v>
      </c>
    </row>
    <row r="326" spans="1:6" x14ac:dyDescent="0.25">
      <c r="A326" s="62">
        <v>45362</v>
      </c>
      <c r="B326" s="62" t="s">
        <v>112</v>
      </c>
      <c r="C326" s="23">
        <v>-1160</v>
      </c>
      <c r="D326" s="24" t="s">
        <v>49</v>
      </c>
      <c r="E326" s="24" t="s">
        <v>56</v>
      </c>
      <c r="F326" s="63" t="s">
        <v>0</v>
      </c>
    </row>
    <row r="327" spans="1:6" x14ac:dyDescent="0.25">
      <c r="A327" s="62">
        <v>45362</v>
      </c>
      <c r="B327" s="62" t="s">
        <v>387</v>
      </c>
      <c r="C327" s="23">
        <v>-1930</v>
      </c>
      <c r="D327" s="24" t="s">
        <v>49</v>
      </c>
      <c r="E327" s="24" t="s">
        <v>56</v>
      </c>
      <c r="F327" s="63" t="s">
        <v>0</v>
      </c>
    </row>
    <row r="328" spans="1:6" x14ac:dyDescent="0.25">
      <c r="A328" s="62">
        <v>45362</v>
      </c>
      <c r="B328" s="62" t="s">
        <v>388</v>
      </c>
      <c r="C328" s="23">
        <v>-2299</v>
      </c>
      <c r="D328" s="24" t="s">
        <v>49</v>
      </c>
      <c r="E328" s="24" t="s">
        <v>56</v>
      </c>
      <c r="F328" s="63" t="s">
        <v>0</v>
      </c>
    </row>
    <row r="329" spans="1:6" x14ac:dyDescent="0.25">
      <c r="A329" s="62">
        <v>45362</v>
      </c>
      <c r="B329" s="62" t="s">
        <v>389</v>
      </c>
      <c r="C329" s="23">
        <v>-5500</v>
      </c>
      <c r="D329" s="24" t="s">
        <v>49</v>
      </c>
      <c r="E329" s="24" t="s">
        <v>67</v>
      </c>
      <c r="F329" s="63" t="s">
        <v>0</v>
      </c>
    </row>
    <row r="330" spans="1:6" x14ac:dyDescent="0.25">
      <c r="A330" s="62">
        <v>45362</v>
      </c>
      <c r="B330" s="62" t="s">
        <v>390</v>
      </c>
      <c r="C330" s="23">
        <v>-6185</v>
      </c>
      <c r="D330" s="24" t="s">
        <v>49</v>
      </c>
      <c r="E330" s="24" t="s">
        <v>56</v>
      </c>
      <c r="F330" s="63" t="s">
        <v>0</v>
      </c>
    </row>
    <row r="331" spans="1:6" x14ac:dyDescent="0.25">
      <c r="A331" s="62">
        <v>45362</v>
      </c>
      <c r="B331" s="62" t="s">
        <v>391</v>
      </c>
      <c r="C331" s="23">
        <v>-27214</v>
      </c>
      <c r="D331" s="24" t="s">
        <v>49</v>
      </c>
      <c r="E331" s="24" t="s">
        <v>56</v>
      </c>
      <c r="F331" s="63" t="s">
        <v>0</v>
      </c>
    </row>
    <row r="332" spans="1:6" x14ac:dyDescent="0.25">
      <c r="A332" s="62">
        <v>45362</v>
      </c>
      <c r="B332" s="62" t="s">
        <v>392</v>
      </c>
      <c r="C332" s="23">
        <v>-1200</v>
      </c>
      <c r="D332" s="24" t="s">
        <v>72</v>
      </c>
      <c r="E332" s="24" t="s">
        <v>126</v>
      </c>
      <c r="F332" s="63" t="s">
        <v>0</v>
      </c>
    </row>
    <row r="333" spans="1:6" x14ac:dyDescent="0.25">
      <c r="A333" s="62">
        <v>45362</v>
      </c>
      <c r="B333" s="62" t="s">
        <v>392</v>
      </c>
      <c r="C333" s="23">
        <v>-1200</v>
      </c>
      <c r="D333" s="24" t="s">
        <v>72</v>
      </c>
      <c r="E333" s="24" t="s">
        <v>126</v>
      </c>
      <c r="F333" s="63" t="s">
        <v>0</v>
      </c>
    </row>
    <row r="334" spans="1:6" x14ac:dyDescent="0.25">
      <c r="A334" s="62">
        <v>45362</v>
      </c>
      <c r="B334" s="62" t="s">
        <v>393</v>
      </c>
      <c r="C334" s="23">
        <v>-20330</v>
      </c>
      <c r="D334" s="24" t="s">
        <v>90</v>
      </c>
      <c r="E334" s="24" t="s">
        <v>93</v>
      </c>
      <c r="F334" s="63" t="s">
        <v>0</v>
      </c>
    </row>
    <row r="335" spans="1:6" x14ac:dyDescent="0.25">
      <c r="A335" s="62">
        <v>45362</v>
      </c>
      <c r="B335" s="62" t="s">
        <v>394</v>
      </c>
      <c r="C335" s="23">
        <v>-828</v>
      </c>
      <c r="D335" s="24" t="s">
        <v>49</v>
      </c>
      <c r="E335" s="24" t="s">
        <v>56</v>
      </c>
      <c r="F335" s="63" t="s">
        <v>0</v>
      </c>
    </row>
    <row r="336" spans="1:6" x14ac:dyDescent="0.25">
      <c r="A336" s="62">
        <v>45362</v>
      </c>
      <c r="B336" s="62" t="s">
        <v>395</v>
      </c>
      <c r="C336" s="23">
        <v>-3347</v>
      </c>
      <c r="D336" s="24" t="s">
        <v>49</v>
      </c>
      <c r="E336" s="24" t="s">
        <v>56</v>
      </c>
      <c r="F336" s="63" t="s">
        <v>0</v>
      </c>
    </row>
    <row r="337" spans="1:6" x14ac:dyDescent="0.25">
      <c r="A337" s="62">
        <v>45362</v>
      </c>
      <c r="B337" s="62" t="s">
        <v>396</v>
      </c>
      <c r="C337" s="23">
        <v>-116439</v>
      </c>
      <c r="D337" s="24" t="s">
        <v>49</v>
      </c>
      <c r="E337" s="24" t="s">
        <v>50</v>
      </c>
      <c r="F337" s="63" t="s">
        <v>0</v>
      </c>
    </row>
    <row r="338" spans="1:6" x14ac:dyDescent="0.25">
      <c r="A338" s="62">
        <v>45362</v>
      </c>
      <c r="B338" s="62" t="s">
        <v>397</v>
      </c>
      <c r="C338" s="23">
        <v>-3100</v>
      </c>
      <c r="D338" s="24" t="s">
        <v>52</v>
      </c>
      <c r="E338" s="24" t="s">
        <v>53</v>
      </c>
      <c r="F338" s="63" t="s">
        <v>0</v>
      </c>
    </row>
    <row r="339" spans="1:6" x14ac:dyDescent="0.25">
      <c r="A339" s="62">
        <v>45361</v>
      </c>
      <c r="B339" s="62" t="s">
        <v>398</v>
      </c>
      <c r="C339" s="23">
        <v>-39717.18</v>
      </c>
      <c r="D339" s="24" t="s">
        <v>46</v>
      </c>
      <c r="E339" s="24" t="s">
        <v>10</v>
      </c>
      <c r="F339" s="63" t="s">
        <v>0</v>
      </c>
    </row>
    <row r="340" spans="1:6" x14ac:dyDescent="0.25">
      <c r="A340" s="62">
        <v>45361</v>
      </c>
      <c r="B340" s="62" t="s">
        <v>399</v>
      </c>
      <c r="C340" s="23">
        <v>222087.61</v>
      </c>
      <c r="D340" s="24" t="s">
        <v>46</v>
      </c>
      <c r="E340" s="24" t="s">
        <v>10</v>
      </c>
      <c r="F340" s="63" t="s">
        <v>10</v>
      </c>
    </row>
    <row r="341" spans="1:6" x14ac:dyDescent="0.25">
      <c r="A341" s="62">
        <v>45361</v>
      </c>
      <c r="B341" s="62" t="s">
        <v>399</v>
      </c>
      <c r="C341" s="23">
        <v>-222087.61</v>
      </c>
      <c r="D341" s="24" t="s">
        <v>46</v>
      </c>
      <c r="E341" s="24" t="s">
        <v>10</v>
      </c>
      <c r="F341" s="63" t="s">
        <v>0</v>
      </c>
    </row>
    <row r="342" spans="1:6" x14ac:dyDescent="0.25">
      <c r="A342" s="62">
        <v>45359</v>
      </c>
      <c r="B342" s="62" t="s">
        <v>400</v>
      </c>
      <c r="C342" s="23">
        <v>-3100</v>
      </c>
      <c r="D342" s="24" t="s">
        <v>49</v>
      </c>
      <c r="E342" s="24" t="s">
        <v>56</v>
      </c>
      <c r="F342" s="63" t="s">
        <v>0</v>
      </c>
    </row>
    <row r="343" spans="1:6" x14ac:dyDescent="0.25">
      <c r="A343" s="62">
        <v>45359</v>
      </c>
      <c r="B343" s="62" t="s">
        <v>401</v>
      </c>
      <c r="C343" s="23">
        <v>-1340</v>
      </c>
      <c r="D343" s="24" t="s">
        <v>52</v>
      </c>
      <c r="E343" s="24" t="s">
        <v>134</v>
      </c>
      <c r="F343" s="63" t="s">
        <v>0</v>
      </c>
    </row>
    <row r="344" spans="1:6" x14ac:dyDescent="0.25">
      <c r="A344" s="62">
        <v>45359</v>
      </c>
      <c r="B344" s="62" t="s">
        <v>402</v>
      </c>
      <c r="C344" s="23">
        <v>-1900</v>
      </c>
      <c r="D344" s="24" t="s">
        <v>52</v>
      </c>
      <c r="E344" s="24" t="s">
        <v>134</v>
      </c>
      <c r="F344" s="63" t="s">
        <v>0</v>
      </c>
    </row>
    <row r="345" spans="1:6" x14ac:dyDescent="0.25">
      <c r="A345" s="62">
        <v>45359</v>
      </c>
      <c r="B345" s="62" t="s">
        <v>139</v>
      </c>
      <c r="C345" s="23">
        <v>1103735</v>
      </c>
      <c r="D345" s="24" t="s">
        <v>58</v>
      </c>
      <c r="E345" s="24" t="s">
        <v>58</v>
      </c>
      <c r="F345" s="63" t="s">
        <v>0</v>
      </c>
    </row>
    <row r="346" spans="1:6" x14ac:dyDescent="0.25">
      <c r="A346" s="62">
        <v>45358</v>
      </c>
      <c r="B346" s="62" t="s">
        <v>403</v>
      </c>
      <c r="C346" s="23">
        <v>-2439</v>
      </c>
      <c r="D346" s="24" t="s">
        <v>49</v>
      </c>
      <c r="E346" s="24" t="s">
        <v>50</v>
      </c>
      <c r="F346" s="63" t="s">
        <v>0</v>
      </c>
    </row>
    <row r="347" spans="1:6" x14ac:dyDescent="0.25">
      <c r="A347" s="62">
        <v>45358</v>
      </c>
      <c r="B347" s="62" t="s">
        <v>404</v>
      </c>
      <c r="C347" s="23">
        <v>-2439</v>
      </c>
      <c r="D347" s="24" t="s">
        <v>49</v>
      </c>
      <c r="E347" s="24" t="s">
        <v>50</v>
      </c>
      <c r="F347" s="63" t="s">
        <v>0</v>
      </c>
    </row>
    <row r="348" spans="1:6" x14ac:dyDescent="0.25">
      <c r="A348" s="62">
        <v>45358</v>
      </c>
      <c r="B348" s="62" t="s">
        <v>405</v>
      </c>
      <c r="C348" s="23">
        <v>-2754</v>
      </c>
      <c r="D348" s="24" t="s">
        <v>49</v>
      </c>
      <c r="E348" s="24" t="s">
        <v>50</v>
      </c>
      <c r="F348" s="63" t="s">
        <v>0</v>
      </c>
    </row>
    <row r="349" spans="1:6" x14ac:dyDescent="0.25">
      <c r="A349" s="62">
        <v>45358</v>
      </c>
      <c r="B349" s="62" t="s">
        <v>406</v>
      </c>
      <c r="C349" s="23">
        <v>-3174</v>
      </c>
      <c r="D349" s="24" t="s">
        <v>49</v>
      </c>
      <c r="E349" s="24" t="s">
        <v>50</v>
      </c>
      <c r="F349" s="63" t="s">
        <v>0</v>
      </c>
    </row>
    <row r="350" spans="1:6" x14ac:dyDescent="0.25">
      <c r="A350" s="62">
        <v>45358</v>
      </c>
      <c r="B350" s="62" t="s">
        <v>407</v>
      </c>
      <c r="C350" s="23">
        <v>-3804</v>
      </c>
      <c r="D350" s="24" t="s">
        <v>49</v>
      </c>
      <c r="E350" s="24" t="s">
        <v>50</v>
      </c>
      <c r="F350" s="63" t="s">
        <v>0</v>
      </c>
    </row>
    <row r="351" spans="1:6" x14ac:dyDescent="0.25">
      <c r="A351" s="62">
        <v>45358</v>
      </c>
      <c r="B351" s="62" t="s">
        <v>408</v>
      </c>
      <c r="C351" s="23">
        <v>-16886</v>
      </c>
      <c r="D351" s="24" t="s">
        <v>49</v>
      </c>
      <c r="E351" s="24" t="s">
        <v>56</v>
      </c>
      <c r="F351" s="63" t="s">
        <v>0</v>
      </c>
    </row>
    <row r="352" spans="1:6" x14ac:dyDescent="0.25">
      <c r="A352" s="62">
        <v>45358</v>
      </c>
      <c r="B352" s="62" t="s">
        <v>409</v>
      </c>
      <c r="C352" s="23">
        <v>-2937</v>
      </c>
      <c r="D352" s="24" t="s">
        <v>49</v>
      </c>
      <c r="E352" s="24" t="s">
        <v>56</v>
      </c>
      <c r="F352" s="63" t="s">
        <v>0</v>
      </c>
    </row>
    <row r="353" spans="1:6" x14ac:dyDescent="0.25">
      <c r="A353" s="62">
        <v>45357</v>
      </c>
      <c r="B353" s="62" t="s">
        <v>410</v>
      </c>
      <c r="C353" s="23">
        <v>-1912</v>
      </c>
      <c r="D353" s="24" t="s">
        <v>49</v>
      </c>
      <c r="E353" s="24" t="s">
        <v>56</v>
      </c>
      <c r="F353" s="63" t="s">
        <v>0</v>
      </c>
    </row>
    <row r="354" spans="1:6" x14ac:dyDescent="0.25">
      <c r="A354" s="62">
        <v>45357</v>
      </c>
      <c r="B354" s="62" t="s">
        <v>411</v>
      </c>
      <c r="C354" s="23">
        <v>-3414</v>
      </c>
      <c r="D354" s="24" t="s">
        <v>49</v>
      </c>
      <c r="E354" s="24" t="s">
        <v>56</v>
      </c>
      <c r="F354" s="63" t="s">
        <v>0</v>
      </c>
    </row>
    <row r="355" spans="1:6" x14ac:dyDescent="0.25">
      <c r="A355" s="62">
        <v>45357</v>
      </c>
      <c r="B355" s="62" t="s">
        <v>412</v>
      </c>
      <c r="C355" s="23">
        <v>-1580</v>
      </c>
      <c r="D355" s="24" t="s">
        <v>52</v>
      </c>
      <c r="E355" s="24" t="s">
        <v>134</v>
      </c>
      <c r="F355" s="63" t="s">
        <v>0</v>
      </c>
    </row>
    <row r="356" spans="1:6" x14ac:dyDescent="0.25">
      <c r="A356" s="62">
        <v>45357</v>
      </c>
      <c r="B356" s="62" t="s">
        <v>413</v>
      </c>
      <c r="C356" s="23">
        <v>-2700</v>
      </c>
      <c r="D356" s="24" t="s">
        <v>52</v>
      </c>
      <c r="E356" s="24" t="s">
        <v>53</v>
      </c>
      <c r="F356" s="63" t="s">
        <v>0</v>
      </c>
    </row>
    <row r="357" spans="1:6" x14ac:dyDescent="0.25">
      <c r="A357" s="62">
        <v>45356</v>
      </c>
      <c r="B357" s="62" t="s">
        <v>171</v>
      </c>
      <c r="C357" s="23">
        <v>1914</v>
      </c>
      <c r="D357" s="24" t="s">
        <v>167</v>
      </c>
      <c r="E357" s="24" t="s">
        <v>168</v>
      </c>
      <c r="F357" s="63" t="s">
        <v>0</v>
      </c>
    </row>
    <row r="358" spans="1:6" x14ac:dyDescent="0.25">
      <c r="A358" s="62">
        <v>45356</v>
      </c>
      <c r="B358" s="62" t="s">
        <v>414</v>
      </c>
      <c r="C358" s="23">
        <v>-7416</v>
      </c>
      <c r="D358" s="24" t="s">
        <v>46</v>
      </c>
      <c r="E358" s="24" t="s">
        <v>63</v>
      </c>
      <c r="F358" s="63" t="s">
        <v>0</v>
      </c>
    </row>
    <row r="359" spans="1:6" x14ac:dyDescent="0.25">
      <c r="A359" s="62">
        <v>45355</v>
      </c>
      <c r="B359" s="62" t="s">
        <v>172</v>
      </c>
      <c r="C359" s="23">
        <v>243685</v>
      </c>
      <c r="D359" s="24" t="s">
        <v>58</v>
      </c>
      <c r="E359" s="24" t="s">
        <v>58</v>
      </c>
      <c r="F359" s="63" t="s">
        <v>0</v>
      </c>
    </row>
    <row r="360" spans="1:6" x14ac:dyDescent="0.25">
      <c r="A360" s="62">
        <v>45355</v>
      </c>
      <c r="B360" s="62" t="s">
        <v>415</v>
      </c>
      <c r="C360" s="23">
        <v>-269</v>
      </c>
      <c r="D360" s="24" t="s">
        <v>49</v>
      </c>
      <c r="E360" s="24" t="s">
        <v>56</v>
      </c>
      <c r="F360" s="63" t="s">
        <v>0</v>
      </c>
    </row>
    <row r="361" spans="1:6" x14ac:dyDescent="0.25">
      <c r="A361" s="62">
        <v>45355</v>
      </c>
      <c r="B361" s="62" t="s">
        <v>416</v>
      </c>
      <c r="C361" s="23">
        <v>-1990</v>
      </c>
      <c r="D361" s="24" t="s">
        <v>46</v>
      </c>
      <c r="E361" s="24" t="s">
        <v>63</v>
      </c>
      <c r="F361" s="63" t="s">
        <v>0</v>
      </c>
    </row>
    <row r="362" spans="1:6" x14ac:dyDescent="0.25">
      <c r="A362" s="62">
        <v>45355</v>
      </c>
      <c r="B362" s="62" t="s">
        <v>417</v>
      </c>
      <c r="C362" s="23">
        <v>-2140</v>
      </c>
      <c r="D362" s="24" t="s">
        <v>49</v>
      </c>
      <c r="E362" s="24" t="s">
        <v>56</v>
      </c>
      <c r="F362" s="63" t="s">
        <v>0</v>
      </c>
    </row>
    <row r="363" spans="1:6" x14ac:dyDescent="0.25">
      <c r="A363" s="62">
        <v>45355</v>
      </c>
      <c r="B363" s="62" t="s">
        <v>418</v>
      </c>
      <c r="C363" s="23">
        <v>-8728</v>
      </c>
      <c r="D363" s="24" t="s">
        <v>49</v>
      </c>
      <c r="E363" s="24" t="s">
        <v>50</v>
      </c>
      <c r="F363" s="63" t="s">
        <v>0</v>
      </c>
    </row>
    <row r="364" spans="1:6" x14ac:dyDescent="0.25">
      <c r="A364" s="62">
        <v>45355</v>
      </c>
      <c r="B364" s="62" t="s">
        <v>419</v>
      </c>
      <c r="C364" s="23">
        <v>-13606</v>
      </c>
      <c r="D364" s="24" t="s">
        <v>49</v>
      </c>
      <c r="E364" s="24" t="s">
        <v>56</v>
      </c>
      <c r="F364" s="63" t="s">
        <v>0</v>
      </c>
    </row>
    <row r="365" spans="1:6" x14ac:dyDescent="0.25">
      <c r="A365" s="62">
        <v>45355</v>
      </c>
      <c r="B365" s="62" t="s">
        <v>420</v>
      </c>
      <c r="C365" s="23">
        <v>-1290</v>
      </c>
      <c r="D365" s="24" t="s">
        <v>46</v>
      </c>
      <c r="E365" s="24" t="s">
        <v>63</v>
      </c>
      <c r="F365" s="63" t="s">
        <v>0</v>
      </c>
    </row>
    <row r="366" spans="1:6" x14ac:dyDescent="0.25">
      <c r="A366" s="62">
        <v>45355</v>
      </c>
      <c r="B366" s="62" t="s">
        <v>421</v>
      </c>
      <c r="C366" s="23">
        <v>-2996</v>
      </c>
      <c r="D366" s="24" t="s">
        <v>46</v>
      </c>
      <c r="E366" s="24" t="s">
        <v>61</v>
      </c>
      <c r="F366" s="63" t="s">
        <v>0</v>
      </c>
    </row>
    <row r="367" spans="1:6" x14ac:dyDescent="0.25">
      <c r="A367" s="62">
        <v>45355</v>
      </c>
      <c r="B367" s="62" t="s">
        <v>422</v>
      </c>
      <c r="C367" s="23">
        <v>-550</v>
      </c>
      <c r="D367" s="24" t="s">
        <v>46</v>
      </c>
      <c r="E367" s="24" t="s">
        <v>61</v>
      </c>
      <c r="F367" s="63" t="s">
        <v>0</v>
      </c>
    </row>
    <row r="368" spans="1:6" x14ac:dyDescent="0.25">
      <c r="A368" s="62">
        <v>45355</v>
      </c>
      <c r="B368" s="62" t="s">
        <v>423</v>
      </c>
      <c r="C368" s="23">
        <v>-2390</v>
      </c>
      <c r="D368" s="24" t="s">
        <v>52</v>
      </c>
      <c r="E368" s="24" t="s">
        <v>52</v>
      </c>
      <c r="F368" s="63" t="s">
        <v>0</v>
      </c>
    </row>
    <row r="369" spans="1:6" x14ac:dyDescent="0.25">
      <c r="A369" s="62">
        <v>45355</v>
      </c>
      <c r="B369" s="62" t="s">
        <v>424</v>
      </c>
      <c r="C369" s="23">
        <v>-9600</v>
      </c>
      <c r="D369" s="24" t="s">
        <v>52</v>
      </c>
      <c r="E369" s="24" t="s">
        <v>52</v>
      </c>
      <c r="F369" s="63" t="s">
        <v>0</v>
      </c>
    </row>
    <row r="370" spans="1:6" x14ac:dyDescent="0.25">
      <c r="A370" s="62">
        <v>45355</v>
      </c>
      <c r="B370" s="62" t="s">
        <v>425</v>
      </c>
      <c r="C370" s="23">
        <v>-101801</v>
      </c>
      <c r="D370" s="24" t="s">
        <v>167</v>
      </c>
      <c r="E370" s="24" t="s">
        <v>183</v>
      </c>
      <c r="F370" s="63" t="s">
        <v>0</v>
      </c>
    </row>
    <row r="371" spans="1:6" x14ac:dyDescent="0.25">
      <c r="A371" s="62">
        <v>45355</v>
      </c>
      <c r="B371" s="62" t="s">
        <v>426</v>
      </c>
      <c r="C371" s="23">
        <v>-15791</v>
      </c>
      <c r="D371" s="24" t="s">
        <v>49</v>
      </c>
      <c r="E371" s="24" t="s">
        <v>56</v>
      </c>
      <c r="F371" s="63" t="s">
        <v>0</v>
      </c>
    </row>
    <row r="372" spans="1:6" x14ac:dyDescent="0.25">
      <c r="A372" s="62">
        <v>45355</v>
      </c>
      <c r="B372" s="62" t="s">
        <v>427</v>
      </c>
      <c r="C372" s="23">
        <v>-7820</v>
      </c>
      <c r="D372" s="24" t="s">
        <v>46</v>
      </c>
      <c r="E372" s="24" t="s">
        <v>428</v>
      </c>
      <c r="F372" s="63" t="s">
        <v>0</v>
      </c>
    </row>
    <row r="373" spans="1:6" x14ac:dyDescent="0.25">
      <c r="A373" s="62">
        <v>45355</v>
      </c>
      <c r="B373" s="62" t="s">
        <v>429</v>
      </c>
      <c r="C373" s="23">
        <v>-11625</v>
      </c>
      <c r="D373" s="24" t="s">
        <v>49</v>
      </c>
      <c r="E373" s="24" t="s">
        <v>56</v>
      </c>
      <c r="F373" s="63" t="s">
        <v>0</v>
      </c>
    </row>
    <row r="374" spans="1:6" x14ac:dyDescent="0.25">
      <c r="A374" s="62">
        <v>45355</v>
      </c>
      <c r="B374" s="62" t="s">
        <v>430</v>
      </c>
      <c r="C374" s="23">
        <v>-27392</v>
      </c>
      <c r="D374" s="24" t="s">
        <v>49</v>
      </c>
      <c r="E374" s="24" t="s">
        <v>56</v>
      </c>
      <c r="F374" s="63" t="s">
        <v>0</v>
      </c>
    </row>
    <row r="375" spans="1:6" x14ac:dyDescent="0.25">
      <c r="A375" s="62">
        <v>45355</v>
      </c>
      <c r="B375" s="62" t="s">
        <v>431</v>
      </c>
      <c r="C375" s="23">
        <v>-4690</v>
      </c>
      <c r="D375" s="24" t="s">
        <v>49</v>
      </c>
      <c r="E375" s="24" t="s">
        <v>56</v>
      </c>
      <c r="F375" s="63" t="s">
        <v>0</v>
      </c>
    </row>
    <row r="376" spans="1:6" x14ac:dyDescent="0.25">
      <c r="A376" s="62">
        <v>45351</v>
      </c>
      <c r="B376" s="62" t="s">
        <v>432</v>
      </c>
      <c r="C376" s="23">
        <v>-1690</v>
      </c>
      <c r="D376" s="24" t="s">
        <v>52</v>
      </c>
      <c r="E376" s="24" t="s">
        <v>53</v>
      </c>
      <c r="F376" s="63" t="s">
        <v>0</v>
      </c>
    </row>
    <row r="377" spans="1:6" x14ac:dyDescent="0.25">
      <c r="A377" s="62">
        <v>45351</v>
      </c>
      <c r="B377" s="62" t="s">
        <v>433</v>
      </c>
      <c r="C377" s="23">
        <v>-2850</v>
      </c>
      <c r="D377" s="24" t="s">
        <v>52</v>
      </c>
      <c r="E377" s="24" t="s">
        <v>53</v>
      </c>
      <c r="F377" s="63" t="s">
        <v>0</v>
      </c>
    </row>
    <row r="378" spans="1:6" x14ac:dyDescent="0.25">
      <c r="A378" s="62">
        <v>45351</v>
      </c>
      <c r="B378" s="62" t="s">
        <v>434</v>
      </c>
      <c r="C378" s="23">
        <v>-1760</v>
      </c>
      <c r="D378" s="24" t="s">
        <v>49</v>
      </c>
      <c r="E378" s="24" t="s">
        <v>56</v>
      </c>
      <c r="F378" s="63" t="s">
        <v>0</v>
      </c>
    </row>
    <row r="379" spans="1:6" x14ac:dyDescent="0.25">
      <c r="A379" s="62">
        <v>45351</v>
      </c>
      <c r="B379" s="62" t="s">
        <v>43</v>
      </c>
      <c r="C379" s="23">
        <v>-2222</v>
      </c>
      <c r="D379" s="24" t="s">
        <v>167</v>
      </c>
      <c r="E379" s="24" t="s">
        <v>168</v>
      </c>
      <c r="F379" s="63" t="s">
        <v>0</v>
      </c>
    </row>
    <row r="380" spans="1:6" x14ac:dyDescent="0.25">
      <c r="A380" s="62">
        <v>45350</v>
      </c>
      <c r="B380" s="62" t="s">
        <v>435</v>
      </c>
      <c r="C380" s="23">
        <v>-990</v>
      </c>
      <c r="D380" s="24" t="s">
        <v>52</v>
      </c>
      <c r="E380" s="24" t="s">
        <v>134</v>
      </c>
      <c r="F380" s="63" t="s">
        <v>0</v>
      </c>
    </row>
    <row r="381" spans="1:6" x14ac:dyDescent="0.25">
      <c r="A381" s="62">
        <v>45350</v>
      </c>
      <c r="B381" s="62" t="s">
        <v>436</v>
      </c>
      <c r="C381" s="23">
        <v>-3000</v>
      </c>
      <c r="D381" s="24" t="s">
        <v>52</v>
      </c>
      <c r="E381" s="24" t="s">
        <v>53</v>
      </c>
      <c r="F381" s="63" t="s">
        <v>0</v>
      </c>
    </row>
    <row r="382" spans="1:6" x14ac:dyDescent="0.25">
      <c r="A382" s="62">
        <v>45350</v>
      </c>
      <c r="B382" s="62" t="s">
        <v>437</v>
      </c>
      <c r="C382" s="23">
        <v>-10105</v>
      </c>
      <c r="D382" s="24" t="s">
        <v>49</v>
      </c>
      <c r="E382" s="24" t="s">
        <v>56</v>
      </c>
      <c r="F382" s="63" t="s">
        <v>0</v>
      </c>
    </row>
    <row r="383" spans="1:6" x14ac:dyDescent="0.25">
      <c r="A383" s="62">
        <v>45350</v>
      </c>
      <c r="B383" s="62" t="s">
        <v>438</v>
      </c>
      <c r="C383" s="23">
        <v>-10510</v>
      </c>
      <c r="D383" s="24" t="s">
        <v>49</v>
      </c>
      <c r="E383" s="24" t="s">
        <v>56</v>
      </c>
      <c r="F383" s="63" t="s">
        <v>0</v>
      </c>
    </row>
    <row r="384" spans="1:6" x14ac:dyDescent="0.25">
      <c r="A384" s="62">
        <v>45349</v>
      </c>
      <c r="B384" s="62" t="s">
        <v>439</v>
      </c>
      <c r="C384" s="23">
        <v>-41596</v>
      </c>
      <c r="D384" s="24" t="s">
        <v>72</v>
      </c>
      <c r="E384" s="24" t="s">
        <v>109</v>
      </c>
      <c r="F384" s="63" t="s">
        <v>0</v>
      </c>
    </row>
    <row r="385" spans="1:6" x14ac:dyDescent="0.25">
      <c r="A385" s="62">
        <v>45349</v>
      </c>
      <c r="B385" s="62" t="s">
        <v>440</v>
      </c>
      <c r="C385" s="23">
        <v>-3994</v>
      </c>
      <c r="D385" s="24" t="s">
        <v>72</v>
      </c>
      <c r="E385" s="24" t="s">
        <v>109</v>
      </c>
      <c r="F385" s="63" t="s">
        <v>0</v>
      </c>
    </row>
    <row r="386" spans="1:6" x14ac:dyDescent="0.25">
      <c r="A386" s="62">
        <v>45348</v>
      </c>
      <c r="B386" s="62" t="s">
        <v>441</v>
      </c>
      <c r="C386" s="23">
        <v>-999</v>
      </c>
      <c r="D386" s="24" t="s">
        <v>46</v>
      </c>
      <c r="E386" s="24" t="s">
        <v>63</v>
      </c>
      <c r="F386" s="63" t="s">
        <v>0</v>
      </c>
    </row>
    <row r="387" spans="1:6" x14ac:dyDescent="0.25">
      <c r="A387" s="62">
        <v>45348</v>
      </c>
      <c r="B387" s="62" t="s">
        <v>442</v>
      </c>
      <c r="C387" s="23">
        <v>-5030</v>
      </c>
      <c r="D387" s="24" t="s">
        <v>52</v>
      </c>
      <c r="E387" s="24" t="s">
        <v>134</v>
      </c>
      <c r="F387" s="63" t="s">
        <v>0</v>
      </c>
    </row>
    <row r="388" spans="1:6" x14ac:dyDescent="0.25">
      <c r="A388" s="62">
        <v>45348</v>
      </c>
      <c r="B388" s="62" t="s">
        <v>443</v>
      </c>
      <c r="C388" s="23">
        <v>-1830</v>
      </c>
      <c r="D388" s="24" t="s">
        <v>49</v>
      </c>
      <c r="E388" s="24" t="s">
        <v>56</v>
      </c>
      <c r="F388" s="63" t="s">
        <v>0</v>
      </c>
    </row>
    <row r="389" spans="1:6" x14ac:dyDescent="0.25">
      <c r="A389" s="62">
        <v>45348</v>
      </c>
      <c r="B389" s="62" t="s">
        <v>444</v>
      </c>
      <c r="C389" s="23">
        <v>-439615</v>
      </c>
      <c r="D389" s="24" t="s">
        <v>72</v>
      </c>
      <c r="E389" s="24" t="s">
        <v>445</v>
      </c>
      <c r="F389" s="63" t="s">
        <v>0</v>
      </c>
    </row>
    <row r="390" spans="1:6" x14ac:dyDescent="0.25">
      <c r="A390" s="62">
        <v>45348</v>
      </c>
      <c r="B390" s="62" t="s">
        <v>329</v>
      </c>
      <c r="C390" s="23">
        <v>-6824</v>
      </c>
      <c r="D390" s="24" t="s">
        <v>46</v>
      </c>
      <c r="E390" s="24" t="s">
        <v>80</v>
      </c>
      <c r="F390" s="63" t="s">
        <v>0</v>
      </c>
    </row>
    <row r="391" spans="1:6" x14ac:dyDescent="0.25">
      <c r="A391" s="62">
        <v>45348</v>
      </c>
      <c r="B391" s="62" t="s">
        <v>446</v>
      </c>
      <c r="C391" s="23">
        <v>-26736</v>
      </c>
      <c r="D391" s="24" t="s">
        <v>72</v>
      </c>
      <c r="E391" s="24" t="s">
        <v>109</v>
      </c>
      <c r="F391" s="63" t="s">
        <v>0</v>
      </c>
    </row>
    <row r="392" spans="1:6" x14ac:dyDescent="0.25">
      <c r="A392" s="62">
        <v>45348</v>
      </c>
      <c r="B392" s="62" t="s">
        <v>447</v>
      </c>
      <c r="C392" s="23">
        <v>-799</v>
      </c>
      <c r="D392" s="24" t="s">
        <v>49</v>
      </c>
      <c r="E392" s="24" t="s">
        <v>56</v>
      </c>
      <c r="F392" s="63" t="s">
        <v>0</v>
      </c>
    </row>
    <row r="393" spans="1:6" x14ac:dyDescent="0.25">
      <c r="A393" s="62">
        <v>45348</v>
      </c>
      <c r="B393" s="62" t="s">
        <v>448</v>
      </c>
      <c r="C393" s="23">
        <v>-12000</v>
      </c>
      <c r="D393" s="24" t="s">
        <v>90</v>
      </c>
      <c r="E393" s="24" t="s">
        <v>91</v>
      </c>
      <c r="F393" s="63" t="s">
        <v>0</v>
      </c>
    </row>
    <row r="394" spans="1:6" x14ac:dyDescent="0.25">
      <c r="A394" s="62">
        <v>45348</v>
      </c>
      <c r="B394" s="62" t="s">
        <v>449</v>
      </c>
      <c r="C394" s="23">
        <v>-17158</v>
      </c>
      <c r="D394" s="24" t="s">
        <v>49</v>
      </c>
      <c r="E394" s="24" t="s">
        <v>56</v>
      </c>
      <c r="F394" s="63" t="s">
        <v>0</v>
      </c>
    </row>
    <row r="395" spans="1:6" x14ac:dyDescent="0.25">
      <c r="A395" s="62">
        <v>45345</v>
      </c>
      <c r="B395" s="62" t="s">
        <v>450</v>
      </c>
      <c r="C395" s="23">
        <v>-8270</v>
      </c>
      <c r="D395" s="24" t="s">
        <v>46</v>
      </c>
      <c r="E395" s="24" t="s">
        <v>428</v>
      </c>
      <c r="F395" s="63" t="s">
        <v>0</v>
      </c>
    </row>
    <row r="396" spans="1:6" x14ac:dyDescent="0.25">
      <c r="A396" s="62">
        <v>45345</v>
      </c>
      <c r="B396" s="62" t="s">
        <v>451</v>
      </c>
      <c r="C396" s="23">
        <v>-3560</v>
      </c>
      <c r="D396" s="24" t="s">
        <v>46</v>
      </c>
      <c r="E396" s="24" t="s">
        <v>428</v>
      </c>
      <c r="F396" s="63" t="s">
        <v>0</v>
      </c>
    </row>
    <row r="397" spans="1:6" x14ac:dyDescent="0.25">
      <c r="A397" s="62">
        <v>45344</v>
      </c>
      <c r="B397" s="62" t="s">
        <v>452</v>
      </c>
      <c r="C397" s="23">
        <v>-1090</v>
      </c>
      <c r="D397" s="24" t="s">
        <v>83</v>
      </c>
      <c r="E397" s="24" t="s">
        <v>84</v>
      </c>
      <c r="F397" s="63" t="s">
        <v>0</v>
      </c>
    </row>
    <row r="398" spans="1:6" x14ac:dyDescent="0.25">
      <c r="A398" s="62">
        <v>45344</v>
      </c>
      <c r="B398" s="62" t="s">
        <v>453</v>
      </c>
      <c r="C398" s="23">
        <v>-1400</v>
      </c>
      <c r="D398" s="24" t="s">
        <v>72</v>
      </c>
      <c r="E398" s="24" t="s">
        <v>73</v>
      </c>
      <c r="F398" s="63" t="s">
        <v>0</v>
      </c>
    </row>
    <row r="399" spans="1:6" x14ac:dyDescent="0.25">
      <c r="A399" s="62">
        <v>45344</v>
      </c>
      <c r="B399" s="62" t="s">
        <v>412</v>
      </c>
      <c r="C399" s="23">
        <v>-1580</v>
      </c>
      <c r="D399" s="24" t="s">
        <v>52</v>
      </c>
      <c r="E399" s="24" t="s">
        <v>134</v>
      </c>
      <c r="F399" s="63" t="s">
        <v>0</v>
      </c>
    </row>
    <row r="400" spans="1:6" x14ac:dyDescent="0.25">
      <c r="A400" s="62">
        <v>45344</v>
      </c>
      <c r="B400" s="62" t="s">
        <v>413</v>
      </c>
      <c r="C400" s="23">
        <v>-2700</v>
      </c>
      <c r="D400" s="24" t="s">
        <v>52</v>
      </c>
      <c r="E400" s="24" t="s">
        <v>53</v>
      </c>
      <c r="F400" s="63" t="s">
        <v>0</v>
      </c>
    </row>
    <row r="401" spans="1:6" x14ac:dyDescent="0.25">
      <c r="A401" s="62">
        <v>45343</v>
      </c>
      <c r="B401" s="62" t="s">
        <v>454</v>
      </c>
      <c r="C401" s="23">
        <v>-6944</v>
      </c>
      <c r="D401" s="24" t="s">
        <v>46</v>
      </c>
      <c r="E401" s="24" t="s">
        <v>150</v>
      </c>
      <c r="F401" s="63" t="s">
        <v>0</v>
      </c>
    </row>
    <row r="402" spans="1:6" x14ac:dyDescent="0.25">
      <c r="A402" s="62">
        <v>45343</v>
      </c>
      <c r="B402" s="62" t="s">
        <v>435</v>
      </c>
      <c r="C402" s="23">
        <v>-990</v>
      </c>
      <c r="D402" s="24" t="s">
        <v>52</v>
      </c>
      <c r="E402" s="24" t="s">
        <v>134</v>
      </c>
      <c r="F402" s="63" t="s">
        <v>0</v>
      </c>
    </row>
    <row r="403" spans="1:6" x14ac:dyDescent="0.25">
      <c r="A403" s="62">
        <v>45343</v>
      </c>
      <c r="B403" s="62" t="s">
        <v>455</v>
      </c>
      <c r="C403" s="23">
        <v>-873</v>
      </c>
      <c r="D403" s="24" t="s">
        <v>49</v>
      </c>
      <c r="E403" s="24" t="s">
        <v>56</v>
      </c>
      <c r="F403" s="63" t="s">
        <v>0</v>
      </c>
    </row>
    <row r="404" spans="1:6" x14ac:dyDescent="0.25">
      <c r="A404" s="62">
        <v>45343</v>
      </c>
      <c r="B404" s="62" t="s">
        <v>456</v>
      </c>
      <c r="C404" s="23">
        <v>-2355</v>
      </c>
      <c r="D404" s="24" t="s">
        <v>49</v>
      </c>
      <c r="E404" s="24" t="s">
        <v>56</v>
      </c>
      <c r="F404" s="63" t="s">
        <v>0</v>
      </c>
    </row>
    <row r="405" spans="1:6" x14ac:dyDescent="0.25">
      <c r="A405" s="62">
        <v>45343</v>
      </c>
      <c r="B405" s="62" t="s">
        <v>457</v>
      </c>
      <c r="C405" s="23">
        <v>-15835</v>
      </c>
      <c r="D405" s="24" t="s">
        <v>49</v>
      </c>
      <c r="E405" s="24" t="s">
        <v>213</v>
      </c>
      <c r="F405" s="63" t="s">
        <v>0</v>
      </c>
    </row>
    <row r="406" spans="1:6" x14ac:dyDescent="0.25">
      <c r="A406" s="62">
        <v>45342</v>
      </c>
      <c r="B406" s="62" t="s">
        <v>458</v>
      </c>
      <c r="C406" s="23">
        <v>46500</v>
      </c>
      <c r="D406" s="24" t="s">
        <v>49</v>
      </c>
      <c r="E406" s="24" t="s">
        <v>213</v>
      </c>
      <c r="F406" s="63" t="s">
        <v>0</v>
      </c>
    </row>
    <row r="407" spans="1:6" x14ac:dyDescent="0.25">
      <c r="A407" s="62">
        <v>45341</v>
      </c>
      <c r="B407" s="62" t="s">
        <v>459</v>
      </c>
      <c r="C407" s="23">
        <v>-9500</v>
      </c>
      <c r="D407" s="24" t="s">
        <v>49</v>
      </c>
      <c r="E407" s="24" t="s">
        <v>56</v>
      </c>
      <c r="F407" s="63" t="s">
        <v>0</v>
      </c>
    </row>
    <row r="408" spans="1:6" x14ac:dyDescent="0.25">
      <c r="A408" s="62">
        <v>45341</v>
      </c>
      <c r="B408" s="62" t="s">
        <v>460</v>
      </c>
      <c r="C408" s="23">
        <v>-6630</v>
      </c>
      <c r="D408" s="24" t="s">
        <v>52</v>
      </c>
      <c r="E408" s="24" t="s">
        <v>134</v>
      </c>
      <c r="F408" s="63" t="s">
        <v>0</v>
      </c>
    </row>
    <row r="409" spans="1:6" x14ac:dyDescent="0.25">
      <c r="A409" s="62">
        <v>45341</v>
      </c>
      <c r="B409" s="62" t="s">
        <v>461</v>
      </c>
      <c r="C409" s="23">
        <v>-3090</v>
      </c>
      <c r="D409" s="24" t="s">
        <v>46</v>
      </c>
      <c r="E409" s="24" t="s">
        <v>63</v>
      </c>
      <c r="F409" s="63" t="s">
        <v>0</v>
      </c>
    </row>
    <row r="410" spans="1:6" x14ac:dyDescent="0.25">
      <c r="A410" s="62">
        <v>45341</v>
      </c>
      <c r="B410" s="62" t="s">
        <v>462</v>
      </c>
      <c r="C410" s="23">
        <v>-6800</v>
      </c>
      <c r="D410" s="24" t="s">
        <v>49</v>
      </c>
      <c r="E410" s="24" t="s">
        <v>67</v>
      </c>
      <c r="F410" s="63" t="s">
        <v>0</v>
      </c>
    </row>
    <row r="411" spans="1:6" x14ac:dyDescent="0.25">
      <c r="A411" s="62">
        <v>45341</v>
      </c>
      <c r="B411" s="62" t="s">
        <v>463</v>
      </c>
      <c r="C411" s="23">
        <v>-7250</v>
      </c>
      <c r="D411" s="24" t="s">
        <v>49</v>
      </c>
      <c r="E411" s="24" t="s">
        <v>56</v>
      </c>
      <c r="F411" s="63" t="s">
        <v>0</v>
      </c>
    </row>
    <row r="412" spans="1:6" x14ac:dyDescent="0.25">
      <c r="A412" s="62">
        <v>45341</v>
      </c>
      <c r="B412" s="62" t="s">
        <v>464</v>
      </c>
      <c r="C412" s="23">
        <v>-4656</v>
      </c>
      <c r="D412" s="24" t="s">
        <v>49</v>
      </c>
      <c r="E412" s="24" t="s">
        <v>56</v>
      </c>
      <c r="F412" s="63" t="s">
        <v>0</v>
      </c>
    </row>
    <row r="413" spans="1:6" x14ac:dyDescent="0.25">
      <c r="A413" s="62">
        <v>45341</v>
      </c>
      <c r="B413" s="62" t="s">
        <v>465</v>
      </c>
      <c r="C413" s="23">
        <v>-2797</v>
      </c>
      <c r="D413" s="24" t="s">
        <v>49</v>
      </c>
      <c r="E413" s="24" t="s">
        <v>56</v>
      </c>
      <c r="F413" s="63" t="s">
        <v>0</v>
      </c>
    </row>
    <row r="414" spans="1:6" x14ac:dyDescent="0.25">
      <c r="A414" s="62">
        <v>45341</v>
      </c>
      <c r="B414" s="62" t="s">
        <v>466</v>
      </c>
      <c r="C414" s="23">
        <v>-38397</v>
      </c>
      <c r="D414" s="24" t="s">
        <v>46</v>
      </c>
      <c r="E414" s="24" t="s">
        <v>428</v>
      </c>
      <c r="F414" s="63" t="s">
        <v>0</v>
      </c>
    </row>
    <row r="415" spans="1:6" x14ac:dyDescent="0.25">
      <c r="A415" s="62">
        <v>45341</v>
      </c>
      <c r="B415" s="62" t="s">
        <v>467</v>
      </c>
      <c r="C415" s="23">
        <v>-13070</v>
      </c>
      <c r="D415" s="24" t="s">
        <v>49</v>
      </c>
      <c r="E415" s="24" t="s">
        <v>232</v>
      </c>
      <c r="F415" s="63" t="s">
        <v>0</v>
      </c>
    </row>
    <row r="416" spans="1:6" x14ac:dyDescent="0.25">
      <c r="A416" s="62">
        <v>45341</v>
      </c>
      <c r="B416" s="62" t="s">
        <v>468</v>
      </c>
      <c r="C416" s="23">
        <v>-25042</v>
      </c>
      <c r="D416" s="24" t="s">
        <v>72</v>
      </c>
      <c r="E416" s="24" t="s">
        <v>445</v>
      </c>
      <c r="F416" s="63" t="s">
        <v>0</v>
      </c>
    </row>
    <row r="417" spans="1:6" x14ac:dyDescent="0.25">
      <c r="A417" s="62">
        <v>45341</v>
      </c>
      <c r="B417" s="62" t="s">
        <v>469</v>
      </c>
      <c r="C417" s="23">
        <v>-1886</v>
      </c>
      <c r="D417" s="24" t="s">
        <v>49</v>
      </c>
      <c r="E417" s="24" t="s">
        <v>56</v>
      </c>
      <c r="F417" s="63" t="s">
        <v>0</v>
      </c>
    </row>
    <row r="418" spans="1:6" x14ac:dyDescent="0.25">
      <c r="A418" s="62">
        <v>45341</v>
      </c>
      <c r="B418" s="62" t="s">
        <v>470</v>
      </c>
      <c r="C418" s="23">
        <v>-2940</v>
      </c>
      <c r="D418" s="24" t="s">
        <v>49</v>
      </c>
      <c r="E418" s="24" t="s">
        <v>56</v>
      </c>
      <c r="F418" s="63" t="s">
        <v>0</v>
      </c>
    </row>
    <row r="419" spans="1:6" x14ac:dyDescent="0.25">
      <c r="A419" s="62">
        <v>45341</v>
      </c>
      <c r="B419" s="62" t="s">
        <v>471</v>
      </c>
      <c r="C419" s="23">
        <v>-10515</v>
      </c>
      <c r="D419" s="24" t="s">
        <v>49</v>
      </c>
      <c r="E419" s="24" t="s">
        <v>56</v>
      </c>
      <c r="F419" s="63" t="s">
        <v>0</v>
      </c>
    </row>
    <row r="420" spans="1:6" x14ac:dyDescent="0.25">
      <c r="A420" s="62">
        <v>45338</v>
      </c>
      <c r="B420" s="62" t="s">
        <v>435</v>
      </c>
      <c r="C420" s="23">
        <v>-990</v>
      </c>
      <c r="D420" s="24" t="s">
        <v>52</v>
      </c>
      <c r="E420" s="24" t="s">
        <v>134</v>
      </c>
      <c r="F420" s="63" t="s">
        <v>0</v>
      </c>
    </row>
    <row r="421" spans="1:6" x14ac:dyDescent="0.25">
      <c r="A421" s="62">
        <v>45338</v>
      </c>
      <c r="B421" s="62" t="s">
        <v>472</v>
      </c>
      <c r="C421" s="23">
        <v>-2700</v>
      </c>
      <c r="D421" s="24" t="s">
        <v>52</v>
      </c>
      <c r="E421" s="24" t="s">
        <v>53</v>
      </c>
      <c r="F421" s="63" t="s">
        <v>0</v>
      </c>
    </row>
    <row r="422" spans="1:6" x14ac:dyDescent="0.25">
      <c r="A422" s="62">
        <v>45338</v>
      </c>
      <c r="B422" s="62" t="s">
        <v>473</v>
      </c>
      <c r="C422" s="23">
        <v>-3629</v>
      </c>
      <c r="D422" s="24" t="s">
        <v>90</v>
      </c>
      <c r="E422" s="24" t="s">
        <v>59</v>
      </c>
      <c r="F422" s="63" t="s">
        <v>0</v>
      </c>
    </row>
    <row r="423" spans="1:6" x14ac:dyDescent="0.25">
      <c r="A423" s="62">
        <v>45338</v>
      </c>
      <c r="B423" s="62" t="s">
        <v>474</v>
      </c>
      <c r="C423" s="23">
        <v>-15342</v>
      </c>
      <c r="D423" s="24" t="s">
        <v>49</v>
      </c>
      <c r="E423" s="24" t="s">
        <v>56</v>
      </c>
      <c r="F423" s="63" t="s">
        <v>0</v>
      </c>
    </row>
    <row r="424" spans="1:6" x14ac:dyDescent="0.25">
      <c r="A424" s="62">
        <v>45338</v>
      </c>
      <c r="B424" s="62" t="s">
        <v>475</v>
      </c>
      <c r="C424" s="23">
        <v>-20941</v>
      </c>
      <c r="D424" s="24" t="s">
        <v>49</v>
      </c>
      <c r="E424" s="24" t="s">
        <v>56</v>
      </c>
      <c r="F424" s="63" t="s">
        <v>0</v>
      </c>
    </row>
    <row r="425" spans="1:6" x14ac:dyDescent="0.25">
      <c r="A425" s="62">
        <v>45337</v>
      </c>
      <c r="B425" s="62" t="s">
        <v>476</v>
      </c>
      <c r="C425" s="23">
        <v>-1690</v>
      </c>
      <c r="D425" s="24" t="s">
        <v>52</v>
      </c>
      <c r="E425" s="24" t="s">
        <v>53</v>
      </c>
      <c r="F425" s="63" t="s">
        <v>0</v>
      </c>
    </row>
    <row r="426" spans="1:6" x14ac:dyDescent="0.25">
      <c r="A426" s="62">
        <v>45337</v>
      </c>
      <c r="B426" s="62" t="s">
        <v>477</v>
      </c>
      <c r="C426" s="23">
        <v>-4350</v>
      </c>
      <c r="D426" s="24" t="s">
        <v>52</v>
      </c>
      <c r="E426" s="24" t="s">
        <v>53</v>
      </c>
      <c r="F426" s="63" t="s">
        <v>0</v>
      </c>
    </row>
    <row r="427" spans="1:6" x14ac:dyDescent="0.25">
      <c r="A427" s="62">
        <v>45337</v>
      </c>
      <c r="B427" s="62" t="s">
        <v>478</v>
      </c>
      <c r="C427" s="23">
        <v>-4690</v>
      </c>
      <c r="D427" s="24" t="s">
        <v>49</v>
      </c>
      <c r="E427" s="24" t="s">
        <v>50</v>
      </c>
      <c r="F427" s="63" t="s">
        <v>0</v>
      </c>
    </row>
    <row r="428" spans="1:6" x14ac:dyDescent="0.25">
      <c r="A428" s="62">
        <v>45337</v>
      </c>
      <c r="B428" s="62" t="s">
        <v>479</v>
      </c>
      <c r="C428" s="23">
        <v>-790</v>
      </c>
      <c r="D428" s="24" t="s">
        <v>52</v>
      </c>
      <c r="E428" s="24" t="s">
        <v>134</v>
      </c>
      <c r="F428" s="63" t="s">
        <v>0</v>
      </c>
    </row>
    <row r="429" spans="1:6" x14ac:dyDescent="0.25">
      <c r="A429" s="62">
        <v>45337</v>
      </c>
      <c r="B429" s="62" t="s">
        <v>397</v>
      </c>
      <c r="C429" s="23">
        <v>-3100</v>
      </c>
      <c r="D429" s="24" t="s">
        <v>52</v>
      </c>
      <c r="E429" s="24" t="s">
        <v>53</v>
      </c>
      <c r="F429" s="63" t="s">
        <v>0</v>
      </c>
    </row>
    <row r="430" spans="1:6" x14ac:dyDescent="0.25">
      <c r="A430" s="62">
        <v>45337</v>
      </c>
      <c r="B430" s="62" t="s">
        <v>480</v>
      </c>
      <c r="C430" s="23">
        <v>-7747</v>
      </c>
      <c r="D430" s="24" t="s">
        <v>49</v>
      </c>
      <c r="E430" s="24" t="s">
        <v>56</v>
      </c>
      <c r="F430" s="63" t="s">
        <v>0</v>
      </c>
    </row>
    <row r="431" spans="1:6" x14ac:dyDescent="0.25">
      <c r="A431" s="62">
        <v>45336</v>
      </c>
      <c r="B431" s="62" t="s">
        <v>481</v>
      </c>
      <c r="C431" s="23">
        <v>-3170</v>
      </c>
      <c r="D431" s="24" t="s">
        <v>49</v>
      </c>
      <c r="E431" s="24" t="s">
        <v>56</v>
      </c>
      <c r="F431" s="63" t="s">
        <v>0</v>
      </c>
    </row>
    <row r="432" spans="1:6" x14ac:dyDescent="0.25">
      <c r="A432" s="62">
        <v>45335</v>
      </c>
      <c r="B432" s="62" t="s">
        <v>482</v>
      </c>
      <c r="C432" s="23">
        <v>-10000</v>
      </c>
      <c r="D432" s="24" t="s">
        <v>90</v>
      </c>
      <c r="E432" s="24" t="s">
        <v>91</v>
      </c>
      <c r="F432" s="63" t="s">
        <v>0</v>
      </c>
    </row>
    <row r="433" spans="1:6" x14ac:dyDescent="0.25">
      <c r="A433" s="62">
        <v>45334</v>
      </c>
      <c r="B433" s="62" t="s">
        <v>483</v>
      </c>
      <c r="C433" s="23">
        <v>-2040</v>
      </c>
      <c r="D433" s="24" t="s">
        <v>49</v>
      </c>
      <c r="E433" s="24" t="s">
        <v>56</v>
      </c>
      <c r="F433" s="63" t="s">
        <v>0</v>
      </c>
    </row>
    <row r="434" spans="1:6" x14ac:dyDescent="0.25">
      <c r="A434" s="62">
        <v>45334</v>
      </c>
      <c r="B434" s="62" t="s">
        <v>484</v>
      </c>
      <c r="C434" s="23">
        <v>-390</v>
      </c>
      <c r="D434" s="24" t="s">
        <v>52</v>
      </c>
      <c r="E434" s="24" t="s">
        <v>134</v>
      </c>
      <c r="F434" s="63" t="s">
        <v>0</v>
      </c>
    </row>
    <row r="435" spans="1:6" x14ac:dyDescent="0.25">
      <c r="A435" s="62">
        <v>45334</v>
      </c>
      <c r="B435" s="62" t="s">
        <v>485</v>
      </c>
      <c r="C435" s="23">
        <v>-638</v>
      </c>
      <c r="D435" s="24" t="s">
        <v>72</v>
      </c>
      <c r="E435" s="24" t="s">
        <v>109</v>
      </c>
      <c r="F435" s="63" t="s">
        <v>0</v>
      </c>
    </row>
    <row r="436" spans="1:6" x14ac:dyDescent="0.25">
      <c r="A436" s="62">
        <v>45334</v>
      </c>
      <c r="B436" s="62" t="s">
        <v>486</v>
      </c>
      <c r="C436" s="23">
        <v>-26042</v>
      </c>
      <c r="D436" s="24" t="s">
        <v>72</v>
      </c>
      <c r="E436" s="24" t="s">
        <v>109</v>
      </c>
      <c r="F436" s="63" t="s">
        <v>0</v>
      </c>
    </row>
    <row r="437" spans="1:6" x14ac:dyDescent="0.25">
      <c r="A437" s="62">
        <v>45334</v>
      </c>
      <c r="B437" s="62" t="s">
        <v>487</v>
      </c>
      <c r="C437" s="23">
        <v>-22668</v>
      </c>
      <c r="D437" s="24" t="s">
        <v>49</v>
      </c>
      <c r="E437" s="24" t="s">
        <v>56</v>
      </c>
      <c r="F437" s="63" t="s">
        <v>0</v>
      </c>
    </row>
    <row r="438" spans="1:6" x14ac:dyDescent="0.25">
      <c r="A438" s="62">
        <v>45334</v>
      </c>
      <c r="B438" s="62" t="s">
        <v>488</v>
      </c>
      <c r="C438" s="23">
        <v>-3998</v>
      </c>
      <c r="D438" s="24" t="s">
        <v>49</v>
      </c>
      <c r="E438" s="24" t="s">
        <v>232</v>
      </c>
      <c r="F438" s="63" t="s">
        <v>0</v>
      </c>
    </row>
    <row r="439" spans="1:6" x14ac:dyDescent="0.25">
      <c r="A439" s="62">
        <v>45334</v>
      </c>
      <c r="B439" s="62" t="s">
        <v>489</v>
      </c>
      <c r="C439" s="23">
        <v>-2197</v>
      </c>
      <c r="D439" s="24" t="s">
        <v>49</v>
      </c>
      <c r="E439" s="24" t="s">
        <v>56</v>
      </c>
      <c r="F439" s="63" t="s">
        <v>0</v>
      </c>
    </row>
    <row r="440" spans="1:6" x14ac:dyDescent="0.25">
      <c r="A440" s="62">
        <v>45334</v>
      </c>
      <c r="B440" s="62" t="s">
        <v>490</v>
      </c>
      <c r="C440" s="23">
        <v>-19438</v>
      </c>
      <c r="D440" s="24" t="s">
        <v>49</v>
      </c>
      <c r="E440" s="24" t="s">
        <v>56</v>
      </c>
      <c r="F440" s="63" t="s">
        <v>0</v>
      </c>
    </row>
    <row r="441" spans="1:6" x14ac:dyDescent="0.25">
      <c r="A441" s="62">
        <v>45334</v>
      </c>
      <c r="B441" s="62" t="s">
        <v>491</v>
      </c>
      <c r="C441" s="23">
        <v>-401</v>
      </c>
      <c r="D441" s="24" t="s">
        <v>49</v>
      </c>
      <c r="E441" s="24" t="s">
        <v>56</v>
      </c>
      <c r="F441" s="63" t="s">
        <v>0</v>
      </c>
    </row>
    <row r="442" spans="1:6" x14ac:dyDescent="0.25">
      <c r="A442" s="62">
        <v>45334</v>
      </c>
      <c r="B442" s="62" t="s">
        <v>492</v>
      </c>
      <c r="C442" s="23">
        <v>-7300</v>
      </c>
      <c r="D442" s="24" t="s">
        <v>83</v>
      </c>
      <c r="E442" s="24" t="s">
        <v>84</v>
      </c>
      <c r="F442" s="63" t="s">
        <v>0</v>
      </c>
    </row>
    <row r="443" spans="1:6" x14ac:dyDescent="0.25">
      <c r="A443" s="62">
        <v>45334</v>
      </c>
      <c r="B443" s="62" t="s">
        <v>493</v>
      </c>
      <c r="C443" s="23">
        <v>-6580</v>
      </c>
      <c r="D443" s="24" t="s">
        <v>52</v>
      </c>
      <c r="E443" s="24" t="s">
        <v>53</v>
      </c>
      <c r="F443" s="63" t="s">
        <v>0</v>
      </c>
    </row>
    <row r="444" spans="1:6" x14ac:dyDescent="0.25">
      <c r="A444" s="62">
        <v>45334</v>
      </c>
      <c r="B444" s="62" t="s">
        <v>494</v>
      </c>
      <c r="C444" s="23">
        <v>-2945</v>
      </c>
      <c r="D444" s="24" t="s">
        <v>49</v>
      </c>
      <c r="E444" s="24" t="s">
        <v>56</v>
      </c>
      <c r="F444" s="63" t="s">
        <v>0</v>
      </c>
    </row>
    <row r="445" spans="1:6" x14ac:dyDescent="0.25">
      <c r="A445" s="62">
        <v>45334</v>
      </c>
      <c r="B445" s="62" t="s">
        <v>495</v>
      </c>
      <c r="C445" s="23">
        <v>1899</v>
      </c>
      <c r="D445" s="24" t="s">
        <v>72</v>
      </c>
      <c r="E445" s="24" t="s">
        <v>73</v>
      </c>
      <c r="F445" s="63" t="s">
        <v>0</v>
      </c>
    </row>
    <row r="446" spans="1:6" x14ac:dyDescent="0.25">
      <c r="A446" s="62">
        <v>45334</v>
      </c>
      <c r="B446" s="62" t="s">
        <v>496</v>
      </c>
      <c r="C446" s="23">
        <v>-5064</v>
      </c>
      <c r="D446" s="24" t="s">
        <v>49</v>
      </c>
      <c r="E446" s="24" t="s">
        <v>50</v>
      </c>
      <c r="F446" s="63" t="s">
        <v>0</v>
      </c>
    </row>
    <row r="447" spans="1:6" x14ac:dyDescent="0.25">
      <c r="A447" s="62">
        <v>45334</v>
      </c>
      <c r="B447" s="62" t="s">
        <v>497</v>
      </c>
      <c r="C447" s="23">
        <v>-13043</v>
      </c>
      <c r="D447" s="24" t="s">
        <v>49</v>
      </c>
      <c r="E447" s="24" t="s">
        <v>56</v>
      </c>
      <c r="F447" s="63" t="s">
        <v>0</v>
      </c>
    </row>
    <row r="448" spans="1:6" x14ac:dyDescent="0.25">
      <c r="A448" s="62">
        <v>45332</v>
      </c>
      <c r="B448" s="62" t="s">
        <v>112</v>
      </c>
      <c r="C448" s="23">
        <v>-410</v>
      </c>
      <c r="D448" s="24" t="s">
        <v>49</v>
      </c>
      <c r="E448" s="24" t="s">
        <v>56</v>
      </c>
      <c r="F448" s="63" t="s">
        <v>0</v>
      </c>
    </row>
    <row r="449" spans="1:6" x14ac:dyDescent="0.25">
      <c r="A449" s="62">
        <v>45332</v>
      </c>
      <c r="B449" s="62" t="s">
        <v>498</v>
      </c>
      <c r="C449" s="23">
        <v>-218903.64</v>
      </c>
      <c r="D449" s="24" t="s">
        <v>46</v>
      </c>
      <c r="E449" s="24" t="s">
        <v>10</v>
      </c>
      <c r="F449" s="63" t="s">
        <v>0</v>
      </c>
    </row>
    <row r="450" spans="1:6" x14ac:dyDescent="0.25">
      <c r="A450" s="62">
        <v>45332</v>
      </c>
      <c r="B450" s="62" t="s">
        <v>499</v>
      </c>
      <c r="C450" s="23">
        <v>-42901.15</v>
      </c>
      <c r="D450" s="24" t="s">
        <v>46</v>
      </c>
      <c r="E450" s="24" t="s">
        <v>10</v>
      </c>
      <c r="F450" s="63" t="s">
        <v>0</v>
      </c>
    </row>
    <row r="451" spans="1:6" x14ac:dyDescent="0.25">
      <c r="A451" s="62">
        <v>45332</v>
      </c>
      <c r="B451" s="62" t="s">
        <v>498</v>
      </c>
      <c r="C451" s="23">
        <v>218903.64</v>
      </c>
      <c r="D451" s="24" t="s">
        <v>46</v>
      </c>
      <c r="E451" s="24" t="s">
        <v>10</v>
      </c>
      <c r="F451" s="63" t="s">
        <v>10</v>
      </c>
    </row>
    <row r="452" spans="1:6" x14ac:dyDescent="0.25">
      <c r="A452" s="62">
        <v>45331</v>
      </c>
      <c r="B452" s="62" t="s">
        <v>139</v>
      </c>
      <c r="C452" s="23">
        <v>1071473</v>
      </c>
      <c r="D452" s="24" t="s">
        <v>58</v>
      </c>
      <c r="E452" s="24" t="s">
        <v>58</v>
      </c>
      <c r="F452" s="63" t="s">
        <v>0</v>
      </c>
    </row>
    <row r="453" spans="1:6" x14ac:dyDescent="0.25">
      <c r="A453" s="62">
        <v>45330</v>
      </c>
      <c r="B453" s="62" t="s">
        <v>500</v>
      </c>
      <c r="C453" s="23">
        <v>-32489</v>
      </c>
      <c r="D453" s="24" t="s">
        <v>49</v>
      </c>
      <c r="E453" s="24" t="s">
        <v>232</v>
      </c>
      <c r="F453" s="63" t="s">
        <v>0</v>
      </c>
    </row>
    <row r="454" spans="1:6" x14ac:dyDescent="0.25">
      <c r="A454" s="62">
        <v>45330</v>
      </c>
      <c r="B454" s="62" t="s">
        <v>435</v>
      </c>
      <c r="C454" s="23">
        <v>-990</v>
      </c>
      <c r="D454" s="24" t="s">
        <v>52</v>
      </c>
      <c r="E454" s="24" t="s">
        <v>134</v>
      </c>
      <c r="F454" s="63" t="s">
        <v>0</v>
      </c>
    </row>
    <row r="455" spans="1:6" x14ac:dyDescent="0.25">
      <c r="A455" s="62">
        <v>45330</v>
      </c>
      <c r="B455" s="62" t="s">
        <v>112</v>
      </c>
      <c r="C455" s="23">
        <v>-1650</v>
      </c>
      <c r="D455" s="24" t="s">
        <v>49</v>
      </c>
      <c r="E455" s="24" t="s">
        <v>56</v>
      </c>
      <c r="F455" s="63" t="s">
        <v>0</v>
      </c>
    </row>
    <row r="456" spans="1:6" x14ac:dyDescent="0.25">
      <c r="A456" s="62">
        <v>45329</v>
      </c>
      <c r="B456" s="62" t="s">
        <v>501</v>
      </c>
      <c r="C456" s="23">
        <v>-2990</v>
      </c>
      <c r="D456" s="24" t="s">
        <v>52</v>
      </c>
      <c r="E456" s="24" t="s">
        <v>53</v>
      </c>
      <c r="F456" s="63" t="s">
        <v>0</v>
      </c>
    </row>
    <row r="457" spans="1:6" x14ac:dyDescent="0.25">
      <c r="A457" s="62">
        <v>45329</v>
      </c>
      <c r="B457" s="62" t="s">
        <v>502</v>
      </c>
      <c r="C457" s="23">
        <v>-3030</v>
      </c>
      <c r="D457" s="24" t="s">
        <v>52</v>
      </c>
      <c r="E457" s="24" t="s">
        <v>134</v>
      </c>
      <c r="F457" s="63" t="s">
        <v>0</v>
      </c>
    </row>
    <row r="458" spans="1:6" x14ac:dyDescent="0.25">
      <c r="A458" s="62">
        <v>45329</v>
      </c>
      <c r="B458" s="62" t="s">
        <v>503</v>
      </c>
      <c r="C458" s="23">
        <v>-749</v>
      </c>
      <c r="D458" s="24" t="s">
        <v>49</v>
      </c>
      <c r="E458" s="24" t="s">
        <v>56</v>
      </c>
      <c r="F458" s="63" t="s">
        <v>0</v>
      </c>
    </row>
    <row r="459" spans="1:6" x14ac:dyDescent="0.25">
      <c r="A459" s="62">
        <v>45329</v>
      </c>
      <c r="B459" s="62" t="s">
        <v>504</v>
      </c>
      <c r="C459" s="23">
        <v>-6832</v>
      </c>
      <c r="D459" s="24" t="s">
        <v>49</v>
      </c>
      <c r="E459" s="24" t="s">
        <v>56</v>
      </c>
      <c r="F459" s="63" t="s">
        <v>0</v>
      </c>
    </row>
    <row r="460" spans="1:6" x14ac:dyDescent="0.25">
      <c r="A460" s="62">
        <v>45328</v>
      </c>
      <c r="B460" s="62" t="s">
        <v>505</v>
      </c>
      <c r="C460" s="23">
        <v>-13320</v>
      </c>
      <c r="D460" s="24" t="s">
        <v>72</v>
      </c>
      <c r="E460" s="24" t="s">
        <v>506</v>
      </c>
      <c r="F460" s="63" t="s">
        <v>0</v>
      </c>
    </row>
    <row r="461" spans="1:6" x14ac:dyDescent="0.25">
      <c r="A461" s="62">
        <v>45328</v>
      </c>
      <c r="B461" s="62" t="s">
        <v>507</v>
      </c>
      <c r="C461" s="23">
        <v>-8518</v>
      </c>
      <c r="D461" s="24" t="s">
        <v>46</v>
      </c>
      <c r="E461" s="24" t="s">
        <v>145</v>
      </c>
      <c r="F461" s="63" t="s">
        <v>0</v>
      </c>
    </row>
    <row r="462" spans="1:6" x14ac:dyDescent="0.25">
      <c r="A462" s="62">
        <v>45328</v>
      </c>
      <c r="B462" s="62" t="s">
        <v>508</v>
      </c>
      <c r="C462" s="23">
        <v>-3279</v>
      </c>
      <c r="D462" s="24" t="s">
        <v>49</v>
      </c>
      <c r="E462" s="24" t="s">
        <v>50</v>
      </c>
      <c r="F462" s="63" t="s">
        <v>0</v>
      </c>
    </row>
    <row r="463" spans="1:6" x14ac:dyDescent="0.25">
      <c r="A463" s="62">
        <v>45327</v>
      </c>
      <c r="B463" s="62" t="s">
        <v>509</v>
      </c>
      <c r="C463" s="23">
        <v>-6954</v>
      </c>
      <c r="D463" s="24" t="s">
        <v>49</v>
      </c>
      <c r="E463" s="24" t="s">
        <v>50</v>
      </c>
      <c r="F463" s="63" t="s">
        <v>0</v>
      </c>
    </row>
    <row r="464" spans="1:6" x14ac:dyDescent="0.25">
      <c r="A464" s="62">
        <v>45327</v>
      </c>
      <c r="B464" s="62" t="s">
        <v>510</v>
      </c>
      <c r="C464" s="23">
        <v>-5167</v>
      </c>
      <c r="D464" s="24" t="s">
        <v>49</v>
      </c>
      <c r="E464" s="24" t="s">
        <v>56</v>
      </c>
      <c r="F464" s="63" t="s">
        <v>0</v>
      </c>
    </row>
    <row r="465" spans="1:6" x14ac:dyDescent="0.25">
      <c r="A465" s="62">
        <v>45327</v>
      </c>
      <c r="B465" s="62" t="s">
        <v>511</v>
      </c>
      <c r="C465" s="23">
        <v>-4567</v>
      </c>
      <c r="D465" s="24" t="s">
        <v>46</v>
      </c>
      <c r="E465" s="24" t="s">
        <v>512</v>
      </c>
      <c r="F465" s="63" t="s">
        <v>0</v>
      </c>
    </row>
    <row r="466" spans="1:6" x14ac:dyDescent="0.25">
      <c r="A466" s="62">
        <v>45327</v>
      </c>
      <c r="B466" s="62" t="s">
        <v>513</v>
      </c>
      <c r="C466" s="23">
        <v>-8460</v>
      </c>
      <c r="D466" s="24" t="s">
        <v>46</v>
      </c>
      <c r="E466" s="24" t="s">
        <v>428</v>
      </c>
      <c r="F466" s="63" t="s">
        <v>0</v>
      </c>
    </row>
    <row r="467" spans="1:6" x14ac:dyDescent="0.25">
      <c r="A467" s="62">
        <v>45327</v>
      </c>
      <c r="B467" s="62" t="s">
        <v>514</v>
      </c>
      <c r="C467" s="23">
        <v>-618</v>
      </c>
      <c r="D467" s="24" t="s">
        <v>49</v>
      </c>
      <c r="E467" s="24" t="s">
        <v>56</v>
      </c>
      <c r="F467" s="63" t="s">
        <v>0</v>
      </c>
    </row>
    <row r="468" spans="1:6" x14ac:dyDescent="0.25">
      <c r="A468" s="62">
        <v>45327</v>
      </c>
      <c r="B468" s="62" t="s">
        <v>515</v>
      </c>
      <c r="C468" s="23">
        <v>-5970</v>
      </c>
      <c r="D468" s="24" t="s">
        <v>49</v>
      </c>
      <c r="E468" s="24" t="s">
        <v>232</v>
      </c>
      <c r="F468" s="63" t="s">
        <v>0</v>
      </c>
    </row>
    <row r="469" spans="1:6" x14ac:dyDescent="0.25">
      <c r="A469" s="62">
        <v>45327</v>
      </c>
      <c r="B469" s="62" t="s">
        <v>516</v>
      </c>
      <c r="C469" s="23">
        <v>-27078</v>
      </c>
      <c r="D469" s="24" t="s">
        <v>49</v>
      </c>
      <c r="E469" s="24" t="s">
        <v>56</v>
      </c>
      <c r="F469" s="63" t="s">
        <v>0</v>
      </c>
    </row>
    <row r="470" spans="1:6" x14ac:dyDescent="0.25">
      <c r="A470" s="62">
        <v>45327</v>
      </c>
      <c r="B470" s="62" t="s">
        <v>517</v>
      </c>
      <c r="C470" s="23">
        <v>-20561</v>
      </c>
      <c r="D470" s="24" t="s">
        <v>90</v>
      </c>
      <c r="E470" s="24" t="s">
        <v>59</v>
      </c>
      <c r="F470" s="63" t="s">
        <v>0</v>
      </c>
    </row>
    <row r="471" spans="1:6" x14ac:dyDescent="0.25">
      <c r="A471" s="62">
        <v>45327</v>
      </c>
      <c r="B471" s="62" t="s">
        <v>518</v>
      </c>
      <c r="C471" s="23">
        <v>-37297</v>
      </c>
      <c r="D471" s="24" t="s">
        <v>49</v>
      </c>
      <c r="E471" s="24" t="s">
        <v>56</v>
      </c>
      <c r="F471" s="63" t="s">
        <v>0</v>
      </c>
    </row>
    <row r="472" spans="1:6" x14ac:dyDescent="0.25">
      <c r="A472" s="62">
        <v>45327</v>
      </c>
      <c r="B472" s="62" t="s">
        <v>519</v>
      </c>
      <c r="C472" s="23">
        <v>-1724</v>
      </c>
      <c r="D472" s="24" t="s">
        <v>49</v>
      </c>
      <c r="E472" s="24" t="s">
        <v>56</v>
      </c>
      <c r="F472" s="63" t="s">
        <v>0</v>
      </c>
    </row>
    <row r="473" spans="1:6" x14ac:dyDescent="0.25">
      <c r="A473" s="62">
        <v>45327</v>
      </c>
      <c r="B473" s="62" t="s">
        <v>520</v>
      </c>
      <c r="C473" s="23">
        <v>-2859</v>
      </c>
      <c r="D473" s="24" t="s">
        <v>49</v>
      </c>
      <c r="E473" s="24" t="s">
        <v>50</v>
      </c>
      <c r="F473" s="63" t="s">
        <v>0</v>
      </c>
    </row>
    <row r="474" spans="1:6" x14ac:dyDescent="0.25">
      <c r="A474" s="62">
        <v>45327</v>
      </c>
      <c r="B474" s="62" t="s">
        <v>112</v>
      </c>
      <c r="C474" s="23">
        <v>-7450</v>
      </c>
      <c r="D474" s="24" t="s">
        <v>49</v>
      </c>
      <c r="E474" s="24" t="s">
        <v>56</v>
      </c>
      <c r="F474" s="63" t="s">
        <v>0</v>
      </c>
    </row>
    <row r="475" spans="1:6" x14ac:dyDescent="0.25">
      <c r="A475" s="62">
        <v>45327</v>
      </c>
      <c r="B475" s="62" t="s">
        <v>521</v>
      </c>
      <c r="C475" s="23">
        <v>-10000</v>
      </c>
      <c r="D475" s="24" t="s">
        <v>90</v>
      </c>
      <c r="E475" s="24" t="s">
        <v>91</v>
      </c>
      <c r="F475" s="63" t="s">
        <v>0</v>
      </c>
    </row>
    <row r="476" spans="1:6" x14ac:dyDescent="0.25">
      <c r="A476" s="62">
        <v>45325</v>
      </c>
      <c r="B476" s="62" t="s">
        <v>171</v>
      </c>
      <c r="C476" s="23">
        <v>1914</v>
      </c>
      <c r="D476" s="24" t="s">
        <v>167</v>
      </c>
      <c r="E476" s="24" t="s">
        <v>168</v>
      </c>
      <c r="F476" s="63" t="s">
        <v>0</v>
      </c>
    </row>
    <row r="477" spans="1:6" x14ac:dyDescent="0.25">
      <c r="A477" s="62">
        <v>45324</v>
      </c>
      <c r="B477" s="62" t="s">
        <v>522</v>
      </c>
      <c r="C477" s="23">
        <v>-4960</v>
      </c>
      <c r="D477" s="24" t="s">
        <v>52</v>
      </c>
      <c r="E477" s="24" t="s">
        <v>53</v>
      </c>
      <c r="F477" s="63" t="s">
        <v>0</v>
      </c>
    </row>
    <row r="478" spans="1:6" x14ac:dyDescent="0.25">
      <c r="A478" s="62">
        <v>45324</v>
      </c>
      <c r="B478" s="62" t="s">
        <v>523</v>
      </c>
      <c r="C478" s="23">
        <v>-14000</v>
      </c>
      <c r="D478" s="24" t="s">
        <v>90</v>
      </c>
      <c r="E478" s="24" t="s">
        <v>106</v>
      </c>
      <c r="F478" s="63" t="s">
        <v>0</v>
      </c>
    </row>
    <row r="479" spans="1:6" x14ac:dyDescent="0.25">
      <c r="A479" s="62">
        <v>45324</v>
      </c>
      <c r="B479" s="62" t="s">
        <v>172</v>
      </c>
      <c r="C479" s="23">
        <v>260490</v>
      </c>
      <c r="D479" s="24" t="s">
        <v>58</v>
      </c>
      <c r="E479" s="24" t="s">
        <v>58</v>
      </c>
      <c r="F479" s="63" t="s">
        <v>0</v>
      </c>
    </row>
    <row r="480" spans="1:6" x14ac:dyDescent="0.25">
      <c r="A480" s="62">
        <v>45323</v>
      </c>
      <c r="B480" s="62" t="s">
        <v>524</v>
      </c>
      <c r="C480" s="23">
        <v>-1850</v>
      </c>
      <c r="D480" s="24" t="s">
        <v>52</v>
      </c>
      <c r="E480" s="24" t="s">
        <v>53</v>
      </c>
      <c r="F480" s="63" t="s">
        <v>0</v>
      </c>
    </row>
    <row r="481" spans="1:6" x14ac:dyDescent="0.25">
      <c r="A481" s="62">
        <v>45323</v>
      </c>
      <c r="B481" s="62" t="s">
        <v>525</v>
      </c>
      <c r="C481" s="23">
        <v>-950</v>
      </c>
      <c r="D481" s="24" t="s">
        <v>52</v>
      </c>
      <c r="E481" s="24" t="s">
        <v>53</v>
      </c>
      <c r="F481" s="63" t="s">
        <v>0</v>
      </c>
    </row>
    <row r="482" spans="1:6" x14ac:dyDescent="0.25">
      <c r="A482" s="62">
        <v>45323</v>
      </c>
      <c r="B482" s="62" t="s">
        <v>526</v>
      </c>
      <c r="C482" s="23">
        <v>-2500</v>
      </c>
      <c r="D482" s="24" t="s">
        <v>52</v>
      </c>
      <c r="E482" s="24" t="s">
        <v>53</v>
      </c>
      <c r="F482" s="63" t="s">
        <v>0</v>
      </c>
    </row>
    <row r="483" spans="1:6" x14ac:dyDescent="0.25">
      <c r="A483" s="62">
        <v>45323</v>
      </c>
      <c r="B483" s="62" t="s">
        <v>527</v>
      </c>
      <c r="C483" s="23">
        <v>-3740</v>
      </c>
      <c r="D483" s="24" t="s">
        <v>49</v>
      </c>
      <c r="E483" s="24" t="s">
        <v>56</v>
      </c>
      <c r="F483" s="63" t="s">
        <v>0</v>
      </c>
    </row>
    <row r="484" spans="1:6" x14ac:dyDescent="0.25">
      <c r="A484" s="62">
        <v>45323</v>
      </c>
      <c r="B484" s="62" t="s">
        <v>528</v>
      </c>
      <c r="C484" s="23">
        <v>-9074</v>
      </c>
      <c r="D484" s="24" t="s">
        <v>49</v>
      </c>
      <c r="E484" s="24" t="s">
        <v>56</v>
      </c>
      <c r="F484" s="63" t="s">
        <v>0</v>
      </c>
    </row>
    <row r="485" spans="1:6" x14ac:dyDescent="0.25">
      <c r="A485" s="62">
        <v>45322</v>
      </c>
      <c r="B485" s="62" t="s">
        <v>529</v>
      </c>
      <c r="C485" s="23">
        <v>-1640</v>
      </c>
      <c r="D485" s="24" t="s">
        <v>52</v>
      </c>
      <c r="E485" s="24" t="s">
        <v>134</v>
      </c>
      <c r="F485" s="63" t="s">
        <v>0</v>
      </c>
    </row>
    <row r="486" spans="1:6" x14ac:dyDescent="0.25">
      <c r="A486" s="62">
        <v>45322</v>
      </c>
      <c r="B486" s="62" t="s">
        <v>413</v>
      </c>
      <c r="C486" s="23">
        <v>-2700</v>
      </c>
      <c r="D486" s="24" t="s">
        <v>52</v>
      </c>
      <c r="E486" s="24" t="s">
        <v>53</v>
      </c>
      <c r="F486" s="63" t="s">
        <v>0</v>
      </c>
    </row>
    <row r="487" spans="1:6" x14ac:dyDescent="0.25">
      <c r="A487" s="62">
        <v>45322</v>
      </c>
      <c r="B487" s="62" t="s">
        <v>43</v>
      </c>
      <c r="C487" s="23">
        <v>-2222</v>
      </c>
      <c r="D487" s="24" t="s">
        <v>167</v>
      </c>
      <c r="E487" s="24" t="s">
        <v>168</v>
      </c>
      <c r="F487" s="63" t="s">
        <v>0</v>
      </c>
    </row>
    <row r="488" spans="1:6" x14ac:dyDescent="0.25">
      <c r="A488" s="62">
        <v>45322</v>
      </c>
      <c r="B488" s="62" t="s">
        <v>530</v>
      </c>
      <c r="C488" s="23">
        <v>-5454</v>
      </c>
      <c r="D488" s="24" t="s">
        <v>90</v>
      </c>
      <c r="E488" s="24" t="s">
        <v>59</v>
      </c>
      <c r="F488" s="63" t="s">
        <v>0</v>
      </c>
    </row>
    <row r="489" spans="1:6" x14ac:dyDescent="0.25">
      <c r="A489" s="62">
        <v>45321</v>
      </c>
      <c r="B489" s="62" t="s">
        <v>495</v>
      </c>
      <c r="C489" s="23">
        <v>-1899</v>
      </c>
      <c r="D489" s="24" t="s">
        <v>72</v>
      </c>
      <c r="E489" s="24" t="s">
        <v>73</v>
      </c>
      <c r="F489" s="63" t="s">
        <v>0</v>
      </c>
    </row>
    <row r="490" spans="1:6" x14ac:dyDescent="0.25">
      <c r="A490" s="62">
        <v>45320</v>
      </c>
      <c r="B490" s="62" t="s">
        <v>531</v>
      </c>
      <c r="C490" s="23">
        <v>-5230</v>
      </c>
      <c r="D490" s="24" t="s">
        <v>49</v>
      </c>
      <c r="E490" s="24" t="s">
        <v>56</v>
      </c>
      <c r="F490" s="63" t="s">
        <v>0</v>
      </c>
    </row>
    <row r="491" spans="1:6" x14ac:dyDescent="0.25">
      <c r="A491" s="62">
        <v>45320</v>
      </c>
      <c r="B491" s="62" t="s">
        <v>532</v>
      </c>
      <c r="C491" s="23">
        <v>-10967</v>
      </c>
      <c r="D491" s="24" t="s">
        <v>49</v>
      </c>
      <c r="E491" s="24" t="s">
        <v>56</v>
      </c>
      <c r="F491" s="63" t="s">
        <v>0</v>
      </c>
    </row>
    <row r="492" spans="1:6" x14ac:dyDescent="0.25">
      <c r="A492" s="62">
        <v>45320</v>
      </c>
      <c r="B492" s="62" t="s">
        <v>533</v>
      </c>
      <c r="C492" s="23">
        <v>-1782</v>
      </c>
      <c r="D492" s="24" t="s">
        <v>49</v>
      </c>
      <c r="E492" s="24" t="s">
        <v>56</v>
      </c>
      <c r="F492" s="63" t="s">
        <v>0</v>
      </c>
    </row>
    <row r="493" spans="1:6" x14ac:dyDescent="0.25">
      <c r="A493" s="62">
        <v>45320</v>
      </c>
      <c r="B493" s="62" t="s">
        <v>534</v>
      </c>
      <c r="C493" s="23">
        <v>-13915</v>
      </c>
      <c r="D493" s="24" t="s">
        <v>49</v>
      </c>
      <c r="E493" s="24" t="s">
        <v>56</v>
      </c>
      <c r="F493" s="63" t="s">
        <v>0</v>
      </c>
    </row>
    <row r="494" spans="1:6" x14ac:dyDescent="0.25">
      <c r="A494" s="62">
        <v>45320</v>
      </c>
      <c r="B494" s="62" t="s">
        <v>535</v>
      </c>
      <c r="C494" s="23">
        <v>-21980</v>
      </c>
      <c r="D494" s="24" t="s">
        <v>49</v>
      </c>
      <c r="E494" s="24" t="s">
        <v>213</v>
      </c>
      <c r="F494" s="63" t="s">
        <v>0</v>
      </c>
    </row>
    <row r="495" spans="1:6" x14ac:dyDescent="0.25">
      <c r="A495" s="62">
        <v>45320</v>
      </c>
      <c r="B495" s="62" t="s">
        <v>536</v>
      </c>
      <c r="C495" s="23">
        <v>-10847.71</v>
      </c>
      <c r="D495" s="24" t="s">
        <v>49</v>
      </c>
      <c r="E495" s="24" t="s">
        <v>67</v>
      </c>
      <c r="F495" s="63" t="s">
        <v>0</v>
      </c>
    </row>
    <row r="496" spans="1:6" x14ac:dyDescent="0.25">
      <c r="A496" s="62">
        <v>45320</v>
      </c>
      <c r="B496" s="62" t="s">
        <v>537</v>
      </c>
      <c r="C496" s="23">
        <v>-27160</v>
      </c>
      <c r="D496" s="24" t="s">
        <v>49</v>
      </c>
      <c r="E496" s="24" t="s">
        <v>56</v>
      </c>
      <c r="F496" s="63" t="s">
        <v>0</v>
      </c>
    </row>
    <row r="497" spans="1:6" x14ac:dyDescent="0.25">
      <c r="A497" s="62">
        <v>45317</v>
      </c>
      <c r="B497" s="62" t="s">
        <v>538</v>
      </c>
      <c r="C497" s="23">
        <v>-3563.51</v>
      </c>
      <c r="D497" s="24" t="s">
        <v>49</v>
      </c>
      <c r="E497" s="24" t="s">
        <v>67</v>
      </c>
      <c r="F497" s="63" t="s">
        <v>0</v>
      </c>
    </row>
    <row r="498" spans="1:6" x14ac:dyDescent="0.25">
      <c r="A498" s="62">
        <v>45316</v>
      </c>
      <c r="B498" s="62" t="s">
        <v>539</v>
      </c>
      <c r="C498" s="23">
        <v>-999</v>
      </c>
      <c r="D498" s="24" t="s">
        <v>46</v>
      </c>
      <c r="E498" s="24" t="s">
        <v>63</v>
      </c>
      <c r="F498" s="63" t="s">
        <v>0</v>
      </c>
    </row>
    <row r="499" spans="1:6" x14ac:dyDescent="0.25">
      <c r="A499" s="62">
        <v>45316</v>
      </c>
      <c r="B499" s="62" t="s">
        <v>540</v>
      </c>
      <c r="C499" s="23">
        <v>35293</v>
      </c>
      <c r="D499" s="24" t="s">
        <v>49</v>
      </c>
      <c r="E499" s="24" t="s">
        <v>213</v>
      </c>
      <c r="F499" s="63" t="s">
        <v>0</v>
      </c>
    </row>
    <row r="500" spans="1:6" x14ac:dyDescent="0.25">
      <c r="A500" s="62">
        <v>45315</v>
      </c>
      <c r="B500" s="62" t="s">
        <v>541</v>
      </c>
      <c r="C500" s="23">
        <v>117069</v>
      </c>
      <c r="D500" s="24" t="s">
        <v>167</v>
      </c>
      <c r="E500" s="24" t="s">
        <v>183</v>
      </c>
      <c r="F500" s="63" t="s">
        <v>3</v>
      </c>
    </row>
    <row r="501" spans="1:6" x14ac:dyDescent="0.25">
      <c r="A501" s="62">
        <v>45315</v>
      </c>
      <c r="B501" s="62" t="s">
        <v>541</v>
      </c>
      <c r="C501" s="23">
        <v>-117069</v>
      </c>
      <c r="D501" s="24" t="s">
        <v>167</v>
      </c>
      <c r="E501" s="24" t="s">
        <v>183</v>
      </c>
      <c r="F501" s="63" t="s">
        <v>0</v>
      </c>
    </row>
    <row r="502" spans="1:6" x14ac:dyDescent="0.25">
      <c r="A502" s="62">
        <v>45315</v>
      </c>
      <c r="B502" s="62" t="s">
        <v>542</v>
      </c>
      <c r="C502" s="23">
        <v>-720</v>
      </c>
      <c r="D502" s="24" t="s">
        <v>49</v>
      </c>
      <c r="E502" s="24" t="s">
        <v>56</v>
      </c>
      <c r="F502" s="63" t="s">
        <v>0</v>
      </c>
    </row>
    <row r="503" spans="1:6" x14ac:dyDescent="0.25">
      <c r="A503" s="62">
        <v>45315</v>
      </c>
      <c r="B503" s="62" t="s">
        <v>543</v>
      </c>
      <c r="C503" s="23">
        <v>-1542</v>
      </c>
      <c r="D503" s="24" t="s">
        <v>49</v>
      </c>
      <c r="E503" s="24" t="s">
        <v>56</v>
      </c>
      <c r="F503" s="63" t="s">
        <v>0</v>
      </c>
    </row>
    <row r="504" spans="1:6" x14ac:dyDescent="0.25">
      <c r="A504" s="62">
        <v>45314</v>
      </c>
      <c r="B504" s="62" t="s">
        <v>544</v>
      </c>
      <c r="C504" s="23">
        <v>-1200</v>
      </c>
      <c r="D504" s="24" t="s">
        <v>52</v>
      </c>
      <c r="E504" s="24" t="s">
        <v>134</v>
      </c>
      <c r="F504" s="63" t="s">
        <v>0</v>
      </c>
    </row>
    <row r="505" spans="1:6" x14ac:dyDescent="0.25">
      <c r="A505" s="62">
        <v>45314</v>
      </c>
      <c r="B505" s="62" t="s">
        <v>545</v>
      </c>
      <c r="C505" s="23">
        <v>-5000</v>
      </c>
      <c r="D505" s="24" t="s">
        <v>49</v>
      </c>
      <c r="E505" s="24" t="s">
        <v>232</v>
      </c>
      <c r="F505" s="63" t="s">
        <v>0</v>
      </c>
    </row>
    <row r="506" spans="1:6" x14ac:dyDescent="0.25">
      <c r="A506" s="62">
        <v>45313</v>
      </c>
      <c r="B506" s="62" t="s">
        <v>546</v>
      </c>
      <c r="C506" s="23">
        <v>-13405</v>
      </c>
      <c r="D506" s="24" t="s">
        <v>49</v>
      </c>
      <c r="E506" s="24" t="s">
        <v>50</v>
      </c>
      <c r="F506" s="63" t="s">
        <v>0</v>
      </c>
    </row>
    <row r="507" spans="1:6" x14ac:dyDescent="0.25">
      <c r="A507" s="62">
        <v>45313</v>
      </c>
      <c r="B507" s="62" t="s">
        <v>547</v>
      </c>
      <c r="C507" s="23">
        <v>-1898</v>
      </c>
      <c r="D507" s="24" t="s">
        <v>49</v>
      </c>
      <c r="E507" s="24" t="s">
        <v>56</v>
      </c>
      <c r="F507" s="63" t="s">
        <v>0</v>
      </c>
    </row>
    <row r="508" spans="1:6" x14ac:dyDescent="0.25">
      <c r="A508" s="62">
        <v>45313</v>
      </c>
      <c r="B508" s="62" t="s">
        <v>329</v>
      </c>
      <c r="C508" s="23">
        <v>-6824</v>
      </c>
      <c r="D508" s="24" t="s">
        <v>46</v>
      </c>
      <c r="E508" s="24" t="s">
        <v>80</v>
      </c>
      <c r="F508" s="63" t="s">
        <v>0</v>
      </c>
    </row>
    <row r="509" spans="1:6" x14ac:dyDescent="0.25">
      <c r="A509" s="62">
        <v>45313</v>
      </c>
      <c r="B509" s="62" t="s">
        <v>454</v>
      </c>
      <c r="C509" s="23">
        <v>-6944</v>
      </c>
      <c r="D509" s="24" t="s">
        <v>46</v>
      </c>
      <c r="E509" s="24" t="s">
        <v>150</v>
      </c>
      <c r="F509" s="63" t="s">
        <v>0</v>
      </c>
    </row>
    <row r="510" spans="1:6" x14ac:dyDescent="0.25">
      <c r="A510" s="62">
        <v>45313</v>
      </c>
      <c r="B510" s="62" t="s">
        <v>548</v>
      </c>
      <c r="C510" s="23">
        <v>-39360</v>
      </c>
      <c r="D510" s="24" t="s">
        <v>72</v>
      </c>
      <c r="E510" s="24" t="s">
        <v>109</v>
      </c>
      <c r="F510" s="63" t="s">
        <v>0</v>
      </c>
    </row>
    <row r="511" spans="1:6" x14ac:dyDescent="0.25">
      <c r="A511" s="62">
        <v>45313</v>
      </c>
      <c r="B511" s="62" t="s">
        <v>549</v>
      </c>
      <c r="C511" s="23">
        <v>-1490</v>
      </c>
      <c r="D511" s="24" t="s">
        <v>49</v>
      </c>
      <c r="E511" s="24" t="s">
        <v>56</v>
      </c>
      <c r="F511" s="63" t="s">
        <v>0</v>
      </c>
    </row>
    <row r="512" spans="1:6" x14ac:dyDescent="0.25">
      <c r="A512" s="62">
        <v>45313</v>
      </c>
      <c r="B512" s="62" t="s">
        <v>550</v>
      </c>
      <c r="C512" s="23">
        <v>-2676</v>
      </c>
      <c r="D512" s="24" t="s">
        <v>46</v>
      </c>
      <c r="E512" s="24" t="s">
        <v>61</v>
      </c>
      <c r="F512" s="63" t="s">
        <v>0</v>
      </c>
    </row>
    <row r="513" spans="1:6" x14ac:dyDescent="0.25">
      <c r="A513" s="62">
        <v>45313</v>
      </c>
      <c r="B513" s="62" t="s">
        <v>551</v>
      </c>
      <c r="C513" s="23">
        <v>-14268</v>
      </c>
      <c r="D513" s="24" t="s">
        <v>49</v>
      </c>
      <c r="E513" s="24" t="s">
        <v>50</v>
      </c>
      <c r="F513" s="63" t="s">
        <v>0</v>
      </c>
    </row>
    <row r="514" spans="1:6" x14ac:dyDescent="0.25">
      <c r="A514" s="62">
        <v>45313</v>
      </c>
      <c r="B514" s="62" t="s">
        <v>552</v>
      </c>
      <c r="C514" s="23">
        <v>-18140</v>
      </c>
      <c r="D514" s="24" t="s">
        <v>49</v>
      </c>
      <c r="E514" s="24" t="s">
        <v>56</v>
      </c>
      <c r="F514" s="63" t="s">
        <v>0</v>
      </c>
    </row>
    <row r="515" spans="1:6" x14ac:dyDescent="0.25">
      <c r="A515" s="62">
        <v>45313</v>
      </c>
      <c r="B515" s="62" t="s">
        <v>553</v>
      </c>
      <c r="C515" s="23">
        <v>-11567</v>
      </c>
      <c r="D515" s="24" t="s">
        <v>49</v>
      </c>
      <c r="E515" s="24" t="s">
        <v>56</v>
      </c>
      <c r="F515" s="63" t="s">
        <v>0</v>
      </c>
    </row>
    <row r="516" spans="1:6" x14ac:dyDescent="0.25">
      <c r="A516" s="62">
        <v>45313</v>
      </c>
      <c r="B516" s="62" t="s">
        <v>554</v>
      </c>
      <c r="C516" s="23">
        <v>67220</v>
      </c>
      <c r="D516" s="24" t="s">
        <v>167</v>
      </c>
      <c r="E516" s="24" t="s">
        <v>555</v>
      </c>
      <c r="F516" s="63" t="s">
        <v>0</v>
      </c>
    </row>
    <row r="517" spans="1:6" x14ac:dyDescent="0.25">
      <c r="A517" s="62">
        <v>45313</v>
      </c>
      <c r="B517" s="62" t="s">
        <v>112</v>
      </c>
      <c r="C517" s="23">
        <v>-5550</v>
      </c>
      <c r="D517" s="24" t="s">
        <v>49</v>
      </c>
      <c r="E517" s="24" t="s">
        <v>56</v>
      </c>
      <c r="F517" s="63" t="s">
        <v>0</v>
      </c>
    </row>
    <row r="518" spans="1:6" x14ac:dyDescent="0.25">
      <c r="A518" s="62">
        <v>45313</v>
      </c>
      <c r="B518" s="62" t="s">
        <v>556</v>
      </c>
      <c r="C518" s="23">
        <v>-7863</v>
      </c>
      <c r="D518" s="24" t="s">
        <v>49</v>
      </c>
      <c r="E518" s="24" t="s">
        <v>50</v>
      </c>
      <c r="F518" s="63" t="s">
        <v>0</v>
      </c>
    </row>
    <row r="519" spans="1:6" x14ac:dyDescent="0.25">
      <c r="A519" s="62">
        <v>45313</v>
      </c>
      <c r="B519" s="62" t="s">
        <v>557</v>
      </c>
      <c r="C519" s="23">
        <v>-10488</v>
      </c>
      <c r="D519" s="24" t="s">
        <v>49</v>
      </c>
      <c r="E519" s="24" t="s">
        <v>50</v>
      </c>
      <c r="F519" s="63" t="s">
        <v>0</v>
      </c>
    </row>
    <row r="520" spans="1:6" x14ac:dyDescent="0.25">
      <c r="A520" s="62">
        <v>45313</v>
      </c>
      <c r="B520" s="62" t="s">
        <v>558</v>
      </c>
      <c r="C520" s="23">
        <v>-10488</v>
      </c>
      <c r="D520" s="24" t="s">
        <v>49</v>
      </c>
      <c r="E520" s="24" t="s">
        <v>50</v>
      </c>
      <c r="F520" s="63" t="s">
        <v>0</v>
      </c>
    </row>
    <row r="521" spans="1:6" x14ac:dyDescent="0.25">
      <c r="A521" s="62">
        <v>45310</v>
      </c>
      <c r="B521" s="62" t="s">
        <v>559</v>
      </c>
      <c r="C521" s="23">
        <v>-7419</v>
      </c>
      <c r="D521" s="24" t="s">
        <v>46</v>
      </c>
      <c r="E521" s="24" t="s">
        <v>63</v>
      </c>
      <c r="F521" s="63" t="s">
        <v>0</v>
      </c>
    </row>
    <row r="522" spans="1:6" x14ac:dyDescent="0.25">
      <c r="A522" s="62">
        <v>45310</v>
      </c>
      <c r="B522" s="62" t="s">
        <v>560</v>
      </c>
      <c r="C522" s="23">
        <v>-54230</v>
      </c>
      <c r="D522" s="24" t="s">
        <v>49</v>
      </c>
      <c r="E522" s="24" t="s">
        <v>213</v>
      </c>
      <c r="F522" s="63" t="s">
        <v>0</v>
      </c>
    </row>
    <row r="523" spans="1:6" x14ac:dyDescent="0.25">
      <c r="A523" s="62">
        <v>45309</v>
      </c>
      <c r="B523" s="62" t="s">
        <v>561</v>
      </c>
      <c r="C523" s="23">
        <v>-3090</v>
      </c>
      <c r="D523" s="24" t="s">
        <v>46</v>
      </c>
      <c r="E523" s="24" t="s">
        <v>63</v>
      </c>
      <c r="F523" s="63" t="s">
        <v>0</v>
      </c>
    </row>
    <row r="524" spans="1:6" x14ac:dyDescent="0.25">
      <c r="A524" s="62">
        <v>45309</v>
      </c>
      <c r="B524" s="62" t="s">
        <v>562</v>
      </c>
      <c r="C524" s="23">
        <v>-1690</v>
      </c>
      <c r="D524" s="24" t="s">
        <v>52</v>
      </c>
      <c r="E524" s="24" t="s">
        <v>53</v>
      </c>
      <c r="F524" s="63" t="s">
        <v>0</v>
      </c>
    </row>
    <row r="525" spans="1:6" x14ac:dyDescent="0.25">
      <c r="A525" s="62">
        <v>45309</v>
      </c>
      <c r="B525" s="62" t="s">
        <v>563</v>
      </c>
      <c r="C525" s="23">
        <v>-27393</v>
      </c>
      <c r="D525" s="24" t="s">
        <v>49</v>
      </c>
      <c r="E525" s="24" t="s">
        <v>232</v>
      </c>
      <c r="F525" s="63" t="s">
        <v>0</v>
      </c>
    </row>
    <row r="526" spans="1:6" x14ac:dyDescent="0.25">
      <c r="A526" s="62">
        <v>45309</v>
      </c>
      <c r="B526" s="62" t="s">
        <v>564</v>
      </c>
      <c r="C526" s="23">
        <v>-8497</v>
      </c>
      <c r="D526" s="24" t="s">
        <v>49</v>
      </c>
      <c r="E526" s="24" t="s">
        <v>56</v>
      </c>
      <c r="F526" s="63" t="s">
        <v>0</v>
      </c>
    </row>
    <row r="527" spans="1:6" x14ac:dyDescent="0.25">
      <c r="A527" s="62">
        <v>45309</v>
      </c>
      <c r="B527" s="62" t="s">
        <v>565</v>
      </c>
      <c r="C527" s="23">
        <v>-1498</v>
      </c>
      <c r="D527" s="24" t="s">
        <v>49</v>
      </c>
      <c r="E527" s="24" t="s">
        <v>56</v>
      </c>
      <c r="F527" s="63" t="s">
        <v>0</v>
      </c>
    </row>
    <row r="528" spans="1:6" x14ac:dyDescent="0.25">
      <c r="A528" s="62">
        <v>45309</v>
      </c>
      <c r="B528" s="62" t="s">
        <v>472</v>
      </c>
      <c r="C528" s="23">
        <v>-2700</v>
      </c>
      <c r="D528" s="24" t="s">
        <v>52</v>
      </c>
      <c r="E528" s="24" t="s">
        <v>53</v>
      </c>
      <c r="F528" s="63" t="s">
        <v>0</v>
      </c>
    </row>
    <row r="529" spans="1:6" x14ac:dyDescent="0.25">
      <c r="A529" s="62">
        <v>45308</v>
      </c>
      <c r="B529" s="62" t="s">
        <v>566</v>
      </c>
      <c r="C529" s="23">
        <v>-3490</v>
      </c>
      <c r="D529" s="24" t="s">
        <v>90</v>
      </c>
      <c r="E529" s="24" t="s">
        <v>93</v>
      </c>
      <c r="F529" s="63" t="s">
        <v>0</v>
      </c>
    </row>
    <row r="530" spans="1:6" x14ac:dyDescent="0.25">
      <c r="A530" s="62">
        <v>45308</v>
      </c>
      <c r="B530" s="62" t="s">
        <v>412</v>
      </c>
      <c r="C530" s="23">
        <v>-1580</v>
      </c>
      <c r="D530" s="24" t="s">
        <v>52</v>
      </c>
      <c r="E530" s="24" t="s">
        <v>134</v>
      </c>
      <c r="F530" s="63" t="s">
        <v>0</v>
      </c>
    </row>
    <row r="531" spans="1:6" x14ac:dyDescent="0.25">
      <c r="A531" s="62">
        <v>45308</v>
      </c>
      <c r="B531" s="62" t="s">
        <v>567</v>
      </c>
      <c r="C531" s="23">
        <v>-10000</v>
      </c>
      <c r="D531" s="24" t="s">
        <v>90</v>
      </c>
      <c r="E531" s="24" t="s">
        <v>91</v>
      </c>
      <c r="F531" s="63" t="s">
        <v>0</v>
      </c>
    </row>
    <row r="532" spans="1:6" x14ac:dyDescent="0.25">
      <c r="A532" s="62">
        <v>45307</v>
      </c>
      <c r="B532" s="62" t="s">
        <v>568</v>
      </c>
      <c r="C532" s="23">
        <v>-500</v>
      </c>
      <c r="D532" s="24" t="s">
        <v>49</v>
      </c>
      <c r="E532" s="24" t="s">
        <v>56</v>
      </c>
      <c r="F532" s="63" t="s">
        <v>0</v>
      </c>
    </row>
    <row r="533" spans="1:6" x14ac:dyDescent="0.25">
      <c r="A533" s="62">
        <v>45307</v>
      </c>
      <c r="B533" s="62" t="s">
        <v>569</v>
      </c>
      <c r="C533" s="23">
        <v>-3354</v>
      </c>
      <c r="D533" s="24" t="s">
        <v>49</v>
      </c>
      <c r="E533" s="24" t="s">
        <v>50</v>
      </c>
      <c r="F533" s="63" t="s">
        <v>0</v>
      </c>
    </row>
    <row r="534" spans="1:6" x14ac:dyDescent="0.25">
      <c r="A534" s="62">
        <v>45306</v>
      </c>
      <c r="B534" s="62" t="s">
        <v>570</v>
      </c>
      <c r="C534" s="23">
        <v>-979</v>
      </c>
      <c r="D534" s="24" t="s">
        <v>49</v>
      </c>
      <c r="E534" s="24" t="s">
        <v>56</v>
      </c>
      <c r="F534" s="63" t="s">
        <v>0</v>
      </c>
    </row>
    <row r="535" spans="1:6" x14ac:dyDescent="0.25">
      <c r="A535" s="62">
        <v>45306</v>
      </c>
      <c r="B535" s="62" t="s">
        <v>571</v>
      </c>
      <c r="C535" s="23">
        <v>-730</v>
      </c>
      <c r="D535" s="24" t="s">
        <v>49</v>
      </c>
      <c r="E535" s="24" t="s">
        <v>56</v>
      </c>
      <c r="F535" s="63" t="s">
        <v>0</v>
      </c>
    </row>
    <row r="536" spans="1:6" x14ac:dyDescent="0.25">
      <c r="A536" s="62">
        <v>45306</v>
      </c>
      <c r="B536" s="62" t="s">
        <v>572</v>
      </c>
      <c r="C536" s="23">
        <v>-8473</v>
      </c>
      <c r="D536" s="24" t="s">
        <v>46</v>
      </c>
      <c r="E536" s="24" t="s">
        <v>145</v>
      </c>
      <c r="F536" s="63" t="s">
        <v>0</v>
      </c>
    </row>
    <row r="537" spans="1:6" x14ac:dyDescent="0.25">
      <c r="A537" s="62">
        <v>45306</v>
      </c>
      <c r="B537" s="62" t="s">
        <v>573</v>
      </c>
      <c r="C537" s="23">
        <v>-8390</v>
      </c>
      <c r="D537" s="24" t="s">
        <v>49</v>
      </c>
      <c r="E537" s="24" t="s">
        <v>56</v>
      </c>
      <c r="F537" s="63" t="s">
        <v>0</v>
      </c>
    </row>
    <row r="538" spans="1:6" x14ac:dyDescent="0.25">
      <c r="A538" s="62">
        <v>45306</v>
      </c>
      <c r="B538" s="62" t="s">
        <v>574</v>
      </c>
      <c r="C538" s="23">
        <v>-4519</v>
      </c>
      <c r="D538" s="24" t="s">
        <v>49</v>
      </c>
      <c r="E538" s="24" t="s">
        <v>56</v>
      </c>
      <c r="F538" s="63" t="s">
        <v>0</v>
      </c>
    </row>
    <row r="539" spans="1:6" x14ac:dyDescent="0.25">
      <c r="A539" s="62">
        <v>45306</v>
      </c>
      <c r="B539" s="62" t="s">
        <v>575</v>
      </c>
      <c r="C539" s="23">
        <v>-10834</v>
      </c>
      <c r="D539" s="24" t="s">
        <v>49</v>
      </c>
      <c r="E539" s="24" t="s">
        <v>56</v>
      </c>
      <c r="F539" s="63" t="s">
        <v>0</v>
      </c>
    </row>
    <row r="540" spans="1:6" x14ac:dyDescent="0.25">
      <c r="A540" s="62">
        <v>45306</v>
      </c>
      <c r="B540" s="62" t="s">
        <v>576</v>
      </c>
      <c r="C540" s="23">
        <v>-20000</v>
      </c>
      <c r="D540" s="24" t="s">
        <v>46</v>
      </c>
      <c r="E540" s="24" t="s">
        <v>61</v>
      </c>
      <c r="F540" s="63" t="s">
        <v>0</v>
      </c>
    </row>
    <row r="541" spans="1:6" x14ac:dyDescent="0.25">
      <c r="A541" s="62">
        <v>45306</v>
      </c>
      <c r="B541" s="62" t="s">
        <v>577</v>
      </c>
      <c r="C541" s="23">
        <v>-33919</v>
      </c>
      <c r="D541" s="24" t="s">
        <v>90</v>
      </c>
      <c r="E541" s="24" t="s">
        <v>106</v>
      </c>
      <c r="F541" s="63" t="s">
        <v>0</v>
      </c>
    </row>
    <row r="542" spans="1:6" x14ac:dyDescent="0.25">
      <c r="A542" s="62">
        <v>45306</v>
      </c>
      <c r="B542" s="62" t="s">
        <v>578</v>
      </c>
      <c r="C542" s="23">
        <v>-9414</v>
      </c>
      <c r="D542" s="24" t="s">
        <v>49</v>
      </c>
      <c r="E542" s="24" t="s">
        <v>93</v>
      </c>
      <c r="F542" s="63" t="s">
        <v>0</v>
      </c>
    </row>
    <row r="543" spans="1:6" x14ac:dyDescent="0.25">
      <c r="A543" s="62">
        <v>45303</v>
      </c>
      <c r="B543" s="62" t="s">
        <v>579</v>
      </c>
      <c r="C543" s="23">
        <v>-1535</v>
      </c>
      <c r="D543" s="24" t="s">
        <v>46</v>
      </c>
      <c r="E543" s="24" t="s">
        <v>61</v>
      </c>
      <c r="F543" s="63" t="s">
        <v>0</v>
      </c>
    </row>
    <row r="544" spans="1:6" x14ac:dyDescent="0.25">
      <c r="A544" s="62">
        <v>45303</v>
      </c>
      <c r="B544" s="62" t="s">
        <v>580</v>
      </c>
      <c r="C544" s="23">
        <v>-2130</v>
      </c>
      <c r="D544" s="24" t="s">
        <v>49</v>
      </c>
      <c r="E544" s="24" t="s">
        <v>56</v>
      </c>
      <c r="F544" s="63" t="s">
        <v>0</v>
      </c>
    </row>
    <row r="545" spans="1:6" x14ac:dyDescent="0.25">
      <c r="A545" s="62">
        <v>45303</v>
      </c>
      <c r="B545" s="62" t="s">
        <v>581</v>
      </c>
      <c r="C545" s="23">
        <v>-3190</v>
      </c>
      <c r="D545" s="24" t="s">
        <v>52</v>
      </c>
      <c r="E545" s="24" t="s">
        <v>53</v>
      </c>
      <c r="F545" s="63" t="s">
        <v>0</v>
      </c>
    </row>
    <row r="546" spans="1:6" x14ac:dyDescent="0.25">
      <c r="A546" s="62">
        <v>45303</v>
      </c>
      <c r="B546" s="62" t="s">
        <v>582</v>
      </c>
      <c r="C546" s="23">
        <v>-10000</v>
      </c>
      <c r="D546" s="24" t="s">
        <v>49</v>
      </c>
      <c r="E546" s="24" t="s">
        <v>67</v>
      </c>
      <c r="F546" s="63" t="s">
        <v>0</v>
      </c>
    </row>
    <row r="547" spans="1:6" x14ac:dyDescent="0.25">
      <c r="A547" s="62">
        <v>45303</v>
      </c>
      <c r="B547" s="62" t="s">
        <v>583</v>
      </c>
      <c r="C547" s="23">
        <v>-840</v>
      </c>
      <c r="D547" s="24" t="s">
        <v>49</v>
      </c>
      <c r="E547" s="24" t="s">
        <v>56</v>
      </c>
      <c r="F547" s="63" t="s">
        <v>0</v>
      </c>
    </row>
    <row r="548" spans="1:6" x14ac:dyDescent="0.25">
      <c r="A548" s="62">
        <v>45303</v>
      </c>
      <c r="B548" s="62" t="s">
        <v>584</v>
      </c>
      <c r="C548" s="23">
        <v>-1535</v>
      </c>
      <c r="D548" s="24" t="s">
        <v>49</v>
      </c>
      <c r="E548" s="24" t="s">
        <v>56</v>
      </c>
      <c r="F548" s="63" t="s">
        <v>0</v>
      </c>
    </row>
    <row r="549" spans="1:6" x14ac:dyDescent="0.25">
      <c r="A549" s="62">
        <v>45302</v>
      </c>
      <c r="B549" s="62" t="s">
        <v>585</v>
      </c>
      <c r="C549" s="23">
        <v>-1690</v>
      </c>
      <c r="D549" s="24" t="s">
        <v>52</v>
      </c>
      <c r="E549" s="24" t="s">
        <v>53</v>
      </c>
      <c r="F549" s="63" t="s">
        <v>0</v>
      </c>
    </row>
    <row r="550" spans="1:6" x14ac:dyDescent="0.25">
      <c r="A550" s="62">
        <v>45301</v>
      </c>
      <c r="B550" s="62" t="s">
        <v>586</v>
      </c>
      <c r="C550" s="23">
        <v>-309</v>
      </c>
      <c r="D550" s="24" t="s">
        <v>72</v>
      </c>
      <c r="E550" s="24" t="s">
        <v>73</v>
      </c>
      <c r="F550" s="63" t="s">
        <v>0</v>
      </c>
    </row>
    <row r="551" spans="1:6" x14ac:dyDescent="0.25">
      <c r="A551" s="62">
        <v>45301</v>
      </c>
      <c r="B551" s="62" t="s">
        <v>587</v>
      </c>
      <c r="C551" s="23">
        <v>-12525</v>
      </c>
      <c r="D551" s="24" t="s">
        <v>49</v>
      </c>
      <c r="E551" s="24" t="s">
        <v>56</v>
      </c>
      <c r="F551" s="63" t="s">
        <v>0</v>
      </c>
    </row>
    <row r="552" spans="1:6" x14ac:dyDescent="0.25">
      <c r="A552" s="62">
        <v>45301</v>
      </c>
      <c r="B552" s="62" t="s">
        <v>588</v>
      </c>
      <c r="C552" s="23">
        <v>-1800</v>
      </c>
      <c r="D552" s="24" t="s">
        <v>52</v>
      </c>
      <c r="E552" s="24" t="s">
        <v>53</v>
      </c>
      <c r="F552" s="63" t="s">
        <v>0</v>
      </c>
    </row>
    <row r="553" spans="1:6" x14ac:dyDescent="0.25">
      <c r="A553" s="62">
        <v>45301</v>
      </c>
      <c r="B553" s="62" t="s">
        <v>589</v>
      </c>
      <c r="C553" s="23">
        <v>-999</v>
      </c>
      <c r="D553" s="24" t="s">
        <v>49</v>
      </c>
      <c r="E553" s="24" t="s">
        <v>56</v>
      </c>
      <c r="F553" s="63" t="s">
        <v>0</v>
      </c>
    </row>
    <row r="554" spans="1:6" x14ac:dyDescent="0.25">
      <c r="A554" s="62">
        <v>45301</v>
      </c>
      <c r="B554" s="62" t="s">
        <v>590</v>
      </c>
      <c r="C554" s="23">
        <v>-3090</v>
      </c>
      <c r="D554" s="24" t="s">
        <v>46</v>
      </c>
      <c r="E554" s="24" t="s">
        <v>428</v>
      </c>
      <c r="F554" s="63" t="s">
        <v>0</v>
      </c>
    </row>
    <row r="555" spans="1:6" x14ac:dyDescent="0.25">
      <c r="A555" s="62">
        <v>45301</v>
      </c>
      <c r="B555" s="62" t="s">
        <v>139</v>
      </c>
      <c r="C555" s="23">
        <v>1077971</v>
      </c>
      <c r="D555" s="24" t="s">
        <v>58</v>
      </c>
      <c r="E555" s="24" t="s">
        <v>58</v>
      </c>
      <c r="F555" s="63" t="s">
        <v>0</v>
      </c>
    </row>
    <row r="556" spans="1:6" x14ac:dyDescent="0.25">
      <c r="A556" s="62">
        <v>45301</v>
      </c>
      <c r="B556" s="62" t="s">
        <v>171</v>
      </c>
      <c r="C556" s="23">
        <v>1914</v>
      </c>
      <c r="D556" s="24" t="s">
        <v>167</v>
      </c>
      <c r="E556" s="24" t="s">
        <v>168</v>
      </c>
      <c r="F556" s="63" t="s">
        <v>0</v>
      </c>
    </row>
    <row r="557" spans="1:6" x14ac:dyDescent="0.25">
      <c r="A557" s="62">
        <v>45301</v>
      </c>
      <c r="B557" s="62" t="s">
        <v>591</v>
      </c>
      <c r="C557" s="23">
        <v>-4265</v>
      </c>
      <c r="D557" s="24" t="s">
        <v>49</v>
      </c>
      <c r="E557" s="24" t="s">
        <v>56</v>
      </c>
      <c r="F557" s="63" t="s">
        <v>0</v>
      </c>
    </row>
    <row r="558" spans="1:6" x14ac:dyDescent="0.25">
      <c r="A558" s="62">
        <v>45301</v>
      </c>
      <c r="B558" s="62" t="s">
        <v>592</v>
      </c>
      <c r="C558" s="23">
        <v>-13602</v>
      </c>
      <c r="D558" s="24" t="s">
        <v>49</v>
      </c>
      <c r="E558" s="24" t="s">
        <v>56</v>
      </c>
      <c r="F558" s="63" t="s">
        <v>0</v>
      </c>
    </row>
    <row r="559" spans="1:6" x14ac:dyDescent="0.25">
      <c r="A559" s="62">
        <v>45301</v>
      </c>
      <c r="B559" s="62" t="s">
        <v>593</v>
      </c>
      <c r="C559" s="23">
        <v>-218459.69</v>
      </c>
      <c r="D559" s="24" t="s">
        <v>46</v>
      </c>
      <c r="E559" s="24" t="s">
        <v>10</v>
      </c>
      <c r="F559" s="63" t="s">
        <v>0</v>
      </c>
    </row>
    <row r="560" spans="1:6" x14ac:dyDescent="0.25">
      <c r="A560" s="62">
        <v>45301</v>
      </c>
      <c r="B560" s="62" t="s">
        <v>594</v>
      </c>
      <c r="C560" s="23">
        <v>-43345.1</v>
      </c>
      <c r="D560" s="24" t="s">
        <v>46</v>
      </c>
      <c r="E560" s="24" t="s">
        <v>10</v>
      </c>
      <c r="F560" s="63" t="s">
        <v>0</v>
      </c>
    </row>
    <row r="561" spans="1:6" x14ac:dyDescent="0.25">
      <c r="A561" s="62">
        <v>45301</v>
      </c>
      <c r="B561" s="62" t="s">
        <v>593</v>
      </c>
      <c r="C561" s="23">
        <v>218459.69</v>
      </c>
      <c r="D561" s="24" t="s">
        <v>46</v>
      </c>
      <c r="E561" s="24" t="s">
        <v>10</v>
      </c>
      <c r="F561" s="63" t="s">
        <v>10</v>
      </c>
    </row>
    <row r="562" spans="1:6" x14ac:dyDescent="0.25">
      <c r="A562" s="62">
        <v>45300</v>
      </c>
      <c r="B562" s="62" t="s">
        <v>595</v>
      </c>
      <c r="C562" s="23">
        <v>-14899</v>
      </c>
      <c r="D562" s="24" t="s">
        <v>90</v>
      </c>
      <c r="E562" s="24" t="s">
        <v>185</v>
      </c>
      <c r="F562" s="63" t="s">
        <v>0</v>
      </c>
    </row>
    <row r="563" spans="1:6" x14ac:dyDescent="0.25">
      <c r="A563" s="62">
        <v>45299</v>
      </c>
      <c r="B563" s="62" t="s">
        <v>596</v>
      </c>
      <c r="C563" s="23">
        <v>-138</v>
      </c>
      <c r="D563" s="24" t="s">
        <v>90</v>
      </c>
      <c r="E563" s="24" t="s">
        <v>59</v>
      </c>
      <c r="F563" s="63" t="s">
        <v>0</v>
      </c>
    </row>
    <row r="564" spans="1:6" x14ac:dyDescent="0.25">
      <c r="A564" s="62">
        <v>45299</v>
      </c>
      <c r="B564" s="62" t="s">
        <v>597</v>
      </c>
      <c r="C564" s="23">
        <v>-7800</v>
      </c>
      <c r="D564" s="24" t="s">
        <v>49</v>
      </c>
      <c r="E564" s="24" t="s">
        <v>506</v>
      </c>
      <c r="F564" s="63" t="s">
        <v>0</v>
      </c>
    </row>
    <row r="565" spans="1:6" x14ac:dyDescent="0.25">
      <c r="A565" s="62">
        <v>45299</v>
      </c>
      <c r="B565" s="62" t="s">
        <v>598</v>
      </c>
      <c r="C565" s="23">
        <v>-9408</v>
      </c>
      <c r="D565" s="24" t="s">
        <v>90</v>
      </c>
      <c r="E565" s="24" t="s">
        <v>59</v>
      </c>
      <c r="F565" s="63" t="s">
        <v>0</v>
      </c>
    </row>
    <row r="566" spans="1:6" x14ac:dyDescent="0.25">
      <c r="A566" s="62">
        <v>45299</v>
      </c>
      <c r="B566" s="62" t="s">
        <v>599</v>
      </c>
      <c r="C566" s="23">
        <v>-4534</v>
      </c>
      <c r="D566" s="24" t="s">
        <v>49</v>
      </c>
      <c r="E566" s="24" t="s">
        <v>56</v>
      </c>
      <c r="F566" s="63" t="s">
        <v>0</v>
      </c>
    </row>
    <row r="567" spans="1:6" x14ac:dyDescent="0.25">
      <c r="A567" s="62">
        <v>45299</v>
      </c>
      <c r="B567" s="62" t="s">
        <v>600</v>
      </c>
      <c r="C567" s="23">
        <v>-5897</v>
      </c>
      <c r="D567" s="24" t="s">
        <v>49</v>
      </c>
      <c r="E567" s="24" t="s">
        <v>56</v>
      </c>
      <c r="F567" s="63" t="s">
        <v>0</v>
      </c>
    </row>
    <row r="568" spans="1:6" x14ac:dyDescent="0.25">
      <c r="A568" s="62">
        <v>45299</v>
      </c>
      <c r="B568" s="62" t="s">
        <v>601</v>
      </c>
      <c r="C568" s="23">
        <v>-5366</v>
      </c>
      <c r="D568" s="24" t="s">
        <v>46</v>
      </c>
      <c r="E568" s="24" t="s">
        <v>428</v>
      </c>
      <c r="F568" s="63" t="s">
        <v>0</v>
      </c>
    </row>
    <row r="569" spans="1:6" x14ac:dyDescent="0.25">
      <c r="A569" s="62">
        <v>45299</v>
      </c>
      <c r="B569" s="62" t="s">
        <v>602</v>
      </c>
      <c r="C569" s="23">
        <v>-15730</v>
      </c>
      <c r="D569" s="24" t="s">
        <v>46</v>
      </c>
      <c r="E569" s="24" t="s">
        <v>428</v>
      </c>
      <c r="F569" s="63" t="s">
        <v>0</v>
      </c>
    </row>
    <row r="570" spans="1:6" x14ac:dyDescent="0.25">
      <c r="A570" s="62">
        <v>45299</v>
      </c>
      <c r="B570" s="62" t="s">
        <v>603</v>
      </c>
      <c r="C570" s="23">
        <v>-8697</v>
      </c>
      <c r="D570" s="24" t="s">
        <v>49</v>
      </c>
      <c r="E570" s="24" t="s">
        <v>56</v>
      </c>
      <c r="F570" s="63" t="s">
        <v>0</v>
      </c>
    </row>
    <row r="571" spans="1:6" x14ac:dyDescent="0.25">
      <c r="A571" s="62">
        <v>45296</v>
      </c>
      <c r="B571" s="62" t="s">
        <v>604</v>
      </c>
      <c r="C571" s="23">
        <v>-2870</v>
      </c>
      <c r="D571" s="24" t="s">
        <v>49</v>
      </c>
      <c r="E571" s="24" t="s">
        <v>56</v>
      </c>
      <c r="F571" s="63" t="s">
        <v>0</v>
      </c>
    </row>
    <row r="572" spans="1:6" x14ac:dyDescent="0.25">
      <c r="A572" s="62">
        <v>45295</v>
      </c>
      <c r="B572" s="62" t="s">
        <v>605</v>
      </c>
      <c r="C572" s="23">
        <v>-10000</v>
      </c>
      <c r="D572" s="24" t="s">
        <v>90</v>
      </c>
      <c r="E572" s="24" t="s">
        <v>91</v>
      </c>
      <c r="F572" s="63" t="s">
        <v>0</v>
      </c>
    </row>
    <row r="573" spans="1:6" x14ac:dyDescent="0.25">
      <c r="A573" s="62">
        <v>45295</v>
      </c>
      <c r="B573" s="62" t="s">
        <v>606</v>
      </c>
      <c r="C573" s="23">
        <v>-13089</v>
      </c>
      <c r="D573" s="24" t="s">
        <v>49</v>
      </c>
      <c r="E573" s="24" t="s">
        <v>50</v>
      </c>
      <c r="F573" s="63" t="s">
        <v>0</v>
      </c>
    </row>
    <row r="574" spans="1:6" x14ac:dyDescent="0.25">
      <c r="A574" s="62">
        <v>45295</v>
      </c>
      <c r="B574" s="62" t="s">
        <v>607</v>
      </c>
      <c r="C574" s="23">
        <v>-6647</v>
      </c>
      <c r="D574" s="24" t="s">
        <v>49</v>
      </c>
      <c r="E574" s="24" t="s">
        <v>56</v>
      </c>
      <c r="F574" s="63" t="s">
        <v>0</v>
      </c>
    </row>
    <row r="575" spans="1:6" x14ac:dyDescent="0.25">
      <c r="A575" s="62">
        <v>45295</v>
      </c>
      <c r="B575" s="62" t="s">
        <v>608</v>
      </c>
      <c r="C575" s="23">
        <v>-295</v>
      </c>
      <c r="D575" s="24" t="s">
        <v>49</v>
      </c>
      <c r="E575" s="24" t="s">
        <v>50</v>
      </c>
      <c r="F575" s="63" t="s">
        <v>0</v>
      </c>
    </row>
    <row r="576" spans="1:6" x14ac:dyDescent="0.25">
      <c r="A576" s="62">
        <v>45294</v>
      </c>
      <c r="B576" s="62" t="s">
        <v>609</v>
      </c>
      <c r="C576" s="23">
        <v>-7372</v>
      </c>
      <c r="D576" s="24" t="s">
        <v>90</v>
      </c>
      <c r="E576" s="24" t="s">
        <v>59</v>
      </c>
      <c r="F576" s="63" t="s">
        <v>0</v>
      </c>
    </row>
    <row r="577" spans="1:6" x14ac:dyDescent="0.25">
      <c r="A577" s="62">
        <v>45294</v>
      </c>
      <c r="B577" s="62" t="s">
        <v>610</v>
      </c>
      <c r="C577" s="23">
        <v>-7765</v>
      </c>
      <c r="D577" s="24" t="s">
        <v>49</v>
      </c>
      <c r="E577" s="24" t="s">
        <v>56</v>
      </c>
      <c r="F577" s="63" t="s">
        <v>0</v>
      </c>
    </row>
    <row r="578" spans="1:6" x14ac:dyDescent="0.25">
      <c r="A578" s="62">
        <v>45294</v>
      </c>
      <c r="B578" s="62" t="s">
        <v>611</v>
      </c>
      <c r="C578" s="23">
        <v>-236</v>
      </c>
      <c r="D578" s="24" t="s">
        <v>49</v>
      </c>
      <c r="E578" s="24" t="s">
        <v>56</v>
      </c>
      <c r="F578" s="63" t="s">
        <v>0</v>
      </c>
    </row>
    <row r="579" spans="1:6" x14ac:dyDescent="0.25">
      <c r="A579" s="62">
        <v>45294</v>
      </c>
      <c r="B579" s="62" t="s">
        <v>612</v>
      </c>
      <c r="C579" s="23">
        <v>-448</v>
      </c>
      <c r="D579" s="24" t="s">
        <v>49</v>
      </c>
      <c r="E579" s="24" t="s">
        <v>56</v>
      </c>
      <c r="F579" s="63" t="s">
        <v>0</v>
      </c>
    </row>
    <row r="580" spans="1:6" x14ac:dyDescent="0.25">
      <c r="A580" s="62">
        <v>45294</v>
      </c>
      <c r="B580" s="62" t="s">
        <v>613</v>
      </c>
      <c r="C580" s="23">
        <v>-18989</v>
      </c>
      <c r="D580" s="24" t="s">
        <v>46</v>
      </c>
      <c r="E580" s="24" t="s">
        <v>61</v>
      </c>
      <c r="F580" s="63" t="s">
        <v>0</v>
      </c>
    </row>
    <row r="581" spans="1:6" x14ac:dyDescent="0.25">
      <c r="A581" s="62">
        <v>45294</v>
      </c>
      <c r="B581" s="62" t="s">
        <v>614</v>
      </c>
      <c r="C581" s="23">
        <v>14980</v>
      </c>
      <c r="D581" s="24" t="s">
        <v>46</v>
      </c>
      <c r="E581" s="24" t="s">
        <v>428</v>
      </c>
      <c r="F581" s="63" t="s">
        <v>0</v>
      </c>
    </row>
    <row r="582" spans="1:6" x14ac:dyDescent="0.25">
      <c r="A582" s="62">
        <v>45294</v>
      </c>
      <c r="B582" s="62" t="s">
        <v>172</v>
      </c>
      <c r="C582" s="23">
        <v>243600</v>
      </c>
      <c r="D582" s="24" t="s">
        <v>58</v>
      </c>
      <c r="E582" s="24" t="s">
        <v>58</v>
      </c>
      <c r="F582" s="63" t="s">
        <v>0</v>
      </c>
    </row>
    <row r="583" spans="1:6" x14ac:dyDescent="0.25">
      <c r="A583" s="62">
        <v>45293</v>
      </c>
      <c r="B583" s="62" t="s">
        <v>615</v>
      </c>
      <c r="C583" s="23">
        <v>-3.27</v>
      </c>
      <c r="D583" s="24" t="s">
        <v>167</v>
      </c>
      <c r="E583" s="24" t="s">
        <v>168</v>
      </c>
      <c r="F583" s="63" t="s">
        <v>0</v>
      </c>
    </row>
    <row r="584" spans="1:6" x14ac:dyDescent="0.25">
      <c r="A584" s="62">
        <v>45293</v>
      </c>
      <c r="B584" s="62" t="s">
        <v>615</v>
      </c>
      <c r="C584" s="23">
        <v>-3.78</v>
      </c>
      <c r="D584" s="24" t="s">
        <v>167</v>
      </c>
      <c r="E584" s="24" t="s">
        <v>168</v>
      </c>
      <c r="F584" s="63" t="s">
        <v>0</v>
      </c>
    </row>
    <row r="585" spans="1:6" x14ac:dyDescent="0.25">
      <c r="A585" s="62">
        <v>45293</v>
      </c>
      <c r="B585" s="62" t="s">
        <v>615</v>
      </c>
      <c r="C585" s="23">
        <v>25.19</v>
      </c>
      <c r="D585" s="24" t="s">
        <v>167</v>
      </c>
      <c r="E585" s="24" t="s">
        <v>168</v>
      </c>
      <c r="F585" s="63" t="s">
        <v>0</v>
      </c>
    </row>
    <row r="586" spans="1:6" x14ac:dyDescent="0.25">
      <c r="A586" s="62">
        <v>45293</v>
      </c>
      <c r="B586" s="62" t="s">
        <v>616</v>
      </c>
      <c r="C586" s="23">
        <v>-8106</v>
      </c>
      <c r="D586" s="24" t="s">
        <v>46</v>
      </c>
      <c r="E586" s="24" t="s">
        <v>63</v>
      </c>
      <c r="F586" s="63" t="s">
        <v>0</v>
      </c>
    </row>
    <row r="587" spans="1:6" x14ac:dyDescent="0.25">
      <c r="A587" s="62">
        <v>45293</v>
      </c>
      <c r="B587" s="62" t="s">
        <v>617</v>
      </c>
      <c r="C587" s="23">
        <v>-1500</v>
      </c>
      <c r="D587" s="24" t="s">
        <v>206</v>
      </c>
      <c r="E587" s="24" t="s">
        <v>206</v>
      </c>
      <c r="F587" s="63" t="s">
        <v>0</v>
      </c>
    </row>
    <row r="588" spans="1:6" x14ac:dyDescent="0.25">
      <c r="A588" s="62">
        <v>45293</v>
      </c>
      <c r="B588" s="62" t="s">
        <v>618</v>
      </c>
      <c r="C588" s="23">
        <v>-6495</v>
      </c>
      <c r="D588" s="24" t="s">
        <v>49</v>
      </c>
      <c r="E588" s="24" t="s">
        <v>56</v>
      </c>
      <c r="F588" s="63" t="s">
        <v>0</v>
      </c>
    </row>
    <row r="589" spans="1:6" x14ac:dyDescent="0.25">
      <c r="A589" s="62">
        <v>45293</v>
      </c>
      <c r="B589" s="62" t="s">
        <v>619</v>
      </c>
      <c r="C589" s="23">
        <v>-6777</v>
      </c>
      <c r="D589" s="24" t="s">
        <v>49</v>
      </c>
      <c r="E589" s="24" t="s">
        <v>56</v>
      </c>
      <c r="F589" s="63" t="s">
        <v>0</v>
      </c>
    </row>
    <row r="590" spans="1:6" x14ac:dyDescent="0.25">
      <c r="A590" s="62">
        <v>45293</v>
      </c>
      <c r="B590" s="62" t="s">
        <v>620</v>
      </c>
      <c r="C590" s="23">
        <v>-25010</v>
      </c>
      <c r="D590" s="24" t="s">
        <v>72</v>
      </c>
      <c r="E590" s="24" t="s">
        <v>109</v>
      </c>
      <c r="F590" s="63" t="s">
        <v>0</v>
      </c>
    </row>
    <row r="591" spans="1:6" x14ac:dyDescent="0.25">
      <c r="A591" s="62">
        <v>45293</v>
      </c>
      <c r="B591" s="62" t="s">
        <v>621</v>
      </c>
      <c r="C591" s="23">
        <v>-2380</v>
      </c>
      <c r="D591" s="24" t="s">
        <v>49</v>
      </c>
      <c r="E591" s="24" t="s">
        <v>56</v>
      </c>
      <c r="F591" s="63" t="s">
        <v>0</v>
      </c>
    </row>
    <row r="592" spans="1:6" x14ac:dyDescent="0.25">
      <c r="A592" s="62">
        <v>45293</v>
      </c>
      <c r="B592" s="62" t="s">
        <v>622</v>
      </c>
      <c r="C592" s="23">
        <v>-5747</v>
      </c>
      <c r="D592" s="24" t="s">
        <v>49</v>
      </c>
      <c r="E592" s="24" t="s">
        <v>56</v>
      </c>
      <c r="F592" s="63" t="s">
        <v>0</v>
      </c>
    </row>
    <row r="593" spans="1:6" x14ac:dyDescent="0.25">
      <c r="A593" s="62">
        <v>45293</v>
      </c>
      <c r="B593" s="62" t="s">
        <v>623</v>
      </c>
      <c r="C593" s="23">
        <v>-27160</v>
      </c>
      <c r="D593" s="24" t="s">
        <v>49</v>
      </c>
      <c r="E593" s="24" t="s">
        <v>428</v>
      </c>
      <c r="F593" s="63" t="s">
        <v>0</v>
      </c>
    </row>
    <row r="594" spans="1:6" x14ac:dyDescent="0.25">
      <c r="A594" s="62">
        <v>45293</v>
      </c>
      <c r="B594" s="62" t="s">
        <v>624</v>
      </c>
      <c r="C594" s="23">
        <v>-8270</v>
      </c>
      <c r="D594" s="24" t="s">
        <v>46</v>
      </c>
      <c r="E594" s="24" t="s">
        <v>428</v>
      </c>
      <c r="F594" s="63" t="s">
        <v>0</v>
      </c>
    </row>
    <row r="595" spans="1:6" x14ac:dyDescent="0.25">
      <c r="A595" s="62">
        <v>45291</v>
      </c>
      <c r="B595" s="62" t="s">
        <v>625</v>
      </c>
      <c r="C595" s="23">
        <v>18.260000000000002</v>
      </c>
      <c r="D595" s="24" t="s">
        <v>167</v>
      </c>
      <c r="E595" s="24" t="s">
        <v>168</v>
      </c>
      <c r="F595" s="63" t="s">
        <v>0</v>
      </c>
    </row>
    <row r="596" spans="1:6" x14ac:dyDescent="0.25">
      <c r="A596" s="62">
        <v>45291</v>
      </c>
      <c r="B596" s="62" t="s">
        <v>626</v>
      </c>
      <c r="C596" s="23">
        <v>-2.37</v>
      </c>
      <c r="D596" s="24" t="s">
        <v>167</v>
      </c>
      <c r="E596" s="24" t="s">
        <v>168</v>
      </c>
      <c r="F596" s="63" t="s">
        <v>0</v>
      </c>
    </row>
    <row r="597" spans="1:6" x14ac:dyDescent="0.25">
      <c r="A597" s="62">
        <v>45291</v>
      </c>
      <c r="B597" s="62" t="s">
        <v>627</v>
      </c>
      <c r="C597" s="23">
        <v>-2.74</v>
      </c>
      <c r="D597" s="24" t="s">
        <v>167</v>
      </c>
      <c r="E597" s="24" t="s">
        <v>168</v>
      </c>
      <c r="F597" s="63" t="s">
        <v>0</v>
      </c>
    </row>
    <row r="598" spans="1:6" x14ac:dyDescent="0.25">
      <c r="A598" s="62">
        <v>45291</v>
      </c>
      <c r="B598" s="62" t="s">
        <v>43</v>
      </c>
      <c r="C598" s="23">
        <v>-2222</v>
      </c>
      <c r="D598" s="24" t="s">
        <v>167</v>
      </c>
      <c r="E598" s="24" t="s">
        <v>168</v>
      </c>
      <c r="F598" s="63" t="s">
        <v>0</v>
      </c>
    </row>
    <row r="599" spans="1:6" x14ac:dyDescent="0.25">
      <c r="A599" s="62">
        <v>45289</v>
      </c>
      <c r="B599" s="62" t="s">
        <v>628</v>
      </c>
      <c r="C599" s="23">
        <v>-8270</v>
      </c>
      <c r="D599" s="24" t="s">
        <v>46</v>
      </c>
      <c r="E599" s="24" t="s">
        <v>428</v>
      </c>
      <c r="F599" s="63" t="s">
        <v>0</v>
      </c>
    </row>
    <row r="600" spans="1:6" x14ac:dyDescent="0.25">
      <c r="A600" s="62">
        <v>45289</v>
      </c>
      <c r="B600" s="62" t="s">
        <v>629</v>
      </c>
      <c r="C600" s="23">
        <v>-12280</v>
      </c>
      <c r="D600" s="24" t="s">
        <v>49</v>
      </c>
      <c r="E600" s="24" t="s">
        <v>56</v>
      </c>
      <c r="F600" s="63" t="s">
        <v>0</v>
      </c>
    </row>
    <row r="601" spans="1:6" x14ac:dyDescent="0.25">
      <c r="A601" s="62">
        <v>45289</v>
      </c>
      <c r="B601" s="62" t="s">
        <v>630</v>
      </c>
      <c r="C601" s="23">
        <v>-5747</v>
      </c>
      <c r="D601" s="24" t="s">
        <v>49</v>
      </c>
      <c r="E601" s="24" t="s">
        <v>56</v>
      </c>
      <c r="F601" s="63" t="s">
        <v>0</v>
      </c>
    </row>
    <row r="602" spans="1:6" x14ac:dyDescent="0.25">
      <c r="A602" s="62">
        <v>45289</v>
      </c>
      <c r="B602" s="62" t="s">
        <v>631</v>
      </c>
      <c r="C602" s="23">
        <v>-27160</v>
      </c>
      <c r="D602" s="24" t="s">
        <v>49</v>
      </c>
      <c r="E602" s="24" t="s">
        <v>428</v>
      </c>
      <c r="F602" s="63" t="s">
        <v>0</v>
      </c>
    </row>
    <row r="603" spans="1:6" x14ac:dyDescent="0.25">
      <c r="A603" s="62">
        <v>45289</v>
      </c>
      <c r="B603" s="62" t="s">
        <v>632</v>
      </c>
      <c r="C603" s="23">
        <v>-8106</v>
      </c>
      <c r="D603" s="24" t="s">
        <v>46</v>
      </c>
      <c r="E603" s="24" t="s">
        <v>63</v>
      </c>
      <c r="F603" s="63" t="s">
        <v>0</v>
      </c>
    </row>
    <row r="604" spans="1:6" x14ac:dyDescent="0.25">
      <c r="A604" s="62">
        <v>45289</v>
      </c>
      <c r="B604" s="62" t="s">
        <v>633</v>
      </c>
      <c r="C604" s="23">
        <v>-2380</v>
      </c>
      <c r="D604" s="24" t="s">
        <v>49</v>
      </c>
      <c r="E604" s="24" t="s">
        <v>56</v>
      </c>
      <c r="F604" s="63" t="s">
        <v>0</v>
      </c>
    </row>
    <row r="605" spans="1:6" x14ac:dyDescent="0.25">
      <c r="A605" s="62">
        <v>45289</v>
      </c>
      <c r="B605" s="62" t="s">
        <v>634</v>
      </c>
      <c r="C605" s="23">
        <v>-25010</v>
      </c>
      <c r="D605" s="24" t="s">
        <v>72</v>
      </c>
      <c r="E605" s="24" t="s">
        <v>109</v>
      </c>
      <c r="F605" s="63" t="s">
        <v>0</v>
      </c>
    </row>
    <row r="606" spans="1:6" x14ac:dyDescent="0.25">
      <c r="A606" s="62">
        <v>45289</v>
      </c>
      <c r="B606" s="62" t="s">
        <v>635</v>
      </c>
      <c r="C606" s="23">
        <v>-6777</v>
      </c>
      <c r="D606" s="24" t="s">
        <v>49</v>
      </c>
      <c r="E606" s="24" t="s">
        <v>56</v>
      </c>
      <c r="F606" s="63" t="s">
        <v>0</v>
      </c>
    </row>
    <row r="607" spans="1:6" x14ac:dyDescent="0.25">
      <c r="A607" s="62">
        <v>45289</v>
      </c>
      <c r="B607" s="62" t="s">
        <v>636</v>
      </c>
      <c r="C607" s="23">
        <v>-6495</v>
      </c>
      <c r="D607" s="24" t="s">
        <v>49</v>
      </c>
      <c r="E607" s="24" t="s">
        <v>56</v>
      </c>
      <c r="F607" s="63" t="s">
        <v>0</v>
      </c>
    </row>
    <row r="608" spans="1:6" x14ac:dyDescent="0.25">
      <c r="A608" s="62">
        <v>45289</v>
      </c>
      <c r="B608" s="62" t="s">
        <v>637</v>
      </c>
      <c r="C608" s="23">
        <v>-1870</v>
      </c>
      <c r="D608" s="24" t="s">
        <v>49</v>
      </c>
      <c r="E608" s="24" t="s">
        <v>67</v>
      </c>
      <c r="F608" s="63" t="s">
        <v>0</v>
      </c>
    </row>
    <row r="609" spans="1:6" x14ac:dyDescent="0.25">
      <c r="A609" s="62">
        <v>45289</v>
      </c>
      <c r="B609" s="62" t="s">
        <v>638</v>
      </c>
      <c r="C609" s="23">
        <v>-7955</v>
      </c>
      <c r="D609" s="24" t="s">
        <v>46</v>
      </c>
      <c r="E609" s="24" t="s">
        <v>428</v>
      </c>
      <c r="F609" s="63" t="s">
        <v>0</v>
      </c>
    </row>
    <row r="610" spans="1:6" x14ac:dyDescent="0.25">
      <c r="A610" s="62">
        <v>45289</v>
      </c>
      <c r="B610" s="62" t="s">
        <v>639</v>
      </c>
      <c r="C610" s="23">
        <v>-2390</v>
      </c>
      <c r="D610" s="24" t="s">
        <v>49</v>
      </c>
      <c r="E610" s="24" t="s">
        <v>56</v>
      </c>
      <c r="F610" s="63" t="s">
        <v>0</v>
      </c>
    </row>
    <row r="611" spans="1:6" x14ac:dyDescent="0.25">
      <c r="A611" s="62">
        <v>45288</v>
      </c>
      <c r="B611" s="62" t="s">
        <v>640</v>
      </c>
      <c r="C611" s="23">
        <v>-35994</v>
      </c>
      <c r="D611" s="24" t="s">
        <v>72</v>
      </c>
      <c r="E611" s="24" t="s">
        <v>109</v>
      </c>
      <c r="F611" s="63" t="s">
        <v>0</v>
      </c>
    </row>
    <row r="612" spans="1:6" x14ac:dyDescent="0.25">
      <c r="A612" s="62">
        <v>45287</v>
      </c>
      <c r="B612" s="62" t="s">
        <v>641</v>
      </c>
      <c r="C612" s="23">
        <v>-1690</v>
      </c>
      <c r="D612" s="24" t="s">
        <v>46</v>
      </c>
      <c r="E612" s="24" t="s">
        <v>428</v>
      </c>
      <c r="F612" s="63" t="s">
        <v>0</v>
      </c>
    </row>
    <row r="613" spans="1:6" x14ac:dyDescent="0.25">
      <c r="A613" s="62">
        <v>45287</v>
      </c>
      <c r="B613" s="62" t="s">
        <v>642</v>
      </c>
      <c r="C613" s="23">
        <v>-2370</v>
      </c>
      <c r="D613" s="24" t="s">
        <v>49</v>
      </c>
      <c r="E613" s="24" t="s">
        <v>213</v>
      </c>
      <c r="F613" s="63" t="s">
        <v>0</v>
      </c>
    </row>
    <row r="614" spans="1:6" x14ac:dyDescent="0.25">
      <c r="A614" s="62">
        <v>45287</v>
      </c>
      <c r="B614" s="62" t="s">
        <v>643</v>
      </c>
      <c r="C614" s="23">
        <v>-2480</v>
      </c>
      <c r="D614" s="24" t="s">
        <v>49</v>
      </c>
      <c r="E614" s="24" t="s">
        <v>56</v>
      </c>
      <c r="F614" s="63" t="s">
        <v>0</v>
      </c>
    </row>
    <row r="615" spans="1:6" x14ac:dyDescent="0.25">
      <c r="A615" s="62">
        <v>45287</v>
      </c>
      <c r="B615" s="62" t="s">
        <v>644</v>
      </c>
      <c r="C615" s="23">
        <v>-10220</v>
      </c>
      <c r="D615" s="24" t="s">
        <v>49</v>
      </c>
      <c r="E615" s="24" t="s">
        <v>56</v>
      </c>
      <c r="F615" s="63" t="s">
        <v>0</v>
      </c>
    </row>
    <row r="616" spans="1:6" x14ac:dyDescent="0.25">
      <c r="A616" s="62">
        <v>45287</v>
      </c>
      <c r="B616" s="62" t="s">
        <v>645</v>
      </c>
      <c r="C616" s="23">
        <v>-11310</v>
      </c>
      <c r="D616" s="24" t="s">
        <v>46</v>
      </c>
      <c r="E616" s="24" t="s">
        <v>428</v>
      </c>
      <c r="F616" s="63" t="s">
        <v>0</v>
      </c>
    </row>
    <row r="617" spans="1:6" x14ac:dyDescent="0.25">
      <c r="A617" s="62">
        <v>45287</v>
      </c>
      <c r="B617" s="62" t="s">
        <v>646</v>
      </c>
      <c r="C617" s="23">
        <v>-15840</v>
      </c>
      <c r="D617" s="24" t="s">
        <v>49</v>
      </c>
      <c r="E617" s="24" t="s">
        <v>56</v>
      </c>
      <c r="F617" s="63" t="s">
        <v>0</v>
      </c>
    </row>
    <row r="618" spans="1:6" x14ac:dyDescent="0.25">
      <c r="A618" s="62">
        <v>45287</v>
      </c>
      <c r="B618" s="62" t="s">
        <v>647</v>
      </c>
      <c r="C618" s="23">
        <v>-17788</v>
      </c>
      <c r="D618" s="24" t="s">
        <v>49</v>
      </c>
      <c r="E618" s="24" t="s">
        <v>56</v>
      </c>
      <c r="F618" s="63" t="s">
        <v>0</v>
      </c>
    </row>
    <row r="619" spans="1:6" x14ac:dyDescent="0.25">
      <c r="A619" s="62">
        <v>45287</v>
      </c>
      <c r="B619" s="62" t="s">
        <v>648</v>
      </c>
      <c r="C619" s="23">
        <v>-18550</v>
      </c>
      <c r="D619" s="24" t="s">
        <v>49</v>
      </c>
      <c r="E619" s="24" t="s">
        <v>56</v>
      </c>
      <c r="F619" s="63" t="s">
        <v>0</v>
      </c>
    </row>
    <row r="620" spans="1:6" x14ac:dyDescent="0.25">
      <c r="A620" s="62">
        <v>45287</v>
      </c>
      <c r="B620" s="62" t="s">
        <v>649</v>
      </c>
      <c r="C620" s="23">
        <v>-20000</v>
      </c>
      <c r="D620" s="24" t="s">
        <v>49</v>
      </c>
      <c r="E620" s="24" t="s">
        <v>67</v>
      </c>
      <c r="F620" s="63" t="s">
        <v>0</v>
      </c>
    </row>
    <row r="621" spans="1:6" x14ac:dyDescent="0.25">
      <c r="A621" s="62">
        <v>45287</v>
      </c>
      <c r="B621" s="62" t="s">
        <v>650</v>
      </c>
      <c r="C621" s="23">
        <v>-21959</v>
      </c>
      <c r="D621" s="24" t="s">
        <v>90</v>
      </c>
      <c r="E621" s="24" t="s">
        <v>59</v>
      </c>
      <c r="F621" s="63" t="s">
        <v>0</v>
      </c>
    </row>
    <row r="622" spans="1:6" x14ac:dyDescent="0.25">
      <c r="A622" s="62">
        <v>45287</v>
      </c>
      <c r="B622" s="62" t="s">
        <v>651</v>
      </c>
      <c r="C622" s="23">
        <v>-5400</v>
      </c>
      <c r="D622" s="24" t="s">
        <v>52</v>
      </c>
      <c r="E622" s="24" t="s">
        <v>134</v>
      </c>
      <c r="F622" s="63" t="s">
        <v>0</v>
      </c>
    </row>
    <row r="623" spans="1:6" x14ac:dyDescent="0.25">
      <c r="A623" s="62">
        <v>45287</v>
      </c>
      <c r="B623" s="62" t="s">
        <v>652</v>
      </c>
      <c r="C623" s="23">
        <v>-12680</v>
      </c>
      <c r="D623" s="24" t="s">
        <v>49</v>
      </c>
      <c r="E623" s="24" t="s">
        <v>56</v>
      </c>
      <c r="F623" s="63" t="s">
        <v>0</v>
      </c>
    </row>
    <row r="624" spans="1:6" x14ac:dyDescent="0.25">
      <c r="A624" s="62">
        <v>45287</v>
      </c>
      <c r="B624" s="62" t="s">
        <v>653</v>
      </c>
      <c r="C624" s="23">
        <v>-568</v>
      </c>
      <c r="D624" s="24" t="s">
        <v>49</v>
      </c>
      <c r="E624" s="24" t="s">
        <v>56</v>
      </c>
      <c r="F624" s="63" t="s">
        <v>0</v>
      </c>
    </row>
    <row r="625" spans="1:6" x14ac:dyDescent="0.25">
      <c r="A625" s="62">
        <v>45287</v>
      </c>
      <c r="B625" s="62" t="s">
        <v>654</v>
      </c>
      <c r="C625" s="23">
        <v>-999</v>
      </c>
      <c r="D625" s="24" t="s">
        <v>46</v>
      </c>
      <c r="E625" s="24" t="s">
        <v>63</v>
      </c>
      <c r="F625" s="63" t="s">
        <v>0</v>
      </c>
    </row>
    <row r="626" spans="1:6" x14ac:dyDescent="0.25">
      <c r="A626" s="62">
        <v>45282</v>
      </c>
      <c r="B626" s="62" t="s">
        <v>655</v>
      </c>
      <c r="C626" s="23">
        <v>-1965</v>
      </c>
      <c r="D626" s="24" t="s">
        <v>49</v>
      </c>
      <c r="E626" s="24" t="s">
        <v>56</v>
      </c>
      <c r="F626" s="63" t="s">
        <v>0</v>
      </c>
    </row>
    <row r="627" spans="1:6" x14ac:dyDescent="0.25">
      <c r="A627" s="62">
        <v>45282</v>
      </c>
      <c r="B627" s="62" t="s">
        <v>112</v>
      </c>
      <c r="C627" s="23">
        <v>-8840</v>
      </c>
      <c r="D627" s="24" t="s">
        <v>49</v>
      </c>
      <c r="E627" s="24" t="s">
        <v>56</v>
      </c>
      <c r="F627" s="63" t="s">
        <v>0</v>
      </c>
    </row>
    <row r="628" spans="1:6" x14ac:dyDescent="0.25">
      <c r="A628" s="62">
        <v>45281</v>
      </c>
      <c r="B628" s="62" t="s">
        <v>656</v>
      </c>
      <c r="C628" s="23">
        <v>-570</v>
      </c>
      <c r="D628" s="24" t="s">
        <v>72</v>
      </c>
      <c r="E628" s="24" t="s">
        <v>197</v>
      </c>
      <c r="F628" s="63" t="s">
        <v>0</v>
      </c>
    </row>
    <row r="629" spans="1:6" x14ac:dyDescent="0.25">
      <c r="A629" s="62">
        <v>45281</v>
      </c>
      <c r="B629" s="62" t="s">
        <v>657</v>
      </c>
      <c r="C629" s="23">
        <v>-990</v>
      </c>
      <c r="D629" s="24" t="s">
        <v>49</v>
      </c>
      <c r="E629" s="24" t="s">
        <v>56</v>
      </c>
      <c r="F629" s="63" t="s">
        <v>0</v>
      </c>
    </row>
    <row r="630" spans="1:6" x14ac:dyDescent="0.25">
      <c r="A630" s="62">
        <v>45281</v>
      </c>
      <c r="B630" s="62" t="s">
        <v>658</v>
      </c>
      <c r="C630" s="23">
        <v>-580</v>
      </c>
      <c r="D630" s="24" t="s">
        <v>49</v>
      </c>
      <c r="E630" s="24" t="s">
        <v>56</v>
      </c>
      <c r="F630" s="63" t="s">
        <v>0</v>
      </c>
    </row>
    <row r="631" spans="1:6" x14ac:dyDescent="0.25">
      <c r="A631" s="62">
        <v>45281</v>
      </c>
      <c r="B631" s="62" t="s">
        <v>659</v>
      </c>
      <c r="C631" s="23">
        <v>-22000</v>
      </c>
      <c r="D631" s="24" t="s">
        <v>83</v>
      </c>
      <c r="E631" s="24" t="s">
        <v>660</v>
      </c>
      <c r="F631" s="63" t="s">
        <v>0</v>
      </c>
    </row>
    <row r="632" spans="1:6" x14ac:dyDescent="0.25">
      <c r="A632" s="62">
        <v>45280</v>
      </c>
      <c r="B632" s="62" t="s">
        <v>139</v>
      </c>
      <c r="C632" s="23">
        <v>31960</v>
      </c>
      <c r="D632" s="24" t="s">
        <v>58</v>
      </c>
      <c r="E632" s="24" t="s">
        <v>58</v>
      </c>
      <c r="F632" s="63" t="s">
        <v>4</v>
      </c>
    </row>
    <row r="633" spans="1:6" x14ac:dyDescent="0.25">
      <c r="A633" s="62">
        <v>45280</v>
      </c>
      <c r="B633" s="62" t="s">
        <v>661</v>
      </c>
      <c r="C633" s="23">
        <v>-5230</v>
      </c>
      <c r="D633" s="24" t="s">
        <v>90</v>
      </c>
      <c r="E633" s="24" t="s">
        <v>59</v>
      </c>
      <c r="F633" s="63" t="s">
        <v>0</v>
      </c>
    </row>
    <row r="634" spans="1:6" x14ac:dyDescent="0.25">
      <c r="A634" s="62">
        <v>45280</v>
      </c>
      <c r="B634" s="62" t="s">
        <v>662</v>
      </c>
      <c r="C634" s="23">
        <v>-5990</v>
      </c>
      <c r="D634" s="24" t="s">
        <v>49</v>
      </c>
      <c r="E634" s="24" t="s">
        <v>50</v>
      </c>
      <c r="F634" s="63" t="s">
        <v>0</v>
      </c>
    </row>
    <row r="635" spans="1:6" x14ac:dyDescent="0.25">
      <c r="A635" s="62">
        <v>45280</v>
      </c>
      <c r="B635" s="62" t="s">
        <v>663</v>
      </c>
      <c r="C635" s="23">
        <v>-8740</v>
      </c>
      <c r="D635" s="24" t="s">
        <v>90</v>
      </c>
      <c r="E635" s="24" t="s">
        <v>93</v>
      </c>
      <c r="F635" s="63" t="s">
        <v>0</v>
      </c>
    </row>
    <row r="636" spans="1:6" x14ac:dyDescent="0.25">
      <c r="A636" s="62">
        <v>45280</v>
      </c>
      <c r="B636" s="62" t="s">
        <v>664</v>
      </c>
      <c r="C636" s="23">
        <v>-10000</v>
      </c>
      <c r="D636" s="24" t="s">
        <v>90</v>
      </c>
      <c r="E636" s="24" t="s">
        <v>91</v>
      </c>
      <c r="F636" s="63" t="s">
        <v>0</v>
      </c>
    </row>
    <row r="637" spans="1:6" x14ac:dyDescent="0.25">
      <c r="A637" s="62">
        <v>45280</v>
      </c>
      <c r="B637" s="62" t="s">
        <v>665</v>
      </c>
      <c r="C637" s="23">
        <v>-22350</v>
      </c>
      <c r="D637" s="24" t="s">
        <v>90</v>
      </c>
      <c r="E637" s="24" t="s">
        <v>93</v>
      </c>
      <c r="F637" s="63" t="s">
        <v>0</v>
      </c>
    </row>
    <row r="638" spans="1:6" x14ac:dyDescent="0.25">
      <c r="A638" s="62">
        <v>45280</v>
      </c>
      <c r="B638" s="62" t="s">
        <v>666</v>
      </c>
      <c r="C638" s="23">
        <v>-23581</v>
      </c>
      <c r="D638" s="24" t="s">
        <v>49</v>
      </c>
      <c r="E638" s="24" t="s">
        <v>56</v>
      </c>
      <c r="F638" s="63" t="s">
        <v>0</v>
      </c>
    </row>
    <row r="639" spans="1:6" x14ac:dyDescent="0.25">
      <c r="A639" s="62">
        <v>45280</v>
      </c>
      <c r="B639" s="62" t="s">
        <v>667</v>
      </c>
      <c r="C639" s="23">
        <v>-27802</v>
      </c>
      <c r="D639" s="24" t="s">
        <v>49</v>
      </c>
      <c r="E639" s="24" t="s">
        <v>56</v>
      </c>
      <c r="F639" s="63" t="s">
        <v>0</v>
      </c>
    </row>
    <row r="640" spans="1:6" x14ac:dyDescent="0.25">
      <c r="A640" s="62">
        <v>45280</v>
      </c>
      <c r="B640" s="62" t="s">
        <v>668</v>
      </c>
      <c r="C640" s="23">
        <v>-1918</v>
      </c>
      <c r="D640" s="24" t="s">
        <v>46</v>
      </c>
      <c r="E640" s="24" t="s">
        <v>61</v>
      </c>
      <c r="F640" s="63" t="s">
        <v>0</v>
      </c>
    </row>
    <row r="641" spans="1:6" x14ac:dyDescent="0.25">
      <c r="A641" s="62">
        <v>45279</v>
      </c>
      <c r="B641" s="62" t="s">
        <v>669</v>
      </c>
      <c r="C641" s="23">
        <v>-2537</v>
      </c>
      <c r="D641" s="24" t="s">
        <v>49</v>
      </c>
      <c r="E641" s="24" t="s">
        <v>67</v>
      </c>
      <c r="F641" s="63" t="s">
        <v>0</v>
      </c>
    </row>
    <row r="642" spans="1:6" x14ac:dyDescent="0.25">
      <c r="A642" s="62">
        <v>45278</v>
      </c>
      <c r="B642" s="62" t="s">
        <v>670</v>
      </c>
      <c r="C642" s="23">
        <v>-260</v>
      </c>
      <c r="D642" s="24" t="s">
        <v>49</v>
      </c>
      <c r="E642" s="24" t="s">
        <v>67</v>
      </c>
      <c r="F642" s="63" t="s">
        <v>0</v>
      </c>
    </row>
    <row r="643" spans="1:6" x14ac:dyDescent="0.25">
      <c r="A643" s="62">
        <v>45278</v>
      </c>
      <c r="B643" s="62" t="s">
        <v>671</v>
      </c>
      <c r="C643" s="23">
        <v>-4770</v>
      </c>
      <c r="D643" s="24" t="s">
        <v>49</v>
      </c>
      <c r="E643" s="24" t="s">
        <v>56</v>
      </c>
      <c r="F643" s="63" t="s">
        <v>0</v>
      </c>
    </row>
    <row r="644" spans="1:6" x14ac:dyDescent="0.25">
      <c r="A644" s="62">
        <v>45278</v>
      </c>
      <c r="B644" s="62" t="s">
        <v>672</v>
      </c>
      <c r="C644" s="23">
        <v>-6880</v>
      </c>
      <c r="D644" s="24" t="s">
        <v>90</v>
      </c>
      <c r="E644" s="24" t="s">
        <v>106</v>
      </c>
      <c r="F644" s="63" t="s">
        <v>0</v>
      </c>
    </row>
    <row r="645" spans="1:6" x14ac:dyDescent="0.25">
      <c r="A645" s="62">
        <v>45278</v>
      </c>
      <c r="B645" s="62" t="s">
        <v>673</v>
      </c>
      <c r="C645" s="23">
        <v>-24098</v>
      </c>
      <c r="D645" s="24" t="s">
        <v>49</v>
      </c>
      <c r="E645" s="24" t="s">
        <v>56</v>
      </c>
      <c r="F645" s="63" t="s">
        <v>0</v>
      </c>
    </row>
    <row r="646" spans="1:6" x14ac:dyDescent="0.25">
      <c r="A646" s="62">
        <v>45278</v>
      </c>
      <c r="B646" s="62" t="s">
        <v>674</v>
      </c>
      <c r="C646" s="23">
        <v>-39890</v>
      </c>
      <c r="D646" s="24" t="s">
        <v>52</v>
      </c>
      <c r="E646" s="24" t="s">
        <v>52</v>
      </c>
      <c r="F646" s="63" t="s">
        <v>0</v>
      </c>
    </row>
    <row r="647" spans="1:6" x14ac:dyDescent="0.25">
      <c r="A647" s="62">
        <v>45278</v>
      </c>
      <c r="B647" s="62" t="s">
        <v>675</v>
      </c>
      <c r="C647" s="23">
        <v>-17180</v>
      </c>
      <c r="D647" s="24" t="s">
        <v>52</v>
      </c>
      <c r="E647" s="24" t="s">
        <v>52</v>
      </c>
      <c r="F647" s="63" t="s">
        <v>0</v>
      </c>
    </row>
    <row r="648" spans="1:6" x14ac:dyDescent="0.25">
      <c r="A648" s="62">
        <v>45278</v>
      </c>
      <c r="B648" s="62" t="s">
        <v>676</v>
      </c>
      <c r="C648" s="23">
        <v>-1499</v>
      </c>
      <c r="D648" s="24" t="s">
        <v>49</v>
      </c>
      <c r="E648" s="24" t="s">
        <v>50</v>
      </c>
      <c r="F648" s="63" t="s">
        <v>0</v>
      </c>
    </row>
    <row r="649" spans="1:6" x14ac:dyDescent="0.25">
      <c r="A649" s="62">
        <v>45278</v>
      </c>
      <c r="B649" s="62" t="s">
        <v>677</v>
      </c>
      <c r="C649" s="23">
        <v>-1599</v>
      </c>
      <c r="D649" s="24" t="s">
        <v>49</v>
      </c>
      <c r="E649" s="24" t="s">
        <v>50</v>
      </c>
      <c r="F649" s="63" t="s">
        <v>0</v>
      </c>
    </row>
    <row r="650" spans="1:6" x14ac:dyDescent="0.25">
      <c r="A650" s="62">
        <v>45278</v>
      </c>
      <c r="B650" s="62" t="s">
        <v>678</v>
      </c>
      <c r="C650" s="23">
        <v>-439</v>
      </c>
      <c r="D650" s="24" t="s">
        <v>49</v>
      </c>
      <c r="E650" s="24" t="s">
        <v>56</v>
      </c>
      <c r="F650" s="63" t="s">
        <v>0</v>
      </c>
    </row>
    <row r="651" spans="1:6" x14ac:dyDescent="0.25">
      <c r="A651" s="62">
        <v>45278</v>
      </c>
      <c r="B651" s="62" t="s">
        <v>679</v>
      </c>
      <c r="C651" s="23">
        <v>-1950</v>
      </c>
      <c r="D651" s="24" t="s">
        <v>52</v>
      </c>
      <c r="E651" s="24" t="s">
        <v>52</v>
      </c>
      <c r="F651" s="63" t="s">
        <v>0</v>
      </c>
    </row>
    <row r="652" spans="1:6" x14ac:dyDescent="0.25">
      <c r="A652" s="62">
        <v>45278</v>
      </c>
      <c r="B652" s="62" t="s">
        <v>680</v>
      </c>
      <c r="C652" s="23">
        <v>-5910</v>
      </c>
      <c r="D652" s="24" t="s">
        <v>52</v>
      </c>
      <c r="E652" s="24" t="s">
        <v>52</v>
      </c>
      <c r="F652" s="63" t="s">
        <v>0</v>
      </c>
    </row>
    <row r="653" spans="1:6" x14ac:dyDescent="0.25">
      <c r="A653" s="62">
        <v>45278</v>
      </c>
      <c r="B653" s="62" t="s">
        <v>681</v>
      </c>
      <c r="C653" s="23">
        <v>-3090</v>
      </c>
      <c r="D653" s="24" t="s">
        <v>46</v>
      </c>
      <c r="E653" s="24" t="s">
        <v>63</v>
      </c>
      <c r="F653" s="63" t="s">
        <v>0</v>
      </c>
    </row>
    <row r="654" spans="1:6" x14ac:dyDescent="0.25">
      <c r="A654" s="62">
        <v>45275</v>
      </c>
      <c r="B654" s="62" t="s">
        <v>682</v>
      </c>
      <c r="C654" s="23">
        <v>-920</v>
      </c>
      <c r="D654" s="24" t="s">
        <v>49</v>
      </c>
      <c r="E654" s="24" t="s">
        <v>56</v>
      </c>
      <c r="F654" s="63" t="s">
        <v>0</v>
      </c>
    </row>
    <row r="655" spans="1:6" x14ac:dyDescent="0.25">
      <c r="A655" s="62">
        <v>45274</v>
      </c>
      <c r="B655" s="62" t="s">
        <v>683</v>
      </c>
      <c r="C655" s="23">
        <v>-1996</v>
      </c>
      <c r="D655" s="24" t="s">
        <v>49</v>
      </c>
      <c r="E655" s="24" t="s">
        <v>56</v>
      </c>
      <c r="F655" s="63" t="s">
        <v>0</v>
      </c>
    </row>
    <row r="656" spans="1:6" x14ac:dyDescent="0.25">
      <c r="A656" s="62">
        <v>45274</v>
      </c>
      <c r="B656" s="62" t="s">
        <v>684</v>
      </c>
      <c r="C656" s="23">
        <v>-5420</v>
      </c>
      <c r="D656" s="24" t="s">
        <v>49</v>
      </c>
      <c r="E656" s="24" t="s">
        <v>56</v>
      </c>
      <c r="F656" s="63" t="s">
        <v>0</v>
      </c>
    </row>
    <row r="657" spans="1:6" x14ac:dyDescent="0.25">
      <c r="A657" s="62">
        <v>45274</v>
      </c>
      <c r="B657" s="62" t="s">
        <v>685</v>
      </c>
      <c r="C657" s="23">
        <v>-35273</v>
      </c>
      <c r="D657" s="24" t="s">
        <v>49</v>
      </c>
      <c r="E657" s="24" t="s">
        <v>213</v>
      </c>
      <c r="F657" s="63" t="s">
        <v>0</v>
      </c>
    </row>
    <row r="658" spans="1:6" x14ac:dyDescent="0.25">
      <c r="A658" s="62">
        <v>45274</v>
      </c>
      <c r="B658" s="62" t="s">
        <v>686</v>
      </c>
      <c r="C658" s="23">
        <v>-1580</v>
      </c>
      <c r="D658" s="24" t="s">
        <v>52</v>
      </c>
      <c r="E658" s="24" t="s">
        <v>134</v>
      </c>
      <c r="F658" s="63" t="s">
        <v>0</v>
      </c>
    </row>
    <row r="659" spans="1:6" x14ac:dyDescent="0.25">
      <c r="A659" s="62">
        <v>45273</v>
      </c>
      <c r="B659" s="62" t="s">
        <v>687</v>
      </c>
      <c r="C659" s="23">
        <v>-7000</v>
      </c>
      <c r="D659" s="24" t="s">
        <v>49</v>
      </c>
      <c r="E659" s="24" t="s">
        <v>67</v>
      </c>
      <c r="F659" s="63" t="s">
        <v>0</v>
      </c>
    </row>
    <row r="660" spans="1:6" x14ac:dyDescent="0.25">
      <c r="A660" s="62">
        <v>45273</v>
      </c>
      <c r="B660" s="62" t="s">
        <v>688</v>
      </c>
      <c r="C660" s="23">
        <v>-9946</v>
      </c>
      <c r="D660" s="24" t="s">
        <v>49</v>
      </c>
      <c r="E660" s="24" t="s">
        <v>56</v>
      </c>
      <c r="F660" s="63" t="s">
        <v>0</v>
      </c>
    </row>
    <row r="661" spans="1:6" x14ac:dyDescent="0.25">
      <c r="A661" s="62">
        <v>45273</v>
      </c>
      <c r="B661" s="62" t="s">
        <v>689</v>
      </c>
      <c r="C661" s="23">
        <v>-19548</v>
      </c>
      <c r="D661" s="24" t="s">
        <v>49</v>
      </c>
      <c r="E661" s="24" t="s">
        <v>56</v>
      </c>
      <c r="F661" s="63" t="s">
        <v>0</v>
      </c>
    </row>
    <row r="662" spans="1:6" x14ac:dyDescent="0.25">
      <c r="A662" s="62">
        <v>45273</v>
      </c>
      <c r="B662" s="62" t="s">
        <v>690</v>
      </c>
      <c r="C662" s="23">
        <v>-2500</v>
      </c>
      <c r="D662" s="24" t="s">
        <v>52</v>
      </c>
      <c r="E662" s="24" t="s">
        <v>53</v>
      </c>
      <c r="F662" s="63" t="s">
        <v>0</v>
      </c>
    </row>
    <row r="663" spans="1:6" x14ac:dyDescent="0.25">
      <c r="A663" s="62">
        <v>45273</v>
      </c>
      <c r="B663" s="62" t="s">
        <v>691</v>
      </c>
      <c r="C663" s="23">
        <v>-999</v>
      </c>
      <c r="D663" s="24" t="s">
        <v>49</v>
      </c>
      <c r="E663" s="24" t="s">
        <v>56</v>
      </c>
      <c r="F663" s="63" t="s">
        <v>0</v>
      </c>
    </row>
    <row r="664" spans="1:6" x14ac:dyDescent="0.25">
      <c r="A664" s="62">
        <v>45272</v>
      </c>
      <c r="B664" s="62" t="s">
        <v>692</v>
      </c>
      <c r="C664" s="23">
        <v>-14995</v>
      </c>
      <c r="D664" s="24" t="s">
        <v>49</v>
      </c>
      <c r="E664" s="24" t="s">
        <v>213</v>
      </c>
      <c r="F664" s="63" t="s">
        <v>0</v>
      </c>
    </row>
    <row r="665" spans="1:6" x14ac:dyDescent="0.25">
      <c r="A665" s="62">
        <v>45271</v>
      </c>
      <c r="B665" s="62" t="s">
        <v>693</v>
      </c>
      <c r="C665" s="23">
        <v>-1200</v>
      </c>
      <c r="D665" s="24" t="s">
        <v>72</v>
      </c>
      <c r="E665" s="24" t="s">
        <v>73</v>
      </c>
      <c r="F665" s="63" t="s">
        <v>0</v>
      </c>
    </row>
    <row r="666" spans="1:6" x14ac:dyDescent="0.25">
      <c r="A666" s="62">
        <v>45271</v>
      </c>
      <c r="B666" s="62" t="s">
        <v>694</v>
      </c>
      <c r="C666" s="23">
        <v>-1840</v>
      </c>
      <c r="D666" s="24" t="s">
        <v>49</v>
      </c>
      <c r="E666" s="24" t="s">
        <v>56</v>
      </c>
      <c r="F666" s="63" t="s">
        <v>0</v>
      </c>
    </row>
    <row r="667" spans="1:6" x14ac:dyDescent="0.25">
      <c r="A667" s="62">
        <v>45271</v>
      </c>
      <c r="B667" s="62" t="s">
        <v>695</v>
      </c>
      <c r="C667" s="23">
        <v>-2967</v>
      </c>
      <c r="D667" s="24" t="s">
        <v>49</v>
      </c>
      <c r="E667" s="24" t="s">
        <v>56</v>
      </c>
      <c r="F667" s="63" t="s">
        <v>0</v>
      </c>
    </row>
    <row r="668" spans="1:6" x14ac:dyDescent="0.25">
      <c r="A668" s="62">
        <v>45271</v>
      </c>
      <c r="B668" s="62" t="s">
        <v>696</v>
      </c>
      <c r="C668" s="23">
        <v>-3470</v>
      </c>
      <c r="D668" s="24" t="s">
        <v>52</v>
      </c>
      <c r="E668" s="24" t="s">
        <v>134</v>
      </c>
      <c r="F668" s="63" t="s">
        <v>0</v>
      </c>
    </row>
    <row r="669" spans="1:6" x14ac:dyDescent="0.25">
      <c r="A669" s="62">
        <v>45271</v>
      </c>
      <c r="B669" s="62" t="s">
        <v>697</v>
      </c>
      <c r="C669" s="23">
        <v>-6530</v>
      </c>
      <c r="D669" s="24" t="s">
        <v>49</v>
      </c>
      <c r="E669" s="24" t="s">
        <v>213</v>
      </c>
      <c r="F669" s="63" t="s">
        <v>0</v>
      </c>
    </row>
    <row r="670" spans="1:6" x14ac:dyDescent="0.25">
      <c r="A670" s="62">
        <v>45271</v>
      </c>
      <c r="B670" s="62" t="s">
        <v>698</v>
      </c>
      <c r="C670" s="23">
        <v>-10189</v>
      </c>
      <c r="D670" s="24" t="s">
        <v>49</v>
      </c>
      <c r="E670" s="24" t="s">
        <v>232</v>
      </c>
      <c r="F670" s="63" t="s">
        <v>0</v>
      </c>
    </row>
    <row r="671" spans="1:6" x14ac:dyDescent="0.25">
      <c r="A671" s="62">
        <v>45271</v>
      </c>
      <c r="B671" s="62" t="s">
        <v>699</v>
      </c>
      <c r="C671" s="23">
        <v>-10590</v>
      </c>
      <c r="D671" s="24" t="s">
        <v>49</v>
      </c>
      <c r="E671" s="24" t="s">
        <v>213</v>
      </c>
      <c r="F671" s="63" t="s">
        <v>0</v>
      </c>
    </row>
    <row r="672" spans="1:6" x14ac:dyDescent="0.25">
      <c r="A672" s="62">
        <v>45271</v>
      </c>
      <c r="B672" s="62" t="s">
        <v>700</v>
      </c>
      <c r="C672" s="23">
        <v>-11880</v>
      </c>
      <c r="D672" s="24" t="s">
        <v>49</v>
      </c>
      <c r="E672" s="24" t="s">
        <v>56</v>
      </c>
      <c r="F672" s="63" t="s">
        <v>0</v>
      </c>
    </row>
    <row r="673" spans="1:6" x14ac:dyDescent="0.25">
      <c r="A673" s="62">
        <v>45271</v>
      </c>
      <c r="B673" s="62" t="s">
        <v>701</v>
      </c>
      <c r="C673" s="23">
        <v>-23990</v>
      </c>
      <c r="D673" s="24" t="s">
        <v>49</v>
      </c>
      <c r="E673" s="24" t="s">
        <v>213</v>
      </c>
      <c r="F673" s="63" t="s">
        <v>0</v>
      </c>
    </row>
    <row r="674" spans="1:6" x14ac:dyDescent="0.25">
      <c r="A674" s="62">
        <v>45271</v>
      </c>
      <c r="B674" s="62" t="s">
        <v>702</v>
      </c>
      <c r="C674" s="23">
        <v>-35293</v>
      </c>
      <c r="D674" s="24" t="s">
        <v>49</v>
      </c>
      <c r="E674" s="24" t="s">
        <v>213</v>
      </c>
      <c r="F674" s="63" t="s">
        <v>0</v>
      </c>
    </row>
    <row r="675" spans="1:6" x14ac:dyDescent="0.25">
      <c r="A675" s="62">
        <v>45271</v>
      </c>
      <c r="B675" s="62" t="s">
        <v>703</v>
      </c>
      <c r="C675" s="23">
        <v>-7416</v>
      </c>
      <c r="D675" s="24" t="s">
        <v>46</v>
      </c>
      <c r="E675" s="24" t="s">
        <v>63</v>
      </c>
      <c r="F675" s="63" t="s">
        <v>0</v>
      </c>
    </row>
    <row r="676" spans="1:6" x14ac:dyDescent="0.25">
      <c r="A676" s="62">
        <v>45271</v>
      </c>
      <c r="B676" s="62" t="s">
        <v>704</v>
      </c>
      <c r="C676" s="23">
        <v>-6944</v>
      </c>
      <c r="D676" s="24" t="s">
        <v>46</v>
      </c>
      <c r="E676" s="24" t="s">
        <v>150</v>
      </c>
      <c r="F676" s="63" t="s">
        <v>0</v>
      </c>
    </row>
    <row r="677" spans="1:6" x14ac:dyDescent="0.25">
      <c r="A677" s="62">
        <v>45271</v>
      </c>
      <c r="B677" s="62" t="s">
        <v>705</v>
      </c>
      <c r="C677" s="23">
        <v>-11497</v>
      </c>
      <c r="D677" s="24" t="s">
        <v>46</v>
      </c>
      <c r="E677" s="24" t="s">
        <v>61</v>
      </c>
      <c r="F677" s="63" t="s">
        <v>0</v>
      </c>
    </row>
    <row r="678" spans="1:6" x14ac:dyDescent="0.25">
      <c r="A678" s="62">
        <v>45271</v>
      </c>
      <c r="B678" s="62" t="s">
        <v>706</v>
      </c>
      <c r="C678" s="23">
        <v>-8473</v>
      </c>
      <c r="D678" s="24" t="s">
        <v>46</v>
      </c>
      <c r="E678" s="24" t="s">
        <v>145</v>
      </c>
      <c r="F678" s="63" t="s">
        <v>0</v>
      </c>
    </row>
    <row r="679" spans="1:6" x14ac:dyDescent="0.25">
      <c r="A679" s="62">
        <v>45271</v>
      </c>
      <c r="B679" s="62" t="s">
        <v>707</v>
      </c>
      <c r="C679" s="23">
        <v>-32295</v>
      </c>
      <c r="D679" s="24" t="s">
        <v>72</v>
      </c>
      <c r="E679" s="24" t="s">
        <v>109</v>
      </c>
      <c r="F679" s="63" t="s">
        <v>0</v>
      </c>
    </row>
    <row r="680" spans="1:6" x14ac:dyDescent="0.25">
      <c r="A680" s="62">
        <v>45271</v>
      </c>
      <c r="B680" s="62" t="s">
        <v>708</v>
      </c>
      <c r="C680" s="23">
        <v>-6824</v>
      </c>
      <c r="D680" s="24" t="s">
        <v>46</v>
      </c>
      <c r="E680" s="24" t="s">
        <v>80</v>
      </c>
      <c r="F680" s="63" t="s">
        <v>0</v>
      </c>
    </row>
    <row r="681" spans="1:6" x14ac:dyDescent="0.25">
      <c r="A681" s="62">
        <v>45271</v>
      </c>
      <c r="B681" s="62" t="s">
        <v>709</v>
      </c>
      <c r="C681" s="23">
        <v>12000</v>
      </c>
      <c r="D681" s="24" t="s">
        <v>49</v>
      </c>
      <c r="E681" s="24" t="s">
        <v>67</v>
      </c>
      <c r="F681" s="63" t="s">
        <v>0</v>
      </c>
    </row>
    <row r="682" spans="1:6" x14ac:dyDescent="0.25">
      <c r="A682" s="62">
        <v>45270</v>
      </c>
      <c r="B682" s="62" t="s">
        <v>710</v>
      </c>
      <c r="C682" s="23">
        <v>-219426.37</v>
      </c>
      <c r="D682" s="24" t="s">
        <v>46</v>
      </c>
      <c r="E682" s="24" t="s">
        <v>10</v>
      </c>
      <c r="F682" s="63" t="s">
        <v>0</v>
      </c>
    </row>
    <row r="683" spans="1:6" x14ac:dyDescent="0.25">
      <c r="A683" s="62">
        <v>45270</v>
      </c>
      <c r="B683" s="62" t="s">
        <v>711</v>
      </c>
      <c r="C683" s="23">
        <v>-13750</v>
      </c>
      <c r="D683" s="24" t="s">
        <v>52</v>
      </c>
      <c r="E683" s="24" t="s">
        <v>53</v>
      </c>
      <c r="F683" s="63" t="s">
        <v>4</v>
      </c>
    </row>
    <row r="684" spans="1:6" x14ac:dyDescent="0.25">
      <c r="A684" s="62">
        <v>45270</v>
      </c>
      <c r="B684" s="62" t="s">
        <v>712</v>
      </c>
      <c r="C684" s="23">
        <v>-42378.42</v>
      </c>
      <c r="D684" s="24" t="s">
        <v>46</v>
      </c>
      <c r="E684" s="24" t="s">
        <v>10</v>
      </c>
      <c r="F684" s="63" t="s">
        <v>0</v>
      </c>
    </row>
    <row r="685" spans="1:6" x14ac:dyDescent="0.25">
      <c r="A685" s="62">
        <v>45270</v>
      </c>
      <c r="B685" s="62" t="s">
        <v>710</v>
      </c>
      <c r="C685" s="23">
        <v>219426.37</v>
      </c>
      <c r="D685" s="24" t="s">
        <v>46</v>
      </c>
      <c r="E685" s="24" t="s">
        <v>10</v>
      </c>
      <c r="F685" s="63" t="s">
        <v>10</v>
      </c>
    </row>
    <row r="686" spans="1:6" x14ac:dyDescent="0.25">
      <c r="A686" s="62">
        <v>45268</v>
      </c>
      <c r="B686" s="62" t="s">
        <v>713</v>
      </c>
      <c r="C686" s="23">
        <v>1097975</v>
      </c>
      <c r="D686" s="24" t="s">
        <v>58</v>
      </c>
      <c r="E686" s="24" t="s">
        <v>58</v>
      </c>
      <c r="F686" s="63" t="s">
        <v>0</v>
      </c>
    </row>
    <row r="687" spans="1:6" x14ac:dyDescent="0.25">
      <c r="A687" s="62">
        <v>45267</v>
      </c>
      <c r="B687" s="62" t="s">
        <v>714</v>
      </c>
      <c r="C687" s="23">
        <v>-4350</v>
      </c>
      <c r="D687" s="24" t="s">
        <v>52</v>
      </c>
      <c r="E687" s="24" t="s">
        <v>53</v>
      </c>
      <c r="F687" s="63" t="s">
        <v>4</v>
      </c>
    </row>
    <row r="688" spans="1:6" x14ac:dyDescent="0.25">
      <c r="A688" s="62">
        <v>45267</v>
      </c>
      <c r="B688" s="62" t="s">
        <v>715</v>
      </c>
      <c r="C688" s="23">
        <v>-940</v>
      </c>
      <c r="D688" s="24" t="s">
        <v>49</v>
      </c>
      <c r="E688" s="24" t="s">
        <v>56</v>
      </c>
      <c r="F688" s="63" t="s">
        <v>0</v>
      </c>
    </row>
    <row r="689" spans="1:6" x14ac:dyDescent="0.25">
      <c r="A689" s="62">
        <v>45267</v>
      </c>
      <c r="B689" s="62" t="s">
        <v>716</v>
      </c>
      <c r="C689" s="23">
        <v>-2796</v>
      </c>
      <c r="D689" s="24" t="s">
        <v>90</v>
      </c>
      <c r="E689" s="24" t="s">
        <v>59</v>
      </c>
      <c r="F689" s="63" t="s">
        <v>0</v>
      </c>
    </row>
    <row r="690" spans="1:6" x14ac:dyDescent="0.25">
      <c r="A690" s="62">
        <v>45267</v>
      </c>
      <c r="B690" s="62" t="s">
        <v>717</v>
      </c>
      <c r="C690" s="23">
        <v>-3800</v>
      </c>
      <c r="D690" s="24" t="s">
        <v>52</v>
      </c>
      <c r="E690" s="24" t="s">
        <v>53</v>
      </c>
      <c r="F690" s="63" t="s">
        <v>0</v>
      </c>
    </row>
    <row r="691" spans="1:6" x14ac:dyDescent="0.25">
      <c r="A691" s="62">
        <v>45267</v>
      </c>
      <c r="B691" s="62" t="s">
        <v>718</v>
      </c>
      <c r="C691" s="23">
        <v>-1299</v>
      </c>
      <c r="D691" s="24" t="s">
        <v>49</v>
      </c>
      <c r="E691" s="24" t="s">
        <v>56</v>
      </c>
      <c r="F691" s="63" t="s">
        <v>0</v>
      </c>
    </row>
    <row r="692" spans="1:6" x14ac:dyDescent="0.25">
      <c r="A692" s="62">
        <v>45266</v>
      </c>
      <c r="B692" s="62" t="s">
        <v>719</v>
      </c>
      <c r="C692" s="23">
        <v>-9302</v>
      </c>
      <c r="D692" s="24" t="s">
        <v>49</v>
      </c>
      <c r="E692" s="24" t="s">
        <v>56</v>
      </c>
      <c r="F692" s="63" t="s">
        <v>0</v>
      </c>
    </row>
    <row r="693" spans="1:6" x14ac:dyDescent="0.25">
      <c r="A693" s="62">
        <v>45266</v>
      </c>
      <c r="B693" s="62" t="s">
        <v>720</v>
      </c>
      <c r="C693" s="23">
        <v>-10000</v>
      </c>
      <c r="D693" s="24" t="s">
        <v>90</v>
      </c>
      <c r="E693" s="24" t="s">
        <v>91</v>
      </c>
      <c r="F693" s="63" t="s">
        <v>0</v>
      </c>
    </row>
    <row r="694" spans="1:6" x14ac:dyDescent="0.25">
      <c r="A694" s="62">
        <v>45266</v>
      </c>
      <c r="B694" s="62" t="s">
        <v>721</v>
      </c>
      <c r="C694" s="23">
        <v>-32263</v>
      </c>
      <c r="D694" s="24" t="s">
        <v>49</v>
      </c>
      <c r="E694" s="24" t="s">
        <v>56</v>
      </c>
      <c r="F694" s="63" t="s">
        <v>0</v>
      </c>
    </row>
    <row r="695" spans="1:6" x14ac:dyDescent="0.25">
      <c r="A695" s="62">
        <v>45266</v>
      </c>
      <c r="B695" s="62" t="s">
        <v>722</v>
      </c>
      <c r="C695" s="23">
        <v>-9591</v>
      </c>
      <c r="D695" s="24" t="s">
        <v>49</v>
      </c>
      <c r="E695" s="24" t="s">
        <v>56</v>
      </c>
      <c r="F695" s="63" t="s">
        <v>0</v>
      </c>
    </row>
    <row r="696" spans="1:6" x14ac:dyDescent="0.25">
      <c r="A696" s="62">
        <v>45266</v>
      </c>
      <c r="B696" s="62" t="s">
        <v>723</v>
      </c>
      <c r="C696" s="23">
        <v>-5438</v>
      </c>
      <c r="D696" s="24" t="s">
        <v>49</v>
      </c>
      <c r="E696" s="24" t="s">
        <v>56</v>
      </c>
      <c r="F696" s="63" t="s">
        <v>0</v>
      </c>
    </row>
    <row r="697" spans="1:6" x14ac:dyDescent="0.25">
      <c r="A697" s="62">
        <v>45266</v>
      </c>
      <c r="B697" s="62" t="s">
        <v>724</v>
      </c>
      <c r="C697" s="23">
        <v>-13200</v>
      </c>
      <c r="D697" s="24" t="s">
        <v>49</v>
      </c>
      <c r="E697" s="24" t="s">
        <v>56</v>
      </c>
      <c r="F697" s="63" t="s">
        <v>0</v>
      </c>
    </row>
    <row r="698" spans="1:6" x14ac:dyDescent="0.25">
      <c r="A698" s="62">
        <v>45265</v>
      </c>
      <c r="B698" s="62" t="s">
        <v>725</v>
      </c>
      <c r="C698" s="23">
        <v>-1690</v>
      </c>
      <c r="D698" s="24" t="s">
        <v>52</v>
      </c>
      <c r="E698" s="24" t="s">
        <v>53</v>
      </c>
      <c r="F698" s="63" t="s">
        <v>4</v>
      </c>
    </row>
    <row r="699" spans="1:6" x14ac:dyDescent="0.25">
      <c r="A699" s="62">
        <v>45265</v>
      </c>
      <c r="B699" s="62" t="s">
        <v>726</v>
      </c>
      <c r="C699" s="23">
        <v>-6350</v>
      </c>
      <c r="D699" s="24" t="s">
        <v>52</v>
      </c>
      <c r="E699" s="24" t="s">
        <v>53</v>
      </c>
      <c r="F699" s="63" t="s">
        <v>4</v>
      </c>
    </row>
    <row r="700" spans="1:6" x14ac:dyDescent="0.25">
      <c r="A700" s="62">
        <v>45265</v>
      </c>
      <c r="B700" s="62" t="s">
        <v>171</v>
      </c>
      <c r="C700" s="23">
        <v>1914</v>
      </c>
      <c r="D700" s="24" t="s">
        <v>167</v>
      </c>
      <c r="E700" s="24" t="s">
        <v>168</v>
      </c>
      <c r="F700" s="63" t="s">
        <v>0</v>
      </c>
    </row>
    <row r="701" spans="1:6" x14ac:dyDescent="0.25">
      <c r="A701" s="62">
        <v>45265</v>
      </c>
      <c r="B701" s="62" t="s">
        <v>727</v>
      </c>
      <c r="C701" s="23">
        <v>20570</v>
      </c>
      <c r="D701" s="24" t="s">
        <v>72</v>
      </c>
      <c r="E701" s="24" t="s">
        <v>728</v>
      </c>
      <c r="F701" s="63" t="s">
        <v>0</v>
      </c>
    </row>
    <row r="702" spans="1:6" x14ac:dyDescent="0.25">
      <c r="A702" s="62">
        <v>45264</v>
      </c>
      <c r="B702" s="62" t="s">
        <v>172</v>
      </c>
      <c r="C702" s="23">
        <v>243600</v>
      </c>
      <c r="D702" s="24" t="s">
        <v>58</v>
      </c>
      <c r="E702" s="24" t="s">
        <v>58</v>
      </c>
      <c r="F702" s="63" t="s">
        <v>0</v>
      </c>
    </row>
    <row r="703" spans="1:6" x14ac:dyDescent="0.25">
      <c r="A703" s="62">
        <v>45264</v>
      </c>
      <c r="B703" s="62" t="s">
        <v>729</v>
      </c>
      <c r="C703" s="23">
        <v>-2180</v>
      </c>
      <c r="D703" s="24" t="s">
        <v>49</v>
      </c>
      <c r="E703" s="24" t="s">
        <v>67</v>
      </c>
      <c r="F703" s="63" t="s">
        <v>0</v>
      </c>
    </row>
    <row r="704" spans="1:6" x14ac:dyDescent="0.25">
      <c r="A704" s="62">
        <v>45264</v>
      </c>
      <c r="B704" s="62" t="s">
        <v>730</v>
      </c>
      <c r="C704" s="23">
        <v>-3591</v>
      </c>
      <c r="D704" s="24" t="s">
        <v>49</v>
      </c>
      <c r="E704" s="24" t="s">
        <v>56</v>
      </c>
      <c r="F704" s="63" t="s">
        <v>0</v>
      </c>
    </row>
    <row r="705" spans="1:6" x14ac:dyDescent="0.25">
      <c r="A705" s="62">
        <v>45264</v>
      </c>
      <c r="B705" s="62" t="s">
        <v>731</v>
      </c>
      <c r="C705" s="23">
        <v>-154043</v>
      </c>
      <c r="D705" s="24" t="s">
        <v>49</v>
      </c>
      <c r="E705" s="24" t="s">
        <v>50</v>
      </c>
      <c r="F705" s="63" t="s">
        <v>0</v>
      </c>
    </row>
    <row r="706" spans="1:6" x14ac:dyDescent="0.25">
      <c r="A706" s="62">
        <v>45264</v>
      </c>
      <c r="B706" s="62" t="s">
        <v>732</v>
      </c>
      <c r="C706" s="23">
        <v>-1951</v>
      </c>
      <c r="D706" s="24" t="s">
        <v>49</v>
      </c>
      <c r="E706" s="24" t="s">
        <v>56</v>
      </c>
      <c r="F706" s="63" t="s">
        <v>0</v>
      </c>
    </row>
    <row r="707" spans="1:6" x14ac:dyDescent="0.25">
      <c r="A707" s="62">
        <v>45264</v>
      </c>
      <c r="B707" s="62" t="s">
        <v>733</v>
      </c>
      <c r="C707" s="23">
        <v>-2690</v>
      </c>
      <c r="D707" s="24" t="s">
        <v>52</v>
      </c>
      <c r="E707" s="24" t="s">
        <v>134</v>
      </c>
      <c r="F707" s="63" t="s">
        <v>0</v>
      </c>
    </row>
    <row r="708" spans="1:6" x14ac:dyDescent="0.25">
      <c r="A708" s="62">
        <v>45264</v>
      </c>
      <c r="B708" s="62" t="s">
        <v>734</v>
      </c>
      <c r="C708" s="23">
        <v>-1889</v>
      </c>
      <c r="D708" s="24" t="s">
        <v>72</v>
      </c>
      <c r="E708" s="24" t="s">
        <v>73</v>
      </c>
      <c r="F708" s="63" t="s">
        <v>0</v>
      </c>
    </row>
    <row r="709" spans="1:6" x14ac:dyDescent="0.25">
      <c r="A709" s="62">
        <v>45264</v>
      </c>
      <c r="B709" s="62" t="s">
        <v>735</v>
      </c>
      <c r="C709" s="23">
        <v>-239</v>
      </c>
      <c r="D709" s="24" t="s">
        <v>72</v>
      </c>
      <c r="E709" s="24" t="s">
        <v>73</v>
      </c>
      <c r="F709" s="63" t="s">
        <v>0</v>
      </c>
    </row>
    <row r="710" spans="1:6" x14ac:dyDescent="0.25">
      <c r="A710" s="62">
        <v>45264</v>
      </c>
      <c r="B710" s="62" t="s">
        <v>479</v>
      </c>
      <c r="C710" s="23">
        <v>-790</v>
      </c>
      <c r="D710" s="24" t="s">
        <v>52</v>
      </c>
      <c r="E710" s="24" t="s">
        <v>134</v>
      </c>
      <c r="F710" s="63" t="s">
        <v>0</v>
      </c>
    </row>
    <row r="711" spans="1:6" x14ac:dyDescent="0.25">
      <c r="A711" s="62">
        <v>45261</v>
      </c>
      <c r="B711" s="62" t="s">
        <v>736</v>
      </c>
      <c r="C711" s="23">
        <v>1300000</v>
      </c>
      <c r="D711" s="24" t="s">
        <v>72</v>
      </c>
      <c r="E711" s="24" t="s">
        <v>737</v>
      </c>
      <c r="F711" s="63" t="s">
        <v>7</v>
      </c>
    </row>
    <row r="712" spans="1:6" x14ac:dyDescent="0.25">
      <c r="A712" s="62">
        <v>45260</v>
      </c>
      <c r="B712" s="62" t="s">
        <v>725</v>
      </c>
      <c r="C712" s="23">
        <v>-1690</v>
      </c>
      <c r="D712" s="24" t="s">
        <v>52</v>
      </c>
      <c r="E712" s="24" t="s">
        <v>53</v>
      </c>
      <c r="F712" s="63" t="s">
        <v>4</v>
      </c>
    </row>
    <row r="713" spans="1:6" x14ac:dyDescent="0.25">
      <c r="A713" s="62">
        <v>45260</v>
      </c>
      <c r="B713" s="62" t="s">
        <v>738</v>
      </c>
      <c r="C713" s="23">
        <v>-2690</v>
      </c>
      <c r="D713" s="24" t="s">
        <v>52</v>
      </c>
      <c r="E713" s="24" t="s">
        <v>134</v>
      </c>
      <c r="F713" s="63" t="s">
        <v>0</v>
      </c>
    </row>
    <row r="714" spans="1:6" x14ac:dyDescent="0.25">
      <c r="A714" s="62">
        <v>45260</v>
      </c>
      <c r="B714" s="62" t="s">
        <v>739</v>
      </c>
      <c r="C714" s="23">
        <v>-790</v>
      </c>
      <c r="D714" s="24" t="s">
        <v>52</v>
      </c>
      <c r="E714" s="24" t="s">
        <v>134</v>
      </c>
      <c r="F714" s="63" t="s">
        <v>0</v>
      </c>
    </row>
    <row r="715" spans="1:6" x14ac:dyDescent="0.25">
      <c r="A715" s="62">
        <v>45260</v>
      </c>
      <c r="B715" s="62" t="s">
        <v>740</v>
      </c>
      <c r="C715" s="23">
        <v>-1889</v>
      </c>
      <c r="D715" s="24" t="s">
        <v>72</v>
      </c>
      <c r="E715" s="24" t="s">
        <v>73</v>
      </c>
      <c r="F715" s="63" t="s">
        <v>0</v>
      </c>
    </row>
    <row r="716" spans="1:6" x14ac:dyDescent="0.25">
      <c r="A716" s="62">
        <v>45260</v>
      </c>
      <c r="B716" s="62" t="s">
        <v>741</v>
      </c>
      <c r="C716" s="23">
        <v>-239</v>
      </c>
      <c r="D716" s="24" t="s">
        <v>72</v>
      </c>
      <c r="E716" s="24" t="s">
        <v>73</v>
      </c>
      <c r="F716" s="63" t="s">
        <v>0</v>
      </c>
    </row>
    <row r="717" spans="1:6" x14ac:dyDescent="0.25">
      <c r="A717" s="62">
        <v>45260</v>
      </c>
      <c r="B717" s="62" t="s">
        <v>742</v>
      </c>
      <c r="C717" s="23">
        <v>-2180</v>
      </c>
      <c r="D717" s="24" t="s">
        <v>49</v>
      </c>
      <c r="E717" s="24" t="s">
        <v>67</v>
      </c>
      <c r="F717" s="63" t="s">
        <v>0</v>
      </c>
    </row>
    <row r="718" spans="1:6" x14ac:dyDescent="0.25">
      <c r="A718" s="62">
        <v>45260</v>
      </c>
      <c r="B718" s="62" t="s">
        <v>43</v>
      </c>
      <c r="C718" s="23">
        <v>-2222</v>
      </c>
      <c r="D718" s="24" t="s">
        <v>167</v>
      </c>
      <c r="E718" s="24" t="s">
        <v>168</v>
      </c>
      <c r="F718" s="63" t="s">
        <v>0</v>
      </c>
    </row>
    <row r="719" spans="1:6" x14ac:dyDescent="0.25">
      <c r="A719" s="62">
        <v>45260</v>
      </c>
      <c r="B719" s="62" t="s">
        <v>743</v>
      </c>
      <c r="C719" s="23">
        <v>-3591</v>
      </c>
      <c r="D719" s="24" t="s">
        <v>49</v>
      </c>
      <c r="E719" s="24" t="s">
        <v>56</v>
      </c>
      <c r="F719" s="63" t="s">
        <v>0</v>
      </c>
    </row>
    <row r="720" spans="1:6" x14ac:dyDescent="0.25">
      <c r="A720" s="62">
        <v>45260</v>
      </c>
      <c r="B720" s="62" t="s">
        <v>744</v>
      </c>
      <c r="C720" s="23">
        <v>-3980</v>
      </c>
      <c r="D720" s="24" t="s">
        <v>49</v>
      </c>
      <c r="E720" s="24" t="s">
        <v>56</v>
      </c>
      <c r="F720" s="63" t="s">
        <v>0</v>
      </c>
    </row>
    <row r="721" spans="1:6" x14ac:dyDescent="0.25">
      <c r="A721" s="62">
        <v>45259</v>
      </c>
      <c r="B721" s="62" t="s">
        <v>745</v>
      </c>
      <c r="C721" s="23">
        <v>-1120</v>
      </c>
      <c r="D721" s="24" t="s">
        <v>52</v>
      </c>
      <c r="E721" s="24" t="s">
        <v>53</v>
      </c>
      <c r="F721" s="63" t="s">
        <v>0</v>
      </c>
    </row>
    <row r="722" spans="1:6" x14ac:dyDescent="0.25">
      <c r="A722" s="62">
        <v>45258</v>
      </c>
      <c r="B722" s="62" t="s">
        <v>746</v>
      </c>
      <c r="C722" s="23">
        <v>-2800</v>
      </c>
      <c r="D722" s="24" t="s">
        <v>52</v>
      </c>
      <c r="E722" s="24" t="s">
        <v>53</v>
      </c>
      <c r="F722" s="63" t="s">
        <v>4</v>
      </c>
    </row>
    <row r="723" spans="1:6" x14ac:dyDescent="0.25">
      <c r="A723" s="62">
        <v>45258</v>
      </c>
      <c r="B723" s="62" t="s">
        <v>747</v>
      </c>
      <c r="C723" s="23">
        <v>-10594</v>
      </c>
      <c r="D723" s="24" t="s">
        <v>49</v>
      </c>
      <c r="E723" s="24" t="s">
        <v>67</v>
      </c>
      <c r="F723" s="63" t="s">
        <v>0</v>
      </c>
    </row>
    <row r="724" spans="1:6" x14ac:dyDescent="0.25">
      <c r="A724" s="62">
        <v>45257</v>
      </c>
      <c r="B724" s="62" t="s">
        <v>748</v>
      </c>
      <c r="C724" s="23">
        <v>419074</v>
      </c>
      <c r="D724" s="24" t="s">
        <v>167</v>
      </c>
      <c r="E724" s="24" t="s">
        <v>183</v>
      </c>
      <c r="F724" s="63" t="s">
        <v>3</v>
      </c>
    </row>
    <row r="725" spans="1:6" x14ac:dyDescent="0.25">
      <c r="A725" s="62">
        <v>45257</v>
      </c>
      <c r="B725" s="62" t="s">
        <v>748</v>
      </c>
      <c r="C725" s="23">
        <v>-419074</v>
      </c>
      <c r="D725" s="24" t="s">
        <v>167</v>
      </c>
      <c r="E725" s="24" t="s">
        <v>183</v>
      </c>
      <c r="F725" s="63" t="s">
        <v>0</v>
      </c>
    </row>
    <row r="726" spans="1:6" x14ac:dyDescent="0.25">
      <c r="A726" s="62">
        <v>45257</v>
      </c>
      <c r="B726" s="62" t="s">
        <v>749</v>
      </c>
      <c r="C726" s="23">
        <v>-57168</v>
      </c>
      <c r="D726" s="24" t="s">
        <v>167</v>
      </c>
      <c r="E726" s="24" t="s">
        <v>183</v>
      </c>
      <c r="F726" s="63" t="s">
        <v>0</v>
      </c>
    </row>
    <row r="727" spans="1:6" x14ac:dyDescent="0.25">
      <c r="A727" s="62">
        <v>45257</v>
      </c>
      <c r="B727" s="62" t="s">
        <v>750</v>
      </c>
      <c r="C727" s="23">
        <v>-5495</v>
      </c>
      <c r="D727" s="24" t="s">
        <v>49</v>
      </c>
      <c r="E727" s="24" t="s">
        <v>50</v>
      </c>
      <c r="F727" s="63" t="s">
        <v>0</v>
      </c>
    </row>
    <row r="728" spans="1:6" x14ac:dyDescent="0.25">
      <c r="A728" s="62">
        <v>45257</v>
      </c>
      <c r="B728" s="62" t="s">
        <v>751</v>
      </c>
      <c r="C728" s="23">
        <v>-18805</v>
      </c>
      <c r="D728" s="24" t="s">
        <v>49</v>
      </c>
      <c r="E728" s="24" t="s">
        <v>56</v>
      </c>
      <c r="F728" s="63" t="s">
        <v>0</v>
      </c>
    </row>
    <row r="729" spans="1:6" x14ac:dyDescent="0.25">
      <c r="A729" s="62">
        <v>45257</v>
      </c>
      <c r="B729" s="62" t="s">
        <v>752</v>
      </c>
      <c r="C729" s="23">
        <v>-7253</v>
      </c>
      <c r="D729" s="24" t="s">
        <v>49</v>
      </c>
      <c r="E729" s="24" t="s">
        <v>56</v>
      </c>
      <c r="F729" s="63" t="s">
        <v>0</v>
      </c>
    </row>
    <row r="730" spans="1:6" x14ac:dyDescent="0.25">
      <c r="A730" s="62">
        <v>45257</v>
      </c>
      <c r="B730" s="62" t="s">
        <v>753</v>
      </c>
      <c r="C730" s="23">
        <v>-37640</v>
      </c>
      <c r="D730" s="24" t="s">
        <v>46</v>
      </c>
      <c r="E730" s="24" t="s">
        <v>428</v>
      </c>
      <c r="F730" s="63" t="s">
        <v>0</v>
      </c>
    </row>
    <row r="731" spans="1:6" x14ac:dyDescent="0.25">
      <c r="A731" s="62">
        <v>45257</v>
      </c>
      <c r="B731" s="62" t="s">
        <v>754</v>
      </c>
      <c r="C731" s="23">
        <v>-6831</v>
      </c>
      <c r="D731" s="24" t="s">
        <v>90</v>
      </c>
      <c r="E731" s="24" t="s">
        <v>59</v>
      </c>
      <c r="F731" s="63" t="s">
        <v>0</v>
      </c>
    </row>
    <row r="732" spans="1:6" x14ac:dyDescent="0.25">
      <c r="A732" s="62">
        <v>45257</v>
      </c>
      <c r="B732" s="62" t="s">
        <v>755</v>
      </c>
      <c r="C732" s="23">
        <v>-1189</v>
      </c>
      <c r="D732" s="24" t="s">
        <v>49</v>
      </c>
      <c r="E732" s="24" t="s">
        <v>56</v>
      </c>
      <c r="F732" s="63" t="s">
        <v>0</v>
      </c>
    </row>
    <row r="733" spans="1:6" x14ac:dyDescent="0.25">
      <c r="A733" s="62">
        <v>45257</v>
      </c>
      <c r="B733" s="62" t="s">
        <v>756</v>
      </c>
      <c r="C733" s="23">
        <v>-1374</v>
      </c>
      <c r="D733" s="24" t="s">
        <v>49</v>
      </c>
      <c r="E733" s="24" t="s">
        <v>56</v>
      </c>
      <c r="F733" s="63" t="s">
        <v>0</v>
      </c>
    </row>
    <row r="734" spans="1:6" x14ac:dyDescent="0.25">
      <c r="A734" s="62">
        <v>45257</v>
      </c>
      <c r="B734" s="62" t="s">
        <v>757</v>
      </c>
      <c r="C734" s="23">
        <v>-1000</v>
      </c>
      <c r="D734" s="24" t="s">
        <v>49</v>
      </c>
      <c r="E734" s="24" t="s">
        <v>67</v>
      </c>
      <c r="F734" s="63" t="s">
        <v>0</v>
      </c>
    </row>
    <row r="735" spans="1:6" x14ac:dyDescent="0.25">
      <c r="A735" s="62">
        <v>45257</v>
      </c>
      <c r="B735" s="62" t="s">
        <v>758</v>
      </c>
      <c r="C735" s="23">
        <v>-29441</v>
      </c>
      <c r="D735" s="24" t="s">
        <v>46</v>
      </c>
      <c r="E735" s="24" t="s">
        <v>428</v>
      </c>
      <c r="F735" s="63" t="s">
        <v>0</v>
      </c>
    </row>
    <row r="736" spans="1:6" x14ac:dyDescent="0.25">
      <c r="A736" s="62">
        <v>45257</v>
      </c>
      <c r="B736" s="62" t="s">
        <v>759</v>
      </c>
      <c r="C736" s="23">
        <v>-39139</v>
      </c>
      <c r="D736" s="24" t="s">
        <v>72</v>
      </c>
      <c r="E736" s="24" t="s">
        <v>109</v>
      </c>
      <c r="F736" s="63" t="s">
        <v>0</v>
      </c>
    </row>
    <row r="737" spans="1:6" x14ac:dyDescent="0.25">
      <c r="A737" s="62">
        <v>45257</v>
      </c>
      <c r="B737" s="62" t="s">
        <v>760</v>
      </c>
      <c r="C737" s="23">
        <v>-999</v>
      </c>
      <c r="D737" s="24" t="s">
        <v>46</v>
      </c>
      <c r="E737" s="24" t="s">
        <v>63</v>
      </c>
      <c r="F737" s="63" t="s">
        <v>0</v>
      </c>
    </row>
    <row r="738" spans="1:6" x14ac:dyDescent="0.25">
      <c r="A738" s="62">
        <v>45257</v>
      </c>
      <c r="B738" s="62" t="s">
        <v>761</v>
      </c>
      <c r="C738" s="23">
        <v>-2564</v>
      </c>
      <c r="D738" s="24" t="s">
        <v>49</v>
      </c>
      <c r="E738" s="24" t="s">
        <v>56</v>
      </c>
      <c r="F738" s="63" t="s">
        <v>0</v>
      </c>
    </row>
    <row r="739" spans="1:6" x14ac:dyDescent="0.25">
      <c r="A739" s="62">
        <v>45257</v>
      </c>
      <c r="B739" s="62" t="s">
        <v>762</v>
      </c>
      <c r="C739" s="23">
        <v>-4427</v>
      </c>
      <c r="D739" s="24" t="s">
        <v>49</v>
      </c>
      <c r="E739" s="24" t="s">
        <v>56</v>
      </c>
      <c r="F739" s="63" t="s">
        <v>0</v>
      </c>
    </row>
    <row r="740" spans="1:6" x14ac:dyDescent="0.25">
      <c r="A740" s="62">
        <v>45257</v>
      </c>
      <c r="B740" s="62" t="s">
        <v>763</v>
      </c>
      <c r="C740" s="23">
        <v>-8742</v>
      </c>
      <c r="D740" s="24" t="s">
        <v>49</v>
      </c>
      <c r="E740" s="24" t="s">
        <v>213</v>
      </c>
      <c r="F740" s="63" t="s">
        <v>0</v>
      </c>
    </row>
    <row r="741" spans="1:6" x14ac:dyDescent="0.25">
      <c r="A741" s="62">
        <v>45257</v>
      </c>
      <c r="B741" s="62" t="s">
        <v>764</v>
      </c>
      <c r="C741" s="23">
        <v>-40190</v>
      </c>
      <c r="D741" s="24" t="s">
        <v>49</v>
      </c>
      <c r="E741" s="24" t="s">
        <v>67</v>
      </c>
      <c r="F741" s="63" t="s">
        <v>0</v>
      </c>
    </row>
    <row r="742" spans="1:6" x14ac:dyDescent="0.25">
      <c r="A742" s="62">
        <v>45256</v>
      </c>
      <c r="B742" s="62" t="s">
        <v>765</v>
      </c>
      <c r="C742" s="23">
        <v>-7620</v>
      </c>
      <c r="D742" s="24" t="s">
        <v>52</v>
      </c>
      <c r="E742" s="24" t="s">
        <v>53</v>
      </c>
      <c r="F742" s="63" t="s">
        <v>4</v>
      </c>
    </row>
    <row r="743" spans="1:6" x14ac:dyDescent="0.25">
      <c r="A743" s="62">
        <v>45254</v>
      </c>
      <c r="B743" s="62" t="s">
        <v>766</v>
      </c>
      <c r="C743" s="23">
        <v>-4935</v>
      </c>
      <c r="D743" s="24" t="s">
        <v>52</v>
      </c>
      <c r="E743" s="24" t="s">
        <v>53</v>
      </c>
      <c r="F743" s="63" t="s">
        <v>4</v>
      </c>
    </row>
    <row r="744" spans="1:6" x14ac:dyDescent="0.25">
      <c r="A744" s="62">
        <v>45254</v>
      </c>
      <c r="B744" s="62" t="s">
        <v>767</v>
      </c>
      <c r="C744" s="23">
        <v>-990</v>
      </c>
      <c r="D744" s="24" t="s">
        <v>52</v>
      </c>
      <c r="E744" s="24" t="s">
        <v>134</v>
      </c>
      <c r="F744" s="63" t="s">
        <v>0</v>
      </c>
    </row>
    <row r="745" spans="1:6" x14ac:dyDescent="0.25">
      <c r="A745" s="62">
        <v>45254</v>
      </c>
      <c r="B745" s="62" t="s">
        <v>768</v>
      </c>
      <c r="C745" s="23">
        <v>-730</v>
      </c>
      <c r="D745" s="24" t="s">
        <v>49</v>
      </c>
      <c r="E745" s="24" t="s">
        <v>56</v>
      </c>
      <c r="F745" s="63" t="s">
        <v>0</v>
      </c>
    </row>
    <row r="746" spans="1:6" x14ac:dyDescent="0.25">
      <c r="A746" s="62">
        <v>45253</v>
      </c>
      <c r="B746" s="62" t="s">
        <v>746</v>
      </c>
      <c r="C746" s="23">
        <v>-2500</v>
      </c>
      <c r="D746" s="24" t="s">
        <v>52</v>
      </c>
      <c r="E746" s="24" t="s">
        <v>53</v>
      </c>
      <c r="F746" s="63" t="s">
        <v>4</v>
      </c>
    </row>
    <row r="747" spans="1:6" x14ac:dyDescent="0.25">
      <c r="A747" s="62">
        <v>45253</v>
      </c>
      <c r="B747" s="62" t="s">
        <v>769</v>
      </c>
      <c r="C747" s="23">
        <v>30000</v>
      </c>
      <c r="D747" s="24" t="s">
        <v>49</v>
      </c>
      <c r="E747" s="24" t="s">
        <v>67</v>
      </c>
      <c r="F747" s="63" t="s">
        <v>0</v>
      </c>
    </row>
    <row r="748" spans="1:6" x14ac:dyDescent="0.25">
      <c r="A748" s="62">
        <v>45253</v>
      </c>
      <c r="B748" s="62" t="s">
        <v>770</v>
      </c>
      <c r="C748" s="23">
        <v>-534</v>
      </c>
      <c r="D748" s="24" t="s">
        <v>49</v>
      </c>
      <c r="E748" s="24" t="s">
        <v>56</v>
      </c>
      <c r="F748" s="63" t="s">
        <v>0</v>
      </c>
    </row>
    <row r="749" spans="1:6" x14ac:dyDescent="0.25">
      <c r="A749" s="62">
        <v>45253</v>
      </c>
      <c r="B749" s="62" t="s">
        <v>771</v>
      </c>
      <c r="C749" s="23">
        <v>-21300</v>
      </c>
      <c r="D749" s="24" t="s">
        <v>49</v>
      </c>
      <c r="E749" s="24" t="s">
        <v>67</v>
      </c>
      <c r="F749" s="63" t="s">
        <v>0</v>
      </c>
    </row>
    <row r="750" spans="1:6" x14ac:dyDescent="0.25">
      <c r="A750" s="62">
        <v>45252</v>
      </c>
      <c r="B750" s="62" t="s">
        <v>772</v>
      </c>
      <c r="C750" s="23">
        <v>-1800</v>
      </c>
      <c r="D750" s="24" t="s">
        <v>72</v>
      </c>
      <c r="E750" s="24" t="s">
        <v>197</v>
      </c>
      <c r="F750" s="63" t="s">
        <v>0</v>
      </c>
    </row>
    <row r="751" spans="1:6" x14ac:dyDescent="0.25">
      <c r="A751" s="62">
        <v>45252</v>
      </c>
      <c r="B751" s="62" t="s">
        <v>773</v>
      </c>
      <c r="C751" s="23">
        <v>-18190</v>
      </c>
      <c r="D751" s="24" t="s">
        <v>206</v>
      </c>
      <c r="E751" s="24" t="s">
        <v>206</v>
      </c>
      <c r="F751" s="63" t="s">
        <v>0</v>
      </c>
    </row>
    <row r="752" spans="1:6" x14ac:dyDescent="0.25">
      <c r="A752" s="62">
        <v>45251</v>
      </c>
      <c r="B752" s="62" t="s">
        <v>774</v>
      </c>
      <c r="C752" s="23">
        <v>-1820</v>
      </c>
      <c r="D752" s="24" t="s">
        <v>49</v>
      </c>
      <c r="E752" s="24" t="s">
        <v>56</v>
      </c>
      <c r="F752" s="63" t="s">
        <v>0</v>
      </c>
    </row>
    <row r="753" spans="1:6" x14ac:dyDescent="0.25">
      <c r="A753" s="62">
        <v>45251</v>
      </c>
      <c r="B753" s="62" t="s">
        <v>775</v>
      </c>
      <c r="C753" s="23">
        <v>-739</v>
      </c>
      <c r="D753" s="24" t="s">
        <v>49</v>
      </c>
      <c r="E753" s="24" t="s">
        <v>56</v>
      </c>
      <c r="F753" s="63" t="s">
        <v>0</v>
      </c>
    </row>
    <row r="754" spans="1:6" x14ac:dyDescent="0.25">
      <c r="A754" s="62">
        <v>45250</v>
      </c>
      <c r="B754" s="62" t="s">
        <v>139</v>
      </c>
      <c r="C754" s="23">
        <v>31960</v>
      </c>
      <c r="D754" s="24" t="s">
        <v>58</v>
      </c>
      <c r="E754" s="24" t="s">
        <v>58</v>
      </c>
      <c r="F754" s="63" t="s">
        <v>4</v>
      </c>
    </row>
    <row r="755" spans="1:6" x14ac:dyDescent="0.25">
      <c r="A755" s="62">
        <v>45250</v>
      </c>
      <c r="B755" s="62" t="s">
        <v>776</v>
      </c>
      <c r="C755" s="23">
        <v>-6115</v>
      </c>
      <c r="D755" s="24" t="s">
        <v>52</v>
      </c>
      <c r="E755" s="24" t="s">
        <v>53</v>
      </c>
      <c r="F755" s="63" t="s">
        <v>0</v>
      </c>
    </row>
    <row r="756" spans="1:6" x14ac:dyDescent="0.25">
      <c r="A756" s="62">
        <v>45250</v>
      </c>
      <c r="B756" s="62" t="s">
        <v>777</v>
      </c>
      <c r="C756" s="23">
        <v>-3510</v>
      </c>
      <c r="D756" s="24" t="s">
        <v>46</v>
      </c>
      <c r="E756" s="24" t="s">
        <v>428</v>
      </c>
      <c r="F756" s="63" t="s">
        <v>0</v>
      </c>
    </row>
    <row r="757" spans="1:6" x14ac:dyDescent="0.25">
      <c r="A757" s="62">
        <v>45250</v>
      </c>
      <c r="B757" s="62" t="s">
        <v>778</v>
      </c>
      <c r="C757" s="23">
        <v>-599</v>
      </c>
      <c r="D757" s="24" t="s">
        <v>46</v>
      </c>
      <c r="E757" s="24" t="s">
        <v>63</v>
      </c>
      <c r="F757" s="63" t="s">
        <v>0</v>
      </c>
    </row>
    <row r="758" spans="1:6" x14ac:dyDescent="0.25">
      <c r="A758" s="62">
        <v>45250</v>
      </c>
      <c r="B758" s="62" t="s">
        <v>779</v>
      </c>
      <c r="C758" s="23">
        <v>-11993</v>
      </c>
      <c r="D758" s="24" t="s">
        <v>90</v>
      </c>
      <c r="E758" s="24" t="s">
        <v>93</v>
      </c>
      <c r="F758" s="63" t="s">
        <v>0</v>
      </c>
    </row>
    <row r="759" spans="1:6" x14ac:dyDescent="0.25">
      <c r="A759" s="62">
        <v>45250</v>
      </c>
      <c r="B759" s="62" t="s">
        <v>780</v>
      </c>
      <c r="C759" s="23">
        <v>-2710</v>
      </c>
      <c r="D759" s="24" t="s">
        <v>49</v>
      </c>
      <c r="E759" s="24" t="s">
        <v>56</v>
      </c>
      <c r="F759" s="63" t="s">
        <v>0</v>
      </c>
    </row>
    <row r="760" spans="1:6" x14ac:dyDescent="0.25">
      <c r="A760" s="62">
        <v>45250</v>
      </c>
      <c r="B760" s="62" t="s">
        <v>781</v>
      </c>
      <c r="C760" s="23">
        <v>-4495</v>
      </c>
      <c r="D760" s="24" t="s">
        <v>49</v>
      </c>
      <c r="E760" s="24" t="s">
        <v>50</v>
      </c>
      <c r="F760" s="63" t="s">
        <v>0</v>
      </c>
    </row>
    <row r="761" spans="1:6" x14ac:dyDescent="0.25">
      <c r="A761" s="62">
        <v>45250</v>
      </c>
      <c r="B761" s="62" t="s">
        <v>782</v>
      </c>
      <c r="C761" s="23">
        <v>-9904</v>
      </c>
      <c r="D761" s="24" t="s">
        <v>49</v>
      </c>
      <c r="E761" s="24" t="s">
        <v>56</v>
      </c>
      <c r="F761" s="63" t="s">
        <v>0</v>
      </c>
    </row>
    <row r="762" spans="1:6" x14ac:dyDescent="0.25">
      <c r="A762" s="62">
        <v>45250</v>
      </c>
      <c r="B762" s="62" t="s">
        <v>783</v>
      </c>
      <c r="C762" s="23">
        <v>-14092</v>
      </c>
      <c r="D762" s="24" t="s">
        <v>49</v>
      </c>
      <c r="E762" s="24" t="s">
        <v>56</v>
      </c>
      <c r="F762" s="63" t="s">
        <v>0</v>
      </c>
    </row>
    <row r="763" spans="1:6" x14ac:dyDescent="0.25">
      <c r="A763" s="62">
        <v>45247</v>
      </c>
      <c r="B763" s="62" t="s">
        <v>784</v>
      </c>
      <c r="C763" s="23">
        <v>-1299</v>
      </c>
      <c r="D763" s="24" t="s">
        <v>49</v>
      </c>
      <c r="E763" s="24" t="s">
        <v>56</v>
      </c>
      <c r="F763" s="63" t="s">
        <v>0</v>
      </c>
    </row>
    <row r="764" spans="1:6" x14ac:dyDescent="0.25">
      <c r="A764" s="62">
        <v>45246</v>
      </c>
      <c r="B764" s="62" t="s">
        <v>746</v>
      </c>
      <c r="C764" s="23">
        <v>-2500</v>
      </c>
      <c r="D764" s="24" t="s">
        <v>52</v>
      </c>
      <c r="E764" s="24" t="s">
        <v>53</v>
      </c>
      <c r="F764" s="63" t="s">
        <v>4</v>
      </c>
    </row>
    <row r="765" spans="1:6" x14ac:dyDescent="0.25">
      <c r="A765" s="62">
        <v>45246</v>
      </c>
      <c r="B765" s="62" t="s">
        <v>690</v>
      </c>
      <c r="C765" s="23">
        <v>-2500</v>
      </c>
      <c r="D765" s="24" t="s">
        <v>52</v>
      </c>
      <c r="E765" s="24" t="s">
        <v>53</v>
      </c>
      <c r="F765" s="63" t="s">
        <v>0</v>
      </c>
    </row>
    <row r="766" spans="1:6" x14ac:dyDescent="0.25">
      <c r="A766" s="62">
        <v>45246</v>
      </c>
      <c r="B766" s="62" t="s">
        <v>785</v>
      </c>
      <c r="C766" s="23">
        <v>-4895</v>
      </c>
      <c r="D766" s="24" t="s">
        <v>49</v>
      </c>
      <c r="E766" s="24" t="s">
        <v>56</v>
      </c>
      <c r="F766" s="63" t="s">
        <v>0</v>
      </c>
    </row>
    <row r="767" spans="1:6" x14ac:dyDescent="0.25">
      <c r="A767" s="62">
        <v>45246</v>
      </c>
      <c r="B767" s="62" t="s">
        <v>786</v>
      </c>
      <c r="C767" s="23">
        <v>-3790</v>
      </c>
      <c r="D767" s="24" t="s">
        <v>49</v>
      </c>
      <c r="E767" s="24" t="s">
        <v>232</v>
      </c>
      <c r="F767" s="63" t="s">
        <v>0</v>
      </c>
    </row>
    <row r="768" spans="1:6" x14ac:dyDescent="0.25">
      <c r="A768" s="62">
        <v>45246</v>
      </c>
      <c r="B768" s="62" t="s">
        <v>787</v>
      </c>
      <c r="C768" s="23">
        <v>-11441</v>
      </c>
      <c r="D768" s="24" t="s">
        <v>49</v>
      </c>
      <c r="E768" s="24" t="s">
        <v>56</v>
      </c>
      <c r="F768" s="63" t="s">
        <v>0</v>
      </c>
    </row>
    <row r="769" spans="1:6" x14ac:dyDescent="0.25">
      <c r="A769" s="62">
        <v>45246</v>
      </c>
      <c r="B769" s="62" t="s">
        <v>788</v>
      </c>
      <c r="C769" s="23">
        <v>-26650</v>
      </c>
      <c r="D769" s="24" t="s">
        <v>72</v>
      </c>
      <c r="E769" s="24" t="s">
        <v>109</v>
      </c>
      <c r="F769" s="63" t="s">
        <v>0</v>
      </c>
    </row>
    <row r="770" spans="1:6" x14ac:dyDescent="0.25">
      <c r="A770" s="62">
        <v>45245</v>
      </c>
      <c r="B770" s="62" t="s">
        <v>725</v>
      </c>
      <c r="C770" s="23">
        <v>-1690</v>
      </c>
      <c r="D770" s="24" t="s">
        <v>52</v>
      </c>
      <c r="E770" s="24" t="s">
        <v>53</v>
      </c>
      <c r="F770" s="63" t="s">
        <v>4</v>
      </c>
    </row>
    <row r="771" spans="1:6" x14ac:dyDescent="0.25">
      <c r="A771" s="62">
        <v>45245</v>
      </c>
      <c r="B771" s="62" t="s">
        <v>789</v>
      </c>
      <c r="C771" s="23">
        <v>-34999</v>
      </c>
      <c r="D771" s="24" t="s">
        <v>49</v>
      </c>
      <c r="E771" s="24" t="s">
        <v>232</v>
      </c>
      <c r="F771" s="63" t="s">
        <v>0</v>
      </c>
    </row>
    <row r="772" spans="1:6" x14ac:dyDescent="0.25">
      <c r="A772" s="62">
        <v>45245</v>
      </c>
      <c r="B772" s="62" t="s">
        <v>790</v>
      </c>
      <c r="C772" s="23">
        <v>-7288</v>
      </c>
      <c r="D772" s="24" t="s">
        <v>206</v>
      </c>
      <c r="E772" s="24" t="s">
        <v>206</v>
      </c>
      <c r="F772" s="63" t="s">
        <v>0</v>
      </c>
    </row>
    <row r="773" spans="1:6" x14ac:dyDescent="0.25">
      <c r="A773" s="62">
        <v>45245</v>
      </c>
      <c r="B773" s="62" t="s">
        <v>791</v>
      </c>
      <c r="C773" s="23">
        <v>-44500</v>
      </c>
      <c r="D773" s="24" t="s">
        <v>49</v>
      </c>
      <c r="E773" s="24" t="s">
        <v>50</v>
      </c>
      <c r="F773" s="63" t="s">
        <v>0</v>
      </c>
    </row>
    <row r="774" spans="1:6" x14ac:dyDescent="0.25">
      <c r="A774" s="62">
        <v>45244</v>
      </c>
      <c r="B774" s="62" t="s">
        <v>792</v>
      </c>
      <c r="C774" s="23">
        <v>521014</v>
      </c>
      <c r="D774" s="24" t="s">
        <v>167</v>
      </c>
      <c r="E774" s="24" t="s">
        <v>183</v>
      </c>
      <c r="F774" s="63" t="s">
        <v>3</v>
      </c>
    </row>
    <row r="775" spans="1:6" x14ac:dyDescent="0.25">
      <c r="A775" s="62">
        <v>45244</v>
      </c>
      <c r="B775" s="62" t="s">
        <v>792</v>
      </c>
      <c r="C775" s="23">
        <v>-521014</v>
      </c>
      <c r="D775" s="24" t="s">
        <v>167</v>
      </c>
      <c r="E775" s="24" t="s">
        <v>183</v>
      </c>
      <c r="F775" s="63" t="s">
        <v>0</v>
      </c>
    </row>
    <row r="776" spans="1:6" x14ac:dyDescent="0.25">
      <c r="A776" s="62">
        <v>45244</v>
      </c>
      <c r="B776" s="62" t="s">
        <v>793</v>
      </c>
      <c r="C776" s="23">
        <v>-7897</v>
      </c>
      <c r="D776" s="24" t="s">
        <v>90</v>
      </c>
      <c r="E776" s="24" t="s">
        <v>59</v>
      </c>
      <c r="F776" s="63" t="s">
        <v>0</v>
      </c>
    </row>
    <row r="777" spans="1:6" x14ac:dyDescent="0.25">
      <c r="A777" s="62">
        <v>45243</v>
      </c>
      <c r="B777" s="62" t="s">
        <v>794</v>
      </c>
      <c r="C777" s="23">
        <v>-9660</v>
      </c>
      <c r="D777" s="24" t="s">
        <v>90</v>
      </c>
      <c r="E777" s="24" t="s">
        <v>59</v>
      </c>
      <c r="F777" s="63" t="s">
        <v>0</v>
      </c>
    </row>
    <row r="778" spans="1:6" x14ac:dyDescent="0.25">
      <c r="A778" s="62">
        <v>45243</v>
      </c>
      <c r="B778" s="62" t="s">
        <v>676</v>
      </c>
      <c r="C778" s="23">
        <v>-1499</v>
      </c>
      <c r="D778" s="24" t="s">
        <v>49</v>
      </c>
      <c r="E778" s="24" t="s">
        <v>67</v>
      </c>
      <c r="F778" s="63" t="s">
        <v>0</v>
      </c>
    </row>
    <row r="779" spans="1:6" x14ac:dyDescent="0.25">
      <c r="A779" s="62">
        <v>45243</v>
      </c>
      <c r="B779" s="62" t="s">
        <v>795</v>
      </c>
      <c r="C779" s="23">
        <v>-270</v>
      </c>
      <c r="D779" s="24" t="s">
        <v>46</v>
      </c>
      <c r="E779" s="24" t="s">
        <v>61</v>
      </c>
      <c r="F779" s="63" t="s">
        <v>0</v>
      </c>
    </row>
    <row r="780" spans="1:6" x14ac:dyDescent="0.25">
      <c r="A780" s="62">
        <v>45243</v>
      </c>
      <c r="B780" s="62" t="s">
        <v>796</v>
      </c>
      <c r="C780" s="23">
        <v>-4550</v>
      </c>
      <c r="D780" s="24" t="s">
        <v>49</v>
      </c>
      <c r="E780" s="24" t="s">
        <v>56</v>
      </c>
      <c r="F780" s="63" t="s">
        <v>0</v>
      </c>
    </row>
    <row r="781" spans="1:6" x14ac:dyDescent="0.25">
      <c r="A781" s="62">
        <v>45243</v>
      </c>
      <c r="B781" s="62" t="s">
        <v>797</v>
      </c>
      <c r="C781" s="23">
        <v>-3620</v>
      </c>
      <c r="D781" s="24" t="s">
        <v>49</v>
      </c>
      <c r="E781" s="24" t="s">
        <v>56</v>
      </c>
      <c r="F781" s="63" t="s">
        <v>0</v>
      </c>
    </row>
    <row r="782" spans="1:6" x14ac:dyDescent="0.25">
      <c r="A782" s="62">
        <v>45243</v>
      </c>
      <c r="B782" s="62" t="s">
        <v>798</v>
      </c>
      <c r="C782" s="23">
        <v>-15200</v>
      </c>
      <c r="D782" s="24" t="s">
        <v>46</v>
      </c>
      <c r="E782" s="24" t="s">
        <v>47</v>
      </c>
      <c r="F782" s="63" t="s">
        <v>0</v>
      </c>
    </row>
    <row r="783" spans="1:6" x14ac:dyDescent="0.25">
      <c r="A783" s="62">
        <v>45243</v>
      </c>
      <c r="B783" s="62" t="s">
        <v>799</v>
      </c>
      <c r="C783" s="23">
        <v>-499</v>
      </c>
      <c r="D783" s="24" t="s">
        <v>49</v>
      </c>
      <c r="E783" s="24" t="s">
        <v>56</v>
      </c>
      <c r="F783" s="63" t="s">
        <v>0</v>
      </c>
    </row>
    <row r="784" spans="1:6" x14ac:dyDescent="0.25">
      <c r="A784" s="62">
        <v>45243</v>
      </c>
      <c r="B784" s="62" t="s">
        <v>800</v>
      </c>
      <c r="C784" s="23">
        <v>-1215</v>
      </c>
      <c r="D784" s="24" t="s">
        <v>49</v>
      </c>
      <c r="E784" s="24" t="s">
        <v>67</v>
      </c>
      <c r="F784" s="63" t="s">
        <v>0</v>
      </c>
    </row>
    <row r="785" spans="1:6" x14ac:dyDescent="0.25">
      <c r="A785" s="62">
        <v>45243</v>
      </c>
      <c r="B785" s="62" t="s">
        <v>801</v>
      </c>
      <c r="C785" s="23">
        <v>-1536</v>
      </c>
      <c r="D785" s="24" t="s">
        <v>49</v>
      </c>
      <c r="E785" s="24" t="s">
        <v>56</v>
      </c>
      <c r="F785" s="63" t="s">
        <v>0</v>
      </c>
    </row>
    <row r="786" spans="1:6" x14ac:dyDescent="0.25">
      <c r="A786" s="62">
        <v>45243</v>
      </c>
      <c r="B786" s="62" t="s">
        <v>802</v>
      </c>
      <c r="C786" s="23">
        <v>-2237</v>
      </c>
      <c r="D786" s="24" t="s">
        <v>49</v>
      </c>
      <c r="E786" s="24" t="s">
        <v>56</v>
      </c>
      <c r="F786" s="63" t="s">
        <v>0</v>
      </c>
    </row>
    <row r="787" spans="1:6" x14ac:dyDescent="0.25">
      <c r="A787" s="62">
        <v>45243</v>
      </c>
      <c r="B787" s="62" t="s">
        <v>803</v>
      </c>
      <c r="C787" s="23">
        <v>-5553</v>
      </c>
      <c r="D787" s="24" t="s">
        <v>49</v>
      </c>
      <c r="E787" s="24" t="s">
        <v>56</v>
      </c>
      <c r="F787" s="63" t="s">
        <v>0</v>
      </c>
    </row>
    <row r="788" spans="1:6" x14ac:dyDescent="0.25">
      <c r="A788" s="62">
        <v>45243</v>
      </c>
      <c r="B788" s="62" t="s">
        <v>804</v>
      </c>
      <c r="C788" s="23">
        <v>-10000</v>
      </c>
      <c r="D788" s="24" t="s">
        <v>90</v>
      </c>
      <c r="E788" s="24" t="s">
        <v>91</v>
      </c>
      <c r="F788" s="63" t="s">
        <v>0</v>
      </c>
    </row>
    <row r="789" spans="1:6" x14ac:dyDescent="0.25">
      <c r="A789" s="62">
        <v>45243</v>
      </c>
      <c r="B789" s="62" t="s">
        <v>805</v>
      </c>
      <c r="C789" s="23">
        <v>-22977</v>
      </c>
      <c r="D789" s="24" t="s">
        <v>49</v>
      </c>
      <c r="E789" s="24" t="s">
        <v>56</v>
      </c>
      <c r="F789" s="63" t="s">
        <v>0</v>
      </c>
    </row>
    <row r="790" spans="1:6" x14ac:dyDescent="0.25">
      <c r="A790" s="62">
        <v>45240</v>
      </c>
      <c r="B790" s="62" t="s">
        <v>806</v>
      </c>
      <c r="C790" s="23">
        <v>-217571.6</v>
      </c>
      <c r="D790" s="24" t="s">
        <v>46</v>
      </c>
      <c r="E790" s="24" t="s">
        <v>10</v>
      </c>
      <c r="F790" s="63" t="s">
        <v>0</v>
      </c>
    </row>
    <row r="791" spans="1:6" x14ac:dyDescent="0.25">
      <c r="A791" s="62">
        <v>45240</v>
      </c>
      <c r="B791" s="62" t="s">
        <v>713</v>
      </c>
      <c r="C791" s="23">
        <v>1063793</v>
      </c>
      <c r="D791" s="24" t="s">
        <v>58</v>
      </c>
      <c r="E791" s="24" t="s">
        <v>58</v>
      </c>
      <c r="F791" s="63" t="s">
        <v>0</v>
      </c>
    </row>
    <row r="792" spans="1:6" x14ac:dyDescent="0.25">
      <c r="A792" s="62">
        <v>45240</v>
      </c>
      <c r="B792" s="62" t="s">
        <v>807</v>
      </c>
      <c r="C792" s="23">
        <v>-2570</v>
      </c>
      <c r="D792" s="24" t="s">
        <v>49</v>
      </c>
      <c r="E792" s="24" t="s">
        <v>56</v>
      </c>
      <c r="F792" s="63" t="s">
        <v>0</v>
      </c>
    </row>
    <row r="793" spans="1:6" x14ac:dyDescent="0.25">
      <c r="A793" s="62">
        <v>45240</v>
      </c>
      <c r="B793" s="62" t="s">
        <v>808</v>
      </c>
      <c r="C793" s="23">
        <v>-44233.19</v>
      </c>
      <c r="D793" s="24" t="s">
        <v>46</v>
      </c>
      <c r="E793" s="24" t="s">
        <v>10</v>
      </c>
      <c r="F793" s="63" t="s">
        <v>0</v>
      </c>
    </row>
    <row r="794" spans="1:6" x14ac:dyDescent="0.25">
      <c r="A794" s="62">
        <v>45240</v>
      </c>
      <c r="B794" s="62" t="s">
        <v>806</v>
      </c>
      <c r="C794" s="23">
        <v>217571.6</v>
      </c>
      <c r="D794" s="24" t="s">
        <v>46</v>
      </c>
      <c r="E794" s="24" t="s">
        <v>10</v>
      </c>
      <c r="F794" s="63" t="s">
        <v>10</v>
      </c>
    </row>
    <row r="795" spans="1:6" x14ac:dyDescent="0.25">
      <c r="A795" s="62">
        <v>45239</v>
      </c>
      <c r="B795" s="62" t="s">
        <v>809</v>
      </c>
      <c r="C795" s="23">
        <v>-8250</v>
      </c>
      <c r="D795" s="24" t="s">
        <v>52</v>
      </c>
      <c r="E795" s="24" t="s">
        <v>53</v>
      </c>
      <c r="F795" s="63" t="s">
        <v>4</v>
      </c>
    </row>
    <row r="796" spans="1:6" x14ac:dyDescent="0.25">
      <c r="A796" s="62">
        <v>45239</v>
      </c>
      <c r="B796" s="62" t="s">
        <v>810</v>
      </c>
      <c r="C796" s="23">
        <v>-1160</v>
      </c>
      <c r="D796" s="24" t="s">
        <v>52</v>
      </c>
      <c r="E796" s="24" t="s">
        <v>134</v>
      </c>
      <c r="F796" s="63" t="s">
        <v>0</v>
      </c>
    </row>
    <row r="797" spans="1:6" x14ac:dyDescent="0.25">
      <c r="A797" s="62">
        <v>45239</v>
      </c>
      <c r="B797" s="62" t="s">
        <v>811</v>
      </c>
      <c r="C797" s="23">
        <v>-2209</v>
      </c>
      <c r="D797" s="24" t="s">
        <v>167</v>
      </c>
      <c r="E797" s="24" t="s">
        <v>168</v>
      </c>
      <c r="F797" s="63" t="s">
        <v>0</v>
      </c>
    </row>
    <row r="798" spans="1:6" x14ac:dyDescent="0.25">
      <c r="A798" s="62">
        <v>45239</v>
      </c>
      <c r="B798" s="62" t="s">
        <v>812</v>
      </c>
      <c r="C798" s="23">
        <v>-3179</v>
      </c>
      <c r="D798" s="24" t="s">
        <v>49</v>
      </c>
      <c r="E798" s="24" t="s">
        <v>67</v>
      </c>
      <c r="F798" s="63" t="s">
        <v>0</v>
      </c>
    </row>
    <row r="799" spans="1:6" x14ac:dyDescent="0.25">
      <c r="A799" s="62">
        <v>45239</v>
      </c>
      <c r="B799" s="62" t="s">
        <v>813</v>
      </c>
      <c r="C799" s="23">
        <v>-100000</v>
      </c>
      <c r="D799" s="24" t="s">
        <v>46</v>
      </c>
      <c r="E799" s="24" t="s">
        <v>61</v>
      </c>
      <c r="F799" s="63" t="s">
        <v>0</v>
      </c>
    </row>
    <row r="800" spans="1:6" x14ac:dyDescent="0.25">
      <c r="A800" s="62">
        <v>45238</v>
      </c>
      <c r="B800" s="62" t="s">
        <v>714</v>
      </c>
      <c r="C800" s="23">
        <v>-3990</v>
      </c>
      <c r="D800" s="24" t="s">
        <v>52</v>
      </c>
      <c r="E800" s="24" t="s">
        <v>53</v>
      </c>
      <c r="F800" s="63" t="s">
        <v>4</v>
      </c>
    </row>
    <row r="801" spans="1:6" x14ac:dyDescent="0.25">
      <c r="A801" s="62">
        <v>45238</v>
      </c>
      <c r="B801" s="62" t="s">
        <v>746</v>
      </c>
      <c r="C801" s="23">
        <v>-2300</v>
      </c>
      <c r="D801" s="24" t="s">
        <v>52</v>
      </c>
      <c r="E801" s="24" t="s">
        <v>53</v>
      </c>
      <c r="F801" s="63" t="s">
        <v>4</v>
      </c>
    </row>
    <row r="802" spans="1:6" x14ac:dyDescent="0.25">
      <c r="A802" s="62">
        <v>45238</v>
      </c>
      <c r="B802" s="62" t="s">
        <v>814</v>
      </c>
      <c r="C802" s="23">
        <v>-115000</v>
      </c>
      <c r="D802" s="24" t="s">
        <v>46</v>
      </c>
      <c r="E802" s="24" t="s">
        <v>47</v>
      </c>
      <c r="F802" s="63" t="s">
        <v>0</v>
      </c>
    </row>
    <row r="803" spans="1:6" x14ac:dyDescent="0.25">
      <c r="A803" s="62">
        <v>45238</v>
      </c>
      <c r="B803" s="62" t="s">
        <v>815</v>
      </c>
      <c r="C803" s="23">
        <v>-14334</v>
      </c>
      <c r="D803" s="24" t="s">
        <v>90</v>
      </c>
      <c r="E803" s="24" t="s">
        <v>59</v>
      </c>
      <c r="F803" s="63" t="s">
        <v>0</v>
      </c>
    </row>
    <row r="804" spans="1:6" x14ac:dyDescent="0.25">
      <c r="A804" s="62">
        <v>45238</v>
      </c>
      <c r="B804" s="62" t="s">
        <v>816</v>
      </c>
      <c r="C804" s="23">
        <v>-16000</v>
      </c>
      <c r="D804" s="24" t="s">
        <v>90</v>
      </c>
      <c r="E804" s="24" t="s">
        <v>91</v>
      </c>
      <c r="F804" s="63" t="s">
        <v>0</v>
      </c>
    </row>
    <row r="805" spans="1:6" x14ac:dyDescent="0.25">
      <c r="A805" s="62">
        <v>45238</v>
      </c>
      <c r="B805" s="62" t="s">
        <v>817</v>
      </c>
      <c r="C805" s="23">
        <v>-150000</v>
      </c>
      <c r="D805" s="24" t="s">
        <v>72</v>
      </c>
      <c r="E805" s="24" t="s">
        <v>445</v>
      </c>
      <c r="F805" s="63" t="s">
        <v>0</v>
      </c>
    </row>
    <row r="806" spans="1:6" x14ac:dyDescent="0.25">
      <c r="A806" s="62">
        <v>45237</v>
      </c>
      <c r="B806" s="62" t="s">
        <v>112</v>
      </c>
      <c r="C806" s="23">
        <v>-4660</v>
      </c>
      <c r="D806" s="24" t="s">
        <v>49</v>
      </c>
      <c r="E806" s="24" t="s">
        <v>56</v>
      </c>
      <c r="F806" s="63" t="s">
        <v>0</v>
      </c>
    </row>
    <row r="807" spans="1:6" x14ac:dyDescent="0.25">
      <c r="A807" s="62">
        <v>45236</v>
      </c>
      <c r="B807" s="62" t="s">
        <v>818</v>
      </c>
      <c r="C807" s="23">
        <v>-41622</v>
      </c>
      <c r="D807" s="24" t="s">
        <v>72</v>
      </c>
      <c r="E807" s="24" t="s">
        <v>109</v>
      </c>
      <c r="F807" s="63" t="s">
        <v>0</v>
      </c>
    </row>
    <row r="808" spans="1:6" x14ac:dyDescent="0.25">
      <c r="A808" s="62">
        <v>45236</v>
      </c>
      <c r="B808" s="62" t="s">
        <v>819</v>
      </c>
      <c r="C808" s="23">
        <v>-12952</v>
      </c>
      <c r="D808" s="24" t="s">
        <v>49</v>
      </c>
      <c r="E808" s="24" t="s">
        <v>56</v>
      </c>
      <c r="F808" s="63" t="s">
        <v>0</v>
      </c>
    </row>
    <row r="809" spans="1:6" x14ac:dyDescent="0.25">
      <c r="A809" s="62">
        <v>45236</v>
      </c>
      <c r="B809" s="62" t="s">
        <v>820</v>
      </c>
      <c r="C809" s="23">
        <v>-22214</v>
      </c>
      <c r="D809" s="24" t="s">
        <v>46</v>
      </c>
      <c r="E809" s="24" t="s">
        <v>61</v>
      </c>
      <c r="F809" s="63" t="s">
        <v>0</v>
      </c>
    </row>
    <row r="810" spans="1:6" x14ac:dyDescent="0.25">
      <c r="A810" s="62">
        <v>45236</v>
      </c>
      <c r="B810" s="62" t="s">
        <v>821</v>
      </c>
      <c r="C810" s="23">
        <v>-5810</v>
      </c>
      <c r="D810" s="24" t="s">
        <v>49</v>
      </c>
      <c r="E810" s="24" t="s">
        <v>56</v>
      </c>
      <c r="F810" s="63" t="s">
        <v>0</v>
      </c>
    </row>
    <row r="811" spans="1:6" x14ac:dyDescent="0.25">
      <c r="A811" s="62">
        <v>45236</v>
      </c>
      <c r="B811" s="62" t="s">
        <v>822</v>
      </c>
      <c r="C811" s="23">
        <v>-16350</v>
      </c>
      <c r="D811" s="24" t="s">
        <v>46</v>
      </c>
      <c r="E811" s="24" t="s">
        <v>428</v>
      </c>
      <c r="F811" s="63" t="s">
        <v>0</v>
      </c>
    </row>
    <row r="812" spans="1:6" x14ac:dyDescent="0.25">
      <c r="A812" s="62">
        <v>45236</v>
      </c>
      <c r="B812" s="62" t="s">
        <v>823</v>
      </c>
      <c r="C812" s="23">
        <v>-16211</v>
      </c>
      <c r="D812" s="24" t="s">
        <v>49</v>
      </c>
      <c r="E812" s="24" t="s">
        <v>56</v>
      </c>
      <c r="F812" s="63" t="s">
        <v>0</v>
      </c>
    </row>
    <row r="813" spans="1:6" x14ac:dyDescent="0.25">
      <c r="A813" s="62">
        <v>45236</v>
      </c>
      <c r="B813" s="62" t="s">
        <v>824</v>
      </c>
      <c r="C813" s="23">
        <v>-350</v>
      </c>
      <c r="D813" s="24" t="s">
        <v>52</v>
      </c>
      <c r="E813" s="24" t="s">
        <v>53</v>
      </c>
      <c r="F813" s="63" t="s">
        <v>0</v>
      </c>
    </row>
    <row r="814" spans="1:6" x14ac:dyDescent="0.25">
      <c r="A814" s="62">
        <v>45236</v>
      </c>
      <c r="B814" s="62" t="s">
        <v>825</v>
      </c>
      <c r="C814" s="23">
        <v>-3179</v>
      </c>
      <c r="D814" s="24" t="s">
        <v>49</v>
      </c>
      <c r="E814" s="24" t="s">
        <v>67</v>
      </c>
      <c r="F814" s="63" t="s">
        <v>0</v>
      </c>
    </row>
    <row r="815" spans="1:6" x14ac:dyDescent="0.25">
      <c r="A815" s="62">
        <v>45236</v>
      </c>
      <c r="B815" s="62" t="s">
        <v>826</v>
      </c>
      <c r="C815" s="23">
        <v>-3290</v>
      </c>
      <c r="D815" s="24" t="s">
        <v>49</v>
      </c>
      <c r="E815" s="24" t="s">
        <v>56</v>
      </c>
      <c r="F815" s="63" t="s">
        <v>0</v>
      </c>
    </row>
    <row r="816" spans="1:6" x14ac:dyDescent="0.25">
      <c r="A816" s="62">
        <v>45236</v>
      </c>
      <c r="B816" s="62" t="s">
        <v>827</v>
      </c>
      <c r="C816" s="23">
        <v>-5850</v>
      </c>
      <c r="D816" s="24" t="s">
        <v>49</v>
      </c>
      <c r="E816" s="24" t="s">
        <v>56</v>
      </c>
      <c r="F816" s="63" t="s">
        <v>0</v>
      </c>
    </row>
    <row r="817" spans="1:6" x14ac:dyDescent="0.25">
      <c r="A817" s="62">
        <v>45236</v>
      </c>
      <c r="B817" s="62" t="s">
        <v>828</v>
      </c>
      <c r="C817" s="23">
        <v>-11784</v>
      </c>
      <c r="D817" s="24" t="s">
        <v>49</v>
      </c>
      <c r="E817" s="24" t="s">
        <v>213</v>
      </c>
      <c r="F817" s="63" t="s">
        <v>0</v>
      </c>
    </row>
    <row r="818" spans="1:6" x14ac:dyDescent="0.25">
      <c r="A818" s="62">
        <v>45234</v>
      </c>
      <c r="B818" s="62" t="s">
        <v>171</v>
      </c>
      <c r="C818" s="23">
        <v>1914</v>
      </c>
      <c r="D818" s="24" t="s">
        <v>167</v>
      </c>
      <c r="E818" s="24" t="s">
        <v>168</v>
      </c>
      <c r="F818" s="63" t="s">
        <v>0</v>
      </c>
    </row>
    <row r="819" spans="1:6" x14ac:dyDescent="0.25">
      <c r="A819" s="62">
        <v>45233</v>
      </c>
      <c r="B819" s="62" t="s">
        <v>765</v>
      </c>
      <c r="C819" s="23">
        <v>-7080</v>
      </c>
      <c r="D819" s="24" t="s">
        <v>52</v>
      </c>
      <c r="E819" s="24" t="s">
        <v>53</v>
      </c>
      <c r="F819" s="63" t="s">
        <v>4</v>
      </c>
    </row>
    <row r="820" spans="1:6" x14ac:dyDescent="0.25">
      <c r="A820" s="62">
        <v>45233</v>
      </c>
      <c r="B820" s="62" t="s">
        <v>829</v>
      </c>
      <c r="C820" s="23">
        <v>-1012</v>
      </c>
      <c r="D820" s="24" t="s">
        <v>167</v>
      </c>
      <c r="E820" s="24" t="s">
        <v>168</v>
      </c>
      <c r="F820" s="63" t="s">
        <v>0</v>
      </c>
    </row>
    <row r="821" spans="1:6" x14ac:dyDescent="0.25">
      <c r="A821" s="62">
        <v>45233</v>
      </c>
      <c r="B821" s="62" t="s">
        <v>829</v>
      </c>
      <c r="C821" s="23">
        <v>-19000</v>
      </c>
      <c r="D821" s="24" t="s">
        <v>206</v>
      </c>
      <c r="E821" s="24" t="s">
        <v>830</v>
      </c>
      <c r="F821" s="63" t="s">
        <v>0</v>
      </c>
    </row>
    <row r="822" spans="1:6" x14ac:dyDescent="0.25">
      <c r="A822" s="62">
        <v>45233</v>
      </c>
      <c r="B822" s="62" t="s">
        <v>172</v>
      </c>
      <c r="C822" s="23">
        <v>243600</v>
      </c>
      <c r="D822" s="24" t="s">
        <v>58</v>
      </c>
      <c r="E822" s="24" t="s">
        <v>58</v>
      </c>
      <c r="F822" s="63" t="s">
        <v>0</v>
      </c>
    </row>
    <row r="823" spans="1:6" x14ac:dyDescent="0.25">
      <c r="A823" s="62">
        <v>45232</v>
      </c>
      <c r="B823" s="62" t="s">
        <v>831</v>
      </c>
      <c r="C823" s="23">
        <v>-750</v>
      </c>
      <c r="D823" s="24" t="s">
        <v>49</v>
      </c>
      <c r="E823" s="24" t="s">
        <v>67</v>
      </c>
      <c r="F823" s="63" t="s">
        <v>0</v>
      </c>
    </row>
    <row r="824" spans="1:6" x14ac:dyDescent="0.25">
      <c r="A824" s="62">
        <v>45232</v>
      </c>
      <c r="B824" s="62" t="s">
        <v>832</v>
      </c>
      <c r="C824" s="23">
        <v>-1550</v>
      </c>
      <c r="D824" s="24" t="s">
        <v>72</v>
      </c>
      <c r="E824" s="24" t="s">
        <v>266</v>
      </c>
      <c r="F824" s="63" t="s">
        <v>0</v>
      </c>
    </row>
    <row r="825" spans="1:6" x14ac:dyDescent="0.25">
      <c r="A825" s="62">
        <v>45232</v>
      </c>
      <c r="B825" s="62" t="s">
        <v>708</v>
      </c>
      <c r="C825" s="23">
        <v>-6824</v>
      </c>
      <c r="D825" s="24" t="s">
        <v>46</v>
      </c>
      <c r="E825" s="24" t="s">
        <v>80</v>
      </c>
      <c r="F825" s="63" t="s">
        <v>0</v>
      </c>
    </row>
    <row r="826" spans="1:6" x14ac:dyDescent="0.25">
      <c r="A826" s="62">
        <v>45232</v>
      </c>
      <c r="B826" s="62" t="s">
        <v>833</v>
      </c>
      <c r="C826" s="23">
        <v>-4567</v>
      </c>
      <c r="D826" s="24" t="s">
        <v>46</v>
      </c>
      <c r="E826" s="24" t="s">
        <v>512</v>
      </c>
      <c r="F826" s="63" t="s">
        <v>0</v>
      </c>
    </row>
    <row r="827" spans="1:6" x14ac:dyDescent="0.25">
      <c r="A827" s="62">
        <v>45232</v>
      </c>
      <c r="B827" s="62" t="s">
        <v>704</v>
      </c>
      <c r="C827" s="23">
        <v>-6944</v>
      </c>
      <c r="D827" s="24" t="s">
        <v>46</v>
      </c>
      <c r="E827" s="24" t="s">
        <v>150</v>
      </c>
      <c r="F827" s="63" t="s">
        <v>0</v>
      </c>
    </row>
    <row r="828" spans="1:6" x14ac:dyDescent="0.25">
      <c r="A828" s="62">
        <v>45232</v>
      </c>
      <c r="B828" s="62" t="s">
        <v>834</v>
      </c>
      <c r="C828" s="23">
        <v>-8484</v>
      </c>
      <c r="D828" s="24" t="s">
        <v>46</v>
      </c>
      <c r="E828" s="24" t="s">
        <v>145</v>
      </c>
      <c r="F828" s="63" t="s">
        <v>0</v>
      </c>
    </row>
    <row r="829" spans="1:6" x14ac:dyDescent="0.25">
      <c r="A829" s="62">
        <v>45232</v>
      </c>
      <c r="B829" s="62" t="s">
        <v>835</v>
      </c>
      <c r="C829" s="23">
        <v>-7056</v>
      </c>
      <c r="D829" s="24" t="s">
        <v>46</v>
      </c>
      <c r="E829" s="24" t="s">
        <v>63</v>
      </c>
      <c r="F829" s="63" t="s">
        <v>0</v>
      </c>
    </row>
    <row r="830" spans="1:6" x14ac:dyDescent="0.25">
      <c r="A830" s="62">
        <v>45232</v>
      </c>
      <c r="B830" s="62" t="s">
        <v>836</v>
      </c>
      <c r="C830" s="23">
        <v>-483</v>
      </c>
      <c r="D830" s="24" t="s">
        <v>49</v>
      </c>
      <c r="E830" s="24" t="s">
        <v>56</v>
      </c>
      <c r="F830" s="63" t="s">
        <v>0</v>
      </c>
    </row>
    <row r="831" spans="1:6" x14ac:dyDescent="0.25">
      <c r="A831" s="62">
        <v>45232</v>
      </c>
      <c r="B831" s="62" t="s">
        <v>837</v>
      </c>
      <c r="C831" s="23">
        <v>-1250</v>
      </c>
      <c r="D831" s="24" t="s">
        <v>49</v>
      </c>
      <c r="E831" s="24" t="s">
        <v>56</v>
      </c>
      <c r="F831" s="63" t="s">
        <v>0</v>
      </c>
    </row>
    <row r="832" spans="1:6" x14ac:dyDescent="0.25">
      <c r="A832" s="62">
        <v>45232</v>
      </c>
      <c r="B832" s="62" t="s">
        <v>838</v>
      </c>
      <c r="C832" s="23">
        <v>-1790</v>
      </c>
      <c r="D832" s="24" t="s">
        <v>46</v>
      </c>
      <c r="E832" s="24" t="s">
        <v>61</v>
      </c>
      <c r="F832" s="63" t="s">
        <v>0</v>
      </c>
    </row>
    <row r="833" spans="1:6" x14ac:dyDescent="0.25">
      <c r="A833" s="62">
        <v>45230</v>
      </c>
      <c r="B833" s="62" t="s">
        <v>43</v>
      </c>
      <c r="C833" s="23">
        <v>-2222</v>
      </c>
      <c r="D833" s="24" t="s">
        <v>167</v>
      </c>
      <c r="E833" s="24" t="s">
        <v>168</v>
      </c>
      <c r="F833" s="63" t="s">
        <v>0</v>
      </c>
    </row>
    <row r="834" spans="1:6" x14ac:dyDescent="0.25">
      <c r="A834" s="62">
        <v>45230</v>
      </c>
      <c r="B834" s="62" t="s">
        <v>112</v>
      </c>
      <c r="C834" s="23">
        <v>-2750</v>
      </c>
      <c r="D834" s="24" t="s">
        <v>49</v>
      </c>
      <c r="E834" s="24" t="s">
        <v>56</v>
      </c>
      <c r="F834" s="63" t="s">
        <v>0</v>
      </c>
    </row>
    <row r="835" spans="1:6" x14ac:dyDescent="0.25">
      <c r="A835" s="62">
        <v>45230</v>
      </c>
      <c r="B835" s="62" t="s">
        <v>839</v>
      </c>
      <c r="C835" s="23">
        <v>-6929</v>
      </c>
      <c r="D835" s="24" t="s">
        <v>49</v>
      </c>
      <c r="E835" s="24" t="s">
        <v>50</v>
      </c>
      <c r="F835" s="63" t="s">
        <v>0</v>
      </c>
    </row>
    <row r="836" spans="1:6" x14ac:dyDescent="0.25">
      <c r="A836" s="62">
        <v>45230</v>
      </c>
      <c r="B836" s="62" t="s">
        <v>840</v>
      </c>
      <c r="C836" s="23">
        <v>-799</v>
      </c>
      <c r="D836" s="24" t="s">
        <v>49</v>
      </c>
      <c r="E836" s="24" t="s">
        <v>56</v>
      </c>
      <c r="F836" s="63" t="s">
        <v>0</v>
      </c>
    </row>
    <row r="837" spans="1:6" x14ac:dyDescent="0.25">
      <c r="A837" s="62">
        <v>45230</v>
      </c>
      <c r="B837" s="62" t="s">
        <v>841</v>
      </c>
      <c r="C837" s="23">
        <v>-22500</v>
      </c>
      <c r="D837" s="24" t="s">
        <v>83</v>
      </c>
      <c r="E837" s="24" t="s">
        <v>84</v>
      </c>
      <c r="F837" s="63" t="s">
        <v>0</v>
      </c>
    </row>
    <row r="838" spans="1:6" x14ac:dyDescent="0.25">
      <c r="A838" s="62">
        <v>45229</v>
      </c>
      <c r="B838" s="62" t="s">
        <v>842</v>
      </c>
      <c r="C838" s="23">
        <v>6600</v>
      </c>
      <c r="D838" s="24" t="s">
        <v>83</v>
      </c>
      <c r="E838" s="24" t="s">
        <v>84</v>
      </c>
      <c r="F838" s="63" t="s">
        <v>0</v>
      </c>
    </row>
    <row r="839" spans="1:6" x14ac:dyDescent="0.25">
      <c r="A839" s="62">
        <v>45229</v>
      </c>
      <c r="B839" s="62" t="s">
        <v>843</v>
      </c>
      <c r="C839" s="23">
        <v>-750</v>
      </c>
      <c r="D839" s="24" t="s">
        <v>49</v>
      </c>
      <c r="E839" s="24" t="s">
        <v>56</v>
      </c>
      <c r="F839" s="63" t="s">
        <v>0</v>
      </c>
    </row>
    <row r="840" spans="1:6" x14ac:dyDescent="0.25">
      <c r="A840" s="62">
        <v>45229</v>
      </c>
      <c r="B840" s="62" t="s">
        <v>844</v>
      </c>
      <c r="C840" s="23">
        <v>-2140</v>
      </c>
      <c r="D840" s="24" t="s">
        <v>49</v>
      </c>
      <c r="E840" s="24" t="s">
        <v>56</v>
      </c>
      <c r="F840" s="63" t="s">
        <v>0</v>
      </c>
    </row>
    <row r="841" spans="1:6" x14ac:dyDescent="0.25">
      <c r="A841" s="62">
        <v>45229</v>
      </c>
      <c r="B841" s="62" t="s">
        <v>845</v>
      </c>
      <c r="C841" s="23">
        <v>-15498</v>
      </c>
      <c r="D841" s="24" t="s">
        <v>49</v>
      </c>
      <c r="E841" s="24" t="s">
        <v>56</v>
      </c>
      <c r="F841" s="63" t="s">
        <v>0</v>
      </c>
    </row>
    <row r="842" spans="1:6" x14ac:dyDescent="0.25">
      <c r="A842" s="62">
        <v>45229</v>
      </c>
      <c r="B842" s="62" t="s">
        <v>846</v>
      </c>
      <c r="C842" s="23">
        <v>-23168</v>
      </c>
      <c r="D842" s="24" t="s">
        <v>49</v>
      </c>
      <c r="E842" s="24" t="s">
        <v>56</v>
      </c>
      <c r="F842" s="63" t="s">
        <v>0</v>
      </c>
    </row>
    <row r="843" spans="1:6" x14ac:dyDescent="0.25">
      <c r="A843" s="62">
        <v>45229</v>
      </c>
      <c r="B843" s="62" t="s">
        <v>676</v>
      </c>
      <c r="C843" s="23">
        <v>-1499</v>
      </c>
      <c r="D843" s="24" t="s">
        <v>49</v>
      </c>
      <c r="E843" s="24" t="s">
        <v>50</v>
      </c>
      <c r="F843" s="63" t="s">
        <v>0</v>
      </c>
    </row>
    <row r="844" spans="1:6" x14ac:dyDescent="0.25">
      <c r="A844" s="62">
        <v>45229</v>
      </c>
      <c r="B844" s="62" t="s">
        <v>847</v>
      </c>
      <c r="C844" s="23">
        <v>-5065</v>
      </c>
      <c r="D844" s="24" t="s">
        <v>46</v>
      </c>
      <c r="E844" s="24" t="s">
        <v>428</v>
      </c>
      <c r="F844" s="63" t="s">
        <v>0</v>
      </c>
    </row>
    <row r="845" spans="1:6" x14ac:dyDescent="0.25">
      <c r="A845" s="62">
        <v>45229</v>
      </c>
      <c r="B845" s="62" t="s">
        <v>848</v>
      </c>
      <c r="C845" s="23">
        <v>-4023</v>
      </c>
      <c r="D845" s="24" t="s">
        <v>49</v>
      </c>
      <c r="E845" s="24" t="s">
        <v>56</v>
      </c>
      <c r="F845" s="63" t="s">
        <v>0</v>
      </c>
    </row>
    <row r="846" spans="1:6" x14ac:dyDescent="0.25">
      <c r="A846" s="62">
        <v>45229</v>
      </c>
      <c r="B846" s="62" t="s">
        <v>849</v>
      </c>
      <c r="C846" s="23">
        <v>-2340</v>
      </c>
      <c r="D846" s="24" t="s">
        <v>49</v>
      </c>
      <c r="E846" s="24" t="s">
        <v>56</v>
      </c>
      <c r="F846" s="63" t="s">
        <v>0</v>
      </c>
    </row>
    <row r="847" spans="1:6" x14ac:dyDescent="0.25">
      <c r="A847" s="62">
        <v>45226</v>
      </c>
      <c r="B847" s="62" t="s">
        <v>850</v>
      </c>
      <c r="C847" s="23">
        <v>-5363</v>
      </c>
      <c r="D847" s="24" t="s">
        <v>49</v>
      </c>
      <c r="E847" s="24" t="s">
        <v>56</v>
      </c>
      <c r="F847" s="63" t="s">
        <v>0</v>
      </c>
    </row>
    <row r="848" spans="1:6" x14ac:dyDescent="0.25">
      <c r="A848" s="62">
        <v>45226</v>
      </c>
      <c r="B848" s="62" t="s">
        <v>686</v>
      </c>
      <c r="C848" s="23">
        <v>-1580</v>
      </c>
      <c r="D848" s="24" t="s">
        <v>52</v>
      </c>
      <c r="E848" s="24" t="s">
        <v>134</v>
      </c>
      <c r="F848" s="63" t="s">
        <v>0</v>
      </c>
    </row>
    <row r="849" spans="1:6" x14ac:dyDescent="0.25">
      <c r="A849" s="62">
        <v>45225</v>
      </c>
      <c r="B849" s="62" t="s">
        <v>851</v>
      </c>
      <c r="C849" s="23">
        <v>-2490</v>
      </c>
      <c r="D849" s="24" t="s">
        <v>52</v>
      </c>
      <c r="E849" s="24" t="s">
        <v>53</v>
      </c>
      <c r="F849" s="63" t="s">
        <v>4</v>
      </c>
    </row>
    <row r="850" spans="1:6" x14ac:dyDescent="0.25">
      <c r="A850" s="62">
        <v>45224</v>
      </c>
      <c r="B850" s="62" t="s">
        <v>112</v>
      </c>
      <c r="C850" s="23">
        <v>-2000</v>
      </c>
      <c r="D850" s="24" t="s">
        <v>49</v>
      </c>
      <c r="E850" s="24" t="s">
        <v>56</v>
      </c>
      <c r="F850" s="63" t="s">
        <v>0</v>
      </c>
    </row>
    <row r="851" spans="1:6" x14ac:dyDescent="0.25">
      <c r="A851" s="62">
        <v>45224</v>
      </c>
      <c r="B851" s="62" t="s">
        <v>852</v>
      </c>
      <c r="C851" s="23">
        <v>-559</v>
      </c>
      <c r="D851" s="24" t="s">
        <v>49</v>
      </c>
      <c r="E851" s="24" t="s">
        <v>56</v>
      </c>
      <c r="F851" s="63" t="s">
        <v>0</v>
      </c>
    </row>
    <row r="852" spans="1:6" x14ac:dyDescent="0.25">
      <c r="A852" s="62">
        <v>45224</v>
      </c>
      <c r="B852" s="62" t="s">
        <v>853</v>
      </c>
      <c r="C852" s="23">
        <v>-2490</v>
      </c>
      <c r="D852" s="24" t="s">
        <v>52</v>
      </c>
      <c r="E852" s="24" t="s">
        <v>53</v>
      </c>
      <c r="F852" s="63" t="s">
        <v>0</v>
      </c>
    </row>
    <row r="853" spans="1:6" x14ac:dyDescent="0.25">
      <c r="A853" s="62">
        <v>45224</v>
      </c>
      <c r="B853" s="62" t="s">
        <v>854</v>
      </c>
      <c r="C853" s="23">
        <v>-409</v>
      </c>
      <c r="D853" s="24" t="s">
        <v>49</v>
      </c>
      <c r="E853" s="24" t="s">
        <v>56</v>
      </c>
      <c r="F853" s="63" t="s">
        <v>0</v>
      </c>
    </row>
    <row r="854" spans="1:6" x14ac:dyDescent="0.25">
      <c r="A854" s="62">
        <v>45224</v>
      </c>
      <c r="B854" s="62" t="s">
        <v>855</v>
      </c>
      <c r="C854" s="23">
        <v>-1690</v>
      </c>
      <c r="D854" s="24" t="s">
        <v>52</v>
      </c>
      <c r="E854" s="24" t="s">
        <v>134</v>
      </c>
      <c r="F854" s="63" t="s">
        <v>0</v>
      </c>
    </row>
    <row r="855" spans="1:6" x14ac:dyDescent="0.25">
      <c r="A855" s="62">
        <v>45224</v>
      </c>
      <c r="B855" s="62" t="s">
        <v>856</v>
      </c>
      <c r="C855" s="23">
        <v>-999</v>
      </c>
      <c r="D855" s="24" t="s">
        <v>46</v>
      </c>
      <c r="E855" s="24" t="s">
        <v>63</v>
      </c>
      <c r="F855" s="63" t="s">
        <v>0</v>
      </c>
    </row>
    <row r="856" spans="1:6" x14ac:dyDescent="0.25">
      <c r="A856" s="62">
        <v>45223</v>
      </c>
      <c r="B856" s="62" t="s">
        <v>857</v>
      </c>
      <c r="C856" s="23">
        <v>-1320</v>
      </c>
      <c r="D856" s="24" t="s">
        <v>49</v>
      </c>
      <c r="E856" s="24" t="s">
        <v>56</v>
      </c>
      <c r="F856" s="63" t="s">
        <v>0</v>
      </c>
    </row>
    <row r="857" spans="1:6" x14ac:dyDescent="0.25">
      <c r="A857" s="62">
        <v>45223</v>
      </c>
      <c r="B857" s="62" t="s">
        <v>858</v>
      </c>
      <c r="C857" s="23">
        <v>-1500</v>
      </c>
      <c r="D857" s="24" t="s">
        <v>49</v>
      </c>
      <c r="E857" s="24" t="s">
        <v>56</v>
      </c>
      <c r="F857" s="63" t="s">
        <v>0</v>
      </c>
    </row>
    <row r="858" spans="1:6" x14ac:dyDescent="0.25">
      <c r="A858" s="62">
        <v>45223</v>
      </c>
      <c r="B858" s="62" t="s">
        <v>859</v>
      </c>
      <c r="C858" s="23">
        <v>-1610</v>
      </c>
      <c r="D858" s="24" t="s">
        <v>49</v>
      </c>
      <c r="E858" s="24" t="s">
        <v>56</v>
      </c>
      <c r="F858" s="63" t="s">
        <v>0</v>
      </c>
    </row>
    <row r="859" spans="1:6" x14ac:dyDescent="0.25">
      <c r="A859" s="62">
        <v>45223</v>
      </c>
      <c r="B859" s="62" t="s">
        <v>860</v>
      </c>
      <c r="C859" s="23">
        <v>-1660</v>
      </c>
      <c r="D859" s="24" t="s">
        <v>49</v>
      </c>
      <c r="E859" s="24" t="s">
        <v>56</v>
      </c>
      <c r="F859" s="63" t="s">
        <v>0</v>
      </c>
    </row>
    <row r="860" spans="1:6" x14ac:dyDescent="0.25">
      <c r="A860" s="62">
        <v>45223</v>
      </c>
      <c r="B860" s="62" t="s">
        <v>861</v>
      </c>
      <c r="C860" s="23">
        <v>-3306</v>
      </c>
      <c r="D860" s="24" t="s">
        <v>49</v>
      </c>
      <c r="E860" s="24" t="s">
        <v>56</v>
      </c>
      <c r="F860" s="63" t="s">
        <v>0</v>
      </c>
    </row>
    <row r="861" spans="1:6" x14ac:dyDescent="0.25">
      <c r="A861" s="62">
        <v>45223</v>
      </c>
      <c r="B861" s="62" t="s">
        <v>862</v>
      </c>
      <c r="C861" s="23">
        <v>-10000</v>
      </c>
      <c r="D861" s="24" t="s">
        <v>90</v>
      </c>
      <c r="E861" s="24" t="s">
        <v>91</v>
      </c>
      <c r="F861" s="63" t="s">
        <v>0</v>
      </c>
    </row>
    <row r="862" spans="1:6" x14ac:dyDescent="0.25">
      <c r="A862" s="62">
        <v>45223</v>
      </c>
      <c r="B862" s="62" t="s">
        <v>863</v>
      </c>
      <c r="C862" s="23">
        <v>-2385</v>
      </c>
      <c r="D862" s="24" t="s">
        <v>49</v>
      </c>
      <c r="E862" s="24" t="s">
        <v>56</v>
      </c>
      <c r="F862" s="63" t="s">
        <v>0</v>
      </c>
    </row>
    <row r="863" spans="1:6" x14ac:dyDescent="0.25">
      <c r="A863" s="62">
        <v>45223</v>
      </c>
      <c r="B863" s="62" t="s">
        <v>864</v>
      </c>
      <c r="C863" s="23">
        <v>-1899</v>
      </c>
      <c r="D863" s="24" t="s">
        <v>49</v>
      </c>
      <c r="E863" s="24" t="s">
        <v>56</v>
      </c>
      <c r="F863" s="63" t="s">
        <v>0</v>
      </c>
    </row>
    <row r="864" spans="1:6" x14ac:dyDescent="0.25">
      <c r="A864" s="62">
        <v>45223</v>
      </c>
      <c r="B864" s="62" t="s">
        <v>865</v>
      </c>
      <c r="C864" s="23">
        <v>-14250</v>
      </c>
      <c r="D864" s="24" t="s">
        <v>49</v>
      </c>
      <c r="E864" s="24" t="s">
        <v>164</v>
      </c>
      <c r="F864" s="63" t="s">
        <v>0</v>
      </c>
    </row>
    <row r="865" spans="1:6" x14ac:dyDescent="0.25">
      <c r="A865" s="62">
        <v>45223</v>
      </c>
      <c r="B865" s="62" t="s">
        <v>866</v>
      </c>
      <c r="C865" s="23">
        <v>-9380</v>
      </c>
      <c r="D865" s="24" t="s">
        <v>49</v>
      </c>
      <c r="E865" s="24" t="s">
        <v>50</v>
      </c>
      <c r="F865" s="63" t="s">
        <v>0</v>
      </c>
    </row>
    <row r="866" spans="1:6" x14ac:dyDescent="0.25">
      <c r="A866" s="62">
        <v>45220</v>
      </c>
      <c r="B866" s="62" t="s">
        <v>867</v>
      </c>
      <c r="C866" s="23">
        <v>-13000</v>
      </c>
      <c r="D866" s="24" t="s">
        <v>72</v>
      </c>
      <c r="E866" s="24" t="s">
        <v>266</v>
      </c>
      <c r="F866" s="63" t="s">
        <v>0</v>
      </c>
    </row>
    <row r="867" spans="1:6" x14ac:dyDescent="0.25">
      <c r="A867" s="62">
        <v>45219</v>
      </c>
      <c r="B867" s="62" t="s">
        <v>139</v>
      </c>
      <c r="C867" s="23">
        <v>31960</v>
      </c>
      <c r="D867" s="24" t="s">
        <v>58</v>
      </c>
      <c r="E867" s="24" t="s">
        <v>58</v>
      </c>
      <c r="F867" s="63" t="s">
        <v>4</v>
      </c>
    </row>
    <row r="868" spans="1:6" x14ac:dyDescent="0.25">
      <c r="A868" s="62">
        <v>45219</v>
      </c>
      <c r="B868" s="62" t="s">
        <v>868</v>
      </c>
      <c r="C868" s="23">
        <v>-1689</v>
      </c>
      <c r="D868" s="24" t="s">
        <v>49</v>
      </c>
      <c r="E868" s="24" t="s">
        <v>50</v>
      </c>
      <c r="F868" s="63" t="s">
        <v>0</v>
      </c>
    </row>
    <row r="869" spans="1:6" x14ac:dyDescent="0.25">
      <c r="A869" s="62">
        <v>45218</v>
      </c>
      <c r="B869" s="62" t="s">
        <v>714</v>
      </c>
      <c r="C869" s="23">
        <v>-3990</v>
      </c>
      <c r="D869" s="24" t="s">
        <v>52</v>
      </c>
      <c r="E869" s="24" t="s">
        <v>53</v>
      </c>
      <c r="F869" s="63" t="s">
        <v>4</v>
      </c>
    </row>
    <row r="870" spans="1:6" x14ac:dyDescent="0.25">
      <c r="A870" s="62">
        <v>45218</v>
      </c>
      <c r="B870" s="62" t="s">
        <v>869</v>
      </c>
      <c r="C870" s="23">
        <v>-3389</v>
      </c>
      <c r="D870" s="24" t="s">
        <v>49</v>
      </c>
      <c r="E870" s="24" t="s">
        <v>50</v>
      </c>
      <c r="F870" s="63" t="s">
        <v>0</v>
      </c>
    </row>
    <row r="871" spans="1:6" x14ac:dyDescent="0.25">
      <c r="A871" s="62">
        <v>45218</v>
      </c>
      <c r="B871" s="62" t="s">
        <v>870</v>
      </c>
      <c r="C871" s="23">
        <v>-2178</v>
      </c>
      <c r="D871" s="24" t="s">
        <v>49</v>
      </c>
      <c r="E871" s="24" t="s">
        <v>56</v>
      </c>
      <c r="F871" s="63" t="s">
        <v>0</v>
      </c>
    </row>
    <row r="872" spans="1:6" x14ac:dyDescent="0.25">
      <c r="A872" s="62">
        <v>45218</v>
      </c>
      <c r="B872" s="62" t="s">
        <v>871</v>
      </c>
      <c r="C872" s="23">
        <v>-20346</v>
      </c>
      <c r="D872" s="24" t="s">
        <v>90</v>
      </c>
      <c r="E872" s="24" t="s">
        <v>59</v>
      </c>
      <c r="F872" s="63" t="s">
        <v>0</v>
      </c>
    </row>
    <row r="873" spans="1:6" x14ac:dyDescent="0.25">
      <c r="A873" s="62">
        <v>45218</v>
      </c>
      <c r="B873" s="62" t="s">
        <v>872</v>
      </c>
      <c r="C873" s="23">
        <v>-3240</v>
      </c>
      <c r="D873" s="24" t="s">
        <v>52</v>
      </c>
      <c r="E873" s="24" t="s">
        <v>53</v>
      </c>
      <c r="F873" s="63" t="s">
        <v>0</v>
      </c>
    </row>
    <row r="874" spans="1:6" x14ac:dyDescent="0.25">
      <c r="A874" s="62">
        <v>45218</v>
      </c>
      <c r="B874" s="62" t="s">
        <v>873</v>
      </c>
      <c r="C874" s="23">
        <v>-28002</v>
      </c>
      <c r="D874" s="24" t="s">
        <v>49</v>
      </c>
      <c r="E874" s="24" t="s">
        <v>232</v>
      </c>
      <c r="F874" s="63" t="s">
        <v>0</v>
      </c>
    </row>
    <row r="875" spans="1:6" x14ac:dyDescent="0.25">
      <c r="A875" s="62">
        <v>45218</v>
      </c>
      <c r="B875" s="62" t="s">
        <v>874</v>
      </c>
      <c r="C875" s="23">
        <v>-1690</v>
      </c>
      <c r="D875" s="24" t="s">
        <v>52</v>
      </c>
      <c r="E875" s="24" t="s">
        <v>53</v>
      </c>
      <c r="F875" s="63" t="s">
        <v>0</v>
      </c>
    </row>
    <row r="876" spans="1:6" x14ac:dyDescent="0.25">
      <c r="A876" s="62">
        <v>45217</v>
      </c>
      <c r="B876" s="62" t="s">
        <v>875</v>
      </c>
      <c r="C876" s="23">
        <v>-3490</v>
      </c>
      <c r="D876" s="24" t="s">
        <v>90</v>
      </c>
      <c r="E876" s="24" t="s">
        <v>93</v>
      </c>
      <c r="F876" s="63" t="s">
        <v>0</v>
      </c>
    </row>
    <row r="877" spans="1:6" x14ac:dyDescent="0.25">
      <c r="A877" s="62">
        <v>45217</v>
      </c>
      <c r="B877" s="62" t="s">
        <v>876</v>
      </c>
      <c r="C877" s="23">
        <v>-7000</v>
      </c>
      <c r="D877" s="24" t="s">
        <v>49</v>
      </c>
      <c r="E877" s="24" t="s">
        <v>50</v>
      </c>
      <c r="F877" s="63" t="s">
        <v>0</v>
      </c>
    </row>
    <row r="878" spans="1:6" x14ac:dyDescent="0.25">
      <c r="A878" s="62">
        <v>45217</v>
      </c>
      <c r="B878" s="62" t="s">
        <v>877</v>
      </c>
      <c r="C878" s="23">
        <v>-16776</v>
      </c>
      <c r="D878" s="24" t="s">
        <v>49</v>
      </c>
      <c r="E878" s="24" t="s">
        <v>56</v>
      </c>
      <c r="F878" s="63" t="s">
        <v>0</v>
      </c>
    </row>
    <row r="879" spans="1:6" x14ac:dyDescent="0.25">
      <c r="A879" s="62">
        <v>45217</v>
      </c>
      <c r="B879" s="62" t="s">
        <v>878</v>
      </c>
      <c r="C879" s="23">
        <v>-37717</v>
      </c>
      <c r="D879" s="24" t="s">
        <v>49</v>
      </c>
      <c r="E879" s="24" t="s">
        <v>56</v>
      </c>
      <c r="F879" s="63" t="s">
        <v>0</v>
      </c>
    </row>
    <row r="880" spans="1:6" x14ac:dyDescent="0.25">
      <c r="A880" s="62">
        <v>45217</v>
      </c>
      <c r="B880" s="62" t="s">
        <v>879</v>
      </c>
      <c r="C880" s="23">
        <v>-599</v>
      </c>
      <c r="D880" s="24" t="s">
        <v>46</v>
      </c>
      <c r="E880" s="24" t="s">
        <v>63</v>
      </c>
      <c r="F880" s="63" t="s">
        <v>0</v>
      </c>
    </row>
    <row r="881" spans="1:6" x14ac:dyDescent="0.25">
      <c r="A881" s="62">
        <v>45216</v>
      </c>
      <c r="B881" s="62" t="s">
        <v>880</v>
      </c>
      <c r="C881" s="23">
        <v>-899</v>
      </c>
      <c r="D881" s="24" t="s">
        <v>49</v>
      </c>
      <c r="E881" s="24" t="s">
        <v>56</v>
      </c>
      <c r="F881" s="63" t="s">
        <v>0</v>
      </c>
    </row>
    <row r="882" spans="1:6" x14ac:dyDescent="0.25">
      <c r="A882" s="62">
        <v>45216</v>
      </c>
      <c r="B882" s="62" t="s">
        <v>881</v>
      </c>
      <c r="C882" s="23">
        <v>-929</v>
      </c>
      <c r="D882" s="24" t="s">
        <v>49</v>
      </c>
      <c r="E882" s="24" t="s">
        <v>50</v>
      </c>
      <c r="F882" s="63" t="s">
        <v>0</v>
      </c>
    </row>
    <row r="883" spans="1:6" x14ac:dyDescent="0.25">
      <c r="A883" s="62">
        <v>45216</v>
      </c>
      <c r="B883" s="62" t="s">
        <v>882</v>
      </c>
      <c r="C883" s="23">
        <v>-9945</v>
      </c>
      <c r="D883" s="24" t="s">
        <v>49</v>
      </c>
      <c r="E883" s="24" t="s">
        <v>50</v>
      </c>
      <c r="F883" s="63" t="s">
        <v>0</v>
      </c>
    </row>
    <row r="884" spans="1:6" x14ac:dyDescent="0.25">
      <c r="A884" s="62">
        <v>45216</v>
      </c>
      <c r="B884" s="62" t="s">
        <v>883</v>
      </c>
      <c r="C884" s="23">
        <v>-3405</v>
      </c>
      <c r="D884" s="24" t="s">
        <v>49</v>
      </c>
      <c r="E884" s="24" t="s">
        <v>56</v>
      </c>
      <c r="F884" s="63" t="s">
        <v>0</v>
      </c>
    </row>
    <row r="885" spans="1:6" x14ac:dyDescent="0.25">
      <c r="A885" s="62">
        <v>45216</v>
      </c>
      <c r="B885" s="62" t="s">
        <v>884</v>
      </c>
      <c r="C885" s="23">
        <v>-4830</v>
      </c>
      <c r="D885" s="24" t="s">
        <v>90</v>
      </c>
      <c r="E885" s="24" t="s">
        <v>59</v>
      </c>
      <c r="F885" s="63" t="s">
        <v>0</v>
      </c>
    </row>
    <row r="886" spans="1:6" x14ac:dyDescent="0.25">
      <c r="A886" s="62">
        <v>45215</v>
      </c>
      <c r="B886" s="62" t="s">
        <v>885</v>
      </c>
      <c r="C886" s="23">
        <v>-3179</v>
      </c>
      <c r="D886" s="24" t="s">
        <v>49</v>
      </c>
      <c r="E886" s="24" t="s">
        <v>50</v>
      </c>
      <c r="F886" s="63" t="s">
        <v>0</v>
      </c>
    </row>
    <row r="887" spans="1:6" x14ac:dyDescent="0.25">
      <c r="A887" s="62">
        <v>45215</v>
      </c>
      <c r="B887" s="62" t="s">
        <v>886</v>
      </c>
      <c r="C887" s="23">
        <v>-20222</v>
      </c>
      <c r="D887" s="24" t="s">
        <v>49</v>
      </c>
      <c r="E887" s="24" t="s">
        <v>50</v>
      </c>
      <c r="F887" s="63" t="s">
        <v>0</v>
      </c>
    </row>
    <row r="888" spans="1:6" x14ac:dyDescent="0.25">
      <c r="A888" s="62">
        <v>45215</v>
      </c>
      <c r="B888" s="62" t="s">
        <v>887</v>
      </c>
      <c r="C888" s="23">
        <v>-22180</v>
      </c>
      <c r="D888" s="24" t="s">
        <v>49</v>
      </c>
      <c r="E888" s="24" t="s">
        <v>50</v>
      </c>
      <c r="F888" s="63" t="s">
        <v>0</v>
      </c>
    </row>
    <row r="889" spans="1:6" x14ac:dyDescent="0.25">
      <c r="A889" s="62">
        <v>45215</v>
      </c>
      <c r="B889" s="62" t="s">
        <v>888</v>
      </c>
      <c r="C889" s="23">
        <v>-12734</v>
      </c>
      <c r="D889" s="24" t="s">
        <v>49</v>
      </c>
      <c r="E889" s="24" t="s">
        <v>56</v>
      </c>
      <c r="F889" s="63" t="s">
        <v>0</v>
      </c>
    </row>
    <row r="890" spans="1:6" x14ac:dyDescent="0.25">
      <c r="A890" s="62">
        <v>45215</v>
      </c>
      <c r="B890" s="62" t="s">
        <v>889</v>
      </c>
      <c r="C890" s="23">
        <v>-588</v>
      </c>
      <c r="D890" s="24" t="s">
        <v>49</v>
      </c>
      <c r="E890" s="24" t="s">
        <v>56</v>
      </c>
      <c r="F890" s="63" t="s">
        <v>0</v>
      </c>
    </row>
    <row r="891" spans="1:6" x14ac:dyDescent="0.25">
      <c r="A891" s="62">
        <v>45215</v>
      </c>
      <c r="B891" s="62" t="s">
        <v>890</v>
      </c>
      <c r="C891" s="23">
        <v>-11535</v>
      </c>
      <c r="D891" s="24" t="s">
        <v>49</v>
      </c>
      <c r="E891" s="24" t="s">
        <v>56</v>
      </c>
      <c r="F891" s="63" t="s">
        <v>0</v>
      </c>
    </row>
    <row r="892" spans="1:6" x14ac:dyDescent="0.25">
      <c r="A892" s="62">
        <v>45215</v>
      </c>
      <c r="B892" s="62" t="s">
        <v>891</v>
      </c>
      <c r="C892" s="23">
        <v>-14265</v>
      </c>
      <c r="D892" s="24" t="s">
        <v>46</v>
      </c>
      <c r="E892" s="24" t="s">
        <v>428</v>
      </c>
      <c r="F892" s="63" t="s">
        <v>0</v>
      </c>
    </row>
    <row r="893" spans="1:6" x14ac:dyDescent="0.25">
      <c r="A893" s="62">
        <v>45214</v>
      </c>
      <c r="B893" s="62" t="s">
        <v>765</v>
      </c>
      <c r="C893" s="23">
        <v>-8090</v>
      </c>
      <c r="D893" s="24" t="s">
        <v>52</v>
      </c>
      <c r="E893" s="24" t="s">
        <v>53</v>
      </c>
      <c r="F893" s="63" t="s">
        <v>4</v>
      </c>
    </row>
    <row r="894" spans="1:6" x14ac:dyDescent="0.25">
      <c r="A894" s="62">
        <v>45213</v>
      </c>
      <c r="B894" s="62" t="s">
        <v>112</v>
      </c>
      <c r="C894" s="23">
        <v>-2170</v>
      </c>
      <c r="D894" s="24" t="s">
        <v>49</v>
      </c>
      <c r="E894" s="24" t="s">
        <v>56</v>
      </c>
      <c r="F894" s="63" t="s">
        <v>0</v>
      </c>
    </row>
    <row r="895" spans="1:6" x14ac:dyDescent="0.25">
      <c r="A895" s="62">
        <v>45212</v>
      </c>
      <c r="B895" s="62" t="s">
        <v>892</v>
      </c>
      <c r="C895" s="23">
        <v>-630</v>
      </c>
      <c r="D895" s="24" t="s">
        <v>49</v>
      </c>
      <c r="E895" s="24" t="s">
        <v>67</v>
      </c>
      <c r="F895" s="63" t="s">
        <v>0</v>
      </c>
    </row>
    <row r="896" spans="1:6" x14ac:dyDescent="0.25">
      <c r="A896" s="62">
        <v>45212</v>
      </c>
      <c r="B896" s="62" t="s">
        <v>893</v>
      </c>
      <c r="C896" s="23">
        <v>-1122</v>
      </c>
      <c r="D896" s="24" t="s">
        <v>49</v>
      </c>
      <c r="E896" s="24" t="s">
        <v>56</v>
      </c>
      <c r="F896" s="63" t="s">
        <v>0</v>
      </c>
    </row>
    <row r="897" spans="1:6" x14ac:dyDescent="0.25">
      <c r="A897" s="62">
        <v>45212</v>
      </c>
      <c r="B897" s="62" t="s">
        <v>894</v>
      </c>
      <c r="C897" s="23">
        <v>-1420</v>
      </c>
      <c r="D897" s="24" t="s">
        <v>49</v>
      </c>
      <c r="E897" s="24" t="s">
        <v>56</v>
      </c>
      <c r="F897" s="63" t="s">
        <v>0</v>
      </c>
    </row>
    <row r="898" spans="1:6" x14ac:dyDescent="0.25">
      <c r="A898" s="62">
        <v>45211</v>
      </c>
      <c r="B898" s="62" t="s">
        <v>895</v>
      </c>
      <c r="C898" s="23">
        <v>-899</v>
      </c>
      <c r="D898" s="24" t="s">
        <v>49</v>
      </c>
      <c r="E898" s="24" t="s">
        <v>56</v>
      </c>
      <c r="F898" s="63" t="s">
        <v>0</v>
      </c>
    </row>
    <row r="899" spans="1:6" x14ac:dyDescent="0.25">
      <c r="A899" s="62">
        <v>45210</v>
      </c>
      <c r="B899" s="62" t="s">
        <v>896</v>
      </c>
      <c r="C899" s="23">
        <v>-838</v>
      </c>
      <c r="D899" s="24" t="s">
        <v>49</v>
      </c>
      <c r="E899" s="24" t="s">
        <v>56</v>
      </c>
      <c r="F899" s="63" t="s">
        <v>0</v>
      </c>
    </row>
    <row r="900" spans="1:6" x14ac:dyDescent="0.25">
      <c r="A900" s="62">
        <v>45210</v>
      </c>
      <c r="B900" s="62" t="s">
        <v>897</v>
      </c>
      <c r="C900" s="23">
        <v>-989</v>
      </c>
      <c r="D900" s="24" t="s">
        <v>49</v>
      </c>
      <c r="E900" s="24" t="s">
        <v>67</v>
      </c>
      <c r="F900" s="63" t="s">
        <v>0</v>
      </c>
    </row>
    <row r="901" spans="1:6" x14ac:dyDescent="0.25">
      <c r="A901" s="62">
        <v>45210</v>
      </c>
      <c r="B901" s="62" t="s">
        <v>898</v>
      </c>
      <c r="C901" s="23">
        <v>-56041</v>
      </c>
      <c r="D901" s="24" t="s">
        <v>167</v>
      </c>
      <c r="E901" s="24" t="s">
        <v>183</v>
      </c>
      <c r="F901" s="63" t="s">
        <v>0</v>
      </c>
    </row>
    <row r="902" spans="1:6" x14ac:dyDescent="0.25">
      <c r="A902" s="62">
        <v>45210</v>
      </c>
      <c r="B902" s="62" t="s">
        <v>899</v>
      </c>
      <c r="C902" s="23">
        <v>-232</v>
      </c>
      <c r="D902" s="24" t="s">
        <v>72</v>
      </c>
      <c r="E902" s="24" t="s">
        <v>73</v>
      </c>
      <c r="F902" s="63" t="s">
        <v>0</v>
      </c>
    </row>
    <row r="903" spans="1:6" x14ac:dyDescent="0.25">
      <c r="A903" s="62">
        <v>45210</v>
      </c>
      <c r="B903" s="62" t="s">
        <v>900</v>
      </c>
      <c r="C903" s="23">
        <v>-850</v>
      </c>
      <c r="D903" s="24" t="s">
        <v>52</v>
      </c>
      <c r="E903" s="24" t="s">
        <v>53</v>
      </c>
      <c r="F903" s="63" t="s">
        <v>0</v>
      </c>
    </row>
    <row r="904" spans="1:6" x14ac:dyDescent="0.25">
      <c r="A904" s="62">
        <v>45209</v>
      </c>
      <c r="B904" s="62" t="s">
        <v>901</v>
      </c>
      <c r="C904" s="23">
        <v>-218568.63</v>
      </c>
      <c r="D904" s="24" t="s">
        <v>46</v>
      </c>
      <c r="E904" s="24" t="s">
        <v>10</v>
      </c>
      <c r="F904" s="63" t="s">
        <v>0</v>
      </c>
    </row>
    <row r="905" spans="1:6" x14ac:dyDescent="0.25">
      <c r="A905" s="62">
        <v>45209</v>
      </c>
      <c r="B905" s="62" t="s">
        <v>746</v>
      </c>
      <c r="C905" s="23">
        <v>-2800</v>
      </c>
      <c r="D905" s="24" t="s">
        <v>52</v>
      </c>
      <c r="E905" s="24" t="s">
        <v>53</v>
      </c>
      <c r="F905" s="63" t="s">
        <v>4</v>
      </c>
    </row>
    <row r="906" spans="1:6" x14ac:dyDescent="0.25">
      <c r="A906" s="62">
        <v>45209</v>
      </c>
      <c r="B906" s="62" t="s">
        <v>902</v>
      </c>
      <c r="C906" s="23">
        <v>-5240</v>
      </c>
      <c r="D906" s="24" t="s">
        <v>83</v>
      </c>
      <c r="E906" s="24" t="s">
        <v>903</v>
      </c>
      <c r="F906" s="63" t="s">
        <v>0</v>
      </c>
    </row>
    <row r="907" spans="1:6" x14ac:dyDescent="0.25">
      <c r="A907" s="62">
        <v>45209</v>
      </c>
      <c r="B907" s="62" t="s">
        <v>904</v>
      </c>
      <c r="C907" s="23">
        <v>-2000</v>
      </c>
      <c r="D907" s="24" t="s">
        <v>72</v>
      </c>
      <c r="E907" s="24" t="s">
        <v>73</v>
      </c>
      <c r="F907" s="63" t="s">
        <v>0</v>
      </c>
    </row>
    <row r="908" spans="1:6" x14ac:dyDescent="0.25">
      <c r="A908" s="62">
        <v>45209</v>
      </c>
      <c r="B908" s="62" t="s">
        <v>905</v>
      </c>
      <c r="C908" s="23">
        <v>-29550</v>
      </c>
      <c r="D908" s="24" t="s">
        <v>49</v>
      </c>
      <c r="E908" s="24" t="s">
        <v>906</v>
      </c>
      <c r="F908" s="63" t="s">
        <v>0</v>
      </c>
    </row>
    <row r="909" spans="1:6" x14ac:dyDescent="0.25">
      <c r="A909" s="62">
        <v>45209</v>
      </c>
      <c r="B909" s="62" t="s">
        <v>907</v>
      </c>
      <c r="C909" s="23">
        <v>-2350</v>
      </c>
      <c r="D909" s="24" t="s">
        <v>83</v>
      </c>
      <c r="E909" s="24" t="s">
        <v>903</v>
      </c>
      <c r="F909" s="63" t="s">
        <v>0</v>
      </c>
    </row>
    <row r="910" spans="1:6" x14ac:dyDescent="0.25">
      <c r="A910" s="62">
        <v>45209</v>
      </c>
      <c r="B910" s="62" t="s">
        <v>908</v>
      </c>
      <c r="C910" s="23">
        <v>-44800</v>
      </c>
      <c r="D910" s="24" t="s">
        <v>72</v>
      </c>
      <c r="E910" s="24" t="s">
        <v>109</v>
      </c>
      <c r="F910" s="63" t="s">
        <v>0</v>
      </c>
    </row>
    <row r="911" spans="1:6" x14ac:dyDescent="0.25">
      <c r="A911" s="62">
        <v>45209</v>
      </c>
      <c r="B911" s="62" t="s">
        <v>713</v>
      </c>
      <c r="C911" s="23">
        <v>938985</v>
      </c>
      <c r="D911" s="24" t="s">
        <v>58</v>
      </c>
      <c r="E911" s="24" t="s">
        <v>58</v>
      </c>
      <c r="F911" s="63" t="s">
        <v>0</v>
      </c>
    </row>
    <row r="912" spans="1:6" x14ac:dyDescent="0.25">
      <c r="A912" s="62">
        <v>45209</v>
      </c>
      <c r="B912" s="62" t="s">
        <v>909</v>
      </c>
      <c r="C912" s="23">
        <v>-43236.160000000003</v>
      </c>
      <c r="D912" s="24" t="s">
        <v>46</v>
      </c>
      <c r="E912" s="24" t="s">
        <v>10</v>
      </c>
      <c r="F912" s="63" t="s">
        <v>0</v>
      </c>
    </row>
    <row r="913" spans="1:6" x14ac:dyDescent="0.25">
      <c r="A913" s="62">
        <v>45209</v>
      </c>
      <c r="B913" s="62" t="s">
        <v>901</v>
      </c>
      <c r="C913" s="23">
        <v>218568.63</v>
      </c>
      <c r="D913" s="24" t="s">
        <v>46</v>
      </c>
      <c r="E913" s="24" t="s">
        <v>10</v>
      </c>
      <c r="F913" s="63" t="s">
        <v>10</v>
      </c>
    </row>
    <row r="914" spans="1:6" x14ac:dyDescent="0.25">
      <c r="A914" s="62">
        <v>45208</v>
      </c>
      <c r="B914" s="62" t="s">
        <v>910</v>
      </c>
      <c r="C914" s="23">
        <v>-1080</v>
      </c>
      <c r="D914" s="24" t="s">
        <v>49</v>
      </c>
      <c r="E914" s="24" t="s">
        <v>56</v>
      </c>
      <c r="F914" s="63" t="s">
        <v>0</v>
      </c>
    </row>
    <row r="915" spans="1:6" x14ac:dyDescent="0.25">
      <c r="A915" s="62">
        <v>45208</v>
      </c>
      <c r="B915" s="62" t="s">
        <v>911</v>
      </c>
      <c r="C915" s="23">
        <v>-2584</v>
      </c>
      <c r="D915" s="24" t="s">
        <v>49</v>
      </c>
      <c r="E915" s="24" t="s">
        <v>56</v>
      </c>
      <c r="F915" s="63" t="s">
        <v>0</v>
      </c>
    </row>
    <row r="916" spans="1:6" x14ac:dyDescent="0.25">
      <c r="A916" s="62">
        <v>45208</v>
      </c>
      <c r="B916" s="62" t="s">
        <v>912</v>
      </c>
      <c r="C916" s="23">
        <v>-10000</v>
      </c>
      <c r="D916" s="24" t="s">
        <v>90</v>
      </c>
      <c r="E916" s="24" t="s">
        <v>91</v>
      </c>
      <c r="F916" s="63" t="s">
        <v>0</v>
      </c>
    </row>
    <row r="917" spans="1:6" x14ac:dyDescent="0.25">
      <c r="A917" s="62">
        <v>45208</v>
      </c>
      <c r="B917" s="62" t="s">
        <v>913</v>
      </c>
      <c r="C917" s="23">
        <v>-10389</v>
      </c>
      <c r="D917" s="24" t="s">
        <v>90</v>
      </c>
      <c r="E917" s="24" t="s">
        <v>67</v>
      </c>
      <c r="F917" s="63" t="s">
        <v>0</v>
      </c>
    </row>
    <row r="918" spans="1:6" x14ac:dyDescent="0.25">
      <c r="A918" s="62">
        <v>45208</v>
      </c>
      <c r="B918" s="62" t="s">
        <v>914</v>
      </c>
      <c r="C918" s="23">
        <v>-16990</v>
      </c>
      <c r="D918" s="24" t="s">
        <v>90</v>
      </c>
      <c r="E918" s="24" t="s">
        <v>106</v>
      </c>
      <c r="F918" s="63" t="s">
        <v>0</v>
      </c>
    </row>
    <row r="919" spans="1:6" x14ac:dyDescent="0.25">
      <c r="A919" s="62">
        <v>45208</v>
      </c>
      <c r="B919" s="62" t="s">
        <v>915</v>
      </c>
      <c r="C919" s="23">
        <v>-22138</v>
      </c>
      <c r="D919" s="24" t="s">
        <v>49</v>
      </c>
      <c r="E919" s="24" t="s">
        <v>56</v>
      </c>
      <c r="F919" s="63" t="s">
        <v>0</v>
      </c>
    </row>
    <row r="920" spans="1:6" x14ac:dyDescent="0.25">
      <c r="A920" s="62">
        <v>45208</v>
      </c>
      <c r="B920" s="62" t="s">
        <v>916</v>
      </c>
      <c r="C920" s="23">
        <v>-1990</v>
      </c>
      <c r="D920" s="24" t="s">
        <v>49</v>
      </c>
      <c r="E920" s="24" t="s">
        <v>50</v>
      </c>
      <c r="F920" s="63" t="s">
        <v>0</v>
      </c>
    </row>
    <row r="921" spans="1:6" x14ac:dyDescent="0.25">
      <c r="A921" s="62">
        <v>45208</v>
      </c>
      <c r="B921" s="62" t="s">
        <v>917</v>
      </c>
      <c r="C921" s="23">
        <v>-9781</v>
      </c>
      <c r="D921" s="24" t="s">
        <v>49</v>
      </c>
      <c r="E921" s="24" t="s">
        <v>56</v>
      </c>
      <c r="F921" s="63" t="s">
        <v>0</v>
      </c>
    </row>
    <row r="922" spans="1:6" x14ac:dyDescent="0.25">
      <c r="A922" s="62">
        <v>45208</v>
      </c>
      <c r="B922" s="62" t="s">
        <v>918</v>
      </c>
      <c r="C922" s="23">
        <v>-2190</v>
      </c>
      <c r="D922" s="24" t="s">
        <v>49</v>
      </c>
      <c r="E922" s="24" t="s">
        <v>164</v>
      </c>
      <c r="F922" s="63" t="s">
        <v>0</v>
      </c>
    </row>
    <row r="923" spans="1:6" x14ac:dyDescent="0.25">
      <c r="A923" s="62">
        <v>45208</v>
      </c>
      <c r="B923" s="62" t="s">
        <v>919</v>
      </c>
      <c r="C923" s="23">
        <v>-240</v>
      </c>
      <c r="D923" s="24" t="s">
        <v>52</v>
      </c>
      <c r="E923" s="24" t="s">
        <v>134</v>
      </c>
      <c r="F923" s="63" t="s">
        <v>0</v>
      </c>
    </row>
    <row r="924" spans="1:6" x14ac:dyDescent="0.25">
      <c r="A924" s="62">
        <v>45208</v>
      </c>
      <c r="B924" s="62" t="s">
        <v>920</v>
      </c>
      <c r="C924" s="23">
        <v>-2490</v>
      </c>
      <c r="D924" s="24" t="s">
        <v>52</v>
      </c>
      <c r="E924" s="24" t="s">
        <v>134</v>
      </c>
      <c r="F924" s="63" t="s">
        <v>0</v>
      </c>
    </row>
    <row r="925" spans="1:6" x14ac:dyDescent="0.25">
      <c r="A925" s="62">
        <v>45207</v>
      </c>
      <c r="B925" s="62" t="s">
        <v>921</v>
      </c>
      <c r="C925" s="23">
        <v>-8810</v>
      </c>
      <c r="D925" s="24" t="s">
        <v>52</v>
      </c>
      <c r="E925" s="24" t="s">
        <v>53</v>
      </c>
      <c r="F925" s="63" t="s">
        <v>4</v>
      </c>
    </row>
    <row r="926" spans="1:6" x14ac:dyDescent="0.25">
      <c r="A926" s="62">
        <v>45206</v>
      </c>
      <c r="B926" s="62" t="s">
        <v>765</v>
      </c>
      <c r="C926" s="23">
        <v>-5230</v>
      </c>
      <c r="D926" s="24" t="s">
        <v>52</v>
      </c>
      <c r="E926" s="24" t="s">
        <v>53</v>
      </c>
      <c r="F926" s="63" t="s">
        <v>4</v>
      </c>
    </row>
    <row r="927" spans="1:6" x14ac:dyDescent="0.25">
      <c r="A927" s="62">
        <v>45205</v>
      </c>
      <c r="B927" s="62" t="s">
        <v>171</v>
      </c>
      <c r="C927" s="23">
        <v>1914</v>
      </c>
      <c r="D927" s="24" t="s">
        <v>167</v>
      </c>
      <c r="E927" s="24" t="s">
        <v>168</v>
      </c>
      <c r="F927" s="63" t="s">
        <v>0</v>
      </c>
    </row>
    <row r="928" spans="1:6" x14ac:dyDescent="0.25">
      <c r="A928" s="62">
        <v>45205</v>
      </c>
      <c r="B928" s="62" t="s">
        <v>922</v>
      </c>
      <c r="C928" s="23">
        <v>-1695</v>
      </c>
      <c r="D928" s="24" t="s">
        <v>49</v>
      </c>
      <c r="E928" s="24" t="s">
        <v>56</v>
      </c>
      <c r="F928" s="63" t="s">
        <v>0</v>
      </c>
    </row>
    <row r="929" spans="1:6" x14ac:dyDescent="0.25">
      <c r="A929" s="62">
        <v>45205</v>
      </c>
      <c r="B929" s="62" t="s">
        <v>923</v>
      </c>
      <c r="C929" s="23">
        <v>-2418</v>
      </c>
      <c r="D929" s="24" t="s">
        <v>72</v>
      </c>
      <c r="E929" s="24" t="s">
        <v>728</v>
      </c>
      <c r="F929" s="63" t="s">
        <v>0</v>
      </c>
    </row>
    <row r="930" spans="1:6" x14ac:dyDescent="0.25">
      <c r="A930" s="62">
        <v>45204</v>
      </c>
      <c r="B930" s="62" t="s">
        <v>746</v>
      </c>
      <c r="C930" s="23">
        <v>-5000</v>
      </c>
      <c r="D930" s="24" t="s">
        <v>52</v>
      </c>
      <c r="E930" s="24" t="s">
        <v>53</v>
      </c>
      <c r="F930" s="63" t="s">
        <v>4</v>
      </c>
    </row>
    <row r="931" spans="1:6" x14ac:dyDescent="0.25">
      <c r="A931" s="62">
        <v>45204</v>
      </c>
      <c r="B931" s="62" t="s">
        <v>725</v>
      </c>
      <c r="C931" s="23">
        <v>-1690</v>
      </c>
      <c r="D931" s="24" t="s">
        <v>52</v>
      </c>
      <c r="E931" s="24" t="s">
        <v>53</v>
      </c>
      <c r="F931" s="63" t="s">
        <v>4</v>
      </c>
    </row>
    <row r="932" spans="1:6" x14ac:dyDescent="0.25">
      <c r="A932" s="62">
        <v>45204</v>
      </c>
      <c r="B932" s="62" t="s">
        <v>924</v>
      </c>
      <c r="C932" s="23">
        <v>-2442</v>
      </c>
      <c r="D932" s="24" t="s">
        <v>49</v>
      </c>
      <c r="E932" s="24" t="s">
        <v>56</v>
      </c>
      <c r="F932" s="63" t="s">
        <v>0</v>
      </c>
    </row>
    <row r="933" spans="1:6" x14ac:dyDescent="0.25">
      <c r="A933" s="62">
        <v>45204</v>
      </c>
      <c r="B933" s="62" t="s">
        <v>925</v>
      </c>
      <c r="C933" s="23">
        <v>-11569</v>
      </c>
      <c r="D933" s="24" t="s">
        <v>49</v>
      </c>
      <c r="E933" s="24" t="s">
        <v>50</v>
      </c>
      <c r="F933" s="63" t="s">
        <v>0</v>
      </c>
    </row>
    <row r="934" spans="1:6" x14ac:dyDescent="0.25">
      <c r="A934" s="62">
        <v>45203</v>
      </c>
      <c r="B934" s="62" t="s">
        <v>926</v>
      </c>
      <c r="C934" s="23">
        <v>-6329</v>
      </c>
      <c r="D934" s="24" t="s">
        <v>49</v>
      </c>
      <c r="E934" s="24" t="s">
        <v>50</v>
      </c>
      <c r="F934" s="63" t="s">
        <v>0</v>
      </c>
    </row>
    <row r="935" spans="1:6" x14ac:dyDescent="0.25">
      <c r="A935" s="62">
        <v>45203</v>
      </c>
      <c r="B935" s="62" t="s">
        <v>927</v>
      </c>
      <c r="C935" s="23">
        <v>-8500</v>
      </c>
      <c r="D935" s="24" t="s">
        <v>46</v>
      </c>
      <c r="E935" s="24" t="s">
        <v>145</v>
      </c>
      <c r="F935" s="63" t="s">
        <v>0</v>
      </c>
    </row>
    <row r="936" spans="1:6" x14ac:dyDescent="0.25">
      <c r="A936" s="62">
        <v>45203</v>
      </c>
      <c r="B936" s="62" t="s">
        <v>928</v>
      </c>
      <c r="C936" s="23">
        <v>-43720</v>
      </c>
      <c r="D936" s="24" t="s">
        <v>46</v>
      </c>
      <c r="E936" s="24" t="s">
        <v>150</v>
      </c>
      <c r="F936" s="63" t="s">
        <v>0</v>
      </c>
    </row>
    <row r="937" spans="1:6" x14ac:dyDescent="0.25">
      <c r="A937" s="62">
        <v>45203</v>
      </c>
      <c r="B937" s="62" t="s">
        <v>703</v>
      </c>
      <c r="C937" s="23">
        <v>-7416</v>
      </c>
      <c r="D937" s="24" t="s">
        <v>46</v>
      </c>
      <c r="E937" s="24" t="s">
        <v>63</v>
      </c>
      <c r="F937" s="63" t="s">
        <v>0</v>
      </c>
    </row>
    <row r="938" spans="1:6" x14ac:dyDescent="0.25">
      <c r="A938" s="62">
        <v>45203</v>
      </c>
      <c r="B938" s="62" t="s">
        <v>929</v>
      </c>
      <c r="C938" s="23">
        <v>-900</v>
      </c>
      <c r="D938" s="24" t="s">
        <v>52</v>
      </c>
      <c r="E938" s="24" t="s">
        <v>134</v>
      </c>
      <c r="F938" s="63" t="s">
        <v>0</v>
      </c>
    </row>
    <row r="939" spans="1:6" x14ac:dyDescent="0.25">
      <c r="A939" s="62">
        <v>45203</v>
      </c>
      <c r="B939" s="62" t="s">
        <v>930</v>
      </c>
      <c r="C939" s="23">
        <v>-26213</v>
      </c>
      <c r="D939" s="24" t="s">
        <v>46</v>
      </c>
      <c r="E939" s="24" t="s">
        <v>80</v>
      </c>
      <c r="F939" s="63" t="s">
        <v>0</v>
      </c>
    </row>
    <row r="940" spans="1:6" x14ac:dyDescent="0.25">
      <c r="A940" s="62">
        <v>45202</v>
      </c>
      <c r="B940" s="62" t="s">
        <v>931</v>
      </c>
      <c r="C940" s="23">
        <v>-3940</v>
      </c>
      <c r="D940" s="24" t="s">
        <v>52</v>
      </c>
      <c r="E940" s="24" t="s">
        <v>53</v>
      </c>
      <c r="F940" s="63" t="s">
        <v>4</v>
      </c>
    </row>
    <row r="941" spans="1:6" x14ac:dyDescent="0.25">
      <c r="A941" s="62">
        <v>45202</v>
      </c>
      <c r="B941" s="62" t="s">
        <v>172</v>
      </c>
      <c r="C941" s="23">
        <v>243600</v>
      </c>
      <c r="D941" s="24" t="s">
        <v>58</v>
      </c>
      <c r="E941" s="24" t="s">
        <v>58</v>
      </c>
      <c r="F941" s="63" t="s">
        <v>0</v>
      </c>
    </row>
    <row r="942" spans="1:6" x14ac:dyDescent="0.25">
      <c r="A942" s="62">
        <v>45202</v>
      </c>
      <c r="B942" s="62" t="s">
        <v>932</v>
      </c>
      <c r="C942" s="23">
        <v>-10595</v>
      </c>
      <c r="D942" s="24" t="s">
        <v>49</v>
      </c>
      <c r="E942" s="24" t="s">
        <v>56</v>
      </c>
      <c r="F942" s="63" t="s">
        <v>0</v>
      </c>
    </row>
    <row r="943" spans="1:6" x14ac:dyDescent="0.25">
      <c r="A943" s="62">
        <v>45202</v>
      </c>
      <c r="B943" s="62" t="s">
        <v>933</v>
      </c>
      <c r="C943" s="23">
        <v>-2298</v>
      </c>
      <c r="D943" s="24" t="s">
        <v>52</v>
      </c>
      <c r="E943" s="24" t="s">
        <v>53</v>
      </c>
      <c r="F943" s="63" t="s">
        <v>0</v>
      </c>
    </row>
    <row r="944" spans="1:6" x14ac:dyDescent="0.25">
      <c r="A944" s="62">
        <v>45201</v>
      </c>
      <c r="B944" s="62" t="s">
        <v>934</v>
      </c>
      <c r="C944" s="23">
        <v>-2410</v>
      </c>
      <c r="D944" s="24" t="s">
        <v>49</v>
      </c>
      <c r="E944" s="24" t="s">
        <v>56</v>
      </c>
      <c r="F944" s="63" t="s">
        <v>0</v>
      </c>
    </row>
    <row r="945" spans="1:6" x14ac:dyDescent="0.25">
      <c r="A945" s="62">
        <v>45201</v>
      </c>
      <c r="B945" s="62" t="s">
        <v>935</v>
      </c>
      <c r="C945" s="23">
        <v>-9894</v>
      </c>
      <c r="D945" s="24" t="s">
        <v>49</v>
      </c>
      <c r="E945" s="24" t="s">
        <v>56</v>
      </c>
      <c r="F945" s="63" t="s">
        <v>0</v>
      </c>
    </row>
    <row r="946" spans="1:6" x14ac:dyDescent="0.25">
      <c r="A946" s="62">
        <v>45201</v>
      </c>
      <c r="B946" s="62" t="s">
        <v>936</v>
      </c>
      <c r="C946" s="23">
        <v>-11613</v>
      </c>
      <c r="D946" s="24" t="s">
        <v>49</v>
      </c>
      <c r="E946" s="24" t="s">
        <v>56</v>
      </c>
      <c r="F946" s="63" t="s">
        <v>0</v>
      </c>
    </row>
    <row r="947" spans="1:6" x14ac:dyDescent="0.25">
      <c r="A947" s="62">
        <v>45201</v>
      </c>
      <c r="B947" s="62" t="s">
        <v>937</v>
      </c>
      <c r="C947" s="23">
        <v>-13771</v>
      </c>
      <c r="D947" s="24" t="s">
        <v>49</v>
      </c>
      <c r="E947" s="24" t="s">
        <v>56</v>
      </c>
      <c r="F947" s="63" t="s">
        <v>0</v>
      </c>
    </row>
    <row r="948" spans="1:6" x14ac:dyDescent="0.25">
      <c r="A948" s="62">
        <v>45201</v>
      </c>
      <c r="B948" s="62" t="s">
        <v>938</v>
      </c>
      <c r="C948" s="23">
        <v>-6.04</v>
      </c>
      <c r="D948" s="24" t="s">
        <v>167</v>
      </c>
      <c r="E948" s="24" t="s">
        <v>168</v>
      </c>
      <c r="F948" s="63" t="s">
        <v>0</v>
      </c>
    </row>
    <row r="949" spans="1:6" x14ac:dyDescent="0.25">
      <c r="A949" s="62">
        <v>45201</v>
      </c>
      <c r="B949" s="62" t="s">
        <v>938</v>
      </c>
      <c r="C949" s="23">
        <v>-5.23</v>
      </c>
      <c r="D949" s="24" t="s">
        <v>167</v>
      </c>
      <c r="E949" s="24" t="s">
        <v>168</v>
      </c>
      <c r="F949" s="63" t="s">
        <v>0</v>
      </c>
    </row>
    <row r="950" spans="1:6" x14ac:dyDescent="0.25">
      <c r="A950" s="62">
        <v>45201</v>
      </c>
      <c r="B950" s="62" t="s">
        <v>939</v>
      </c>
      <c r="C950" s="23">
        <v>-11558</v>
      </c>
      <c r="D950" s="24" t="s">
        <v>49</v>
      </c>
      <c r="E950" s="24" t="s">
        <v>56</v>
      </c>
      <c r="F950" s="63" t="s">
        <v>0</v>
      </c>
    </row>
    <row r="951" spans="1:6" x14ac:dyDescent="0.25">
      <c r="A951" s="62">
        <v>45201</v>
      </c>
      <c r="B951" s="62" t="s">
        <v>940</v>
      </c>
      <c r="C951" s="23">
        <v>-2268</v>
      </c>
      <c r="D951" s="24" t="s">
        <v>49</v>
      </c>
      <c r="E951" s="24" t="s">
        <v>56</v>
      </c>
      <c r="F951" s="63" t="s">
        <v>0</v>
      </c>
    </row>
    <row r="952" spans="1:6" x14ac:dyDescent="0.25">
      <c r="A952" s="62">
        <v>45201</v>
      </c>
      <c r="B952" s="62" t="s">
        <v>941</v>
      </c>
      <c r="C952" s="23">
        <v>-10014</v>
      </c>
      <c r="D952" s="24" t="s">
        <v>72</v>
      </c>
      <c r="E952" s="24" t="s">
        <v>109</v>
      </c>
      <c r="F952" s="63" t="s">
        <v>0</v>
      </c>
    </row>
    <row r="953" spans="1:6" x14ac:dyDescent="0.25">
      <c r="A953" s="62">
        <v>45201</v>
      </c>
      <c r="B953" s="62" t="s">
        <v>942</v>
      </c>
      <c r="C953" s="23">
        <v>-1759</v>
      </c>
      <c r="D953" s="24" t="s">
        <v>49</v>
      </c>
      <c r="E953" s="24" t="s">
        <v>56</v>
      </c>
      <c r="F953" s="63" t="s">
        <v>0</v>
      </c>
    </row>
    <row r="954" spans="1:6" x14ac:dyDescent="0.25">
      <c r="A954" s="62">
        <v>45201</v>
      </c>
      <c r="B954" s="62" t="s">
        <v>943</v>
      </c>
      <c r="C954" s="23">
        <v>-184</v>
      </c>
      <c r="D954" s="24" t="s">
        <v>72</v>
      </c>
      <c r="E954" s="24" t="s">
        <v>73</v>
      </c>
      <c r="F954" s="63" t="s">
        <v>0</v>
      </c>
    </row>
    <row r="955" spans="1:6" x14ac:dyDescent="0.25">
      <c r="A955" s="62">
        <v>45201</v>
      </c>
      <c r="B955" s="62" t="s">
        <v>944</v>
      </c>
      <c r="C955" s="23">
        <v>-30035</v>
      </c>
      <c r="D955" s="24" t="s">
        <v>90</v>
      </c>
      <c r="E955" s="24" t="s">
        <v>111</v>
      </c>
      <c r="F955" s="63" t="s">
        <v>0</v>
      </c>
    </row>
    <row r="956" spans="1:6" x14ac:dyDescent="0.25">
      <c r="A956" s="62">
        <v>45201</v>
      </c>
      <c r="B956" s="62" t="s">
        <v>32</v>
      </c>
      <c r="C956" s="23">
        <v>40.24</v>
      </c>
      <c r="D956" s="24" t="s">
        <v>167</v>
      </c>
      <c r="E956" s="24" t="s">
        <v>168</v>
      </c>
      <c r="F956" s="63" t="s">
        <v>0</v>
      </c>
    </row>
    <row r="957" spans="1:6" x14ac:dyDescent="0.25">
      <c r="A957" s="62">
        <v>45200</v>
      </c>
      <c r="B957" s="62" t="s">
        <v>945</v>
      </c>
      <c r="C957" s="23">
        <v>-4335</v>
      </c>
      <c r="D957" s="24" t="s">
        <v>52</v>
      </c>
      <c r="E957" s="24" t="s">
        <v>53</v>
      </c>
      <c r="F957" s="63" t="s">
        <v>4</v>
      </c>
    </row>
    <row r="958" spans="1:6" x14ac:dyDescent="0.25">
      <c r="A958" s="62">
        <v>45199</v>
      </c>
      <c r="B958" s="62" t="s">
        <v>946</v>
      </c>
      <c r="C958" s="23">
        <v>15.2</v>
      </c>
      <c r="D958" s="24" t="s">
        <v>167</v>
      </c>
      <c r="E958" s="24" t="s">
        <v>168</v>
      </c>
      <c r="F958" s="63" t="s">
        <v>0</v>
      </c>
    </row>
    <row r="959" spans="1:6" x14ac:dyDescent="0.25">
      <c r="A959" s="62">
        <v>45199</v>
      </c>
      <c r="B959" s="62" t="s">
        <v>947</v>
      </c>
      <c r="C959" s="23">
        <v>-1.97</v>
      </c>
      <c r="D959" s="24" t="s">
        <v>167</v>
      </c>
      <c r="E959" s="24" t="s">
        <v>168</v>
      </c>
      <c r="F959" s="63" t="s">
        <v>0</v>
      </c>
    </row>
    <row r="960" spans="1:6" x14ac:dyDescent="0.25">
      <c r="A960" s="62">
        <v>45199</v>
      </c>
      <c r="B960" s="62" t="s">
        <v>948</v>
      </c>
      <c r="C960" s="23">
        <v>-2.2799999999999998</v>
      </c>
      <c r="D960" s="24" t="s">
        <v>167</v>
      </c>
      <c r="E960" s="24" t="s">
        <v>168</v>
      </c>
      <c r="F960" s="63" t="s">
        <v>0</v>
      </c>
    </row>
    <row r="961" spans="1:6" x14ac:dyDescent="0.25">
      <c r="A961" s="62">
        <v>45199</v>
      </c>
      <c r="B961" s="62" t="s">
        <v>43</v>
      </c>
      <c r="C961" s="23">
        <v>-2222</v>
      </c>
      <c r="D961" s="24" t="s">
        <v>167</v>
      </c>
      <c r="E961" s="24" t="s">
        <v>168</v>
      </c>
      <c r="F961" s="63" t="s">
        <v>0</v>
      </c>
    </row>
    <row r="962" spans="1:6" x14ac:dyDescent="0.25">
      <c r="A962" s="62">
        <v>45198</v>
      </c>
      <c r="B962" s="62" t="s">
        <v>949</v>
      </c>
      <c r="C962" s="23">
        <v>-1200</v>
      </c>
      <c r="D962" s="24" t="s">
        <v>72</v>
      </c>
      <c r="E962" s="24" t="s">
        <v>126</v>
      </c>
      <c r="F962" s="63" t="s">
        <v>0</v>
      </c>
    </row>
    <row r="963" spans="1:6" x14ac:dyDescent="0.25">
      <c r="A963" s="62">
        <v>45197</v>
      </c>
      <c r="B963" s="62" t="s">
        <v>851</v>
      </c>
      <c r="C963" s="23">
        <v>-2490</v>
      </c>
      <c r="D963" s="24" t="s">
        <v>52</v>
      </c>
      <c r="E963" s="24" t="s">
        <v>53</v>
      </c>
      <c r="F963" s="63" t="s">
        <v>4</v>
      </c>
    </row>
    <row r="964" spans="1:6" x14ac:dyDescent="0.25">
      <c r="A964" s="62">
        <v>45197</v>
      </c>
      <c r="B964" s="62" t="s">
        <v>950</v>
      </c>
      <c r="C964" s="23">
        <v>-3180</v>
      </c>
      <c r="D964" s="24" t="s">
        <v>52</v>
      </c>
      <c r="E964" s="24" t="s">
        <v>53</v>
      </c>
      <c r="F964" s="63" t="s">
        <v>4</v>
      </c>
    </row>
    <row r="965" spans="1:6" x14ac:dyDescent="0.25">
      <c r="A965" s="62">
        <v>45197</v>
      </c>
      <c r="B965" s="62" t="s">
        <v>725</v>
      </c>
      <c r="C965" s="23">
        <v>-1690</v>
      </c>
      <c r="D965" s="24" t="s">
        <v>52</v>
      </c>
      <c r="E965" s="24" t="s">
        <v>53</v>
      </c>
      <c r="F965" s="63" t="s">
        <v>4</v>
      </c>
    </row>
    <row r="966" spans="1:6" x14ac:dyDescent="0.25">
      <c r="A966" s="62">
        <v>45197</v>
      </c>
      <c r="B966" s="62" t="s">
        <v>951</v>
      </c>
      <c r="C966" s="23">
        <v>-899</v>
      </c>
      <c r="D966" s="24" t="s">
        <v>49</v>
      </c>
      <c r="E966" s="24" t="s">
        <v>56</v>
      </c>
      <c r="F966" s="63" t="s">
        <v>0</v>
      </c>
    </row>
    <row r="967" spans="1:6" x14ac:dyDescent="0.25">
      <c r="A967" s="62">
        <v>45197</v>
      </c>
      <c r="B967" s="62" t="s">
        <v>952</v>
      </c>
      <c r="C967" s="23">
        <v>-7630</v>
      </c>
      <c r="D967" s="24" t="s">
        <v>49</v>
      </c>
      <c r="E967" s="24" t="s">
        <v>50</v>
      </c>
      <c r="F967" s="63" t="s">
        <v>0</v>
      </c>
    </row>
    <row r="968" spans="1:6" x14ac:dyDescent="0.25">
      <c r="A968" s="62">
        <v>45197</v>
      </c>
      <c r="B968" s="62" t="s">
        <v>953</v>
      </c>
      <c r="C968" s="23">
        <v>-20000</v>
      </c>
      <c r="D968" s="24" t="s">
        <v>90</v>
      </c>
      <c r="E968" s="24" t="s">
        <v>111</v>
      </c>
      <c r="F968" s="63" t="s">
        <v>0</v>
      </c>
    </row>
    <row r="969" spans="1:6" x14ac:dyDescent="0.25">
      <c r="A969" s="62">
        <v>45197</v>
      </c>
      <c r="B969" s="62" t="s">
        <v>954</v>
      </c>
      <c r="C969" s="23">
        <v>-3490</v>
      </c>
      <c r="D969" s="24" t="s">
        <v>46</v>
      </c>
      <c r="E969" s="24" t="s">
        <v>63</v>
      </c>
      <c r="F969" s="63" t="s">
        <v>0</v>
      </c>
    </row>
    <row r="970" spans="1:6" x14ac:dyDescent="0.25">
      <c r="A970" s="62">
        <v>45196</v>
      </c>
      <c r="B970" s="62" t="s">
        <v>809</v>
      </c>
      <c r="C970" s="23">
        <v>-6940</v>
      </c>
      <c r="D970" s="24" t="s">
        <v>52</v>
      </c>
      <c r="E970" s="24" t="s">
        <v>53</v>
      </c>
      <c r="F970" s="63" t="s">
        <v>4</v>
      </c>
    </row>
    <row r="971" spans="1:6" x14ac:dyDescent="0.25">
      <c r="A971" s="62">
        <v>45196</v>
      </c>
      <c r="B971" s="62" t="s">
        <v>955</v>
      </c>
      <c r="C971" s="23">
        <v>-6270</v>
      </c>
      <c r="D971" s="24" t="s">
        <v>52</v>
      </c>
      <c r="E971" s="24" t="s">
        <v>53</v>
      </c>
      <c r="F971" s="63" t="s">
        <v>4</v>
      </c>
    </row>
    <row r="972" spans="1:6" x14ac:dyDescent="0.25">
      <c r="A972" s="62">
        <v>45195</v>
      </c>
      <c r="B972" s="62" t="s">
        <v>766</v>
      </c>
      <c r="C972" s="23">
        <v>-4680</v>
      </c>
      <c r="D972" s="24" t="s">
        <v>52</v>
      </c>
      <c r="E972" s="24" t="s">
        <v>53</v>
      </c>
      <c r="F972" s="63" t="s">
        <v>4</v>
      </c>
    </row>
    <row r="973" spans="1:6" x14ac:dyDescent="0.25">
      <c r="A973" s="62">
        <v>45195</v>
      </c>
      <c r="B973" s="62" t="s">
        <v>956</v>
      </c>
      <c r="C973" s="23">
        <v>11000</v>
      </c>
      <c r="D973" s="24" t="s">
        <v>49</v>
      </c>
      <c r="E973" s="24" t="s">
        <v>232</v>
      </c>
      <c r="F973" s="63" t="s">
        <v>0</v>
      </c>
    </row>
    <row r="974" spans="1:6" x14ac:dyDescent="0.25">
      <c r="A974" s="62">
        <v>45194</v>
      </c>
      <c r="B974" s="62" t="s">
        <v>957</v>
      </c>
      <c r="C974" s="23">
        <v>-1699</v>
      </c>
      <c r="D974" s="24" t="s">
        <v>49</v>
      </c>
      <c r="E974" s="24" t="s">
        <v>56</v>
      </c>
      <c r="F974" s="63" t="s">
        <v>0</v>
      </c>
    </row>
    <row r="975" spans="1:6" x14ac:dyDescent="0.25">
      <c r="A975" s="62">
        <v>45194</v>
      </c>
      <c r="B975" s="62" t="s">
        <v>958</v>
      </c>
      <c r="C975" s="23">
        <v>-25460</v>
      </c>
      <c r="D975" s="24" t="s">
        <v>49</v>
      </c>
      <c r="E975" s="24" t="s">
        <v>56</v>
      </c>
      <c r="F975" s="63" t="s">
        <v>0</v>
      </c>
    </row>
    <row r="976" spans="1:6" x14ac:dyDescent="0.25">
      <c r="A976" s="62">
        <v>45194</v>
      </c>
      <c r="B976" s="62" t="s">
        <v>959</v>
      </c>
      <c r="C976" s="23">
        <v>-17391</v>
      </c>
      <c r="D976" s="24" t="s">
        <v>49</v>
      </c>
      <c r="E976" s="24" t="s">
        <v>56</v>
      </c>
      <c r="F976" s="63" t="s">
        <v>0</v>
      </c>
    </row>
    <row r="977" spans="1:6" x14ac:dyDescent="0.25">
      <c r="A977" s="62">
        <v>45194</v>
      </c>
      <c r="B977" s="62" t="s">
        <v>960</v>
      </c>
      <c r="C977" s="23">
        <v>-1668</v>
      </c>
      <c r="D977" s="24" t="s">
        <v>49</v>
      </c>
      <c r="E977" s="24" t="s">
        <v>56</v>
      </c>
      <c r="F977" s="63" t="s">
        <v>0</v>
      </c>
    </row>
    <row r="978" spans="1:6" x14ac:dyDescent="0.25">
      <c r="A978" s="62">
        <v>45194</v>
      </c>
      <c r="B978" s="62" t="s">
        <v>961</v>
      </c>
      <c r="C978" s="23">
        <v>-6720</v>
      </c>
      <c r="D978" s="24" t="s">
        <v>46</v>
      </c>
      <c r="E978" s="24" t="s">
        <v>428</v>
      </c>
      <c r="F978" s="63" t="s">
        <v>0</v>
      </c>
    </row>
    <row r="979" spans="1:6" x14ac:dyDescent="0.25">
      <c r="A979" s="62">
        <v>45194</v>
      </c>
      <c r="B979" s="62" t="s">
        <v>962</v>
      </c>
      <c r="C979" s="23">
        <v>-999</v>
      </c>
      <c r="D979" s="24" t="s">
        <v>46</v>
      </c>
      <c r="E979" s="24" t="s">
        <v>63</v>
      </c>
      <c r="F979" s="63" t="s">
        <v>0</v>
      </c>
    </row>
    <row r="980" spans="1:6" x14ac:dyDescent="0.25">
      <c r="A980" s="62">
        <v>45191</v>
      </c>
      <c r="B980" s="62" t="s">
        <v>809</v>
      </c>
      <c r="C980" s="23">
        <v>-6580</v>
      </c>
      <c r="D980" s="24" t="s">
        <v>52</v>
      </c>
      <c r="E980" s="24" t="s">
        <v>53</v>
      </c>
      <c r="F980" s="63" t="s">
        <v>4</v>
      </c>
    </row>
    <row r="981" spans="1:6" x14ac:dyDescent="0.25">
      <c r="A981" s="62">
        <v>45191</v>
      </c>
      <c r="B981" s="62" t="s">
        <v>963</v>
      </c>
      <c r="C981" s="23">
        <v>-6200</v>
      </c>
      <c r="D981" s="24" t="s">
        <v>52</v>
      </c>
      <c r="E981" s="24" t="s">
        <v>53</v>
      </c>
      <c r="F981" s="63" t="s">
        <v>4</v>
      </c>
    </row>
    <row r="982" spans="1:6" x14ac:dyDescent="0.25">
      <c r="A982" s="62">
        <v>45191</v>
      </c>
      <c r="B982" s="62" t="s">
        <v>964</v>
      </c>
      <c r="C982" s="23">
        <v>-17698</v>
      </c>
      <c r="D982" s="24" t="s">
        <v>49</v>
      </c>
      <c r="E982" s="24" t="s">
        <v>56</v>
      </c>
      <c r="F982" s="63" t="s">
        <v>0</v>
      </c>
    </row>
    <row r="983" spans="1:6" x14ac:dyDescent="0.25">
      <c r="A983" s="62">
        <v>45191</v>
      </c>
      <c r="B983" s="62" t="s">
        <v>965</v>
      </c>
      <c r="C983" s="23">
        <v>-1300</v>
      </c>
      <c r="D983" s="24" t="s">
        <v>49</v>
      </c>
      <c r="E983" s="24" t="s">
        <v>56</v>
      </c>
      <c r="F983" s="63" t="s">
        <v>0</v>
      </c>
    </row>
    <row r="984" spans="1:6" x14ac:dyDescent="0.25">
      <c r="A984" s="62">
        <v>45190</v>
      </c>
      <c r="B984" s="62" t="s">
        <v>966</v>
      </c>
      <c r="C984" s="23">
        <v>-8279</v>
      </c>
      <c r="D984" s="24" t="s">
        <v>52</v>
      </c>
      <c r="E984" s="24" t="s">
        <v>53</v>
      </c>
      <c r="F984" s="63" t="s">
        <v>4</v>
      </c>
    </row>
    <row r="985" spans="1:6" x14ac:dyDescent="0.25">
      <c r="A985" s="62">
        <v>45189</v>
      </c>
      <c r="B985" s="62" t="s">
        <v>139</v>
      </c>
      <c r="C985" s="23">
        <v>31960</v>
      </c>
      <c r="D985" s="24" t="s">
        <v>58</v>
      </c>
      <c r="E985" s="24" t="s">
        <v>58</v>
      </c>
      <c r="F985" s="63" t="s">
        <v>4</v>
      </c>
    </row>
    <row r="986" spans="1:6" x14ac:dyDescent="0.25">
      <c r="A986" s="62">
        <v>45189</v>
      </c>
      <c r="B986" s="62" t="s">
        <v>967</v>
      </c>
      <c r="C986" s="23">
        <v>-388</v>
      </c>
      <c r="D986" s="24" t="s">
        <v>49</v>
      </c>
      <c r="E986" s="24" t="s">
        <v>56</v>
      </c>
      <c r="F986" s="63" t="s">
        <v>0</v>
      </c>
    </row>
    <row r="987" spans="1:6" x14ac:dyDescent="0.25">
      <c r="A987" s="62">
        <v>45189</v>
      </c>
      <c r="B987" s="62" t="s">
        <v>968</v>
      </c>
      <c r="C987" s="23">
        <v>-1179</v>
      </c>
      <c r="D987" s="24" t="s">
        <v>90</v>
      </c>
      <c r="E987" s="24" t="s">
        <v>59</v>
      </c>
      <c r="F987" s="63" t="s">
        <v>0</v>
      </c>
    </row>
    <row r="988" spans="1:6" x14ac:dyDescent="0.25">
      <c r="A988" s="62">
        <v>45189</v>
      </c>
      <c r="B988" s="62" t="s">
        <v>969</v>
      </c>
      <c r="C988" s="23">
        <v>-1700</v>
      </c>
      <c r="D988" s="24" t="s">
        <v>90</v>
      </c>
      <c r="E988" s="24" t="s">
        <v>93</v>
      </c>
      <c r="F988" s="63" t="s">
        <v>0</v>
      </c>
    </row>
    <row r="989" spans="1:6" x14ac:dyDescent="0.25">
      <c r="A989" s="62">
        <v>45189</v>
      </c>
      <c r="B989" s="62" t="s">
        <v>970</v>
      </c>
      <c r="C989" s="23">
        <v>-8711</v>
      </c>
      <c r="D989" s="24" t="s">
        <v>90</v>
      </c>
      <c r="E989" s="24" t="s">
        <v>59</v>
      </c>
      <c r="F989" s="63" t="s">
        <v>0</v>
      </c>
    </row>
    <row r="990" spans="1:6" x14ac:dyDescent="0.25">
      <c r="A990" s="62">
        <v>45189</v>
      </c>
      <c r="B990" s="62" t="s">
        <v>971</v>
      </c>
      <c r="C990" s="23">
        <v>-19567</v>
      </c>
      <c r="D990" s="24" t="s">
        <v>49</v>
      </c>
      <c r="E990" s="24" t="s">
        <v>56</v>
      </c>
      <c r="F990" s="63" t="s">
        <v>0</v>
      </c>
    </row>
    <row r="991" spans="1:6" x14ac:dyDescent="0.25">
      <c r="A991" s="62">
        <v>45189</v>
      </c>
      <c r="B991" s="62" t="s">
        <v>972</v>
      </c>
      <c r="C991" s="23">
        <v>-5767</v>
      </c>
      <c r="D991" s="24" t="s">
        <v>49</v>
      </c>
      <c r="E991" s="24" t="s">
        <v>56</v>
      </c>
      <c r="F991" s="63" t="s">
        <v>0</v>
      </c>
    </row>
    <row r="992" spans="1:6" x14ac:dyDescent="0.25">
      <c r="A992" s="62">
        <v>45189</v>
      </c>
      <c r="B992" s="62" t="s">
        <v>973</v>
      </c>
      <c r="C992" s="23">
        <v>-10502</v>
      </c>
      <c r="D992" s="24" t="s">
        <v>49</v>
      </c>
      <c r="E992" s="24" t="s">
        <v>56</v>
      </c>
      <c r="F992" s="63" t="s">
        <v>0</v>
      </c>
    </row>
    <row r="993" spans="1:6" x14ac:dyDescent="0.25">
      <c r="A993" s="62">
        <v>45189</v>
      </c>
      <c r="B993" s="62" t="s">
        <v>974</v>
      </c>
      <c r="C993" s="23">
        <v>-1530</v>
      </c>
      <c r="D993" s="24" t="s">
        <v>49</v>
      </c>
      <c r="E993" s="24" t="s">
        <v>56</v>
      </c>
      <c r="F993" s="63" t="s">
        <v>0</v>
      </c>
    </row>
    <row r="994" spans="1:6" x14ac:dyDescent="0.25">
      <c r="A994" s="62">
        <v>45187</v>
      </c>
      <c r="B994" s="62" t="s">
        <v>975</v>
      </c>
      <c r="C994" s="23">
        <v>-1446</v>
      </c>
      <c r="D994" s="24" t="s">
        <v>49</v>
      </c>
      <c r="E994" s="24" t="s">
        <v>56</v>
      </c>
      <c r="F994" s="63" t="s">
        <v>0</v>
      </c>
    </row>
    <row r="995" spans="1:6" x14ac:dyDescent="0.25">
      <c r="A995" s="62">
        <v>45187</v>
      </c>
      <c r="B995" s="62" t="s">
        <v>976</v>
      </c>
      <c r="C995" s="23">
        <v>-1930</v>
      </c>
      <c r="D995" s="24" t="s">
        <v>49</v>
      </c>
      <c r="E995" s="24" t="s">
        <v>56</v>
      </c>
      <c r="F995" s="63" t="s">
        <v>0</v>
      </c>
    </row>
    <row r="996" spans="1:6" x14ac:dyDescent="0.25">
      <c r="A996" s="62">
        <v>45187</v>
      </c>
      <c r="B996" s="62" t="s">
        <v>977</v>
      </c>
      <c r="C996" s="23">
        <v>-3032</v>
      </c>
      <c r="D996" s="24" t="s">
        <v>90</v>
      </c>
      <c r="E996" s="24" t="s">
        <v>59</v>
      </c>
      <c r="F996" s="63" t="s">
        <v>0</v>
      </c>
    </row>
    <row r="997" spans="1:6" x14ac:dyDescent="0.25">
      <c r="A997" s="62">
        <v>45187</v>
      </c>
      <c r="B997" s="62" t="s">
        <v>978</v>
      </c>
      <c r="C997" s="23">
        <v>-968</v>
      </c>
      <c r="D997" s="24" t="s">
        <v>49</v>
      </c>
      <c r="E997" s="24" t="s">
        <v>56</v>
      </c>
      <c r="F997" s="63" t="s">
        <v>0</v>
      </c>
    </row>
    <row r="998" spans="1:6" x14ac:dyDescent="0.25">
      <c r="A998" s="62">
        <v>45187</v>
      </c>
      <c r="B998" s="62" t="s">
        <v>979</v>
      </c>
      <c r="C998" s="23">
        <v>-12459</v>
      </c>
      <c r="D998" s="24" t="s">
        <v>49</v>
      </c>
      <c r="E998" s="24" t="s">
        <v>56</v>
      </c>
      <c r="F998" s="63" t="s">
        <v>0</v>
      </c>
    </row>
    <row r="999" spans="1:6" x14ac:dyDescent="0.25">
      <c r="A999" s="62">
        <v>45187</v>
      </c>
      <c r="B999" s="62" t="s">
        <v>980</v>
      </c>
      <c r="C999" s="23">
        <v>-1115</v>
      </c>
      <c r="D999" s="24" t="s">
        <v>49</v>
      </c>
      <c r="E999" s="24" t="s">
        <v>56</v>
      </c>
      <c r="F999" s="63" t="s">
        <v>0</v>
      </c>
    </row>
    <row r="1000" spans="1:6" x14ac:dyDescent="0.25">
      <c r="A1000" s="62">
        <v>45187</v>
      </c>
      <c r="B1000" s="62" t="s">
        <v>981</v>
      </c>
      <c r="C1000" s="23">
        <v>-581</v>
      </c>
      <c r="D1000" s="24" t="s">
        <v>49</v>
      </c>
      <c r="E1000" s="24" t="s">
        <v>56</v>
      </c>
      <c r="F1000" s="63" t="s">
        <v>0</v>
      </c>
    </row>
    <row r="1001" spans="1:6" x14ac:dyDescent="0.25">
      <c r="A1001" s="62">
        <v>45187</v>
      </c>
      <c r="B1001" s="62" t="s">
        <v>982</v>
      </c>
      <c r="C1001" s="23">
        <v>-600</v>
      </c>
      <c r="D1001" s="24" t="s">
        <v>90</v>
      </c>
      <c r="E1001" s="24" t="s">
        <v>185</v>
      </c>
      <c r="F1001" s="63" t="s">
        <v>0</v>
      </c>
    </row>
    <row r="1002" spans="1:6" x14ac:dyDescent="0.25">
      <c r="A1002" s="62">
        <v>45187</v>
      </c>
      <c r="B1002" s="62" t="s">
        <v>983</v>
      </c>
      <c r="C1002" s="23">
        <v>-599</v>
      </c>
      <c r="D1002" s="24" t="s">
        <v>46</v>
      </c>
      <c r="E1002" s="24" t="s">
        <v>63</v>
      </c>
      <c r="F1002" s="63" t="s">
        <v>0</v>
      </c>
    </row>
    <row r="1003" spans="1:6" x14ac:dyDescent="0.25">
      <c r="A1003" s="62">
        <v>45187</v>
      </c>
      <c r="B1003" s="62" t="s">
        <v>984</v>
      </c>
      <c r="C1003" s="23">
        <v>-3908</v>
      </c>
      <c r="D1003" s="24" t="s">
        <v>90</v>
      </c>
      <c r="E1003" s="24" t="s">
        <v>59</v>
      </c>
      <c r="F1003" s="63" t="s">
        <v>0</v>
      </c>
    </row>
    <row r="1004" spans="1:6" x14ac:dyDescent="0.25">
      <c r="A1004" s="62">
        <v>45185</v>
      </c>
      <c r="B1004" s="62" t="s">
        <v>985</v>
      </c>
      <c r="C1004" s="23">
        <v>-22500</v>
      </c>
      <c r="D1004" s="24" t="s">
        <v>46</v>
      </c>
      <c r="E1004" s="24" t="s">
        <v>47</v>
      </c>
      <c r="F1004" s="63" t="s">
        <v>0</v>
      </c>
    </row>
    <row r="1005" spans="1:6" x14ac:dyDescent="0.25">
      <c r="A1005" s="62">
        <v>45184</v>
      </c>
      <c r="B1005" s="62" t="s">
        <v>714</v>
      </c>
      <c r="C1005" s="23">
        <v>-3590</v>
      </c>
      <c r="D1005" s="24" t="s">
        <v>52</v>
      </c>
      <c r="E1005" s="24" t="s">
        <v>53</v>
      </c>
      <c r="F1005" s="63" t="s">
        <v>4</v>
      </c>
    </row>
    <row r="1006" spans="1:6" x14ac:dyDescent="0.25">
      <c r="A1006" s="62">
        <v>45184</v>
      </c>
      <c r="B1006" s="62" t="s">
        <v>986</v>
      </c>
      <c r="C1006" s="23">
        <v>-3700</v>
      </c>
      <c r="D1006" s="24" t="s">
        <v>90</v>
      </c>
      <c r="E1006" s="24" t="s">
        <v>93</v>
      </c>
      <c r="F1006" s="63" t="s">
        <v>0</v>
      </c>
    </row>
    <row r="1007" spans="1:6" x14ac:dyDescent="0.25">
      <c r="A1007" s="62">
        <v>45183</v>
      </c>
      <c r="B1007" s="62" t="s">
        <v>714</v>
      </c>
      <c r="C1007" s="23">
        <v>-3990</v>
      </c>
      <c r="D1007" s="24" t="s">
        <v>52</v>
      </c>
      <c r="E1007" s="24" t="s">
        <v>53</v>
      </c>
      <c r="F1007" s="63" t="s">
        <v>4</v>
      </c>
    </row>
    <row r="1008" spans="1:6" x14ac:dyDescent="0.25">
      <c r="A1008" s="62">
        <v>45183</v>
      </c>
      <c r="B1008" s="62" t="s">
        <v>987</v>
      </c>
      <c r="C1008" s="23">
        <v>-18597</v>
      </c>
      <c r="D1008" s="24" t="s">
        <v>49</v>
      </c>
      <c r="E1008" s="24" t="s">
        <v>56</v>
      </c>
      <c r="F1008" s="63" t="s">
        <v>0</v>
      </c>
    </row>
    <row r="1009" spans="1:6" x14ac:dyDescent="0.25">
      <c r="A1009" s="62">
        <v>45183</v>
      </c>
      <c r="B1009" s="62" t="s">
        <v>988</v>
      </c>
      <c r="C1009" s="23">
        <v>-47828</v>
      </c>
      <c r="D1009" s="24" t="s">
        <v>49</v>
      </c>
      <c r="E1009" s="24" t="s">
        <v>50</v>
      </c>
      <c r="F1009" s="63" t="s">
        <v>0</v>
      </c>
    </row>
    <row r="1010" spans="1:6" x14ac:dyDescent="0.25">
      <c r="A1010" s="62">
        <v>45183</v>
      </c>
      <c r="B1010" s="62" t="s">
        <v>989</v>
      </c>
      <c r="C1010" s="23">
        <v>-2920</v>
      </c>
      <c r="D1010" s="24" t="s">
        <v>49</v>
      </c>
      <c r="E1010" s="24" t="s">
        <v>56</v>
      </c>
      <c r="F1010" s="63" t="s">
        <v>0</v>
      </c>
    </row>
    <row r="1011" spans="1:6" x14ac:dyDescent="0.25">
      <c r="A1011" s="62">
        <v>45183</v>
      </c>
      <c r="B1011" s="62" t="s">
        <v>990</v>
      </c>
      <c r="C1011" s="23">
        <v>-24630</v>
      </c>
      <c r="D1011" s="24" t="s">
        <v>72</v>
      </c>
      <c r="E1011" s="24" t="s">
        <v>266</v>
      </c>
      <c r="F1011" s="63" t="s">
        <v>0</v>
      </c>
    </row>
    <row r="1012" spans="1:6" x14ac:dyDescent="0.25">
      <c r="A1012" s="62">
        <v>45183</v>
      </c>
      <c r="B1012" s="62" t="s">
        <v>991</v>
      </c>
      <c r="C1012" s="23">
        <v>-15635</v>
      </c>
      <c r="D1012" s="24" t="s">
        <v>90</v>
      </c>
      <c r="E1012" s="24" t="s">
        <v>59</v>
      </c>
      <c r="F1012" s="63" t="s">
        <v>0</v>
      </c>
    </row>
    <row r="1013" spans="1:6" x14ac:dyDescent="0.25">
      <c r="A1013" s="62">
        <v>45183</v>
      </c>
      <c r="B1013" s="62" t="s">
        <v>992</v>
      </c>
      <c r="C1013" s="23">
        <v>-7759</v>
      </c>
      <c r="D1013" s="24" t="s">
        <v>90</v>
      </c>
      <c r="E1013" s="24" t="s">
        <v>59</v>
      </c>
      <c r="F1013" s="63" t="s">
        <v>0</v>
      </c>
    </row>
    <row r="1014" spans="1:6" x14ac:dyDescent="0.25">
      <c r="A1014" s="62">
        <v>45182</v>
      </c>
      <c r="B1014" s="62" t="s">
        <v>993</v>
      </c>
      <c r="C1014" s="23">
        <v>-1000</v>
      </c>
      <c r="D1014" s="24" t="s">
        <v>49</v>
      </c>
      <c r="E1014" s="24" t="s">
        <v>56</v>
      </c>
      <c r="F1014" s="63" t="s">
        <v>0</v>
      </c>
    </row>
    <row r="1015" spans="1:6" x14ac:dyDescent="0.25">
      <c r="A1015" s="62">
        <v>45182</v>
      </c>
      <c r="B1015" s="62" t="s">
        <v>704</v>
      </c>
      <c r="C1015" s="23">
        <v>-6944</v>
      </c>
      <c r="D1015" s="24" t="s">
        <v>46</v>
      </c>
      <c r="E1015" s="24" t="s">
        <v>150</v>
      </c>
      <c r="F1015" s="63" t="s">
        <v>0</v>
      </c>
    </row>
    <row r="1016" spans="1:6" x14ac:dyDescent="0.25">
      <c r="A1016" s="62">
        <v>45182</v>
      </c>
      <c r="B1016" s="62" t="s">
        <v>994</v>
      </c>
      <c r="C1016" s="23">
        <v>-1495</v>
      </c>
      <c r="D1016" s="24" t="s">
        <v>46</v>
      </c>
      <c r="E1016" s="24" t="s">
        <v>145</v>
      </c>
      <c r="F1016" s="63" t="s">
        <v>0</v>
      </c>
    </row>
    <row r="1017" spans="1:6" x14ac:dyDescent="0.25">
      <c r="A1017" s="62">
        <v>45182</v>
      </c>
      <c r="B1017" s="62" t="s">
        <v>995</v>
      </c>
      <c r="C1017" s="23">
        <v>-3938</v>
      </c>
      <c r="D1017" s="24" t="s">
        <v>49</v>
      </c>
      <c r="E1017" s="24" t="s">
        <v>56</v>
      </c>
      <c r="F1017" s="63" t="s">
        <v>0</v>
      </c>
    </row>
    <row r="1018" spans="1:6" x14ac:dyDescent="0.25">
      <c r="A1018" s="62">
        <v>45181</v>
      </c>
      <c r="B1018" s="62" t="s">
        <v>963</v>
      </c>
      <c r="C1018" s="23">
        <v>-7920</v>
      </c>
      <c r="D1018" s="24" t="s">
        <v>52</v>
      </c>
      <c r="E1018" s="24" t="s">
        <v>53</v>
      </c>
      <c r="F1018" s="63" t="s">
        <v>4</v>
      </c>
    </row>
    <row r="1019" spans="1:6" x14ac:dyDescent="0.25">
      <c r="A1019" s="62">
        <v>45181</v>
      </c>
      <c r="B1019" s="62" t="s">
        <v>996</v>
      </c>
      <c r="C1019" s="23">
        <v>-5103</v>
      </c>
      <c r="D1019" s="24" t="s">
        <v>49</v>
      </c>
      <c r="E1019" s="24" t="s">
        <v>56</v>
      </c>
      <c r="F1019" s="63" t="s">
        <v>0</v>
      </c>
    </row>
    <row r="1020" spans="1:6" x14ac:dyDescent="0.25">
      <c r="A1020" s="62">
        <v>45181</v>
      </c>
      <c r="B1020" s="62" t="s">
        <v>997</v>
      </c>
      <c r="C1020" s="23">
        <v>-40000</v>
      </c>
      <c r="D1020" s="24" t="s">
        <v>72</v>
      </c>
      <c r="E1020" s="24" t="s">
        <v>109</v>
      </c>
      <c r="F1020" s="63" t="s">
        <v>0</v>
      </c>
    </row>
    <row r="1021" spans="1:6" x14ac:dyDescent="0.25">
      <c r="A1021" s="62">
        <v>45181</v>
      </c>
      <c r="B1021" s="62" t="s">
        <v>998</v>
      </c>
      <c r="C1021" s="23">
        <v>-12553</v>
      </c>
      <c r="D1021" s="24" t="s">
        <v>49</v>
      </c>
      <c r="E1021" s="24" t="s">
        <v>56</v>
      </c>
      <c r="F1021" s="63" t="s">
        <v>0</v>
      </c>
    </row>
    <row r="1022" spans="1:6" x14ac:dyDescent="0.25">
      <c r="A1022" s="62">
        <v>45181</v>
      </c>
      <c r="B1022" s="62" t="s">
        <v>999</v>
      </c>
      <c r="C1022" s="23">
        <v>-3897</v>
      </c>
      <c r="D1022" s="24" t="s">
        <v>49</v>
      </c>
      <c r="E1022" s="24" t="s">
        <v>56</v>
      </c>
      <c r="F1022" s="63" t="s">
        <v>0</v>
      </c>
    </row>
    <row r="1023" spans="1:6" x14ac:dyDescent="0.25">
      <c r="A1023" s="62">
        <v>45181</v>
      </c>
      <c r="B1023" s="62" t="s">
        <v>1000</v>
      </c>
      <c r="C1023" s="23">
        <v>-6196</v>
      </c>
      <c r="D1023" s="24" t="s">
        <v>49</v>
      </c>
      <c r="E1023" s="24" t="s">
        <v>56</v>
      </c>
      <c r="F1023" s="63" t="s">
        <v>0</v>
      </c>
    </row>
    <row r="1024" spans="1:6" x14ac:dyDescent="0.25">
      <c r="A1024" s="62">
        <v>45181</v>
      </c>
      <c r="B1024" s="62" t="s">
        <v>1001</v>
      </c>
      <c r="C1024" s="23">
        <v>-2249</v>
      </c>
      <c r="D1024" s="24" t="s">
        <v>49</v>
      </c>
      <c r="E1024" s="24" t="s">
        <v>56</v>
      </c>
      <c r="F1024" s="63" t="s">
        <v>0</v>
      </c>
    </row>
    <row r="1025" spans="1:6" x14ac:dyDescent="0.25">
      <c r="A1025" s="62">
        <v>45181</v>
      </c>
      <c r="B1025" s="62" t="s">
        <v>1002</v>
      </c>
      <c r="C1025" s="23">
        <v>-458</v>
      </c>
      <c r="D1025" s="24" t="s">
        <v>49</v>
      </c>
      <c r="E1025" s="24" t="s">
        <v>56</v>
      </c>
      <c r="F1025" s="63" t="s">
        <v>0</v>
      </c>
    </row>
    <row r="1026" spans="1:6" x14ac:dyDescent="0.25">
      <c r="A1026" s="62">
        <v>45180</v>
      </c>
      <c r="B1026" s="62" t="s">
        <v>1003</v>
      </c>
      <c r="C1026" s="23">
        <v>-948</v>
      </c>
      <c r="D1026" s="24" t="s">
        <v>49</v>
      </c>
      <c r="E1026" s="24" t="s">
        <v>56</v>
      </c>
      <c r="F1026" s="63" t="s">
        <v>0</v>
      </c>
    </row>
    <row r="1027" spans="1:6" x14ac:dyDescent="0.25">
      <c r="A1027" s="62">
        <v>45180</v>
      </c>
      <c r="B1027" s="62" t="s">
        <v>1004</v>
      </c>
      <c r="C1027" s="23">
        <v>-4485</v>
      </c>
      <c r="D1027" s="24" t="s">
        <v>49</v>
      </c>
      <c r="E1027" s="24" t="s">
        <v>56</v>
      </c>
      <c r="F1027" s="63" t="s">
        <v>0</v>
      </c>
    </row>
    <row r="1028" spans="1:6" x14ac:dyDescent="0.25">
      <c r="A1028" s="62">
        <v>45180</v>
      </c>
      <c r="B1028" s="62" t="s">
        <v>1005</v>
      </c>
      <c r="C1028" s="23">
        <v>-14084</v>
      </c>
      <c r="D1028" s="24" t="s">
        <v>49</v>
      </c>
      <c r="E1028" s="24" t="s">
        <v>56</v>
      </c>
      <c r="F1028" s="63" t="s">
        <v>0</v>
      </c>
    </row>
    <row r="1029" spans="1:6" x14ac:dyDescent="0.25">
      <c r="A1029" s="62">
        <v>45180</v>
      </c>
      <c r="B1029" s="62" t="s">
        <v>1006</v>
      </c>
      <c r="C1029" s="23">
        <v>-17469</v>
      </c>
      <c r="D1029" s="24" t="s">
        <v>49</v>
      </c>
      <c r="E1029" s="24" t="s">
        <v>56</v>
      </c>
      <c r="F1029" s="63" t="s">
        <v>0</v>
      </c>
    </row>
    <row r="1030" spans="1:6" x14ac:dyDescent="0.25">
      <c r="A1030" s="62">
        <v>45180</v>
      </c>
      <c r="B1030" s="62" t="s">
        <v>1007</v>
      </c>
      <c r="C1030" s="23">
        <v>-23426</v>
      </c>
      <c r="D1030" s="24" t="s">
        <v>49</v>
      </c>
      <c r="E1030" s="24" t="s">
        <v>56</v>
      </c>
      <c r="F1030" s="63" t="s">
        <v>0</v>
      </c>
    </row>
    <row r="1031" spans="1:6" x14ac:dyDescent="0.25">
      <c r="A1031" s="62">
        <v>45180</v>
      </c>
      <c r="B1031" s="62" t="s">
        <v>1008</v>
      </c>
      <c r="C1031" s="23">
        <v>-5509</v>
      </c>
      <c r="D1031" s="24" t="s">
        <v>83</v>
      </c>
      <c r="E1031" s="24" t="s">
        <v>660</v>
      </c>
      <c r="F1031" s="63" t="s">
        <v>0</v>
      </c>
    </row>
    <row r="1032" spans="1:6" x14ac:dyDescent="0.25">
      <c r="A1032" s="62">
        <v>45180</v>
      </c>
      <c r="B1032" s="62" t="s">
        <v>656</v>
      </c>
      <c r="C1032" s="23">
        <v>-570</v>
      </c>
      <c r="D1032" s="24" t="s">
        <v>72</v>
      </c>
      <c r="E1032" s="24" t="s">
        <v>197</v>
      </c>
      <c r="F1032" s="63" t="s">
        <v>0</v>
      </c>
    </row>
    <row r="1033" spans="1:6" x14ac:dyDescent="0.25">
      <c r="A1033" s="62">
        <v>45180</v>
      </c>
      <c r="B1033" s="62" t="s">
        <v>656</v>
      </c>
      <c r="C1033" s="23">
        <v>-570</v>
      </c>
      <c r="D1033" s="24" t="s">
        <v>72</v>
      </c>
      <c r="E1033" s="24" t="s">
        <v>197</v>
      </c>
      <c r="F1033" s="63" t="s">
        <v>0</v>
      </c>
    </row>
    <row r="1034" spans="1:6" x14ac:dyDescent="0.25">
      <c r="A1034" s="62">
        <v>45180</v>
      </c>
      <c r="B1034" s="62" t="s">
        <v>1009</v>
      </c>
      <c r="C1034" s="23">
        <v>-1350</v>
      </c>
      <c r="D1034" s="24" t="s">
        <v>72</v>
      </c>
      <c r="E1034" s="24" t="s">
        <v>197</v>
      </c>
      <c r="F1034" s="63" t="s">
        <v>0</v>
      </c>
    </row>
    <row r="1035" spans="1:6" x14ac:dyDescent="0.25">
      <c r="A1035" s="62">
        <v>45180</v>
      </c>
      <c r="B1035" s="62" t="s">
        <v>1010</v>
      </c>
      <c r="C1035" s="23">
        <v>-2200</v>
      </c>
      <c r="D1035" s="24" t="s">
        <v>83</v>
      </c>
      <c r="E1035" s="24" t="s">
        <v>660</v>
      </c>
      <c r="F1035" s="63" t="s">
        <v>0</v>
      </c>
    </row>
    <row r="1036" spans="1:6" x14ac:dyDescent="0.25">
      <c r="A1036" s="62">
        <v>45180</v>
      </c>
      <c r="B1036" s="62" t="s">
        <v>1011</v>
      </c>
      <c r="C1036" s="23">
        <v>-1350</v>
      </c>
      <c r="D1036" s="24" t="s">
        <v>83</v>
      </c>
      <c r="E1036" s="24" t="s">
        <v>660</v>
      </c>
      <c r="F1036" s="63" t="s">
        <v>0</v>
      </c>
    </row>
    <row r="1037" spans="1:6" x14ac:dyDescent="0.25">
      <c r="A1037" s="62">
        <v>45180</v>
      </c>
      <c r="B1037" s="62" t="s">
        <v>1012</v>
      </c>
      <c r="C1037" s="23">
        <v>-9990</v>
      </c>
      <c r="D1037" s="24" t="s">
        <v>72</v>
      </c>
      <c r="E1037" s="24" t="s">
        <v>109</v>
      </c>
      <c r="F1037" s="63" t="s">
        <v>0</v>
      </c>
    </row>
    <row r="1038" spans="1:6" x14ac:dyDescent="0.25">
      <c r="A1038" s="62">
        <v>45180</v>
      </c>
      <c r="B1038" s="62" t="s">
        <v>1013</v>
      </c>
      <c r="C1038" s="23">
        <v>-28403</v>
      </c>
      <c r="D1038" s="24" t="s">
        <v>72</v>
      </c>
      <c r="E1038" s="24" t="s">
        <v>109</v>
      </c>
      <c r="F1038" s="63" t="s">
        <v>0</v>
      </c>
    </row>
    <row r="1039" spans="1:6" x14ac:dyDescent="0.25">
      <c r="A1039" s="62">
        <v>45179</v>
      </c>
      <c r="B1039" s="62" t="s">
        <v>1014</v>
      </c>
      <c r="C1039" s="23">
        <v>-216687.07</v>
      </c>
      <c r="D1039" s="24" t="s">
        <v>46</v>
      </c>
      <c r="E1039" s="24" t="s">
        <v>10</v>
      </c>
      <c r="F1039" s="63" t="s">
        <v>0</v>
      </c>
    </row>
    <row r="1040" spans="1:6" x14ac:dyDescent="0.25">
      <c r="A1040" s="62">
        <v>45179</v>
      </c>
      <c r="B1040" s="62" t="s">
        <v>1015</v>
      </c>
      <c r="C1040" s="23">
        <v>-10000</v>
      </c>
      <c r="D1040" s="24" t="s">
        <v>90</v>
      </c>
      <c r="E1040" s="24" t="s">
        <v>91</v>
      </c>
      <c r="F1040" s="63" t="s">
        <v>0</v>
      </c>
    </row>
    <row r="1041" spans="1:6" x14ac:dyDescent="0.25">
      <c r="A1041" s="62">
        <v>45179</v>
      </c>
      <c r="B1041" s="62" t="s">
        <v>1016</v>
      </c>
      <c r="C1041" s="23">
        <v>-45117.72</v>
      </c>
      <c r="D1041" s="24" t="s">
        <v>46</v>
      </c>
      <c r="E1041" s="24" t="s">
        <v>10</v>
      </c>
      <c r="F1041" s="63" t="s">
        <v>0</v>
      </c>
    </row>
    <row r="1042" spans="1:6" x14ac:dyDescent="0.25">
      <c r="A1042" s="62">
        <v>45179</v>
      </c>
      <c r="B1042" s="62" t="s">
        <v>1014</v>
      </c>
      <c r="C1042" s="23">
        <v>216687.07</v>
      </c>
      <c r="D1042" s="24" t="s">
        <v>46</v>
      </c>
      <c r="E1042" s="24" t="s">
        <v>10</v>
      </c>
      <c r="F1042" s="63" t="s">
        <v>10</v>
      </c>
    </row>
    <row r="1043" spans="1:6" x14ac:dyDescent="0.25">
      <c r="A1043" s="62">
        <v>45177</v>
      </c>
      <c r="B1043" s="62" t="s">
        <v>1017</v>
      </c>
      <c r="C1043" s="23">
        <v>-1900</v>
      </c>
      <c r="D1043" s="24" t="s">
        <v>49</v>
      </c>
      <c r="E1043" s="24" t="s">
        <v>56</v>
      </c>
      <c r="F1043" s="63" t="s">
        <v>0</v>
      </c>
    </row>
    <row r="1044" spans="1:6" x14ac:dyDescent="0.25">
      <c r="A1044" s="62">
        <v>45177</v>
      </c>
      <c r="B1044" s="62" t="s">
        <v>713</v>
      </c>
      <c r="C1044" s="23">
        <v>1094135</v>
      </c>
      <c r="D1044" s="24" t="s">
        <v>58</v>
      </c>
      <c r="E1044" s="24" t="s">
        <v>58</v>
      </c>
      <c r="F1044" s="63" t="s">
        <v>0</v>
      </c>
    </row>
    <row r="1045" spans="1:6" x14ac:dyDescent="0.25">
      <c r="A1045" s="62">
        <v>45176</v>
      </c>
      <c r="B1045" s="62" t="s">
        <v>1018</v>
      </c>
      <c r="C1045" s="23">
        <v>-3100</v>
      </c>
      <c r="D1045" s="24" t="s">
        <v>52</v>
      </c>
      <c r="E1045" s="24" t="s">
        <v>53</v>
      </c>
      <c r="F1045" s="63" t="s">
        <v>4</v>
      </c>
    </row>
    <row r="1046" spans="1:6" x14ac:dyDescent="0.25">
      <c r="A1046" s="62">
        <v>45176</v>
      </c>
      <c r="B1046" s="62" t="s">
        <v>725</v>
      </c>
      <c r="C1046" s="23">
        <v>-1640</v>
      </c>
      <c r="D1046" s="24" t="s">
        <v>52</v>
      </c>
      <c r="E1046" s="24" t="s">
        <v>53</v>
      </c>
      <c r="F1046" s="63" t="s">
        <v>4</v>
      </c>
    </row>
    <row r="1047" spans="1:6" x14ac:dyDescent="0.25">
      <c r="A1047" s="62">
        <v>45176</v>
      </c>
      <c r="B1047" s="62" t="s">
        <v>1019</v>
      </c>
      <c r="C1047" s="23">
        <v>-2800</v>
      </c>
      <c r="D1047" s="24" t="s">
        <v>52</v>
      </c>
      <c r="E1047" s="24" t="s">
        <v>53</v>
      </c>
      <c r="F1047" s="63" t="s">
        <v>0</v>
      </c>
    </row>
    <row r="1048" spans="1:6" x14ac:dyDescent="0.25">
      <c r="A1048" s="62">
        <v>45176</v>
      </c>
      <c r="B1048" s="62" t="s">
        <v>1020</v>
      </c>
      <c r="C1048" s="23">
        <v>-999</v>
      </c>
      <c r="D1048" s="24" t="s">
        <v>49</v>
      </c>
      <c r="E1048" s="24" t="s">
        <v>56</v>
      </c>
      <c r="F1048" s="63" t="s">
        <v>0</v>
      </c>
    </row>
    <row r="1049" spans="1:6" x14ac:dyDescent="0.25">
      <c r="A1049" s="62">
        <v>45175</v>
      </c>
      <c r="B1049" s="62" t="s">
        <v>1021</v>
      </c>
      <c r="C1049" s="23">
        <v>-1270</v>
      </c>
      <c r="D1049" s="24" t="s">
        <v>49</v>
      </c>
      <c r="E1049" s="24" t="s">
        <v>56</v>
      </c>
      <c r="F1049" s="63" t="s">
        <v>0</v>
      </c>
    </row>
    <row r="1050" spans="1:6" x14ac:dyDescent="0.25">
      <c r="A1050" s="62">
        <v>45175</v>
      </c>
      <c r="B1050" s="62" t="s">
        <v>1022</v>
      </c>
      <c r="C1050" s="23">
        <v>-40000</v>
      </c>
      <c r="D1050" s="24" t="s">
        <v>72</v>
      </c>
      <c r="E1050" s="24" t="s">
        <v>1023</v>
      </c>
      <c r="F1050" s="63" t="s">
        <v>0</v>
      </c>
    </row>
    <row r="1051" spans="1:6" x14ac:dyDescent="0.25">
      <c r="A1051" s="62">
        <v>45175</v>
      </c>
      <c r="B1051" s="62" t="s">
        <v>1024</v>
      </c>
      <c r="C1051" s="23">
        <v>-2000</v>
      </c>
      <c r="D1051" s="24" t="s">
        <v>72</v>
      </c>
      <c r="E1051" s="24" t="s">
        <v>126</v>
      </c>
      <c r="F1051" s="63" t="s">
        <v>0</v>
      </c>
    </row>
    <row r="1052" spans="1:6" x14ac:dyDescent="0.25">
      <c r="A1052" s="62">
        <v>45175</v>
      </c>
      <c r="B1052" s="62" t="s">
        <v>1025</v>
      </c>
      <c r="C1052" s="23">
        <v>-32650</v>
      </c>
      <c r="D1052" s="24" t="s">
        <v>72</v>
      </c>
      <c r="E1052" s="24" t="s">
        <v>728</v>
      </c>
      <c r="F1052" s="63" t="s">
        <v>0</v>
      </c>
    </row>
    <row r="1053" spans="1:6" x14ac:dyDescent="0.25">
      <c r="A1053" s="62">
        <v>45174</v>
      </c>
      <c r="B1053" s="62" t="s">
        <v>171</v>
      </c>
      <c r="C1053" s="23">
        <v>1914</v>
      </c>
      <c r="D1053" s="24" t="s">
        <v>167</v>
      </c>
      <c r="E1053" s="24" t="s">
        <v>168</v>
      </c>
      <c r="F1053" s="63" t="s">
        <v>0</v>
      </c>
    </row>
    <row r="1054" spans="1:6" x14ac:dyDescent="0.25">
      <c r="A1054" s="62">
        <v>45174</v>
      </c>
      <c r="B1054" s="62" t="s">
        <v>1026</v>
      </c>
      <c r="C1054" s="23">
        <v>-9134</v>
      </c>
      <c r="D1054" s="24" t="s">
        <v>46</v>
      </c>
      <c r="E1054" s="24" t="s">
        <v>512</v>
      </c>
      <c r="F1054" s="63" t="s">
        <v>0</v>
      </c>
    </row>
    <row r="1055" spans="1:6" x14ac:dyDescent="0.25">
      <c r="A1055" s="62">
        <v>45173</v>
      </c>
      <c r="B1055" s="62" t="s">
        <v>172</v>
      </c>
      <c r="C1055" s="23">
        <v>243600</v>
      </c>
      <c r="D1055" s="24" t="s">
        <v>58</v>
      </c>
      <c r="E1055" s="24" t="s">
        <v>58</v>
      </c>
      <c r="F1055" s="63" t="s">
        <v>0</v>
      </c>
    </row>
    <row r="1056" spans="1:6" x14ac:dyDescent="0.25">
      <c r="A1056" s="62">
        <v>45173</v>
      </c>
      <c r="B1056" s="62" t="s">
        <v>1027</v>
      </c>
      <c r="C1056" s="23">
        <v>-2790</v>
      </c>
      <c r="D1056" s="24" t="s">
        <v>46</v>
      </c>
      <c r="E1056" s="24" t="s">
        <v>63</v>
      </c>
      <c r="F1056" s="63" t="s">
        <v>0</v>
      </c>
    </row>
    <row r="1057" spans="1:6" x14ac:dyDescent="0.25">
      <c r="A1057" s="62">
        <v>45173</v>
      </c>
      <c r="B1057" s="62" t="s">
        <v>1028</v>
      </c>
      <c r="C1057" s="23">
        <v>-9364</v>
      </c>
      <c r="D1057" s="24" t="s">
        <v>90</v>
      </c>
      <c r="E1057" s="24" t="s">
        <v>59</v>
      </c>
      <c r="F1057" s="63" t="s">
        <v>0</v>
      </c>
    </row>
    <row r="1058" spans="1:6" x14ac:dyDescent="0.25">
      <c r="A1058" s="62">
        <v>45173</v>
      </c>
      <c r="B1058" s="62" t="s">
        <v>1029</v>
      </c>
      <c r="C1058" s="23">
        <v>-1930</v>
      </c>
      <c r="D1058" s="24" t="s">
        <v>52</v>
      </c>
      <c r="E1058" s="24" t="s">
        <v>52</v>
      </c>
      <c r="F1058" s="63" t="s">
        <v>0</v>
      </c>
    </row>
    <row r="1059" spans="1:6" x14ac:dyDescent="0.25">
      <c r="A1059" s="62">
        <v>45173</v>
      </c>
      <c r="B1059" s="62" t="s">
        <v>1030</v>
      </c>
      <c r="C1059" s="23">
        <v>-21579</v>
      </c>
      <c r="D1059" s="24" t="s">
        <v>52</v>
      </c>
      <c r="E1059" s="24" t="s">
        <v>52</v>
      </c>
      <c r="F1059" s="63" t="s">
        <v>0</v>
      </c>
    </row>
    <row r="1060" spans="1:6" x14ac:dyDescent="0.25">
      <c r="A1060" s="62">
        <v>45173</v>
      </c>
      <c r="B1060" s="62" t="s">
        <v>1031</v>
      </c>
      <c r="C1060" s="23">
        <v>-5594</v>
      </c>
      <c r="D1060" s="24" t="s">
        <v>49</v>
      </c>
      <c r="E1060" s="24" t="s">
        <v>56</v>
      </c>
      <c r="F1060" s="63" t="s">
        <v>0</v>
      </c>
    </row>
    <row r="1061" spans="1:6" x14ac:dyDescent="0.25">
      <c r="A1061" s="62">
        <v>45173</v>
      </c>
      <c r="B1061" s="62" t="s">
        <v>1032</v>
      </c>
      <c r="C1061" s="23">
        <v>-7602</v>
      </c>
      <c r="D1061" s="24" t="s">
        <v>49</v>
      </c>
      <c r="E1061" s="24" t="s">
        <v>56</v>
      </c>
      <c r="F1061" s="63" t="s">
        <v>0</v>
      </c>
    </row>
    <row r="1062" spans="1:6" x14ac:dyDescent="0.25">
      <c r="A1062" s="62">
        <v>45173</v>
      </c>
      <c r="B1062" s="62" t="s">
        <v>1033</v>
      </c>
      <c r="C1062" s="23">
        <v>-12629</v>
      </c>
      <c r="D1062" s="24" t="s">
        <v>49</v>
      </c>
      <c r="E1062" s="24" t="s">
        <v>56</v>
      </c>
      <c r="F1062" s="63" t="s">
        <v>0</v>
      </c>
    </row>
    <row r="1063" spans="1:6" x14ac:dyDescent="0.25">
      <c r="A1063" s="62">
        <v>45173</v>
      </c>
      <c r="B1063" s="62" t="s">
        <v>1034</v>
      </c>
      <c r="C1063" s="23">
        <v>-6250</v>
      </c>
      <c r="D1063" s="24" t="s">
        <v>52</v>
      </c>
      <c r="E1063" s="24" t="s">
        <v>52</v>
      </c>
      <c r="F1063" s="63" t="s">
        <v>0</v>
      </c>
    </row>
    <row r="1064" spans="1:6" x14ac:dyDescent="0.25">
      <c r="A1064" s="62">
        <v>45173</v>
      </c>
      <c r="B1064" s="62" t="s">
        <v>1035</v>
      </c>
      <c r="C1064" s="23">
        <v>-3456</v>
      </c>
      <c r="D1064" s="24" t="s">
        <v>49</v>
      </c>
      <c r="E1064" s="24" t="s">
        <v>67</v>
      </c>
      <c r="F1064" s="63" t="s">
        <v>0</v>
      </c>
    </row>
    <row r="1065" spans="1:6" x14ac:dyDescent="0.25">
      <c r="A1065" s="62">
        <v>45169</v>
      </c>
      <c r="B1065" s="62" t="s">
        <v>43</v>
      </c>
      <c r="C1065" s="23">
        <v>-2222</v>
      </c>
      <c r="D1065" s="24" t="s">
        <v>167</v>
      </c>
      <c r="E1065" s="24" t="s">
        <v>168</v>
      </c>
      <c r="F1065" s="63" t="s">
        <v>0</v>
      </c>
    </row>
    <row r="1066" spans="1:6" x14ac:dyDescent="0.25">
      <c r="A1066" s="62">
        <v>45169</v>
      </c>
      <c r="B1066" s="62" t="s">
        <v>1036</v>
      </c>
      <c r="C1066" s="23">
        <v>-1012</v>
      </c>
      <c r="D1066" s="24" t="s">
        <v>167</v>
      </c>
      <c r="E1066" s="24" t="s">
        <v>168</v>
      </c>
      <c r="F1066" s="63" t="s">
        <v>0</v>
      </c>
    </row>
    <row r="1067" spans="1:6" x14ac:dyDescent="0.25">
      <c r="A1067" s="62">
        <v>45169</v>
      </c>
      <c r="B1067" s="62" t="s">
        <v>1037</v>
      </c>
      <c r="C1067" s="23">
        <v>-1600</v>
      </c>
      <c r="D1067" s="24" t="s">
        <v>167</v>
      </c>
      <c r="E1067" s="24" t="s">
        <v>168</v>
      </c>
      <c r="F1067" s="63" t="s">
        <v>0</v>
      </c>
    </row>
    <row r="1068" spans="1:6" x14ac:dyDescent="0.25">
      <c r="A1068" s="62">
        <v>45169</v>
      </c>
      <c r="B1068" s="62" t="s">
        <v>1036</v>
      </c>
      <c r="C1068" s="23">
        <v>-90000</v>
      </c>
      <c r="D1068" s="24" t="s">
        <v>72</v>
      </c>
      <c r="E1068" s="24" t="s">
        <v>445</v>
      </c>
      <c r="F1068" s="63" t="s">
        <v>7</v>
      </c>
    </row>
    <row r="1069" spans="1:6" x14ac:dyDescent="0.25">
      <c r="A1069" s="62">
        <v>45169</v>
      </c>
      <c r="B1069" s="62" t="s">
        <v>1036</v>
      </c>
      <c r="C1069" s="23">
        <v>-50000</v>
      </c>
      <c r="D1069" s="24" t="s">
        <v>72</v>
      </c>
      <c r="E1069" s="24" t="s">
        <v>445</v>
      </c>
      <c r="F1069" s="63" t="s">
        <v>0</v>
      </c>
    </row>
    <row r="1070" spans="1:6" x14ac:dyDescent="0.25">
      <c r="A1070" s="62">
        <v>45169</v>
      </c>
      <c r="B1070" s="62" t="s">
        <v>1037</v>
      </c>
      <c r="C1070" s="23">
        <v>-100000</v>
      </c>
      <c r="D1070" s="24" t="s">
        <v>72</v>
      </c>
      <c r="E1070" s="24" t="s">
        <v>445</v>
      </c>
      <c r="F1070" s="63" t="s">
        <v>0</v>
      </c>
    </row>
    <row r="1071" spans="1:6" x14ac:dyDescent="0.25">
      <c r="A1071" s="62">
        <v>45169</v>
      </c>
      <c r="B1071" s="62" t="s">
        <v>1038</v>
      </c>
      <c r="C1071" s="23">
        <v>-1434</v>
      </c>
      <c r="D1071" s="24" t="s">
        <v>49</v>
      </c>
      <c r="E1071" s="24" t="s">
        <v>56</v>
      </c>
      <c r="F1071" s="63" t="s">
        <v>0</v>
      </c>
    </row>
    <row r="1072" spans="1:6" x14ac:dyDescent="0.25">
      <c r="A1072" s="62">
        <v>45168</v>
      </c>
      <c r="B1072" s="62" t="s">
        <v>714</v>
      </c>
      <c r="C1072" s="23">
        <v>-3590</v>
      </c>
      <c r="D1072" s="24" t="s">
        <v>52</v>
      </c>
      <c r="E1072" s="24" t="s">
        <v>53</v>
      </c>
      <c r="F1072" s="63" t="s">
        <v>4</v>
      </c>
    </row>
    <row r="1073" spans="1:6" x14ac:dyDescent="0.25">
      <c r="A1073" s="62">
        <v>45168</v>
      </c>
      <c r="B1073" s="62" t="s">
        <v>1039</v>
      </c>
      <c r="C1073" s="23">
        <v>-919</v>
      </c>
      <c r="D1073" s="24" t="s">
        <v>90</v>
      </c>
      <c r="E1073" s="24" t="s">
        <v>59</v>
      </c>
      <c r="F1073" s="63" t="s">
        <v>0</v>
      </c>
    </row>
    <row r="1074" spans="1:6" x14ac:dyDescent="0.25">
      <c r="A1074" s="62">
        <v>45168</v>
      </c>
      <c r="B1074" s="62" t="s">
        <v>1040</v>
      </c>
      <c r="C1074" s="23">
        <v>-1420</v>
      </c>
      <c r="D1074" s="24" t="s">
        <v>49</v>
      </c>
      <c r="E1074" s="24" t="s">
        <v>56</v>
      </c>
      <c r="F1074" s="63" t="s">
        <v>0</v>
      </c>
    </row>
    <row r="1075" spans="1:6" x14ac:dyDescent="0.25">
      <c r="A1075" s="62">
        <v>45167</v>
      </c>
      <c r="B1075" s="62" t="s">
        <v>1041</v>
      </c>
      <c r="C1075" s="23">
        <v>-7416</v>
      </c>
      <c r="D1075" s="24" t="s">
        <v>46</v>
      </c>
      <c r="E1075" s="24" t="s">
        <v>63</v>
      </c>
      <c r="F1075" s="63" t="s">
        <v>0</v>
      </c>
    </row>
    <row r="1076" spans="1:6" x14ac:dyDescent="0.25">
      <c r="A1076" s="62">
        <v>45166</v>
      </c>
      <c r="B1076" s="62" t="s">
        <v>1042</v>
      </c>
      <c r="C1076" s="23">
        <v>-2890</v>
      </c>
      <c r="D1076" s="24" t="s">
        <v>90</v>
      </c>
      <c r="E1076" s="24" t="s">
        <v>59</v>
      </c>
      <c r="F1076" s="63" t="s">
        <v>0</v>
      </c>
    </row>
    <row r="1077" spans="1:6" x14ac:dyDescent="0.25">
      <c r="A1077" s="62">
        <v>45166</v>
      </c>
      <c r="B1077" s="62" t="s">
        <v>1043</v>
      </c>
      <c r="C1077" s="23">
        <v>-9269</v>
      </c>
      <c r="D1077" s="24" t="s">
        <v>90</v>
      </c>
      <c r="E1077" s="24" t="s">
        <v>59</v>
      </c>
      <c r="F1077" s="63" t="s">
        <v>0</v>
      </c>
    </row>
    <row r="1078" spans="1:6" x14ac:dyDescent="0.25">
      <c r="A1078" s="62">
        <v>45166</v>
      </c>
      <c r="B1078" s="62" t="s">
        <v>1044</v>
      </c>
      <c r="C1078" s="23">
        <v>-390</v>
      </c>
      <c r="D1078" s="24" t="s">
        <v>49</v>
      </c>
      <c r="E1078" s="24" t="s">
        <v>56</v>
      </c>
      <c r="F1078" s="63" t="s">
        <v>0</v>
      </c>
    </row>
    <row r="1079" spans="1:6" x14ac:dyDescent="0.25">
      <c r="A1079" s="62">
        <v>45166</v>
      </c>
      <c r="B1079" s="62" t="s">
        <v>1045</v>
      </c>
      <c r="C1079" s="23">
        <v>-15495</v>
      </c>
      <c r="D1079" s="24" t="s">
        <v>49</v>
      </c>
      <c r="E1079" s="24" t="s">
        <v>56</v>
      </c>
      <c r="F1079" s="63" t="s">
        <v>0</v>
      </c>
    </row>
    <row r="1080" spans="1:6" x14ac:dyDescent="0.25">
      <c r="A1080" s="62">
        <v>45166</v>
      </c>
      <c r="B1080" s="62" t="s">
        <v>1046</v>
      </c>
      <c r="C1080" s="23">
        <v>-17196</v>
      </c>
      <c r="D1080" s="24" t="s">
        <v>46</v>
      </c>
      <c r="E1080" s="24" t="s">
        <v>61</v>
      </c>
      <c r="F1080" s="63" t="s">
        <v>0</v>
      </c>
    </row>
    <row r="1081" spans="1:6" x14ac:dyDescent="0.25">
      <c r="A1081" s="62">
        <v>45166</v>
      </c>
      <c r="B1081" s="62" t="s">
        <v>1047</v>
      </c>
      <c r="C1081" s="23">
        <v>-199</v>
      </c>
      <c r="D1081" s="24" t="s">
        <v>49</v>
      </c>
      <c r="E1081" s="24" t="s">
        <v>56</v>
      </c>
      <c r="F1081" s="63" t="s">
        <v>0</v>
      </c>
    </row>
    <row r="1082" spans="1:6" x14ac:dyDescent="0.25">
      <c r="A1082" s="62">
        <v>45166</v>
      </c>
      <c r="B1082" s="62" t="s">
        <v>1048</v>
      </c>
      <c r="C1082" s="23">
        <v>-2369</v>
      </c>
      <c r="D1082" s="24" t="s">
        <v>49</v>
      </c>
      <c r="E1082" s="24" t="s">
        <v>56</v>
      </c>
      <c r="F1082" s="63" t="s">
        <v>0</v>
      </c>
    </row>
    <row r="1083" spans="1:6" x14ac:dyDescent="0.25">
      <c r="A1083" s="62">
        <v>45166</v>
      </c>
      <c r="B1083" s="62" t="s">
        <v>1049</v>
      </c>
      <c r="C1083" s="23">
        <v>-4390</v>
      </c>
      <c r="D1083" s="24" t="s">
        <v>49</v>
      </c>
      <c r="E1083" s="24" t="s">
        <v>56</v>
      </c>
      <c r="F1083" s="63" t="s">
        <v>0</v>
      </c>
    </row>
    <row r="1084" spans="1:6" x14ac:dyDescent="0.25">
      <c r="A1084" s="62">
        <v>45166</v>
      </c>
      <c r="B1084" s="62" t="s">
        <v>1050</v>
      </c>
      <c r="C1084" s="23">
        <v>-3490</v>
      </c>
      <c r="D1084" s="24" t="s">
        <v>46</v>
      </c>
      <c r="E1084" s="24" t="s">
        <v>63</v>
      </c>
      <c r="F1084" s="63" t="s">
        <v>0</v>
      </c>
    </row>
    <row r="1085" spans="1:6" x14ac:dyDescent="0.25">
      <c r="A1085" s="62">
        <v>45163</v>
      </c>
      <c r="B1085" s="62" t="s">
        <v>1051</v>
      </c>
      <c r="C1085" s="23">
        <v>-11168</v>
      </c>
      <c r="D1085" s="24" t="s">
        <v>90</v>
      </c>
      <c r="E1085" s="24" t="s">
        <v>185</v>
      </c>
      <c r="F1085" s="63" t="s">
        <v>0</v>
      </c>
    </row>
    <row r="1086" spans="1:6" x14ac:dyDescent="0.25">
      <c r="A1086" s="62">
        <v>45163</v>
      </c>
      <c r="B1086" s="62" t="s">
        <v>1052</v>
      </c>
      <c r="C1086" s="23">
        <v>-9003</v>
      </c>
      <c r="D1086" s="24" t="s">
        <v>49</v>
      </c>
      <c r="E1086" s="24" t="s">
        <v>56</v>
      </c>
      <c r="F1086" s="63" t="s">
        <v>0</v>
      </c>
    </row>
    <row r="1087" spans="1:6" x14ac:dyDescent="0.25">
      <c r="A1087" s="62">
        <v>45163</v>
      </c>
      <c r="B1087" s="62" t="s">
        <v>1053</v>
      </c>
      <c r="C1087" s="23">
        <v>-8932</v>
      </c>
      <c r="D1087" s="24" t="s">
        <v>49</v>
      </c>
      <c r="E1087" s="24" t="s">
        <v>56</v>
      </c>
      <c r="F1087" s="63" t="s">
        <v>0</v>
      </c>
    </row>
    <row r="1088" spans="1:6" x14ac:dyDescent="0.25">
      <c r="A1088" s="62">
        <v>45163</v>
      </c>
      <c r="B1088" s="62" t="s">
        <v>1054</v>
      </c>
      <c r="C1088" s="23">
        <v>-999</v>
      </c>
      <c r="D1088" s="24" t="s">
        <v>46</v>
      </c>
      <c r="E1088" s="24" t="s">
        <v>63</v>
      </c>
      <c r="F1088" s="63" t="s">
        <v>0</v>
      </c>
    </row>
    <row r="1089" spans="1:6" x14ac:dyDescent="0.25">
      <c r="A1089" s="62">
        <v>45162</v>
      </c>
      <c r="B1089" s="62" t="s">
        <v>1055</v>
      </c>
      <c r="C1089" s="23">
        <v>-299</v>
      </c>
      <c r="D1089" s="24" t="s">
        <v>49</v>
      </c>
      <c r="E1089" s="24" t="s">
        <v>56</v>
      </c>
      <c r="F1089" s="63" t="s">
        <v>0</v>
      </c>
    </row>
    <row r="1090" spans="1:6" x14ac:dyDescent="0.25">
      <c r="A1090" s="62">
        <v>45162</v>
      </c>
      <c r="B1090" s="62" t="s">
        <v>1056</v>
      </c>
      <c r="C1090" s="23">
        <v>-58107</v>
      </c>
      <c r="D1090" s="24" t="s">
        <v>49</v>
      </c>
      <c r="E1090" s="24" t="s">
        <v>50</v>
      </c>
      <c r="F1090" s="63" t="s">
        <v>0</v>
      </c>
    </row>
    <row r="1091" spans="1:6" x14ac:dyDescent="0.25">
      <c r="A1091" s="62">
        <v>45162</v>
      </c>
      <c r="B1091" s="62" t="s">
        <v>1057</v>
      </c>
      <c r="C1091" s="23">
        <v>-22350</v>
      </c>
      <c r="D1091" s="24" t="s">
        <v>90</v>
      </c>
      <c r="E1091" s="24" t="s">
        <v>93</v>
      </c>
      <c r="F1091" s="63" t="s">
        <v>0</v>
      </c>
    </row>
    <row r="1092" spans="1:6" x14ac:dyDescent="0.25">
      <c r="A1092" s="62">
        <v>45162</v>
      </c>
      <c r="B1092" s="62" t="s">
        <v>1058</v>
      </c>
      <c r="C1092" s="23">
        <v>-5470</v>
      </c>
      <c r="D1092" s="24" t="s">
        <v>90</v>
      </c>
      <c r="E1092" s="24" t="s">
        <v>93</v>
      </c>
      <c r="F1092" s="63" t="s">
        <v>0</v>
      </c>
    </row>
    <row r="1093" spans="1:6" x14ac:dyDescent="0.25">
      <c r="A1093" s="62">
        <v>45162</v>
      </c>
      <c r="B1093" s="62" t="s">
        <v>1059</v>
      </c>
      <c r="C1093" s="23">
        <v>-3429</v>
      </c>
      <c r="D1093" s="24" t="s">
        <v>46</v>
      </c>
      <c r="E1093" s="24" t="s">
        <v>61</v>
      </c>
      <c r="F1093" s="63" t="s">
        <v>0</v>
      </c>
    </row>
    <row r="1094" spans="1:6" x14ac:dyDescent="0.25">
      <c r="A1094" s="62">
        <v>45162</v>
      </c>
      <c r="B1094" s="62" t="s">
        <v>1060</v>
      </c>
      <c r="C1094" s="23">
        <v>-890</v>
      </c>
      <c r="D1094" s="24" t="s">
        <v>49</v>
      </c>
      <c r="E1094" s="24" t="s">
        <v>56</v>
      </c>
      <c r="F1094" s="63" t="s">
        <v>0</v>
      </c>
    </row>
    <row r="1095" spans="1:6" x14ac:dyDescent="0.25">
      <c r="A1095" s="62">
        <v>45161</v>
      </c>
      <c r="B1095" s="62" t="s">
        <v>1061</v>
      </c>
      <c r="C1095" s="23">
        <v>-33432</v>
      </c>
      <c r="D1095" s="24" t="s">
        <v>46</v>
      </c>
      <c r="E1095" s="24" t="s">
        <v>61</v>
      </c>
      <c r="F1095" s="63" t="s">
        <v>0</v>
      </c>
    </row>
    <row r="1096" spans="1:6" x14ac:dyDescent="0.25">
      <c r="A1096" s="62">
        <v>45161</v>
      </c>
      <c r="B1096" s="62" t="s">
        <v>1062</v>
      </c>
      <c r="C1096" s="23">
        <v>-2585</v>
      </c>
      <c r="D1096" s="24" t="s">
        <v>46</v>
      </c>
      <c r="E1096" s="24" t="s">
        <v>61</v>
      </c>
      <c r="F1096" s="63" t="s">
        <v>0</v>
      </c>
    </row>
    <row r="1097" spans="1:6" x14ac:dyDescent="0.25">
      <c r="A1097" s="62">
        <v>45161</v>
      </c>
      <c r="B1097" s="62" t="s">
        <v>1063</v>
      </c>
      <c r="C1097" s="23">
        <v>-15778</v>
      </c>
      <c r="D1097" s="24" t="s">
        <v>49</v>
      </c>
      <c r="E1097" s="24" t="s">
        <v>56</v>
      </c>
      <c r="F1097" s="63" t="s">
        <v>0</v>
      </c>
    </row>
    <row r="1098" spans="1:6" x14ac:dyDescent="0.25">
      <c r="A1098" s="62">
        <v>45161</v>
      </c>
      <c r="B1098" s="62" t="s">
        <v>1064</v>
      </c>
      <c r="C1098" s="23">
        <v>-351874</v>
      </c>
      <c r="D1098" s="24" t="s">
        <v>46</v>
      </c>
      <c r="E1098" s="24" t="s">
        <v>61</v>
      </c>
      <c r="F1098" s="63" t="s">
        <v>0</v>
      </c>
    </row>
    <row r="1099" spans="1:6" x14ac:dyDescent="0.25">
      <c r="A1099" s="62">
        <v>45160</v>
      </c>
      <c r="B1099" s="62" t="s">
        <v>1065</v>
      </c>
      <c r="C1099" s="23">
        <v>-1990</v>
      </c>
      <c r="D1099" s="24" t="s">
        <v>49</v>
      </c>
      <c r="E1099" s="24" t="s">
        <v>56</v>
      </c>
      <c r="F1099" s="63" t="s">
        <v>0</v>
      </c>
    </row>
    <row r="1100" spans="1:6" x14ac:dyDescent="0.25">
      <c r="A1100" s="62">
        <v>45160</v>
      </c>
      <c r="B1100" s="62" t="s">
        <v>1066</v>
      </c>
      <c r="C1100" s="23">
        <v>-49000</v>
      </c>
      <c r="D1100" s="24" t="s">
        <v>46</v>
      </c>
      <c r="E1100" s="24" t="s">
        <v>61</v>
      </c>
      <c r="F1100" s="63" t="s">
        <v>0</v>
      </c>
    </row>
    <row r="1101" spans="1:6" x14ac:dyDescent="0.25">
      <c r="A1101" s="62">
        <v>45160</v>
      </c>
      <c r="B1101" s="62" t="s">
        <v>1067</v>
      </c>
      <c r="C1101" s="23">
        <v>-100000</v>
      </c>
      <c r="D1101" s="24" t="s">
        <v>46</v>
      </c>
      <c r="E1101" s="24" t="s">
        <v>61</v>
      </c>
      <c r="F1101" s="63" t="s">
        <v>0</v>
      </c>
    </row>
    <row r="1102" spans="1:6" x14ac:dyDescent="0.25">
      <c r="A1102" s="62">
        <v>45160</v>
      </c>
      <c r="B1102" s="62" t="s">
        <v>1068</v>
      </c>
      <c r="C1102" s="23">
        <v>-5990</v>
      </c>
      <c r="D1102" s="24" t="s">
        <v>49</v>
      </c>
      <c r="E1102" s="24" t="s">
        <v>67</v>
      </c>
      <c r="F1102" s="63" t="s">
        <v>0</v>
      </c>
    </row>
    <row r="1103" spans="1:6" x14ac:dyDescent="0.25">
      <c r="A1103" s="62">
        <v>45160</v>
      </c>
      <c r="B1103" s="62" t="s">
        <v>1069</v>
      </c>
      <c r="C1103" s="23">
        <v>-1000</v>
      </c>
      <c r="D1103" s="24" t="s">
        <v>46</v>
      </c>
      <c r="E1103" s="24" t="s">
        <v>61</v>
      </c>
      <c r="F1103" s="63" t="s">
        <v>0</v>
      </c>
    </row>
    <row r="1104" spans="1:6" x14ac:dyDescent="0.25">
      <c r="A1104" s="62">
        <v>45160</v>
      </c>
      <c r="B1104" s="62" t="s">
        <v>1070</v>
      </c>
      <c r="C1104" s="23">
        <v>-3399</v>
      </c>
      <c r="D1104" s="24" t="s">
        <v>49</v>
      </c>
      <c r="E1104" s="24" t="s">
        <v>56</v>
      </c>
      <c r="F1104" s="63" t="s">
        <v>0</v>
      </c>
    </row>
    <row r="1105" spans="1:6" x14ac:dyDescent="0.25">
      <c r="A1105" s="62">
        <v>45159</v>
      </c>
      <c r="B1105" s="62" t="s">
        <v>1071</v>
      </c>
      <c r="C1105" s="23">
        <v>-499</v>
      </c>
      <c r="D1105" s="24" t="s">
        <v>49</v>
      </c>
      <c r="E1105" s="24" t="s">
        <v>56</v>
      </c>
      <c r="F1105" s="63" t="s">
        <v>0</v>
      </c>
    </row>
    <row r="1106" spans="1:6" x14ac:dyDescent="0.25">
      <c r="A1106" s="62">
        <v>45159</v>
      </c>
      <c r="B1106" s="62" t="s">
        <v>1072</v>
      </c>
      <c r="C1106" s="23">
        <v>-840</v>
      </c>
      <c r="D1106" s="24" t="s">
        <v>49</v>
      </c>
      <c r="E1106" s="24" t="s">
        <v>56</v>
      </c>
      <c r="F1106" s="63" t="s">
        <v>0</v>
      </c>
    </row>
    <row r="1107" spans="1:6" x14ac:dyDescent="0.25">
      <c r="A1107" s="62">
        <v>45159</v>
      </c>
      <c r="B1107" s="62" t="s">
        <v>1073</v>
      </c>
      <c r="C1107" s="23">
        <v>-1507</v>
      </c>
      <c r="D1107" s="24" t="s">
        <v>49</v>
      </c>
      <c r="E1107" s="24" t="s">
        <v>56</v>
      </c>
      <c r="F1107" s="63" t="s">
        <v>0</v>
      </c>
    </row>
    <row r="1108" spans="1:6" x14ac:dyDescent="0.25">
      <c r="A1108" s="62">
        <v>45159</v>
      </c>
      <c r="B1108" s="62" t="s">
        <v>1074</v>
      </c>
      <c r="C1108" s="23">
        <v>-2180</v>
      </c>
      <c r="D1108" s="24" t="s">
        <v>49</v>
      </c>
      <c r="E1108" s="24" t="s">
        <v>67</v>
      </c>
      <c r="F1108" s="63" t="s">
        <v>0</v>
      </c>
    </row>
    <row r="1109" spans="1:6" x14ac:dyDescent="0.25">
      <c r="A1109" s="62">
        <v>45159</v>
      </c>
      <c r="B1109" s="62" t="s">
        <v>1075</v>
      </c>
      <c r="C1109" s="23">
        <v>-4980</v>
      </c>
      <c r="D1109" s="24" t="s">
        <v>52</v>
      </c>
      <c r="E1109" s="24" t="s">
        <v>53</v>
      </c>
      <c r="F1109" s="63" t="s">
        <v>0</v>
      </c>
    </row>
    <row r="1110" spans="1:6" x14ac:dyDescent="0.25">
      <c r="A1110" s="62">
        <v>45159</v>
      </c>
      <c r="B1110" s="62" t="s">
        <v>1076</v>
      </c>
      <c r="C1110" s="23">
        <v>-6482</v>
      </c>
      <c r="D1110" s="24" t="s">
        <v>49</v>
      </c>
      <c r="E1110" s="24" t="s">
        <v>56</v>
      </c>
      <c r="F1110" s="63" t="s">
        <v>0</v>
      </c>
    </row>
    <row r="1111" spans="1:6" x14ac:dyDescent="0.25">
      <c r="A1111" s="62">
        <v>45159</v>
      </c>
      <c r="B1111" s="62" t="s">
        <v>1077</v>
      </c>
      <c r="C1111" s="23">
        <v>-8985</v>
      </c>
      <c r="D1111" s="24" t="s">
        <v>49</v>
      </c>
      <c r="E1111" s="24" t="s">
        <v>50</v>
      </c>
      <c r="F1111" s="63" t="s">
        <v>0</v>
      </c>
    </row>
    <row r="1112" spans="1:6" x14ac:dyDescent="0.25">
      <c r="A1112" s="62">
        <v>45159</v>
      </c>
      <c r="B1112" s="62" t="s">
        <v>1078</v>
      </c>
      <c r="C1112" s="23">
        <v>-20802</v>
      </c>
      <c r="D1112" s="24" t="s">
        <v>49</v>
      </c>
      <c r="E1112" s="24" t="s">
        <v>56</v>
      </c>
      <c r="F1112" s="63" t="s">
        <v>0</v>
      </c>
    </row>
    <row r="1113" spans="1:6" x14ac:dyDescent="0.25">
      <c r="A1113" s="62">
        <v>45159</v>
      </c>
      <c r="B1113" s="62" t="s">
        <v>1079</v>
      </c>
      <c r="C1113" s="23">
        <v>-2280</v>
      </c>
      <c r="D1113" s="24" t="s">
        <v>49</v>
      </c>
      <c r="E1113" s="24" t="s">
        <v>56</v>
      </c>
      <c r="F1113" s="63" t="s">
        <v>0</v>
      </c>
    </row>
    <row r="1114" spans="1:6" x14ac:dyDescent="0.25">
      <c r="A1114" s="62">
        <v>45159</v>
      </c>
      <c r="B1114" s="62" t="s">
        <v>1080</v>
      </c>
      <c r="C1114" s="23">
        <v>-2786</v>
      </c>
      <c r="D1114" s="24" t="s">
        <v>49</v>
      </c>
      <c r="E1114" s="24" t="s">
        <v>56</v>
      </c>
      <c r="F1114" s="63" t="s">
        <v>0</v>
      </c>
    </row>
    <row r="1115" spans="1:6" x14ac:dyDescent="0.25">
      <c r="A1115" s="62">
        <v>45159</v>
      </c>
      <c r="B1115" s="62" t="s">
        <v>1081</v>
      </c>
      <c r="C1115" s="23">
        <v>-2550</v>
      </c>
      <c r="D1115" s="24" t="s">
        <v>52</v>
      </c>
      <c r="E1115" s="24" t="s">
        <v>53</v>
      </c>
      <c r="F1115" s="63" t="s">
        <v>0</v>
      </c>
    </row>
    <row r="1116" spans="1:6" x14ac:dyDescent="0.25">
      <c r="A1116" s="62">
        <v>45156</v>
      </c>
      <c r="B1116" s="62" t="s">
        <v>139</v>
      </c>
      <c r="C1116" s="23">
        <v>31960</v>
      </c>
      <c r="D1116" s="24" t="s">
        <v>58</v>
      </c>
      <c r="E1116" s="24" t="s">
        <v>58</v>
      </c>
      <c r="F1116" s="63" t="s">
        <v>4</v>
      </c>
    </row>
    <row r="1117" spans="1:6" x14ac:dyDescent="0.25">
      <c r="A1117" s="62">
        <v>45156</v>
      </c>
      <c r="B1117" s="62" t="s">
        <v>1082</v>
      </c>
      <c r="C1117" s="23">
        <v>-7130</v>
      </c>
      <c r="D1117" s="24" t="s">
        <v>49</v>
      </c>
      <c r="E1117" s="24" t="s">
        <v>67</v>
      </c>
      <c r="F1117" s="63" t="s">
        <v>0</v>
      </c>
    </row>
    <row r="1118" spans="1:6" x14ac:dyDescent="0.25">
      <c r="A1118" s="62">
        <v>45156</v>
      </c>
      <c r="B1118" s="62" t="s">
        <v>1083</v>
      </c>
      <c r="C1118" s="23">
        <v>-694</v>
      </c>
      <c r="D1118" s="24" t="s">
        <v>49</v>
      </c>
      <c r="E1118" s="24" t="s">
        <v>56</v>
      </c>
      <c r="F1118" s="63" t="s">
        <v>0</v>
      </c>
    </row>
    <row r="1119" spans="1:6" x14ac:dyDescent="0.25">
      <c r="A1119" s="62">
        <v>45155</v>
      </c>
      <c r="B1119" s="62" t="s">
        <v>1084</v>
      </c>
      <c r="C1119" s="23">
        <v>-1580</v>
      </c>
      <c r="D1119" s="24" t="s">
        <v>52</v>
      </c>
      <c r="E1119" s="24" t="s">
        <v>53</v>
      </c>
      <c r="F1119" s="63" t="s">
        <v>4</v>
      </c>
    </row>
    <row r="1120" spans="1:6" x14ac:dyDescent="0.25">
      <c r="A1120" s="62">
        <v>45155</v>
      </c>
      <c r="B1120" s="62" t="s">
        <v>1085</v>
      </c>
      <c r="C1120" s="23">
        <v>-1700</v>
      </c>
      <c r="D1120" s="24" t="s">
        <v>52</v>
      </c>
      <c r="E1120" s="24" t="s">
        <v>53</v>
      </c>
      <c r="F1120" s="63" t="s">
        <v>4</v>
      </c>
    </row>
    <row r="1121" spans="1:6" x14ac:dyDescent="0.25">
      <c r="A1121" s="62">
        <v>45155</v>
      </c>
      <c r="B1121" s="62" t="s">
        <v>1086</v>
      </c>
      <c r="C1121" s="23">
        <v>-6985</v>
      </c>
      <c r="D1121" s="24" t="s">
        <v>49</v>
      </c>
      <c r="E1121" s="24" t="s">
        <v>56</v>
      </c>
      <c r="F1121" s="63" t="s">
        <v>0</v>
      </c>
    </row>
    <row r="1122" spans="1:6" x14ac:dyDescent="0.25">
      <c r="A1122" s="62">
        <v>45155</v>
      </c>
      <c r="B1122" s="62" t="s">
        <v>986</v>
      </c>
      <c r="C1122" s="23">
        <v>-9300</v>
      </c>
      <c r="D1122" s="24" t="s">
        <v>90</v>
      </c>
      <c r="E1122" s="24" t="s">
        <v>93</v>
      </c>
      <c r="F1122" s="63" t="s">
        <v>0</v>
      </c>
    </row>
    <row r="1123" spans="1:6" x14ac:dyDescent="0.25">
      <c r="A1123" s="62">
        <v>45154</v>
      </c>
      <c r="B1123" s="62" t="s">
        <v>1087</v>
      </c>
      <c r="C1123" s="23">
        <v>-1540</v>
      </c>
      <c r="D1123" s="24" t="s">
        <v>49</v>
      </c>
      <c r="E1123" s="24" t="s">
        <v>67</v>
      </c>
      <c r="F1123" s="63" t="s">
        <v>0</v>
      </c>
    </row>
    <row r="1124" spans="1:6" x14ac:dyDescent="0.25">
      <c r="A1124" s="62">
        <v>45154</v>
      </c>
      <c r="B1124" s="62" t="s">
        <v>1088</v>
      </c>
      <c r="C1124" s="23">
        <v>-3385</v>
      </c>
      <c r="D1124" s="24" t="s">
        <v>49</v>
      </c>
      <c r="E1124" s="24" t="s">
        <v>56</v>
      </c>
      <c r="F1124" s="63" t="s">
        <v>0</v>
      </c>
    </row>
    <row r="1125" spans="1:6" x14ac:dyDescent="0.25">
      <c r="A1125" s="62">
        <v>45154</v>
      </c>
      <c r="B1125" s="62" t="s">
        <v>1089</v>
      </c>
      <c r="C1125" s="23">
        <v>-10000</v>
      </c>
      <c r="D1125" s="24" t="s">
        <v>90</v>
      </c>
      <c r="E1125" s="24" t="s">
        <v>91</v>
      </c>
      <c r="F1125" s="63" t="s">
        <v>0</v>
      </c>
    </row>
    <row r="1126" spans="1:6" x14ac:dyDescent="0.25">
      <c r="A1126" s="62">
        <v>45154</v>
      </c>
      <c r="B1126" s="62" t="s">
        <v>1090</v>
      </c>
      <c r="C1126" s="23">
        <v>-22360</v>
      </c>
      <c r="D1126" s="24" t="s">
        <v>46</v>
      </c>
      <c r="E1126" s="24" t="s">
        <v>428</v>
      </c>
      <c r="F1126" s="63" t="s">
        <v>0</v>
      </c>
    </row>
    <row r="1127" spans="1:6" x14ac:dyDescent="0.25">
      <c r="A1127" s="62">
        <v>45154</v>
      </c>
      <c r="B1127" s="62" t="s">
        <v>823</v>
      </c>
      <c r="C1127" s="23">
        <v>-16211</v>
      </c>
      <c r="D1127" s="24" t="s">
        <v>49</v>
      </c>
      <c r="E1127" s="24" t="s">
        <v>56</v>
      </c>
      <c r="F1127" s="63" t="s">
        <v>0</v>
      </c>
    </row>
    <row r="1128" spans="1:6" x14ac:dyDescent="0.25">
      <c r="A1128" s="62">
        <v>45154</v>
      </c>
      <c r="B1128" s="62" t="s">
        <v>1091</v>
      </c>
      <c r="C1128" s="23">
        <v>-28495</v>
      </c>
      <c r="D1128" s="24" t="s">
        <v>49</v>
      </c>
      <c r="E1128" s="24" t="s">
        <v>50</v>
      </c>
      <c r="F1128" s="63" t="s">
        <v>0</v>
      </c>
    </row>
    <row r="1129" spans="1:6" x14ac:dyDescent="0.25">
      <c r="A1129" s="62">
        <v>45153</v>
      </c>
      <c r="B1129" s="62" t="s">
        <v>1084</v>
      </c>
      <c r="C1129" s="23">
        <v>-1580</v>
      </c>
      <c r="D1129" s="24" t="s">
        <v>52</v>
      </c>
      <c r="E1129" s="24" t="s">
        <v>53</v>
      </c>
      <c r="F1129" s="63" t="s">
        <v>4</v>
      </c>
    </row>
    <row r="1130" spans="1:6" x14ac:dyDescent="0.25">
      <c r="A1130" s="62">
        <v>45153</v>
      </c>
      <c r="B1130" s="62" t="s">
        <v>1092</v>
      </c>
      <c r="C1130" s="23">
        <v>-8900</v>
      </c>
      <c r="D1130" s="24" t="s">
        <v>46</v>
      </c>
      <c r="E1130" s="24" t="s">
        <v>1093</v>
      </c>
      <c r="F1130" s="63" t="s">
        <v>0</v>
      </c>
    </row>
    <row r="1131" spans="1:6" x14ac:dyDescent="0.25">
      <c r="A1131" s="62">
        <v>45153</v>
      </c>
      <c r="B1131" s="62" t="s">
        <v>1094</v>
      </c>
      <c r="C1131" s="23">
        <v>-39492</v>
      </c>
      <c r="D1131" s="24" t="s">
        <v>72</v>
      </c>
      <c r="E1131" s="24" t="s">
        <v>109</v>
      </c>
      <c r="F1131" s="63" t="s">
        <v>0</v>
      </c>
    </row>
    <row r="1132" spans="1:6" x14ac:dyDescent="0.25">
      <c r="A1132" s="62">
        <v>45153</v>
      </c>
      <c r="B1132" s="62" t="s">
        <v>1095</v>
      </c>
      <c r="C1132" s="23">
        <v>-5588</v>
      </c>
      <c r="D1132" s="24" t="s">
        <v>46</v>
      </c>
      <c r="E1132" s="24" t="s">
        <v>80</v>
      </c>
      <c r="F1132" s="63" t="s">
        <v>0</v>
      </c>
    </row>
    <row r="1133" spans="1:6" x14ac:dyDescent="0.25">
      <c r="A1133" s="62">
        <v>45152</v>
      </c>
      <c r="B1133" s="62" t="s">
        <v>986</v>
      </c>
      <c r="C1133" s="23">
        <v>-9380</v>
      </c>
      <c r="D1133" s="24" t="s">
        <v>90</v>
      </c>
      <c r="E1133" s="24" t="s">
        <v>93</v>
      </c>
      <c r="F1133" s="63" t="s">
        <v>0</v>
      </c>
    </row>
    <row r="1134" spans="1:6" x14ac:dyDescent="0.25">
      <c r="A1134" s="62">
        <v>45152</v>
      </c>
      <c r="B1134" s="62" t="s">
        <v>1096</v>
      </c>
      <c r="C1134" s="23">
        <v>-10370</v>
      </c>
      <c r="D1134" s="24" t="s">
        <v>49</v>
      </c>
      <c r="E1134" s="24" t="s">
        <v>56</v>
      </c>
      <c r="F1134" s="63" t="s">
        <v>0</v>
      </c>
    </row>
    <row r="1135" spans="1:6" x14ac:dyDescent="0.25">
      <c r="A1135" s="62">
        <v>45152</v>
      </c>
      <c r="B1135" s="62" t="s">
        <v>1097</v>
      </c>
      <c r="C1135" s="23">
        <v>-14858</v>
      </c>
      <c r="D1135" s="24" t="s">
        <v>49</v>
      </c>
      <c r="E1135" s="24" t="s">
        <v>50</v>
      </c>
      <c r="F1135" s="63" t="s">
        <v>0</v>
      </c>
    </row>
    <row r="1136" spans="1:6" x14ac:dyDescent="0.25">
      <c r="A1136" s="62">
        <v>45152</v>
      </c>
      <c r="B1136" s="62" t="s">
        <v>1098</v>
      </c>
      <c r="C1136" s="23">
        <v>-15808</v>
      </c>
      <c r="D1136" s="24" t="s">
        <v>49</v>
      </c>
      <c r="E1136" s="24" t="s">
        <v>56</v>
      </c>
      <c r="F1136" s="63" t="s">
        <v>0</v>
      </c>
    </row>
    <row r="1137" spans="1:6" x14ac:dyDescent="0.25">
      <c r="A1137" s="62">
        <v>45152</v>
      </c>
      <c r="B1137" s="62" t="s">
        <v>1099</v>
      </c>
      <c r="C1137" s="23">
        <v>-16941</v>
      </c>
      <c r="D1137" s="24" t="s">
        <v>49</v>
      </c>
      <c r="E1137" s="24" t="s">
        <v>56</v>
      </c>
      <c r="F1137" s="63" t="s">
        <v>0</v>
      </c>
    </row>
    <row r="1138" spans="1:6" x14ac:dyDescent="0.25">
      <c r="A1138" s="62">
        <v>45152</v>
      </c>
      <c r="B1138" s="62" t="s">
        <v>1100</v>
      </c>
      <c r="C1138" s="23">
        <v>-4290</v>
      </c>
      <c r="D1138" s="24" t="s">
        <v>49</v>
      </c>
      <c r="E1138" s="24" t="s">
        <v>50</v>
      </c>
      <c r="F1138" s="63" t="s">
        <v>0</v>
      </c>
    </row>
    <row r="1139" spans="1:6" x14ac:dyDescent="0.25">
      <c r="A1139" s="62">
        <v>45152</v>
      </c>
      <c r="B1139" s="62" t="s">
        <v>1101</v>
      </c>
      <c r="C1139" s="23">
        <v>-1518</v>
      </c>
      <c r="D1139" s="24" t="s">
        <v>49</v>
      </c>
      <c r="E1139" s="24" t="s">
        <v>56</v>
      </c>
      <c r="F1139" s="63" t="s">
        <v>0</v>
      </c>
    </row>
    <row r="1140" spans="1:6" x14ac:dyDescent="0.25">
      <c r="A1140" s="62">
        <v>45152</v>
      </c>
      <c r="B1140" s="62" t="s">
        <v>1102</v>
      </c>
      <c r="C1140" s="23">
        <v>-2000</v>
      </c>
      <c r="D1140" s="24" t="s">
        <v>52</v>
      </c>
      <c r="E1140" s="24" t="s">
        <v>53</v>
      </c>
      <c r="F1140" s="63" t="s">
        <v>0</v>
      </c>
    </row>
    <row r="1141" spans="1:6" x14ac:dyDescent="0.25">
      <c r="A1141" s="62">
        <v>45152</v>
      </c>
      <c r="B1141" s="62" t="s">
        <v>1103</v>
      </c>
      <c r="C1141" s="23">
        <v>-4894</v>
      </c>
      <c r="D1141" s="24" t="s">
        <v>49</v>
      </c>
      <c r="E1141" s="24" t="s">
        <v>56</v>
      </c>
      <c r="F1141" s="63" t="s">
        <v>0</v>
      </c>
    </row>
    <row r="1142" spans="1:6" x14ac:dyDescent="0.25">
      <c r="A1142" s="62">
        <v>45152</v>
      </c>
      <c r="B1142" s="62" t="s">
        <v>1104</v>
      </c>
      <c r="C1142" s="23">
        <v>-1928</v>
      </c>
      <c r="D1142" s="24" t="s">
        <v>49</v>
      </c>
      <c r="E1142" s="24" t="s">
        <v>56</v>
      </c>
      <c r="F1142" s="63" t="s">
        <v>0</v>
      </c>
    </row>
    <row r="1143" spans="1:6" x14ac:dyDescent="0.25">
      <c r="A1143" s="62">
        <v>45149</v>
      </c>
      <c r="B1143" s="62" t="s">
        <v>1105</v>
      </c>
      <c r="C1143" s="23">
        <v>-2670</v>
      </c>
      <c r="D1143" s="24" t="s">
        <v>49</v>
      </c>
      <c r="E1143" s="24" t="s">
        <v>56</v>
      </c>
      <c r="F1143" s="63" t="s">
        <v>0</v>
      </c>
    </row>
    <row r="1144" spans="1:6" x14ac:dyDescent="0.25">
      <c r="A1144" s="62">
        <v>45149</v>
      </c>
      <c r="B1144" s="62" t="s">
        <v>1106</v>
      </c>
      <c r="C1144" s="23">
        <v>-13565</v>
      </c>
      <c r="D1144" s="24" t="s">
        <v>49</v>
      </c>
      <c r="E1144" s="24" t="s">
        <v>56</v>
      </c>
      <c r="F1144" s="63" t="s">
        <v>0</v>
      </c>
    </row>
    <row r="1145" spans="1:6" x14ac:dyDescent="0.25">
      <c r="A1145" s="62">
        <v>45149</v>
      </c>
      <c r="B1145" s="62" t="s">
        <v>686</v>
      </c>
      <c r="C1145" s="23">
        <v>-1580</v>
      </c>
      <c r="D1145" s="24" t="s">
        <v>52</v>
      </c>
      <c r="E1145" s="24" t="s">
        <v>134</v>
      </c>
      <c r="F1145" s="63" t="s">
        <v>0</v>
      </c>
    </row>
    <row r="1146" spans="1:6" x14ac:dyDescent="0.25">
      <c r="A1146" s="62">
        <v>45148</v>
      </c>
      <c r="B1146" s="62" t="s">
        <v>1107</v>
      </c>
      <c r="C1146" s="23">
        <v>-216247.6</v>
      </c>
      <c r="D1146" s="24" t="s">
        <v>46</v>
      </c>
      <c r="E1146" s="24" t="s">
        <v>10</v>
      </c>
      <c r="F1146" s="63" t="s">
        <v>0</v>
      </c>
    </row>
    <row r="1147" spans="1:6" x14ac:dyDescent="0.25">
      <c r="A1147" s="62">
        <v>45148</v>
      </c>
      <c r="B1147" s="62" t="s">
        <v>1108</v>
      </c>
      <c r="C1147" s="23">
        <v>-22200</v>
      </c>
      <c r="D1147" s="24" t="s">
        <v>49</v>
      </c>
      <c r="E1147" s="24" t="s">
        <v>56</v>
      </c>
      <c r="F1147" s="63" t="s">
        <v>0</v>
      </c>
    </row>
    <row r="1148" spans="1:6" x14ac:dyDescent="0.25">
      <c r="A1148" s="62">
        <v>45148</v>
      </c>
      <c r="B1148" s="62" t="s">
        <v>1109</v>
      </c>
      <c r="C1148" s="23">
        <v>-12980</v>
      </c>
      <c r="D1148" s="24" t="s">
        <v>49</v>
      </c>
      <c r="E1148" s="24" t="s">
        <v>67</v>
      </c>
      <c r="F1148" s="63" t="s">
        <v>0</v>
      </c>
    </row>
    <row r="1149" spans="1:6" x14ac:dyDescent="0.25">
      <c r="A1149" s="62">
        <v>45148</v>
      </c>
      <c r="B1149" s="62" t="s">
        <v>713</v>
      </c>
      <c r="C1149" s="23">
        <v>1061873</v>
      </c>
      <c r="D1149" s="24" t="s">
        <v>58</v>
      </c>
      <c r="E1149" s="24" t="s">
        <v>58</v>
      </c>
      <c r="F1149" s="63" t="s">
        <v>0</v>
      </c>
    </row>
    <row r="1150" spans="1:6" x14ac:dyDescent="0.25">
      <c r="A1150" s="62">
        <v>45148</v>
      </c>
      <c r="B1150" s="62" t="s">
        <v>1110</v>
      </c>
      <c r="C1150" s="23">
        <v>-45557.19</v>
      </c>
      <c r="D1150" s="24" t="s">
        <v>46</v>
      </c>
      <c r="E1150" s="24" t="s">
        <v>10</v>
      </c>
      <c r="F1150" s="63" t="s">
        <v>0</v>
      </c>
    </row>
    <row r="1151" spans="1:6" x14ac:dyDescent="0.25">
      <c r="A1151" s="62">
        <v>45148</v>
      </c>
      <c r="B1151" s="62" t="s">
        <v>1107</v>
      </c>
      <c r="C1151" s="23">
        <v>216247.6</v>
      </c>
      <c r="D1151" s="24" t="s">
        <v>46</v>
      </c>
      <c r="E1151" s="24" t="s">
        <v>10</v>
      </c>
      <c r="F1151" s="63" t="s">
        <v>10</v>
      </c>
    </row>
    <row r="1152" spans="1:6" x14ac:dyDescent="0.25">
      <c r="A1152" s="62">
        <v>45147</v>
      </c>
      <c r="B1152" s="62" t="s">
        <v>1111</v>
      </c>
      <c r="C1152" s="23">
        <v>-649</v>
      </c>
      <c r="D1152" s="24" t="s">
        <v>49</v>
      </c>
      <c r="E1152" s="24" t="s">
        <v>56</v>
      </c>
      <c r="F1152" s="63" t="s">
        <v>0</v>
      </c>
    </row>
    <row r="1153" spans="1:6" x14ac:dyDescent="0.25">
      <c r="A1153" s="62">
        <v>45147</v>
      </c>
      <c r="B1153" s="62" t="s">
        <v>1112</v>
      </c>
      <c r="C1153" s="23">
        <v>-1799</v>
      </c>
      <c r="D1153" s="24" t="s">
        <v>49</v>
      </c>
      <c r="E1153" s="24" t="s">
        <v>67</v>
      </c>
      <c r="F1153" s="63" t="s">
        <v>0</v>
      </c>
    </row>
    <row r="1154" spans="1:6" x14ac:dyDescent="0.25">
      <c r="A1154" s="62">
        <v>45145</v>
      </c>
      <c r="B1154" s="62" t="s">
        <v>1113</v>
      </c>
      <c r="C1154" s="23">
        <v>-5035</v>
      </c>
      <c r="D1154" s="24" t="s">
        <v>49</v>
      </c>
      <c r="E1154" s="24" t="s">
        <v>56</v>
      </c>
      <c r="F1154" s="63" t="s">
        <v>0</v>
      </c>
    </row>
    <row r="1155" spans="1:6" x14ac:dyDescent="0.25">
      <c r="A1155" s="62">
        <v>45145</v>
      </c>
      <c r="B1155" s="62" t="s">
        <v>1114</v>
      </c>
      <c r="C1155" s="23">
        <v>-16962</v>
      </c>
      <c r="D1155" s="24" t="s">
        <v>49</v>
      </c>
      <c r="E1155" s="24" t="s">
        <v>56</v>
      </c>
      <c r="F1155" s="63" t="s">
        <v>0</v>
      </c>
    </row>
    <row r="1156" spans="1:6" x14ac:dyDescent="0.25">
      <c r="A1156" s="62">
        <v>45145</v>
      </c>
      <c r="B1156" s="62" t="s">
        <v>1115</v>
      </c>
      <c r="C1156" s="23">
        <v>-18729</v>
      </c>
      <c r="D1156" s="24" t="s">
        <v>49</v>
      </c>
      <c r="E1156" s="24" t="s">
        <v>56</v>
      </c>
      <c r="F1156" s="63" t="s">
        <v>0</v>
      </c>
    </row>
    <row r="1157" spans="1:6" x14ac:dyDescent="0.25">
      <c r="A1157" s="62">
        <v>45145</v>
      </c>
      <c r="B1157" s="62" t="s">
        <v>1116</v>
      </c>
      <c r="C1157" s="23">
        <v>-9990</v>
      </c>
      <c r="D1157" s="24" t="s">
        <v>49</v>
      </c>
      <c r="E1157" s="24" t="s">
        <v>50</v>
      </c>
      <c r="F1157" s="63" t="s">
        <v>0</v>
      </c>
    </row>
    <row r="1158" spans="1:6" x14ac:dyDescent="0.25">
      <c r="A1158" s="62">
        <v>45145</v>
      </c>
      <c r="B1158" s="62" t="s">
        <v>1117</v>
      </c>
      <c r="C1158" s="23">
        <v>-12484</v>
      </c>
      <c r="D1158" s="24" t="s">
        <v>46</v>
      </c>
      <c r="E1158" s="24" t="s">
        <v>61</v>
      </c>
      <c r="F1158" s="63" t="s">
        <v>0</v>
      </c>
    </row>
    <row r="1159" spans="1:6" x14ac:dyDescent="0.25">
      <c r="A1159" s="62">
        <v>45145</v>
      </c>
      <c r="B1159" s="62" t="s">
        <v>1118</v>
      </c>
      <c r="C1159" s="23">
        <v>-2537</v>
      </c>
      <c r="D1159" s="24" t="s">
        <v>49</v>
      </c>
      <c r="E1159" s="24" t="s">
        <v>56</v>
      </c>
      <c r="F1159" s="63" t="s">
        <v>0</v>
      </c>
    </row>
    <row r="1160" spans="1:6" x14ac:dyDescent="0.25">
      <c r="A1160" s="62">
        <v>45145</v>
      </c>
      <c r="B1160" s="62" t="s">
        <v>1119</v>
      </c>
      <c r="C1160" s="23">
        <v>-1565</v>
      </c>
      <c r="D1160" s="24" t="s">
        <v>49</v>
      </c>
      <c r="E1160" s="24" t="s">
        <v>56</v>
      </c>
      <c r="F1160" s="63" t="s">
        <v>0</v>
      </c>
    </row>
    <row r="1161" spans="1:6" x14ac:dyDescent="0.25">
      <c r="A1161" s="62">
        <v>45145</v>
      </c>
      <c r="B1161" s="62" t="s">
        <v>1120</v>
      </c>
      <c r="C1161" s="23">
        <v>-14990</v>
      </c>
      <c r="D1161" s="24" t="s">
        <v>46</v>
      </c>
      <c r="E1161" s="24" t="s">
        <v>61</v>
      </c>
      <c r="F1161" s="63" t="s">
        <v>0</v>
      </c>
    </row>
    <row r="1162" spans="1:6" x14ac:dyDescent="0.25">
      <c r="A1162" s="62">
        <v>45142</v>
      </c>
      <c r="B1162" s="62" t="s">
        <v>1121</v>
      </c>
      <c r="C1162" s="23">
        <v>-1338</v>
      </c>
      <c r="D1162" s="24" t="s">
        <v>49</v>
      </c>
      <c r="E1162" s="24" t="s">
        <v>56</v>
      </c>
      <c r="F1162" s="63" t="s">
        <v>0</v>
      </c>
    </row>
    <row r="1163" spans="1:6" x14ac:dyDescent="0.25">
      <c r="A1163" s="62">
        <v>45142</v>
      </c>
      <c r="B1163" s="62" t="s">
        <v>1122</v>
      </c>
      <c r="C1163" s="23">
        <v>-1470</v>
      </c>
      <c r="D1163" s="24" t="s">
        <v>49</v>
      </c>
      <c r="E1163" s="24" t="s">
        <v>56</v>
      </c>
      <c r="F1163" s="63" t="s">
        <v>0</v>
      </c>
    </row>
    <row r="1164" spans="1:6" x14ac:dyDescent="0.25">
      <c r="A1164" s="62">
        <v>45142</v>
      </c>
      <c r="B1164" s="62" t="s">
        <v>1123</v>
      </c>
      <c r="C1164" s="23">
        <v>-2300</v>
      </c>
      <c r="D1164" s="24" t="s">
        <v>52</v>
      </c>
      <c r="E1164" s="24" t="s">
        <v>53</v>
      </c>
      <c r="F1164" s="63" t="s">
        <v>0</v>
      </c>
    </row>
    <row r="1165" spans="1:6" x14ac:dyDescent="0.25">
      <c r="A1165" s="62">
        <v>45141</v>
      </c>
      <c r="B1165" s="62" t="s">
        <v>725</v>
      </c>
      <c r="C1165" s="23">
        <v>-1690</v>
      </c>
      <c r="D1165" s="24" t="s">
        <v>52</v>
      </c>
      <c r="E1165" s="24" t="s">
        <v>53</v>
      </c>
      <c r="F1165" s="63" t="s">
        <v>4</v>
      </c>
    </row>
    <row r="1166" spans="1:6" x14ac:dyDescent="0.25">
      <c r="A1166" s="62">
        <v>45141</v>
      </c>
      <c r="B1166" s="62" t="s">
        <v>963</v>
      </c>
      <c r="C1166" s="23">
        <v>-5860</v>
      </c>
      <c r="D1166" s="24" t="s">
        <v>52</v>
      </c>
      <c r="E1166" s="24" t="s">
        <v>53</v>
      </c>
      <c r="F1166" s="63" t="s">
        <v>4</v>
      </c>
    </row>
    <row r="1167" spans="1:6" x14ac:dyDescent="0.25">
      <c r="A1167" s="62">
        <v>45141</v>
      </c>
      <c r="B1167" s="62" t="s">
        <v>171</v>
      </c>
      <c r="C1167" s="23">
        <v>1914</v>
      </c>
      <c r="D1167" s="24" t="s">
        <v>167</v>
      </c>
      <c r="E1167" s="24" t="s">
        <v>168</v>
      </c>
      <c r="F1167" s="63" t="s">
        <v>0</v>
      </c>
    </row>
    <row r="1168" spans="1:6" x14ac:dyDescent="0.25">
      <c r="A1168" s="62">
        <v>45141</v>
      </c>
      <c r="B1168" s="62" t="s">
        <v>1124</v>
      </c>
      <c r="C1168" s="23">
        <v>-2620</v>
      </c>
      <c r="D1168" s="24" t="s">
        <v>49</v>
      </c>
      <c r="E1168" s="24" t="s">
        <v>56</v>
      </c>
      <c r="F1168" s="63" t="s">
        <v>0</v>
      </c>
    </row>
    <row r="1169" spans="1:6" x14ac:dyDescent="0.25">
      <c r="A1169" s="62">
        <v>45140</v>
      </c>
      <c r="B1169" s="62" t="s">
        <v>172</v>
      </c>
      <c r="C1169" s="23">
        <v>243600</v>
      </c>
      <c r="D1169" s="24" t="s">
        <v>58</v>
      </c>
      <c r="E1169" s="24" t="s">
        <v>58</v>
      </c>
      <c r="F1169" s="63" t="s">
        <v>0</v>
      </c>
    </row>
    <row r="1170" spans="1:6" x14ac:dyDescent="0.25">
      <c r="A1170" s="62">
        <v>45140</v>
      </c>
      <c r="B1170" s="62" t="s">
        <v>1125</v>
      </c>
      <c r="C1170" s="23">
        <v>615246</v>
      </c>
      <c r="D1170" s="24" t="s">
        <v>167</v>
      </c>
      <c r="E1170" s="24" t="s">
        <v>183</v>
      </c>
      <c r="F1170" s="63" t="s">
        <v>3</v>
      </c>
    </row>
    <row r="1171" spans="1:6" x14ac:dyDescent="0.25">
      <c r="A1171" s="62">
        <v>45140</v>
      </c>
      <c r="B1171" s="62" t="s">
        <v>1125</v>
      </c>
      <c r="C1171" s="23">
        <v>-615246</v>
      </c>
      <c r="D1171" s="24" t="s">
        <v>167</v>
      </c>
      <c r="E1171" s="24" t="s">
        <v>183</v>
      </c>
      <c r="F1171" s="63" t="s">
        <v>0</v>
      </c>
    </row>
    <row r="1172" spans="1:6" x14ac:dyDescent="0.25">
      <c r="A1172" s="62">
        <v>45140</v>
      </c>
      <c r="B1172" s="62" t="s">
        <v>1126</v>
      </c>
      <c r="C1172" s="23">
        <v>-1590</v>
      </c>
      <c r="D1172" s="24" t="s">
        <v>49</v>
      </c>
      <c r="E1172" s="24" t="s">
        <v>56</v>
      </c>
      <c r="F1172" s="63" t="s">
        <v>0</v>
      </c>
    </row>
    <row r="1173" spans="1:6" x14ac:dyDescent="0.25">
      <c r="A1173" s="62">
        <v>45140</v>
      </c>
      <c r="B1173" s="62" t="s">
        <v>686</v>
      </c>
      <c r="C1173" s="23">
        <v>-1580</v>
      </c>
      <c r="D1173" s="24" t="s">
        <v>52</v>
      </c>
      <c r="E1173" s="24" t="s">
        <v>134</v>
      </c>
      <c r="F1173" s="63" t="s">
        <v>0</v>
      </c>
    </row>
    <row r="1174" spans="1:6" x14ac:dyDescent="0.25">
      <c r="A1174" s="62">
        <v>45140</v>
      </c>
      <c r="B1174" s="62" t="s">
        <v>1123</v>
      </c>
      <c r="C1174" s="23">
        <v>-2300</v>
      </c>
      <c r="D1174" s="24" t="s">
        <v>52</v>
      </c>
      <c r="E1174" s="24" t="s">
        <v>53</v>
      </c>
      <c r="F1174" s="63" t="s">
        <v>0</v>
      </c>
    </row>
    <row r="1175" spans="1:6" x14ac:dyDescent="0.25">
      <c r="A1175" s="62">
        <v>45139</v>
      </c>
      <c r="B1175" s="62" t="s">
        <v>1127</v>
      </c>
      <c r="C1175" s="23">
        <v>-30985</v>
      </c>
      <c r="D1175" s="24" t="s">
        <v>72</v>
      </c>
      <c r="E1175" s="24" t="s">
        <v>728</v>
      </c>
      <c r="F1175" s="63" t="s">
        <v>0</v>
      </c>
    </row>
    <row r="1176" spans="1:6" x14ac:dyDescent="0.25">
      <c r="A1176" s="62">
        <v>45138</v>
      </c>
      <c r="B1176" s="62" t="s">
        <v>1128</v>
      </c>
      <c r="C1176" s="23">
        <v>-1470</v>
      </c>
      <c r="D1176" s="24" t="s">
        <v>49</v>
      </c>
      <c r="E1176" s="24" t="s">
        <v>56</v>
      </c>
      <c r="F1176" s="63" t="s">
        <v>0</v>
      </c>
    </row>
    <row r="1177" spans="1:6" x14ac:dyDescent="0.25">
      <c r="A1177" s="62">
        <v>45138</v>
      </c>
      <c r="B1177" s="62" t="s">
        <v>43</v>
      </c>
      <c r="C1177" s="23">
        <v>-2222</v>
      </c>
      <c r="D1177" s="24" t="s">
        <v>167</v>
      </c>
      <c r="E1177" s="24" t="s">
        <v>168</v>
      </c>
      <c r="F1177" s="63" t="s">
        <v>0</v>
      </c>
    </row>
    <row r="1178" spans="1:6" x14ac:dyDescent="0.25">
      <c r="A1178" s="62">
        <v>45138</v>
      </c>
      <c r="B1178" s="62" t="s">
        <v>1129</v>
      </c>
      <c r="C1178" s="23">
        <v>-4923</v>
      </c>
      <c r="D1178" s="24" t="s">
        <v>49</v>
      </c>
      <c r="E1178" s="24" t="s">
        <v>56</v>
      </c>
      <c r="F1178" s="63" t="s">
        <v>0</v>
      </c>
    </row>
    <row r="1179" spans="1:6" x14ac:dyDescent="0.25">
      <c r="A1179" s="62">
        <v>45138</v>
      </c>
      <c r="B1179" s="62" t="s">
        <v>1130</v>
      </c>
      <c r="C1179" s="23">
        <v>-5645</v>
      </c>
      <c r="D1179" s="24" t="s">
        <v>49</v>
      </c>
      <c r="E1179" s="24" t="s">
        <v>56</v>
      </c>
      <c r="F1179" s="63" t="s">
        <v>0</v>
      </c>
    </row>
    <row r="1180" spans="1:6" x14ac:dyDescent="0.25">
      <c r="A1180" s="62">
        <v>45138</v>
      </c>
      <c r="B1180" s="62" t="s">
        <v>1131</v>
      </c>
      <c r="C1180" s="23">
        <v>-3796</v>
      </c>
      <c r="D1180" s="24" t="s">
        <v>52</v>
      </c>
      <c r="E1180" s="24" t="s">
        <v>53</v>
      </c>
      <c r="F1180" s="63" t="s">
        <v>0</v>
      </c>
    </row>
    <row r="1181" spans="1:6" x14ac:dyDescent="0.25">
      <c r="A1181" s="62">
        <v>45138</v>
      </c>
      <c r="B1181" s="62" t="s">
        <v>1132</v>
      </c>
      <c r="C1181" s="23">
        <v>-8297</v>
      </c>
      <c r="D1181" s="24" t="s">
        <v>49</v>
      </c>
      <c r="E1181" s="24" t="s">
        <v>56</v>
      </c>
      <c r="F1181" s="63" t="s">
        <v>0</v>
      </c>
    </row>
    <row r="1182" spans="1:6" x14ac:dyDescent="0.25">
      <c r="A1182" s="62">
        <v>45138</v>
      </c>
      <c r="B1182" s="62" t="s">
        <v>1133</v>
      </c>
      <c r="C1182" s="23">
        <v>-9443</v>
      </c>
      <c r="D1182" s="24" t="s">
        <v>49</v>
      </c>
      <c r="E1182" s="24" t="s">
        <v>56</v>
      </c>
      <c r="F1182" s="63" t="s">
        <v>0</v>
      </c>
    </row>
    <row r="1183" spans="1:6" x14ac:dyDescent="0.25">
      <c r="A1183" s="62">
        <v>45135</v>
      </c>
      <c r="B1183" s="62" t="s">
        <v>1134</v>
      </c>
      <c r="C1183" s="23">
        <v>-450</v>
      </c>
      <c r="D1183" s="24" t="s">
        <v>49</v>
      </c>
      <c r="E1183" s="24" t="s">
        <v>56</v>
      </c>
      <c r="F1183" s="63" t="s">
        <v>0</v>
      </c>
    </row>
    <row r="1184" spans="1:6" x14ac:dyDescent="0.25">
      <c r="A1184" s="62">
        <v>45135</v>
      </c>
      <c r="B1184" s="62" t="s">
        <v>1135</v>
      </c>
      <c r="C1184" s="23">
        <v>-840</v>
      </c>
      <c r="D1184" s="24" t="s">
        <v>49</v>
      </c>
      <c r="E1184" s="24" t="s">
        <v>56</v>
      </c>
      <c r="F1184" s="63" t="s">
        <v>0</v>
      </c>
    </row>
    <row r="1185" spans="1:6" x14ac:dyDescent="0.25">
      <c r="A1185" s="62">
        <v>45135</v>
      </c>
      <c r="B1185" s="62" t="s">
        <v>1136</v>
      </c>
      <c r="C1185" s="23">
        <v>-4900</v>
      </c>
      <c r="D1185" s="24" t="s">
        <v>90</v>
      </c>
      <c r="E1185" s="24" t="s">
        <v>106</v>
      </c>
      <c r="F1185" s="63" t="s">
        <v>0</v>
      </c>
    </row>
    <row r="1186" spans="1:6" x14ac:dyDescent="0.25">
      <c r="A1186" s="62">
        <v>45135</v>
      </c>
      <c r="B1186" s="62" t="s">
        <v>1137</v>
      </c>
      <c r="C1186" s="23">
        <v>-15257</v>
      </c>
      <c r="D1186" s="24" t="s">
        <v>49</v>
      </c>
      <c r="E1186" s="24" t="s">
        <v>56</v>
      </c>
      <c r="F1186" s="63" t="s">
        <v>0</v>
      </c>
    </row>
    <row r="1187" spans="1:6" x14ac:dyDescent="0.25">
      <c r="A1187" s="62">
        <v>45135</v>
      </c>
      <c r="B1187" s="62" t="s">
        <v>1138</v>
      </c>
      <c r="C1187" s="23">
        <v>-3490</v>
      </c>
      <c r="D1187" s="24" t="s">
        <v>46</v>
      </c>
      <c r="E1187" s="24" t="s">
        <v>63</v>
      </c>
      <c r="F1187" s="63" t="s">
        <v>0</v>
      </c>
    </row>
    <row r="1188" spans="1:6" x14ac:dyDescent="0.25">
      <c r="A1188" s="62">
        <v>45134</v>
      </c>
      <c r="B1188" s="62" t="s">
        <v>1139</v>
      </c>
      <c r="C1188" s="23">
        <v>-1390</v>
      </c>
      <c r="D1188" s="24" t="s">
        <v>49</v>
      </c>
      <c r="E1188" s="24" t="s">
        <v>56</v>
      </c>
      <c r="F1188" s="63" t="s">
        <v>0</v>
      </c>
    </row>
    <row r="1189" spans="1:6" x14ac:dyDescent="0.25">
      <c r="A1189" s="62">
        <v>45134</v>
      </c>
      <c r="B1189" s="62" t="s">
        <v>1140</v>
      </c>
      <c r="C1189" s="23">
        <v>-2760</v>
      </c>
      <c r="D1189" s="24" t="s">
        <v>49</v>
      </c>
      <c r="E1189" s="24" t="s">
        <v>56</v>
      </c>
      <c r="F1189" s="63" t="s">
        <v>0</v>
      </c>
    </row>
    <row r="1190" spans="1:6" x14ac:dyDescent="0.25">
      <c r="A1190" s="62">
        <v>45133</v>
      </c>
      <c r="B1190" s="62" t="s">
        <v>1141</v>
      </c>
      <c r="C1190" s="23">
        <v>-23000</v>
      </c>
      <c r="D1190" s="24" t="s">
        <v>90</v>
      </c>
      <c r="E1190" s="24" t="s">
        <v>106</v>
      </c>
      <c r="F1190" s="63" t="s">
        <v>0</v>
      </c>
    </row>
    <row r="1191" spans="1:6" x14ac:dyDescent="0.25">
      <c r="A1191" s="62">
        <v>45133</v>
      </c>
      <c r="B1191" s="62" t="s">
        <v>1142</v>
      </c>
      <c r="C1191" s="23">
        <v>-15046</v>
      </c>
      <c r="D1191" s="24" t="s">
        <v>49</v>
      </c>
      <c r="E1191" s="24" t="s">
        <v>56</v>
      </c>
      <c r="F1191" s="63" t="s">
        <v>0</v>
      </c>
    </row>
    <row r="1192" spans="1:6" x14ac:dyDescent="0.25">
      <c r="A1192" s="62">
        <v>45132</v>
      </c>
      <c r="B1192" s="62" t="s">
        <v>725</v>
      </c>
      <c r="C1192" s="23">
        <v>-1690</v>
      </c>
      <c r="D1192" s="24" t="s">
        <v>52</v>
      </c>
      <c r="E1192" s="24" t="s">
        <v>53</v>
      </c>
      <c r="F1192" s="63" t="s">
        <v>4</v>
      </c>
    </row>
    <row r="1193" spans="1:6" x14ac:dyDescent="0.25">
      <c r="A1193" s="62">
        <v>45132</v>
      </c>
      <c r="B1193" s="62" t="s">
        <v>746</v>
      </c>
      <c r="C1193" s="23">
        <v>-2300</v>
      </c>
      <c r="D1193" s="24" t="s">
        <v>52</v>
      </c>
      <c r="E1193" s="24" t="s">
        <v>53</v>
      </c>
      <c r="F1193" s="63" t="s">
        <v>4</v>
      </c>
    </row>
    <row r="1194" spans="1:6" x14ac:dyDescent="0.25">
      <c r="A1194" s="62">
        <v>45132</v>
      </c>
      <c r="B1194" s="62" t="s">
        <v>1143</v>
      </c>
      <c r="C1194" s="23">
        <v>-2700</v>
      </c>
      <c r="D1194" s="24" t="s">
        <v>52</v>
      </c>
      <c r="E1194" s="24" t="s">
        <v>53</v>
      </c>
      <c r="F1194" s="63" t="s">
        <v>4</v>
      </c>
    </row>
    <row r="1195" spans="1:6" x14ac:dyDescent="0.25">
      <c r="A1195" s="62">
        <v>45132</v>
      </c>
      <c r="B1195" s="62" t="s">
        <v>1144</v>
      </c>
      <c r="C1195" s="23">
        <v>-1300</v>
      </c>
      <c r="D1195" s="24" t="s">
        <v>52</v>
      </c>
      <c r="E1195" s="24" t="s">
        <v>53</v>
      </c>
      <c r="F1195" s="63" t="s">
        <v>0</v>
      </c>
    </row>
    <row r="1196" spans="1:6" x14ac:dyDescent="0.25">
      <c r="A1196" s="62">
        <v>45132</v>
      </c>
      <c r="B1196" s="62" t="s">
        <v>986</v>
      </c>
      <c r="C1196" s="23">
        <v>-5110</v>
      </c>
      <c r="D1196" s="24" t="s">
        <v>90</v>
      </c>
      <c r="E1196" s="24" t="s">
        <v>93</v>
      </c>
      <c r="F1196" s="63" t="s">
        <v>0</v>
      </c>
    </row>
    <row r="1197" spans="1:6" x14ac:dyDescent="0.25">
      <c r="A1197" s="62">
        <v>45132</v>
      </c>
      <c r="B1197" s="62" t="s">
        <v>1145</v>
      </c>
      <c r="C1197" s="23">
        <v>-10000</v>
      </c>
      <c r="D1197" s="24" t="s">
        <v>90</v>
      </c>
      <c r="E1197" s="24" t="s">
        <v>91</v>
      </c>
      <c r="F1197" s="63" t="s">
        <v>0</v>
      </c>
    </row>
    <row r="1198" spans="1:6" x14ac:dyDescent="0.25">
      <c r="A1198" s="62">
        <v>45132</v>
      </c>
      <c r="B1198" s="62" t="s">
        <v>1146</v>
      </c>
      <c r="C1198" s="23">
        <v>-2816</v>
      </c>
      <c r="D1198" s="24" t="s">
        <v>90</v>
      </c>
      <c r="E1198" s="24" t="s">
        <v>59</v>
      </c>
      <c r="F1198" s="63" t="s">
        <v>0</v>
      </c>
    </row>
    <row r="1199" spans="1:6" x14ac:dyDescent="0.25">
      <c r="A1199" s="62">
        <v>45132</v>
      </c>
      <c r="B1199" s="62" t="s">
        <v>1147</v>
      </c>
      <c r="C1199" s="23">
        <v>-999</v>
      </c>
      <c r="D1199" s="24" t="s">
        <v>46</v>
      </c>
      <c r="E1199" s="24" t="s">
        <v>63</v>
      </c>
      <c r="F1199" s="63" t="s">
        <v>0</v>
      </c>
    </row>
    <row r="1200" spans="1:6" x14ac:dyDescent="0.25">
      <c r="A1200" s="62">
        <v>45131</v>
      </c>
      <c r="B1200" s="62" t="s">
        <v>1148</v>
      </c>
      <c r="C1200" s="23">
        <v>-1470</v>
      </c>
      <c r="D1200" s="24" t="s">
        <v>49</v>
      </c>
      <c r="E1200" s="24" t="s">
        <v>56</v>
      </c>
      <c r="F1200" s="63" t="s">
        <v>0</v>
      </c>
    </row>
    <row r="1201" spans="1:6" x14ac:dyDescent="0.25">
      <c r="A1201" s="62">
        <v>45131</v>
      </c>
      <c r="B1201" s="62" t="s">
        <v>1149</v>
      </c>
      <c r="C1201" s="23">
        <v>-2310</v>
      </c>
      <c r="D1201" s="24" t="s">
        <v>49</v>
      </c>
      <c r="E1201" s="24" t="s">
        <v>56</v>
      </c>
      <c r="F1201" s="63" t="s">
        <v>0</v>
      </c>
    </row>
    <row r="1202" spans="1:6" x14ac:dyDescent="0.25">
      <c r="A1202" s="62">
        <v>45131</v>
      </c>
      <c r="B1202" s="62" t="s">
        <v>1150</v>
      </c>
      <c r="C1202" s="23">
        <v>-2680</v>
      </c>
      <c r="D1202" s="24" t="s">
        <v>49</v>
      </c>
      <c r="E1202" s="24" t="s">
        <v>56</v>
      </c>
      <c r="F1202" s="63" t="s">
        <v>0</v>
      </c>
    </row>
    <row r="1203" spans="1:6" x14ac:dyDescent="0.25">
      <c r="A1203" s="62">
        <v>45131</v>
      </c>
      <c r="B1203" s="62" t="s">
        <v>1151</v>
      </c>
      <c r="C1203" s="23">
        <v>-3206</v>
      </c>
      <c r="D1203" s="24" t="s">
        <v>49</v>
      </c>
      <c r="E1203" s="24" t="s">
        <v>56</v>
      </c>
      <c r="F1203" s="63" t="s">
        <v>0</v>
      </c>
    </row>
    <row r="1204" spans="1:6" x14ac:dyDescent="0.25">
      <c r="A1204" s="62">
        <v>45131</v>
      </c>
      <c r="B1204" s="62" t="s">
        <v>1152</v>
      </c>
      <c r="C1204" s="23">
        <v>-5106</v>
      </c>
      <c r="D1204" s="24" t="s">
        <v>90</v>
      </c>
      <c r="E1204" s="24" t="s">
        <v>59</v>
      </c>
      <c r="F1204" s="63" t="s">
        <v>0</v>
      </c>
    </row>
    <row r="1205" spans="1:6" x14ac:dyDescent="0.25">
      <c r="A1205" s="62">
        <v>45131</v>
      </c>
      <c r="B1205" s="62" t="s">
        <v>1153</v>
      </c>
      <c r="C1205" s="23">
        <v>-21150</v>
      </c>
      <c r="D1205" s="24" t="s">
        <v>49</v>
      </c>
      <c r="E1205" s="24" t="s">
        <v>56</v>
      </c>
      <c r="F1205" s="63" t="s">
        <v>0</v>
      </c>
    </row>
    <row r="1206" spans="1:6" x14ac:dyDescent="0.25">
      <c r="A1206" s="62">
        <v>45131</v>
      </c>
      <c r="B1206" s="62" t="s">
        <v>1154</v>
      </c>
      <c r="C1206" s="23">
        <v>-21625</v>
      </c>
      <c r="D1206" s="24" t="s">
        <v>49</v>
      </c>
      <c r="E1206" s="24" t="s">
        <v>164</v>
      </c>
      <c r="F1206" s="63" t="s">
        <v>0</v>
      </c>
    </row>
    <row r="1207" spans="1:6" x14ac:dyDescent="0.25">
      <c r="A1207" s="62">
        <v>45131</v>
      </c>
      <c r="B1207" s="62" t="s">
        <v>1155</v>
      </c>
      <c r="C1207" s="23">
        <v>-6699</v>
      </c>
      <c r="D1207" s="24" t="s">
        <v>49</v>
      </c>
      <c r="E1207" s="24" t="s">
        <v>56</v>
      </c>
      <c r="F1207" s="63" t="s">
        <v>0</v>
      </c>
    </row>
    <row r="1208" spans="1:6" x14ac:dyDescent="0.25">
      <c r="A1208" s="62">
        <v>45131</v>
      </c>
      <c r="B1208" s="62" t="s">
        <v>1156</v>
      </c>
      <c r="C1208" s="23">
        <v>-4999</v>
      </c>
      <c r="D1208" s="24" t="s">
        <v>49</v>
      </c>
      <c r="E1208" s="24" t="s">
        <v>56</v>
      </c>
      <c r="F1208" s="63" t="s">
        <v>0</v>
      </c>
    </row>
    <row r="1209" spans="1:6" x14ac:dyDescent="0.25">
      <c r="A1209" s="62">
        <v>45128</v>
      </c>
      <c r="B1209" s="62" t="s">
        <v>1157</v>
      </c>
      <c r="C1209" s="23">
        <v>-1797</v>
      </c>
      <c r="D1209" s="24" t="s">
        <v>49</v>
      </c>
      <c r="E1209" s="24" t="s">
        <v>56</v>
      </c>
      <c r="F1209" s="63" t="s">
        <v>0</v>
      </c>
    </row>
    <row r="1210" spans="1:6" x14ac:dyDescent="0.25">
      <c r="A1210" s="62">
        <v>45128</v>
      </c>
      <c r="B1210" s="62" t="s">
        <v>1158</v>
      </c>
      <c r="C1210" s="23">
        <v>-2240</v>
      </c>
      <c r="D1210" s="24" t="s">
        <v>49</v>
      </c>
      <c r="E1210" s="24" t="s">
        <v>56</v>
      </c>
      <c r="F1210" s="63" t="s">
        <v>0</v>
      </c>
    </row>
    <row r="1211" spans="1:6" x14ac:dyDescent="0.25">
      <c r="A1211" s="62">
        <v>45128</v>
      </c>
      <c r="B1211" s="62" t="s">
        <v>1159</v>
      </c>
      <c r="C1211" s="23">
        <v>-75570</v>
      </c>
      <c r="D1211" s="24" t="s">
        <v>49</v>
      </c>
      <c r="E1211" s="24" t="s">
        <v>50</v>
      </c>
      <c r="F1211" s="63" t="s">
        <v>0</v>
      </c>
    </row>
    <row r="1212" spans="1:6" x14ac:dyDescent="0.25">
      <c r="A1212" s="62">
        <v>45127</v>
      </c>
      <c r="B1212" s="62" t="s">
        <v>139</v>
      </c>
      <c r="C1212" s="23">
        <v>31960</v>
      </c>
      <c r="D1212" s="24" t="s">
        <v>58</v>
      </c>
      <c r="E1212" s="24" t="s">
        <v>58</v>
      </c>
      <c r="F1212" s="63" t="s">
        <v>4</v>
      </c>
    </row>
    <row r="1213" spans="1:6" x14ac:dyDescent="0.25">
      <c r="A1213" s="62">
        <v>45127</v>
      </c>
      <c r="B1213" s="62" t="s">
        <v>1160</v>
      </c>
      <c r="C1213" s="23">
        <v>-1470</v>
      </c>
      <c r="D1213" s="24" t="s">
        <v>49</v>
      </c>
      <c r="E1213" s="24" t="s">
        <v>56</v>
      </c>
      <c r="F1213" s="63" t="s">
        <v>0</v>
      </c>
    </row>
    <row r="1214" spans="1:6" x14ac:dyDescent="0.25">
      <c r="A1214" s="62">
        <v>45127</v>
      </c>
      <c r="B1214" s="62" t="s">
        <v>1161</v>
      </c>
      <c r="C1214" s="23">
        <v>-27490</v>
      </c>
      <c r="D1214" s="24" t="s">
        <v>49</v>
      </c>
      <c r="E1214" s="24" t="s">
        <v>67</v>
      </c>
      <c r="F1214" s="63" t="s">
        <v>0</v>
      </c>
    </row>
    <row r="1215" spans="1:6" x14ac:dyDescent="0.25">
      <c r="A1215" s="62">
        <v>45127</v>
      </c>
      <c r="B1215" s="62" t="s">
        <v>704</v>
      </c>
      <c r="C1215" s="23">
        <v>-6944</v>
      </c>
      <c r="D1215" s="24" t="s">
        <v>46</v>
      </c>
      <c r="E1215" s="24" t="s">
        <v>1162</v>
      </c>
      <c r="F1215" s="63" t="s">
        <v>0</v>
      </c>
    </row>
    <row r="1216" spans="1:6" x14ac:dyDescent="0.25">
      <c r="A1216" s="62">
        <v>45127</v>
      </c>
      <c r="B1216" s="62" t="s">
        <v>833</v>
      </c>
      <c r="C1216" s="23">
        <v>-4567</v>
      </c>
      <c r="D1216" s="24" t="s">
        <v>46</v>
      </c>
      <c r="E1216" s="24" t="s">
        <v>512</v>
      </c>
      <c r="F1216" s="63" t="s">
        <v>0</v>
      </c>
    </row>
    <row r="1217" spans="1:6" x14ac:dyDescent="0.25">
      <c r="A1217" s="62">
        <v>45127</v>
      </c>
      <c r="B1217" s="62" t="s">
        <v>1163</v>
      </c>
      <c r="C1217" s="23">
        <v>-7425</v>
      </c>
      <c r="D1217" s="24" t="s">
        <v>46</v>
      </c>
      <c r="E1217" s="24" t="s">
        <v>63</v>
      </c>
      <c r="F1217" s="63" t="s">
        <v>0</v>
      </c>
    </row>
    <row r="1218" spans="1:6" x14ac:dyDescent="0.25">
      <c r="A1218" s="62">
        <v>45127</v>
      </c>
      <c r="B1218" s="62" t="s">
        <v>1164</v>
      </c>
      <c r="C1218" s="23">
        <v>-3000</v>
      </c>
      <c r="D1218" s="24" t="s">
        <v>49</v>
      </c>
      <c r="E1218" s="24" t="s">
        <v>1165</v>
      </c>
      <c r="F1218" s="63" t="s">
        <v>0</v>
      </c>
    </row>
    <row r="1219" spans="1:6" x14ac:dyDescent="0.25">
      <c r="A1219" s="62">
        <v>45126</v>
      </c>
      <c r="B1219" s="62" t="s">
        <v>686</v>
      </c>
      <c r="C1219" s="23">
        <v>-1580</v>
      </c>
      <c r="D1219" s="24" t="s">
        <v>52</v>
      </c>
      <c r="E1219" s="24" t="s">
        <v>53</v>
      </c>
      <c r="F1219" s="63" t="s">
        <v>0</v>
      </c>
    </row>
    <row r="1220" spans="1:6" x14ac:dyDescent="0.25">
      <c r="A1220" s="62">
        <v>45126</v>
      </c>
      <c r="B1220" s="62" t="s">
        <v>1166</v>
      </c>
      <c r="C1220" s="23">
        <v>-38623</v>
      </c>
      <c r="D1220" s="24" t="s">
        <v>72</v>
      </c>
      <c r="E1220" s="24" t="s">
        <v>109</v>
      </c>
      <c r="F1220" s="63" t="s">
        <v>0</v>
      </c>
    </row>
    <row r="1221" spans="1:6" x14ac:dyDescent="0.25">
      <c r="A1221" s="62">
        <v>45126</v>
      </c>
      <c r="B1221" s="62" t="s">
        <v>1167</v>
      </c>
      <c r="C1221" s="23">
        <v>-4084</v>
      </c>
      <c r="D1221" s="24" t="s">
        <v>49</v>
      </c>
      <c r="E1221" s="24" t="s">
        <v>56</v>
      </c>
      <c r="F1221" s="63" t="s">
        <v>0</v>
      </c>
    </row>
    <row r="1222" spans="1:6" x14ac:dyDescent="0.25">
      <c r="A1222" s="62">
        <v>45125</v>
      </c>
      <c r="B1222" s="62" t="s">
        <v>1168</v>
      </c>
      <c r="C1222" s="23">
        <v>-2875</v>
      </c>
      <c r="D1222" s="24" t="s">
        <v>52</v>
      </c>
      <c r="E1222" s="24" t="s">
        <v>53</v>
      </c>
      <c r="F1222" s="63" t="s">
        <v>4</v>
      </c>
    </row>
    <row r="1223" spans="1:6" x14ac:dyDescent="0.25">
      <c r="A1223" s="62">
        <v>45125</v>
      </c>
      <c r="B1223" s="62" t="s">
        <v>1169</v>
      </c>
      <c r="C1223" s="23">
        <v>-30000</v>
      </c>
      <c r="D1223" s="24" t="s">
        <v>49</v>
      </c>
      <c r="E1223" s="24" t="s">
        <v>67</v>
      </c>
      <c r="F1223" s="63" t="s">
        <v>0</v>
      </c>
    </row>
    <row r="1224" spans="1:6" x14ac:dyDescent="0.25">
      <c r="A1224" s="62">
        <v>45124</v>
      </c>
      <c r="B1224" s="62" t="s">
        <v>1170</v>
      </c>
      <c r="C1224" s="23">
        <v>-620</v>
      </c>
      <c r="D1224" s="24" t="s">
        <v>49</v>
      </c>
      <c r="E1224" s="24" t="s">
        <v>56</v>
      </c>
      <c r="F1224" s="63" t="s">
        <v>0</v>
      </c>
    </row>
    <row r="1225" spans="1:6" x14ac:dyDescent="0.25">
      <c r="A1225" s="62">
        <v>45124</v>
      </c>
      <c r="B1225" s="62" t="s">
        <v>1171</v>
      </c>
      <c r="C1225" s="23">
        <v>-16959</v>
      </c>
      <c r="D1225" s="24" t="s">
        <v>49</v>
      </c>
      <c r="E1225" s="24" t="s">
        <v>56</v>
      </c>
      <c r="F1225" s="63" t="s">
        <v>0</v>
      </c>
    </row>
    <row r="1226" spans="1:6" x14ac:dyDescent="0.25">
      <c r="A1226" s="62">
        <v>45124</v>
      </c>
      <c r="B1226" s="62" t="s">
        <v>1172</v>
      </c>
      <c r="C1226" s="23">
        <v>-116</v>
      </c>
      <c r="D1226" s="24" t="s">
        <v>49</v>
      </c>
      <c r="E1226" s="24" t="s">
        <v>56</v>
      </c>
      <c r="F1226" s="63" t="s">
        <v>0</v>
      </c>
    </row>
    <row r="1227" spans="1:6" x14ac:dyDescent="0.25">
      <c r="A1227" s="62">
        <v>45124</v>
      </c>
      <c r="B1227" s="62" t="s">
        <v>1173</v>
      </c>
      <c r="C1227" s="23">
        <v>-19070</v>
      </c>
      <c r="D1227" s="24" t="s">
        <v>46</v>
      </c>
      <c r="E1227" s="24" t="s">
        <v>61</v>
      </c>
      <c r="F1227" s="63" t="s">
        <v>0</v>
      </c>
    </row>
    <row r="1228" spans="1:6" x14ac:dyDescent="0.25">
      <c r="A1228" s="62">
        <v>45124</v>
      </c>
      <c r="B1228" s="62" t="s">
        <v>1174</v>
      </c>
      <c r="C1228" s="23">
        <v>-2280</v>
      </c>
      <c r="D1228" s="24" t="s">
        <v>46</v>
      </c>
      <c r="E1228" s="24" t="s">
        <v>61</v>
      </c>
      <c r="F1228" s="63" t="s">
        <v>0</v>
      </c>
    </row>
    <row r="1229" spans="1:6" x14ac:dyDescent="0.25">
      <c r="A1229" s="62">
        <v>45124</v>
      </c>
      <c r="B1229" s="62" t="s">
        <v>1175</v>
      </c>
      <c r="C1229" s="23">
        <v>-2270</v>
      </c>
      <c r="D1229" s="24" t="s">
        <v>46</v>
      </c>
      <c r="E1229" s="24" t="s">
        <v>61</v>
      </c>
      <c r="F1229" s="63" t="s">
        <v>0</v>
      </c>
    </row>
    <row r="1230" spans="1:6" x14ac:dyDescent="0.25">
      <c r="A1230" s="62">
        <v>45124</v>
      </c>
      <c r="B1230" s="62" t="s">
        <v>1176</v>
      </c>
      <c r="C1230" s="23">
        <v>-39990</v>
      </c>
      <c r="D1230" s="24" t="s">
        <v>49</v>
      </c>
      <c r="E1230" s="24" t="s">
        <v>232</v>
      </c>
      <c r="F1230" s="63" t="s">
        <v>0</v>
      </c>
    </row>
    <row r="1231" spans="1:6" x14ac:dyDescent="0.25">
      <c r="A1231" s="62">
        <v>45122</v>
      </c>
      <c r="B1231" s="62" t="s">
        <v>765</v>
      </c>
      <c r="C1231" s="23">
        <v>-7380</v>
      </c>
      <c r="D1231" s="24" t="s">
        <v>52</v>
      </c>
      <c r="E1231" s="24" t="s">
        <v>53</v>
      </c>
      <c r="F1231" s="63" t="s">
        <v>4</v>
      </c>
    </row>
    <row r="1232" spans="1:6" x14ac:dyDescent="0.25">
      <c r="A1232" s="62">
        <v>45121</v>
      </c>
      <c r="B1232" s="62" t="s">
        <v>1177</v>
      </c>
      <c r="C1232" s="23">
        <v>-2060</v>
      </c>
      <c r="D1232" s="24" t="s">
        <v>49</v>
      </c>
      <c r="E1232" s="24" t="s">
        <v>56</v>
      </c>
      <c r="F1232" s="63" t="s">
        <v>0</v>
      </c>
    </row>
    <row r="1233" spans="1:6" x14ac:dyDescent="0.25">
      <c r="A1233" s="62">
        <v>45120</v>
      </c>
      <c r="B1233" s="62" t="s">
        <v>1178</v>
      </c>
      <c r="C1233" s="23">
        <v>-1800</v>
      </c>
      <c r="D1233" s="24" t="s">
        <v>52</v>
      </c>
      <c r="E1233" s="24" t="s">
        <v>53</v>
      </c>
      <c r="F1233" s="63" t="s">
        <v>0</v>
      </c>
    </row>
    <row r="1234" spans="1:6" x14ac:dyDescent="0.25">
      <c r="A1234" s="62">
        <v>45120</v>
      </c>
      <c r="B1234" s="62" t="s">
        <v>1092</v>
      </c>
      <c r="C1234" s="23">
        <v>-8900</v>
      </c>
      <c r="D1234" s="24" t="s">
        <v>46</v>
      </c>
      <c r="E1234" s="24" t="s">
        <v>80</v>
      </c>
      <c r="F1234" s="63" t="s">
        <v>0</v>
      </c>
    </row>
    <row r="1235" spans="1:6" x14ac:dyDescent="0.25">
      <c r="A1235" s="62">
        <v>45119</v>
      </c>
      <c r="B1235" s="62" t="s">
        <v>1179</v>
      </c>
      <c r="C1235" s="23">
        <v>-2190</v>
      </c>
      <c r="D1235" s="24" t="s">
        <v>52</v>
      </c>
      <c r="E1235" s="24" t="s">
        <v>53</v>
      </c>
      <c r="F1235" s="63" t="s">
        <v>4</v>
      </c>
    </row>
    <row r="1236" spans="1:6" x14ac:dyDescent="0.25">
      <c r="A1236" s="62">
        <v>45119</v>
      </c>
      <c r="B1236" s="62" t="s">
        <v>1180</v>
      </c>
      <c r="C1236" s="23">
        <v>-589</v>
      </c>
      <c r="D1236" s="24" t="s">
        <v>49</v>
      </c>
      <c r="E1236" s="24" t="s">
        <v>56</v>
      </c>
      <c r="F1236" s="63" t="s">
        <v>0</v>
      </c>
    </row>
    <row r="1237" spans="1:6" x14ac:dyDescent="0.25">
      <c r="A1237" s="62">
        <v>45119</v>
      </c>
      <c r="B1237" s="62" t="s">
        <v>1181</v>
      </c>
      <c r="C1237" s="23">
        <v>-1890</v>
      </c>
      <c r="D1237" s="24" t="s">
        <v>49</v>
      </c>
      <c r="E1237" s="24" t="s">
        <v>50</v>
      </c>
      <c r="F1237" s="63" t="s">
        <v>0</v>
      </c>
    </row>
    <row r="1238" spans="1:6" x14ac:dyDescent="0.25">
      <c r="A1238" s="62">
        <v>45119</v>
      </c>
      <c r="B1238" s="62" t="s">
        <v>1182</v>
      </c>
      <c r="C1238" s="23">
        <v>-6580</v>
      </c>
      <c r="D1238" s="24" t="s">
        <v>52</v>
      </c>
      <c r="E1238" s="24" t="s">
        <v>53</v>
      </c>
      <c r="F1238" s="63" t="s">
        <v>0</v>
      </c>
    </row>
    <row r="1239" spans="1:6" x14ac:dyDescent="0.25">
      <c r="A1239" s="62">
        <v>45119</v>
      </c>
      <c r="B1239" s="62" t="s">
        <v>1183</v>
      </c>
      <c r="C1239" s="23">
        <v>-10000</v>
      </c>
      <c r="D1239" s="24" t="s">
        <v>90</v>
      </c>
      <c r="E1239" s="24" t="s">
        <v>91</v>
      </c>
      <c r="F1239" s="63" t="s">
        <v>0</v>
      </c>
    </row>
    <row r="1240" spans="1:6" x14ac:dyDescent="0.25">
      <c r="A1240" s="62">
        <v>45119</v>
      </c>
      <c r="B1240" s="62" t="s">
        <v>1184</v>
      </c>
      <c r="C1240" s="23">
        <v>-18485</v>
      </c>
      <c r="D1240" s="24" t="s">
        <v>49</v>
      </c>
      <c r="E1240" s="24" t="s">
        <v>56</v>
      </c>
      <c r="F1240" s="63" t="s">
        <v>0</v>
      </c>
    </row>
    <row r="1241" spans="1:6" x14ac:dyDescent="0.25">
      <c r="A1241" s="62">
        <v>45119</v>
      </c>
      <c r="B1241" s="62" t="s">
        <v>1185</v>
      </c>
      <c r="C1241" s="23">
        <v>-32404</v>
      </c>
      <c r="D1241" s="24" t="s">
        <v>49</v>
      </c>
      <c r="E1241" s="24" t="s">
        <v>56</v>
      </c>
      <c r="F1241" s="63" t="s">
        <v>0</v>
      </c>
    </row>
    <row r="1242" spans="1:6" x14ac:dyDescent="0.25">
      <c r="A1242" s="62">
        <v>45119</v>
      </c>
      <c r="B1242" s="62" t="s">
        <v>1186</v>
      </c>
      <c r="C1242" s="23">
        <v>-53860</v>
      </c>
      <c r="D1242" s="24" t="s">
        <v>167</v>
      </c>
      <c r="E1242" s="24" t="s">
        <v>183</v>
      </c>
      <c r="F1242" s="63" t="s">
        <v>0</v>
      </c>
    </row>
    <row r="1243" spans="1:6" x14ac:dyDescent="0.25">
      <c r="A1243" s="62">
        <v>45119</v>
      </c>
      <c r="B1243" s="62" t="s">
        <v>1187</v>
      </c>
      <c r="C1243" s="23">
        <v>-14598</v>
      </c>
      <c r="D1243" s="24" t="s">
        <v>49</v>
      </c>
      <c r="E1243" s="24" t="s">
        <v>232</v>
      </c>
      <c r="F1243" s="63" t="s">
        <v>0</v>
      </c>
    </row>
    <row r="1244" spans="1:6" x14ac:dyDescent="0.25">
      <c r="A1244" s="62">
        <v>45119</v>
      </c>
      <c r="B1244" s="62" t="s">
        <v>1188</v>
      </c>
      <c r="C1244" s="23">
        <v>-1199</v>
      </c>
      <c r="D1244" s="24" t="s">
        <v>49</v>
      </c>
      <c r="E1244" s="24" t="s">
        <v>56</v>
      </c>
      <c r="F1244" s="63" t="s">
        <v>0</v>
      </c>
    </row>
    <row r="1245" spans="1:6" x14ac:dyDescent="0.25">
      <c r="A1245" s="62">
        <v>45119</v>
      </c>
      <c r="B1245" s="62" t="s">
        <v>1095</v>
      </c>
      <c r="C1245" s="23">
        <v>-5588</v>
      </c>
      <c r="D1245" s="24" t="s">
        <v>46</v>
      </c>
      <c r="E1245" s="24" t="s">
        <v>145</v>
      </c>
      <c r="F1245" s="63" t="s">
        <v>0</v>
      </c>
    </row>
    <row r="1246" spans="1:6" x14ac:dyDescent="0.25">
      <c r="A1246" s="62">
        <v>45119</v>
      </c>
      <c r="B1246" s="62" t="s">
        <v>704</v>
      </c>
      <c r="C1246" s="23">
        <v>-6944</v>
      </c>
      <c r="D1246" s="24" t="s">
        <v>46</v>
      </c>
      <c r="E1246" s="24" t="s">
        <v>1162</v>
      </c>
      <c r="F1246" s="63" t="s">
        <v>0</v>
      </c>
    </row>
    <row r="1247" spans="1:6" x14ac:dyDescent="0.25">
      <c r="A1247" s="62">
        <v>45118</v>
      </c>
      <c r="B1247" s="62" t="s">
        <v>746</v>
      </c>
      <c r="C1247" s="23">
        <v>-2500</v>
      </c>
      <c r="D1247" s="24" t="s">
        <v>52</v>
      </c>
      <c r="E1247" s="24" t="s">
        <v>53</v>
      </c>
      <c r="F1247" s="63" t="s">
        <v>4</v>
      </c>
    </row>
    <row r="1248" spans="1:6" x14ac:dyDescent="0.25">
      <c r="A1248" s="62">
        <v>45118</v>
      </c>
      <c r="B1248" s="62" t="s">
        <v>1084</v>
      </c>
      <c r="C1248" s="23">
        <v>-1580</v>
      </c>
      <c r="D1248" s="24" t="s">
        <v>52</v>
      </c>
      <c r="E1248" s="24" t="s">
        <v>53</v>
      </c>
      <c r="F1248" s="63" t="s">
        <v>4</v>
      </c>
    </row>
    <row r="1249" spans="1:6" x14ac:dyDescent="0.25">
      <c r="A1249" s="62">
        <v>45118</v>
      </c>
      <c r="B1249" s="62" t="s">
        <v>1189</v>
      </c>
      <c r="C1249" s="23">
        <v>-200000</v>
      </c>
      <c r="D1249" s="24" t="s">
        <v>167</v>
      </c>
      <c r="E1249" s="24" t="s">
        <v>183</v>
      </c>
      <c r="F1249" s="63" t="s">
        <v>0</v>
      </c>
    </row>
    <row r="1250" spans="1:6" x14ac:dyDescent="0.25">
      <c r="A1250" s="62">
        <v>45118</v>
      </c>
      <c r="B1250" s="62" t="s">
        <v>1190</v>
      </c>
      <c r="C1250" s="23">
        <v>-2790</v>
      </c>
      <c r="D1250" s="24" t="s">
        <v>52</v>
      </c>
      <c r="E1250" s="24" t="s">
        <v>53</v>
      </c>
      <c r="F1250" s="63" t="s">
        <v>0</v>
      </c>
    </row>
    <row r="1251" spans="1:6" x14ac:dyDescent="0.25">
      <c r="A1251" s="62">
        <v>45117</v>
      </c>
      <c r="B1251" s="62" t="s">
        <v>1191</v>
      </c>
      <c r="C1251" s="23">
        <v>-217289.85</v>
      </c>
      <c r="D1251" s="24" t="s">
        <v>46</v>
      </c>
      <c r="E1251" s="24" t="s">
        <v>10</v>
      </c>
      <c r="F1251" s="63" t="s">
        <v>0</v>
      </c>
    </row>
    <row r="1252" spans="1:6" x14ac:dyDescent="0.25">
      <c r="A1252" s="62">
        <v>45117</v>
      </c>
      <c r="B1252" s="62" t="s">
        <v>725</v>
      </c>
      <c r="C1252" s="23">
        <v>-1690</v>
      </c>
      <c r="D1252" s="24" t="s">
        <v>52</v>
      </c>
      <c r="E1252" s="24" t="s">
        <v>53</v>
      </c>
      <c r="F1252" s="63" t="s">
        <v>4</v>
      </c>
    </row>
    <row r="1253" spans="1:6" x14ac:dyDescent="0.25">
      <c r="A1253" s="62">
        <v>45117</v>
      </c>
      <c r="B1253" s="62" t="s">
        <v>1192</v>
      </c>
      <c r="C1253" s="23">
        <v>-9980</v>
      </c>
      <c r="D1253" s="24" t="s">
        <v>49</v>
      </c>
      <c r="E1253" s="24" t="s">
        <v>213</v>
      </c>
      <c r="F1253" s="63" t="s">
        <v>0</v>
      </c>
    </row>
    <row r="1254" spans="1:6" x14ac:dyDescent="0.25">
      <c r="A1254" s="62">
        <v>45117</v>
      </c>
      <c r="B1254" s="62" t="s">
        <v>1193</v>
      </c>
      <c r="C1254" s="23">
        <v>-7461</v>
      </c>
      <c r="D1254" s="24" t="s">
        <v>52</v>
      </c>
      <c r="E1254" s="24" t="s">
        <v>53</v>
      </c>
      <c r="F1254" s="63" t="s">
        <v>0</v>
      </c>
    </row>
    <row r="1255" spans="1:6" x14ac:dyDescent="0.25">
      <c r="A1255" s="62">
        <v>45117</v>
      </c>
      <c r="B1255" s="62" t="s">
        <v>1194</v>
      </c>
      <c r="C1255" s="23">
        <v>-12725</v>
      </c>
      <c r="D1255" s="24" t="s">
        <v>46</v>
      </c>
      <c r="E1255" s="24" t="s">
        <v>428</v>
      </c>
      <c r="F1255" s="63" t="s">
        <v>0</v>
      </c>
    </row>
    <row r="1256" spans="1:6" x14ac:dyDescent="0.25">
      <c r="A1256" s="62">
        <v>45117</v>
      </c>
      <c r="B1256" s="62" t="s">
        <v>993</v>
      </c>
      <c r="C1256" s="23">
        <v>-1000</v>
      </c>
      <c r="D1256" s="24" t="s">
        <v>49</v>
      </c>
      <c r="E1256" s="24" t="s">
        <v>56</v>
      </c>
      <c r="F1256" s="63" t="s">
        <v>0</v>
      </c>
    </row>
    <row r="1257" spans="1:6" x14ac:dyDescent="0.25">
      <c r="A1257" s="62">
        <v>45117</v>
      </c>
      <c r="B1257" s="62" t="s">
        <v>1195</v>
      </c>
      <c r="C1257" s="23">
        <v>-2980</v>
      </c>
      <c r="D1257" s="24" t="s">
        <v>46</v>
      </c>
      <c r="E1257" s="24" t="s">
        <v>61</v>
      </c>
      <c r="F1257" s="63" t="s">
        <v>0</v>
      </c>
    </row>
    <row r="1258" spans="1:6" x14ac:dyDescent="0.25">
      <c r="A1258" s="62">
        <v>45117</v>
      </c>
      <c r="B1258" s="62" t="s">
        <v>713</v>
      </c>
      <c r="C1258" s="23">
        <v>2162731</v>
      </c>
      <c r="D1258" s="24" t="s">
        <v>58</v>
      </c>
      <c r="E1258" s="24" t="s">
        <v>58</v>
      </c>
      <c r="F1258" s="63" t="s">
        <v>0</v>
      </c>
    </row>
    <row r="1259" spans="1:6" x14ac:dyDescent="0.25">
      <c r="A1259" s="62">
        <v>45117</v>
      </c>
      <c r="B1259" s="62" t="s">
        <v>1196</v>
      </c>
      <c r="C1259" s="23">
        <v>-44514.94</v>
      </c>
      <c r="D1259" s="24" t="s">
        <v>46</v>
      </c>
      <c r="E1259" s="24" t="s">
        <v>10</v>
      </c>
      <c r="F1259" s="63" t="s">
        <v>0</v>
      </c>
    </row>
    <row r="1260" spans="1:6" x14ac:dyDescent="0.25">
      <c r="A1260" s="62">
        <v>45117</v>
      </c>
      <c r="B1260" s="62" t="s">
        <v>1191</v>
      </c>
      <c r="C1260" s="23">
        <v>217289.85</v>
      </c>
      <c r="D1260" s="24" t="s">
        <v>46</v>
      </c>
      <c r="E1260" s="24" t="s">
        <v>10</v>
      </c>
      <c r="F1260" s="63" t="s">
        <v>10</v>
      </c>
    </row>
    <row r="1261" spans="1:6" x14ac:dyDescent="0.25">
      <c r="A1261" s="62">
        <v>45114</v>
      </c>
      <c r="B1261" s="62" t="s">
        <v>1197</v>
      </c>
      <c r="C1261" s="23">
        <v>-5120</v>
      </c>
      <c r="D1261" s="24" t="s">
        <v>49</v>
      </c>
      <c r="E1261" s="24" t="s">
        <v>56</v>
      </c>
      <c r="F1261" s="63" t="s">
        <v>0</v>
      </c>
    </row>
    <row r="1262" spans="1:6" x14ac:dyDescent="0.25">
      <c r="A1262" s="62">
        <v>45113</v>
      </c>
      <c r="B1262" s="62" t="s">
        <v>1198</v>
      </c>
      <c r="C1262" s="23">
        <v>82150</v>
      </c>
      <c r="D1262" s="24" t="s">
        <v>49</v>
      </c>
      <c r="E1262" s="24" t="s">
        <v>213</v>
      </c>
      <c r="F1262" s="63" t="s">
        <v>0</v>
      </c>
    </row>
    <row r="1263" spans="1:6" x14ac:dyDescent="0.25">
      <c r="A1263" s="62">
        <v>45113</v>
      </c>
      <c r="B1263" s="62" t="s">
        <v>1199</v>
      </c>
      <c r="C1263" s="23">
        <v>-5998</v>
      </c>
      <c r="D1263" s="24" t="s">
        <v>49</v>
      </c>
      <c r="E1263" s="24" t="s">
        <v>56</v>
      </c>
      <c r="F1263" s="63" t="s">
        <v>0</v>
      </c>
    </row>
    <row r="1264" spans="1:6" x14ac:dyDescent="0.25">
      <c r="A1264" s="62">
        <v>45113</v>
      </c>
      <c r="B1264" s="62" t="s">
        <v>1200</v>
      </c>
      <c r="C1264" s="23">
        <v>-11411</v>
      </c>
      <c r="D1264" s="24" t="s">
        <v>49</v>
      </c>
      <c r="E1264" s="24" t="s">
        <v>56</v>
      </c>
      <c r="F1264" s="63" t="s">
        <v>0</v>
      </c>
    </row>
    <row r="1265" spans="1:6" x14ac:dyDescent="0.25">
      <c r="A1265" s="62">
        <v>45113</v>
      </c>
      <c r="B1265" s="62" t="s">
        <v>1201</v>
      </c>
      <c r="C1265" s="23">
        <v>-13213</v>
      </c>
      <c r="D1265" s="24" t="s">
        <v>49</v>
      </c>
      <c r="E1265" s="24" t="s">
        <v>56</v>
      </c>
      <c r="F1265" s="63" t="s">
        <v>0</v>
      </c>
    </row>
    <row r="1266" spans="1:6" x14ac:dyDescent="0.25">
      <c r="A1266" s="62">
        <v>45113</v>
      </c>
      <c r="B1266" s="62" t="s">
        <v>1202</v>
      </c>
      <c r="C1266" s="23">
        <v>-20590</v>
      </c>
      <c r="D1266" s="24" t="s">
        <v>52</v>
      </c>
      <c r="E1266" s="24" t="s">
        <v>53</v>
      </c>
      <c r="F1266" s="63" t="s">
        <v>0</v>
      </c>
    </row>
    <row r="1267" spans="1:6" x14ac:dyDescent="0.25">
      <c r="A1267" s="62">
        <v>45113</v>
      </c>
      <c r="B1267" s="62" t="s">
        <v>1203</v>
      </c>
      <c r="C1267" s="23">
        <v>-7990</v>
      </c>
      <c r="D1267" s="24" t="s">
        <v>49</v>
      </c>
      <c r="E1267" s="24" t="s">
        <v>50</v>
      </c>
      <c r="F1267" s="63" t="s">
        <v>0</v>
      </c>
    </row>
    <row r="1268" spans="1:6" x14ac:dyDescent="0.25">
      <c r="A1268" s="62">
        <v>45113</v>
      </c>
      <c r="B1268" s="62" t="s">
        <v>1204</v>
      </c>
      <c r="C1268" s="23">
        <v>-5150</v>
      </c>
      <c r="D1268" s="24" t="s">
        <v>52</v>
      </c>
      <c r="E1268" s="24" t="s">
        <v>134</v>
      </c>
      <c r="F1268" s="63" t="s">
        <v>0</v>
      </c>
    </row>
    <row r="1269" spans="1:6" x14ac:dyDescent="0.25">
      <c r="A1269" s="62">
        <v>45113</v>
      </c>
      <c r="B1269" s="62" t="s">
        <v>1205</v>
      </c>
      <c r="C1269" s="23">
        <v>-1199</v>
      </c>
      <c r="D1269" s="24" t="s">
        <v>49</v>
      </c>
      <c r="E1269" s="24" t="s">
        <v>56</v>
      </c>
      <c r="F1269" s="63" t="s">
        <v>0</v>
      </c>
    </row>
    <row r="1270" spans="1:6" x14ac:dyDescent="0.25">
      <c r="A1270" s="62">
        <v>45113</v>
      </c>
      <c r="B1270" s="62" t="s">
        <v>1206</v>
      </c>
      <c r="C1270" s="23">
        <v>-2490</v>
      </c>
      <c r="D1270" s="24" t="s">
        <v>72</v>
      </c>
      <c r="E1270" s="24" t="s">
        <v>126</v>
      </c>
      <c r="F1270" s="63" t="s">
        <v>0</v>
      </c>
    </row>
    <row r="1271" spans="1:6" x14ac:dyDescent="0.25">
      <c r="A1271" s="62">
        <v>45112</v>
      </c>
      <c r="B1271" s="62" t="s">
        <v>746</v>
      </c>
      <c r="C1271" s="23">
        <v>-2500</v>
      </c>
      <c r="D1271" s="24" t="s">
        <v>52</v>
      </c>
      <c r="E1271" s="24" t="s">
        <v>53</v>
      </c>
      <c r="F1271" s="63" t="s">
        <v>4</v>
      </c>
    </row>
    <row r="1272" spans="1:6" x14ac:dyDescent="0.25">
      <c r="A1272" s="62">
        <v>45112</v>
      </c>
      <c r="B1272" s="62" t="s">
        <v>171</v>
      </c>
      <c r="C1272" s="23">
        <v>1914</v>
      </c>
      <c r="D1272" s="24" t="s">
        <v>167</v>
      </c>
      <c r="E1272" s="24" t="s">
        <v>168</v>
      </c>
      <c r="F1272" s="63" t="s">
        <v>0</v>
      </c>
    </row>
    <row r="1273" spans="1:6" x14ac:dyDescent="0.25">
      <c r="A1273" s="62">
        <v>45112</v>
      </c>
      <c r="B1273" s="62" t="s">
        <v>1207</v>
      </c>
      <c r="C1273" s="23">
        <v>-1589</v>
      </c>
      <c r="D1273" s="24" t="s">
        <v>49</v>
      </c>
      <c r="E1273" s="24" t="s">
        <v>56</v>
      </c>
      <c r="F1273" s="63" t="s">
        <v>0</v>
      </c>
    </row>
    <row r="1274" spans="1:6" x14ac:dyDescent="0.25">
      <c r="A1274" s="62">
        <v>45112</v>
      </c>
      <c r="B1274" s="62" t="s">
        <v>1208</v>
      </c>
      <c r="C1274" s="23">
        <v>-11370</v>
      </c>
      <c r="D1274" s="24" t="s">
        <v>90</v>
      </c>
      <c r="E1274" s="24" t="s">
        <v>111</v>
      </c>
      <c r="F1274" s="63" t="s">
        <v>0</v>
      </c>
    </row>
    <row r="1275" spans="1:6" x14ac:dyDescent="0.25">
      <c r="A1275" s="62">
        <v>45112</v>
      </c>
      <c r="B1275" s="62" t="s">
        <v>1209</v>
      </c>
      <c r="C1275" s="23">
        <v>-20323</v>
      </c>
      <c r="D1275" s="24" t="s">
        <v>49</v>
      </c>
      <c r="E1275" s="24" t="s">
        <v>56</v>
      </c>
      <c r="F1275" s="63" t="s">
        <v>0</v>
      </c>
    </row>
    <row r="1276" spans="1:6" x14ac:dyDescent="0.25">
      <c r="A1276" s="62">
        <v>45112</v>
      </c>
      <c r="B1276" s="62" t="s">
        <v>1210</v>
      </c>
      <c r="C1276" s="23">
        <v>-37289</v>
      </c>
      <c r="D1276" s="24" t="s">
        <v>46</v>
      </c>
      <c r="E1276" s="24" t="s">
        <v>61</v>
      </c>
      <c r="F1276" s="63" t="s">
        <v>0</v>
      </c>
    </row>
    <row r="1277" spans="1:6" x14ac:dyDescent="0.25">
      <c r="A1277" s="62">
        <v>45111</v>
      </c>
      <c r="B1277" s="62" t="s">
        <v>172</v>
      </c>
      <c r="C1277" s="23">
        <v>243600</v>
      </c>
      <c r="D1277" s="24" t="s">
        <v>58</v>
      </c>
      <c r="E1277" s="24" t="s">
        <v>58</v>
      </c>
      <c r="F1277" s="63" t="s">
        <v>0</v>
      </c>
    </row>
    <row r="1278" spans="1:6" x14ac:dyDescent="0.25">
      <c r="A1278" s="62">
        <v>45110</v>
      </c>
      <c r="B1278" s="62" t="s">
        <v>1211</v>
      </c>
      <c r="C1278" s="23">
        <v>-840</v>
      </c>
      <c r="D1278" s="24" t="s">
        <v>49</v>
      </c>
      <c r="E1278" s="24" t="s">
        <v>56</v>
      </c>
      <c r="F1278" s="63" t="s">
        <v>0</v>
      </c>
    </row>
    <row r="1279" spans="1:6" x14ac:dyDescent="0.25">
      <c r="A1279" s="62">
        <v>45110</v>
      </c>
      <c r="B1279" s="62" t="s">
        <v>1212</v>
      </c>
      <c r="C1279" s="23">
        <v>-3020</v>
      </c>
      <c r="D1279" s="24" t="s">
        <v>49</v>
      </c>
      <c r="E1279" s="24" t="s">
        <v>56</v>
      </c>
      <c r="F1279" s="63" t="s">
        <v>0</v>
      </c>
    </row>
    <row r="1280" spans="1:6" x14ac:dyDescent="0.25">
      <c r="A1280" s="62">
        <v>45110</v>
      </c>
      <c r="B1280" s="62" t="s">
        <v>1213</v>
      </c>
      <c r="C1280" s="23">
        <v>-13104</v>
      </c>
      <c r="D1280" s="24" t="s">
        <v>49</v>
      </c>
      <c r="E1280" s="24" t="s">
        <v>56</v>
      </c>
      <c r="F1280" s="63" t="s">
        <v>0</v>
      </c>
    </row>
    <row r="1281" spans="1:6" x14ac:dyDescent="0.25">
      <c r="A1281" s="62">
        <v>45110</v>
      </c>
      <c r="B1281" s="62" t="s">
        <v>1214</v>
      </c>
      <c r="C1281" s="23">
        <v>-813</v>
      </c>
      <c r="D1281" s="24" t="s">
        <v>46</v>
      </c>
      <c r="E1281" s="24" t="s">
        <v>61</v>
      </c>
      <c r="F1281" s="63" t="s">
        <v>0</v>
      </c>
    </row>
    <row r="1282" spans="1:6" x14ac:dyDescent="0.25">
      <c r="A1282" s="62">
        <v>45110</v>
      </c>
      <c r="B1282" s="62" t="s">
        <v>1215</v>
      </c>
      <c r="C1282" s="23">
        <v>-35350</v>
      </c>
      <c r="D1282" s="24" t="s">
        <v>72</v>
      </c>
      <c r="E1282" s="24" t="s">
        <v>109</v>
      </c>
      <c r="F1282" s="63" t="s">
        <v>0</v>
      </c>
    </row>
    <row r="1283" spans="1:6" x14ac:dyDescent="0.25">
      <c r="A1283" s="62">
        <v>45110</v>
      </c>
      <c r="B1283" s="62" t="s">
        <v>1216</v>
      </c>
      <c r="C1283" s="23">
        <v>-509</v>
      </c>
      <c r="D1283" s="24" t="s">
        <v>72</v>
      </c>
      <c r="E1283" s="24" t="s">
        <v>73</v>
      </c>
      <c r="F1283" s="63" t="s">
        <v>0</v>
      </c>
    </row>
    <row r="1284" spans="1:6" x14ac:dyDescent="0.25">
      <c r="A1284" s="62">
        <v>45110</v>
      </c>
      <c r="B1284" s="62" t="s">
        <v>1217</v>
      </c>
      <c r="C1284" s="23">
        <v>-562</v>
      </c>
      <c r="D1284" s="24" t="s">
        <v>72</v>
      </c>
      <c r="E1284" s="24" t="s">
        <v>73</v>
      </c>
      <c r="F1284" s="63" t="s">
        <v>0</v>
      </c>
    </row>
    <row r="1285" spans="1:6" x14ac:dyDescent="0.25">
      <c r="A1285" s="62">
        <v>45107</v>
      </c>
      <c r="B1285" s="62" t="s">
        <v>1218</v>
      </c>
      <c r="C1285" s="23">
        <v>29.91</v>
      </c>
      <c r="D1285" s="24" t="s">
        <v>167</v>
      </c>
      <c r="E1285" s="24" t="s">
        <v>168</v>
      </c>
      <c r="F1285" s="63" t="s">
        <v>0</v>
      </c>
    </row>
    <row r="1286" spans="1:6" x14ac:dyDescent="0.25">
      <c r="A1286" s="62">
        <v>45107</v>
      </c>
      <c r="B1286" s="62" t="s">
        <v>1219</v>
      </c>
      <c r="C1286" s="23">
        <v>-4.49</v>
      </c>
      <c r="D1286" s="24" t="s">
        <v>167</v>
      </c>
      <c r="E1286" s="24" t="s">
        <v>168</v>
      </c>
      <c r="F1286" s="63" t="s">
        <v>0</v>
      </c>
    </row>
    <row r="1287" spans="1:6" x14ac:dyDescent="0.25">
      <c r="A1287" s="62">
        <v>45107</v>
      </c>
      <c r="B1287" s="62" t="s">
        <v>43</v>
      </c>
      <c r="C1287" s="23">
        <v>-2222</v>
      </c>
      <c r="D1287" s="24" t="s">
        <v>167</v>
      </c>
      <c r="E1287" s="24" t="s">
        <v>168</v>
      </c>
      <c r="F1287" s="63" t="s">
        <v>0</v>
      </c>
    </row>
    <row r="1288" spans="1:6" x14ac:dyDescent="0.25">
      <c r="A1288" s="62">
        <v>45107</v>
      </c>
      <c r="B1288" s="62" t="s">
        <v>1220</v>
      </c>
      <c r="C1288" s="23">
        <v>-18300</v>
      </c>
      <c r="D1288" s="24" t="s">
        <v>49</v>
      </c>
      <c r="E1288" s="24" t="s">
        <v>213</v>
      </c>
      <c r="F1288" s="63" t="s">
        <v>0</v>
      </c>
    </row>
    <row r="1289" spans="1:6" x14ac:dyDescent="0.25">
      <c r="A1289" s="62">
        <v>45107</v>
      </c>
      <c r="B1289" s="62" t="s">
        <v>1221</v>
      </c>
      <c r="C1289" s="23">
        <v>-11.04</v>
      </c>
      <c r="D1289" s="24" t="s">
        <v>167</v>
      </c>
      <c r="E1289" s="24" t="s">
        <v>168</v>
      </c>
      <c r="F1289" s="63" t="s">
        <v>0</v>
      </c>
    </row>
    <row r="1290" spans="1:6" x14ac:dyDescent="0.25">
      <c r="A1290" s="62">
        <v>45107</v>
      </c>
      <c r="B1290" s="62" t="s">
        <v>1222</v>
      </c>
      <c r="C1290" s="23">
        <v>-4980</v>
      </c>
      <c r="D1290" s="24" t="s">
        <v>90</v>
      </c>
      <c r="E1290" s="24" t="s">
        <v>106</v>
      </c>
      <c r="F1290" s="63" t="s">
        <v>0</v>
      </c>
    </row>
    <row r="1291" spans="1:6" x14ac:dyDescent="0.25">
      <c r="A1291" s="62">
        <v>45107</v>
      </c>
      <c r="B1291" s="62" t="s">
        <v>1221</v>
      </c>
      <c r="C1291" s="23">
        <v>73.59</v>
      </c>
      <c r="D1291" s="24" t="s">
        <v>167</v>
      </c>
      <c r="E1291" s="24" t="s">
        <v>168</v>
      </c>
      <c r="F1291" s="63" t="s">
        <v>0</v>
      </c>
    </row>
    <row r="1292" spans="1:6" x14ac:dyDescent="0.25">
      <c r="A1292" s="62">
        <v>45106</v>
      </c>
      <c r="B1292" s="62" t="s">
        <v>1223</v>
      </c>
      <c r="C1292" s="23">
        <v>-3530</v>
      </c>
      <c r="D1292" s="24" t="s">
        <v>52</v>
      </c>
      <c r="E1292" s="24" t="s">
        <v>53</v>
      </c>
      <c r="F1292" s="63" t="s">
        <v>4</v>
      </c>
    </row>
    <row r="1293" spans="1:6" x14ac:dyDescent="0.25">
      <c r="A1293" s="62">
        <v>45106</v>
      </c>
      <c r="B1293" s="62" t="s">
        <v>1224</v>
      </c>
      <c r="C1293" s="23">
        <v>-8115</v>
      </c>
      <c r="D1293" s="24" t="s">
        <v>46</v>
      </c>
      <c r="E1293" s="24" t="s">
        <v>63</v>
      </c>
      <c r="F1293" s="63" t="s">
        <v>0</v>
      </c>
    </row>
    <row r="1294" spans="1:6" x14ac:dyDescent="0.25">
      <c r="A1294" s="62">
        <v>45106</v>
      </c>
      <c r="B1294" s="62" t="s">
        <v>1225</v>
      </c>
      <c r="C1294" s="23">
        <v>-3490</v>
      </c>
      <c r="D1294" s="24" t="s">
        <v>46</v>
      </c>
      <c r="E1294" s="24" t="s">
        <v>63</v>
      </c>
      <c r="F1294" s="63" t="s">
        <v>0</v>
      </c>
    </row>
    <row r="1295" spans="1:6" x14ac:dyDescent="0.25">
      <c r="A1295" s="62">
        <v>45105</v>
      </c>
      <c r="B1295" s="62" t="s">
        <v>1226</v>
      </c>
      <c r="C1295" s="23">
        <v>-5431</v>
      </c>
      <c r="D1295" s="24" t="s">
        <v>90</v>
      </c>
      <c r="E1295" s="24" t="s">
        <v>59</v>
      </c>
      <c r="F1295" s="63" t="s">
        <v>0</v>
      </c>
    </row>
    <row r="1296" spans="1:6" x14ac:dyDescent="0.25">
      <c r="A1296" s="62">
        <v>45105</v>
      </c>
      <c r="B1296" s="62" t="s">
        <v>1227</v>
      </c>
      <c r="C1296" s="23">
        <v>-999</v>
      </c>
      <c r="D1296" s="24" t="s">
        <v>46</v>
      </c>
      <c r="E1296" s="24" t="s">
        <v>63</v>
      </c>
      <c r="F1296" s="63" t="s">
        <v>0</v>
      </c>
    </row>
    <row r="1297" spans="1:6" x14ac:dyDescent="0.25">
      <c r="A1297" s="62">
        <v>45104</v>
      </c>
      <c r="B1297" s="62" t="s">
        <v>1228</v>
      </c>
      <c r="C1297" s="23">
        <v>-19845</v>
      </c>
      <c r="D1297" s="24" t="s">
        <v>49</v>
      </c>
      <c r="E1297" s="24" t="s">
        <v>50</v>
      </c>
      <c r="F1297" s="63" t="s">
        <v>0</v>
      </c>
    </row>
    <row r="1298" spans="1:6" x14ac:dyDescent="0.25">
      <c r="A1298" s="62">
        <v>45104</v>
      </c>
      <c r="B1298" s="62" t="s">
        <v>1229</v>
      </c>
      <c r="C1298" s="23">
        <v>-7110</v>
      </c>
      <c r="D1298" s="24" t="s">
        <v>52</v>
      </c>
      <c r="E1298" s="24" t="s">
        <v>134</v>
      </c>
      <c r="F1298" s="63" t="s">
        <v>0</v>
      </c>
    </row>
    <row r="1299" spans="1:6" x14ac:dyDescent="0.25">
      <c r="A1299" s="62">
        <v>45104</v>
      </c>
      <c r="B1299" s="62" t="s">
        <v>1230</v>
      </c>
      <c r="C1299" s="23">
        <v>-10184</v>
      </c>
      <c r="D1299" s="24" t="s">
        <v>49</v>
      </c>
      <c r="E1299" s="24" t="s">
        <v>56</v>
      </c>
      <c r="F1299" s="63" t="s">
        <v>0</v>
      </c>
    </row>
    <row r="1300" spans="1:6" x14ac:dyDescent="0.25">
      <c r="A1300" s="62">
        <v>45104</v>
      </c>
      <c r="B1300" s="62" t="s">
        <v>1231</v>
      </c>
      <c r="C1300" s="23">
        <v>-3407</v>
      </c>
      <c r="D1300" s="24" t="s">
        <v>49</v>
      </c>
      <c r="E1300" s="24" t="s">
        <v>56</v>
      </c>
      <c r="F1300" s="63" t="s">
        <v>0</v>
      </c>
    </row>
    <row r="1301" spans="1:6" x14ac:dyDescent="0.25">
      <c r="A1301" s="62">
        <v>45104</v>
      </c>
      <c r="B1301" s="62" t="s">
        <v>1232</v>
      </c>
      <c r="C1301" s="23">
        <v>-419</v>
      </c>
      <c r="D1301" s="24" t="s">
        <v>72</v>
      </c>
      <c r="E1301" s="24" t="s">
        <v>73</v>
      </c>
      <c r="F1301" s="63" t="s">
        <v>0</v>
      </c>
    </row>
    <row r="1302" spans="1:6" x14ac:dyDescent="0.25">
      <c r="A1302" s="62">
        <v>45104</v>
      </c>
      <c r="B1302" s="62" t="s">
        <v>1233</v>
      </c>
      <c r="C1302" s="23">
        <v>-5877</v>
      </c>
      <c r="D1302" s="24" t="s">
        <v>49</v>
      </c>
      <c r="E1302" s="24" t="s">
        <v>56</v>
      </c>
      <c r="F1302" s="63" t="s">
        <v>0</v>
      </c>
    </row>
    <row r="1303" spans="1:6" x14ac:dyDescent="0.25">
      <c r="A1303" s="62">
        <v>45104</v>
      </c>
      <c r="B1303" s="62" t="s">
        <v>1234</v>
      </c>
      <c r="C1303" s="23">
        <v>-1990</v>
      </c>
      <c r="D1303" s="24" t="s">
        <v>46</v>
      </c>
      <c r="E1303" s="24" t="s">
        <v>61</v>
      </c>
      <c r="F1303" s="63" t="s">
        <v>0</v>
      </c>
    </row>
    <row r="1304" spans="1:6" x14ac:dyDescent="0.25">
      <c r="A1304" s="62">
        <v>45103</v>
      </c>
      <c r="B1304" s="62" t="s">
        <v>1235</v>
      </c>
      <c r="C1304" s="23">
        <v>-1338</v>
      </c>
      <c r="D1304" s="24" t="s">
        <v>49</v>
      </c>
      <c r="E1304" s="24" t="s">
        <v>56</v>
      </c>
      <c r="F1304" s="63" t="s">
        <v>0</v>
      </c>
    </row>
    <row r="1305" spans="1:6" x14ac:dyDescent="0.25">
      <c r="A1305" s="62">
        <v>45103</v>
      </c>
      <c r="B1305" s="62" t="s">
        <v>1236</v>
      </c>
      <c r="C1305" s="23">
        <v>-3000</v>
      </c>
      <c r="D1305" s="24" t="s">
        <v>72</v>
      </c>
      <c r="E1305" s="24" t="s">
        <v>197</v>
      </c>
      <c r="F1305" s="63" t="s">
        <v>0</v>
      </c>
    </row>
    <row r="1306" spans="1:6" x14ac:dyDescent="0.25">
      <c r="A1306" s="62">
        <v>45103</v>
      </c>
      <c r="B1306" s="62" t="s">
        <v>1237</v>
      </c>
      <c r="C1306" s="23">
        <v>-4540</v>
      </c>
      <c r="D1306" s="24" t="s">
        <v>90</v>
      </c>
      <c r="E1306" s="24" t="s">
        <v>106</v>
      </c>
      <c r="F1306" s="63" t="s">
        <v>0</v>
      </c>
    </row>
    <row r="1307" spans="1:6" x14ac:dyDescent="0.25">
      <c r="A1307" s="62">
        <v>45103</v>
      </c>
      <c r="B1307" s="62" t="s">
        <v>1238</v>
      </c>
      <c r="C1307" s="23">
        <v>-4777</v>
      </c>
      <c r="D1307" s="24" t="s">
        <v>90</v>
      </c>
      <c r="E1307" s="24" t="s">
        <v>106</v>
      </c>
      <c r="F1307" s="63" t="s">
        <v>0</v>
      </c>
    </row>
    <row r="1308" spans="1:6" x14ac:dyDescent="0.25">
      <c r="A1308" s="62">
        <v>45103</v>
      </c>
      <c r="B1308" s="62" t="s">
        <v>1239</v>
      </c>
      <c r="C1308" s="23">
        <v>-11356</v>
      </c>
      <c r="D1308" s="24" t="s">
        <v>49</v>
      </c>
      <c r="E1308" s="24" t="s">
        <v>56</v>
      </c>
      <c r="F1308" s="63" t="s">
        <v>0</v>
      </c>
    </row>
    <row r="1309" spans="1:6" x14ac:dyDescent="0.25">
      <c r="A1309" s="62">
        <v>45103</v>
      </c>
      <c r="B1309" s="62" t="s">
        <v>1240</v>
      </c>
      <c r="C1309" s="23">
        <v>-29758</v>
      </c>
      <c r="D1309" s="24" t="s">
        <v>49</v>
      </c>
      <c r="E1309" s="24" t="s">
        <v>56</v>
      </c>
      <c r="F1309" s="63" t="s">
        <v>0</v>
      </c>
    </row>
    <row r="1310" spans="1:6" x14ac:dyDescent="0.25">
      <c r="A1310" s="62">
        <v>45101</v>
      </c>
      <c r="B1310" s="62" t="s">
        <v>1241</v>
      </c>
      <c r="C1310" s="23">
        <v>-6310</v>
      </c>
      <c r="D1310" s="24" t="s">
        <v>52</v>
      </c>
      <c r="E1310" s="24" t="s">
        <v>53</v>
      </c>
      <c r="F1310" s="63" t="s">
        <v>4</v>
      </c>
    </row>
    <row r="1311" spans="1:6" x14ac:dyDescent="0.25">
      <c r="A1311" s="62">
        <v>45101</v>
      </c>
      <c r="B1311" s="62" t="s">
        <v>1242</v>
      </c>
      <c r="C1311" s="23">
        <v>-29500</v>
      </c>
      <c r="D1311" s="24" t="s">
        <v>90</v>
      </c>
      <c r="E1311" s="24" t="s">
        <v>106</v>
      </c>
      <c r="F1311" s="63" t="s">
        <v>0</v>
      </c>
    </row>
    <row r="1312" spans="1:6" x14ac:dyDescent="0.25">
      <c r="A1312" s="62">
        <v>45100</v>
      </c>
      <c r="B1312" s="62" t="s">
        <v>1243</v>
      </c>
      <c r="C1312" s="23">
        <v>-1750</v>
      </c>
      <c r="D1312" s="24" t="s">
        <v>49</v>
      </c>
      <c r="E1312" s="24" t="s">
        <v>56</v>
      </c>
      <c r="F1312" s="63" t="s">
        <v>0</v>
      </c>
    </row>
    <row r="1313" spans="1:6" x14ac:dyDescent="0.25">
      <c r="A1313" s="62">
        <v>45100</v>
      </c>
      <c r="B1313" s="62" t="s">
        <v>1244</v>
      </c>
      <c r="C1313" s="23">
        <v>-26168</v>
      </c>
      <c r="D1313" s="24" t="s">
        <v>72</v>
      </c>
      <c r="E1313" s="24" t="s">
        <v>109</v>
      </c>
      <c r="F1313" s="63" t="s">
        <v>0</v>
      </c>
    </row>
    <row r="1314" spans="1:6" x14ac:dyDescent="0.25">
      <c r="A1314" s="62">
        <v>45100</v>
      </c>
      <c r="B1314" s="62" t="s">
        <v>686</v>
      </c>
      <c r="C1314" s="23">
        <v>-1580</v>
      </c>
      <c r="D1314" s="24" t="s">
        <v>52</v>
      </c>
      <c r="E1314" s="24" t="s">
        <v>134</v>
      </c>
      <c r="F1314" s="63" t="s">
        <v>0</v>
      </c>
    </row>
    <row r="1315" spans="1:6" x14ac:dyDescent="0.25">
      <c r="A1315" s="62">
        <v>45099</v>
      </c>
      <c r="B1315" s="62" t="s">
        <v>1084</v>
      </c>
      <c r="C1315" s="23">
        <v>-2790</v>
      </c>
      <c r="D1315" s="24" t="s">
        <v>52</v>
      </c>
      <c r="E1315" s="24" t="s">
        <v>53</v>
      </c>
      <c r="F1315" s="63" t="s">
        <v>4</v>
      </c>
    </row>
    <row r="1316" spans="1:6" x14ac:dyDescent="0.25">
      <c r="A1316" s="62">
        <v>45099</v>
      </c>
      <c r="B1316" s="62" t="s">
        <v>1245</v>
      </c>
      <c r="C1316" s="23">
        <v>-6486</v>
      </c>
      <c r="D1316" s="24" t="s">
        <v>49</v>
      </c>
      <c r="E1316" s="24" t="s">
        <v>56</v>
      </c>
      <c r="F1316" s="63" t="s">
        <v>0</v>
      </c>
    </row>
    <row r="1317" spans="1:6" x14ac:dyDescent="0.25">
      <c r="A1317" s="62">
        <v>45099</v>
      </c>
      <c r="B1317" s="62" t="s">
        <v>1246</v>
      </c>
      <c r="C1317" s="23">
        <v>-11170</v>
      </c>
      <c r="D1317" s="24" t="s">
        <v>49</v>
      </c>
      <c r="E1317" s="24" t="s">
        <v>50</v>
      </c>
      <c r="F1317" s="63" t="s">
        <v>0</v>
      </c>
    </row>
    <row r="1318" spans="1:6" x14ac:dyDescent="0.25">
      <c r="A1318" s="62">
        <v>45099</v>
      </c>
      <c r="B1318" s="62" t="s">
        <v>1247</v>
      </c>
      <c r="C1318" s="23">
        <v>-12320</v>
      </c>
      <c r="D1318" s="24" t="s">
        <v>83</v>
      </c>
      <c r="E1318" s="24" t="s">
        <v>84</v>
      </c>
      <c r="F1318" s="63" t="s">
        <v>0</v>
      </c>
    </row>
    <row r="1319" spans="1:6" x14ac:dyDescent="0.25">
      <c r="A1319" s="62">
        <v>45099</v>
      </c>
      <c r="B1319" s="62" t="s">
        <v>1248</v>
      </c>
      <c r="C1319" s="23">
        <v>-31756</v>
      </c>
      <c r="D1319" s="24" t="s">
        <v>90</v>
      </c>
      <c r="E1319" s="24" t="s">
        <v>59</v>
      </c>
      <c r="F1319" s="63" t="s">
        <v>0</v>
      </c>
    </row>
    <row r="1320" spans="1:6" x14ac:dyDescent="0.25">
      <c r="A1320" s="62">
        <v>45099</v>
      </c>
      <c r="B1320" s="62" t="s">
        <v>1249</v>
      </c>
      <c r="C1320" s="23">
        <v>-33495</v>
      </c>
      <c r="D1320" s="24" t="s">
        <v>49</v>
      </c>
      <c r="E1320" s="24" t="s">
        <v>56</v>
      </c>
      <c r="F1320" s="63" t="s">
        <v>0</v>
      </c>
    </row>
    <row r="1321" spans="1:6" x14ac:dyDescent="0.25">
      <c r="A1321" s="62">
        <v>45099</v>
      </c>
      <c r="B1321" s="62" t="s">
        <v>1250</v>
      </c>
      <c r="C1321" s="23">
        <v>-30381</v>
      </c>
      <c r="D1321" s="24" t="s">
        <v>49</v>
      </c>
      <c r="E1321" s="24" t="s">
        <v>232</v>
      </c>
      <c r="F1321" s="63" t="s">
        <v>0</v>
      </c>
    </row>
    <row r="1322" spans="1:6" x14ac:dyDescent="0.25">
      <c r="A1322" s="62">
        <v>45099</v>
      </c>
      <c r="B1322" s="62" t="s">
        <v>1251</v>
      </c>
      <c r="C1322" s="23">
        <v>-6700</v>
      </c>
      <c r="D1322" s="24" t="s">
        <v>46</v>
      </c>
      <c r="E1322" s="24" t="s">
        <v>61</v>
      </c>
      <c r="F1322" s="63" t="s">
        <v>0</v>
      </c>
    </row>
    <row r="1323" spans="1:6" x14ac:dyDescent="0.25">
      <c r="A1323" s="62">
        <v>45098</v>
      </c>
      <c r="B1323" s="62" t="s">
        <v>139</v>
      </c>
      <c r="C1323" s="23">
        <v>31960</v>
      </c>
      <c r="D1323" s="24" t="s">
        <v>58</v>
      </c>
      <c r="E1323" s="24" t="s">
        <v>58</v>
      </c>
      <c r="F1323" s="63" t="s">
        <v>4</v>
      </c>
    </row>
    <row r="1324" spans="1:6" x14ac:dyDescent="0.25">
      <c r="A1324" s="62">
        <v>45098</v>
      </c>
      <c r="B1324" s="62" t="s">
        <v>1252</v>
      </c>
      <c r="C1324" s="23">
        <v>-2990</v>
      </c>
      <c r="D1324" s="24" t="s">
        <v>52</v>
      </c>
      <c r="E1324" s="24" t="s">
        <v>53</v>
      </c>
      <c r="F1324" s="63" t="s">
        <v>0</v>
      </c>
    </row>
    <row r="1325" spans="1:6" x14ac:dyDescent="0.25">
      <c r="A1325" s="62">
        <v>45098</v>
      </c>
      <c r="B1325" s="62" t="s">
        <v>1253</v>
      </c>
      <c r="C1325" s="23">
        <v>-1650</v>
      </c>
      <c r="D1325" s="24" t="s">
        <v>52</v>
      </c>
      <c r="E1325" s="24" t="s">
        <v>53</v>
      </c>
      <c r="F1325" s="63" t="s">
        <v>0</v>
      </c>
    </row>
    <row r="1326" spans="1:6" x14ac:dyDescent="0.25">
      <c r="A1326" s="62">
        <v>45097</v>
      </c>
      <c r="B1326" s="62" t="s">
        <v>1254</v>
      </c>
      <c r="C1326" s="23">
        <v>-7729</v>
      </c>
      <c r="D1326" s="24" t="s">
        <v>90</v>
      </c>
      <c r="E1326" s="24" t="s">
        <v>106</v>
      </c>
      <c r="F1326" s="63" t="s">
        <v>0</v>
      </c>
    </row>
    <row r="1327" spans="1:6" x14ac:dyDescent="0.25">
      <c r="A1327" s="62">
        <v>45097</v>
      </c>
      <c r="B1327" s="62" t="s">
        <v>1255</v>
      </c>
      <c r="C1327" s="23">
        <v>-1558</v>
      </c>
      <c r="D1327" s="24" t="s">
        <v>49</v>
      </c>
      <c r="E1327" s="24" t="s">
        <v>56</v>
      </c>
      <c r="F1327" s="63" t="s">
        <v>0</v>
      </c>
    </row>
    <row r="1328" spans="1:6" x14ac:dyDescent="0.25">
      <c r="A1328" s="62">
        <v>45096</v>
      </c>
      <c r="B1328" s="62" t="s">
        <v>1256</v>
      </c>
      <c r="C1328" s="23">
        <v>-598</v>
      </c>
      <c r="D1328" s="24" t="s">
        <v>49</v>
      </c>
      <c r="E1328" s="24" t="s">
        <v>67</v>
      </c>
      <c r="F1328" s="63" t="s">
        <v>0</v>
      </c>
    </row>
    <row r="1329" spans="1:6" x14ac:dyDescent="0.25">
      <c r="A1329" s="62">
        <v>45096</v>
      </c>
      <c r="B1329" s="62" t="s">
        <v>1257</v>
      </c>
      <c r="C1329" s="23">
        <v>-1990</v>
      </c>
      <c r="D1329" s="24" t="s">
        <v>49</v>
      </c>
      <c r="E1329" s="24" t="s">
        <v>56</v>
      </c>
      <c r="F1329" s="63" t="s">
        <v>0</v>
      </c>
    </row>
    <row r="1330" spans="1:6" x14ac:dyDescent="0.25">
      <c r="A1330" s="62">
        <v>45096</v>
      </c>
      <c r="B1330" s="62" t="s">
        <v>1258</v>
      </c>
      <c r="C1330" s="23">
        <v>-4224</v>
      </c>
      <c r="D1330" s="24" t="s">
        <v>49</v>
      </c>
      <c r="E1330" s="24" t="s">
        <v>56</v>
      </c>
      <c r="F1330" s="63" t="s">
        <v>0</v>
      </c>
    </row>
    <row r="1331" spans="1:6" x14ac:dyDescent="0.25">
      <c r="A1331" s="62">
        <v>45096</v>
      </c>
      <c r="B1331" s="62" t="s">
        <v>1259</v>
      </c>
      <c r="C1331" s="23">
        <v>-4752</v>
      </c>
      <c r="D1331" s="24" t="s">
        <v>49</v>
      </c>
      <c r="E1331" s="24" t="s">
        <v>56</v>
      </c>
      <c r="F1331" s="63" t="s">
        <v>0</v>
      </c>
    </row>
    <row r="1332" spans="1:6" x14ac:dyDescent="0.25">
      <c r="A1332" s="62">
        <v>45096</v>
      </c>
      <c r="B1332" s="62" t="s">
        <v>1260</v>
      </c>
      <c r="C1332" s="23">
        <v>-25710</v>
      </c>
      <c r="D1332" s="24" t="s">
        <v>49</v>
      </c>
      <c r="E1332" s="24" t="s">
        <v>56</v>
      </c>
      <c r="F1332" s="63" t="s">
        <v>0</v>
      </c>
    </row>
    <row r="1333" spans="1:6" x14ac:dyDescent="0.25">
      <c r="A1333" s="62">
        <v>45096</v>
      </c>
      <c r="B1333" s="62" t="s">
        <v>1261</v>
      </c>
      <c r="C1333" s="23">
        <v>-131315</v>
      </c>
      <c r="D1333" s="24" t="s">
        <v>49</v>
      </c>
      <c r="E1333" s="24" t="s">
        <v>213</v>
      </c>
      <c r="F1333" s="63" t="s">
        <v>0</v>
      </c>
    </row>
    <row r="1334" spans="1:6" x14ac:dyDescent="0.25">
      <c r="A1334" s="62">
        <v>45096</v>
      </c>
      <c r="B1334" s="62" t="s">
        <v>1262</v>
      </c>
      <c r="C1334" s="23">
        <v>-4470</v>
      </c>
      <c r="D1334" s="24" t="s">
        <v>49</v>
      </c>
      <c r="E1334" s="24" t="s">
        <v>56</v>
      </c>
      <c r="F1334" s="63" t="s">
        <v>0</v>
      </c>
    </row>
    <row r="1335" spans="1:6" x14ac:dyDescent="0.25">
      <c r="A1335" s="62">
        <v>45096</v>
      </c>
      <c r="B1335" s="62" t="s">
        <v>1263</v>
      </c>
      <c r="C1335" s="23">
        <v>-8940</v>
      </c>
      <c r="D1335" s="24" t="s">
        <v>52</v>
      </c>
      <c r="E1335" s="24" t="s">
        <v>52</v>
      </c>
      <c r="F1335" s="63" t="s">
        <v>0</v>
      </c>
    </row>
    <row r="1336" spans="1:6" x14ac:dyDescent="0.25">
      <c r="A1336" s="62">
        <v>45093</v>
      </c>
      <c r="B1336" s="62" t="s">
        <v>1264</v>
      </c>
      <c r="C1336" s="23">
        <v>-4006</v>
      </c>
      <c r="D1336" s="24" t="s">
        <v>49</v>
      </c>
      <c r="E1336" s="24" t="s">
        <v>56</v>
      </c>
      <c r="F1336" s="63" t="s">
        <v>0</v>
      </c>
    </row>
    <row r="1337" spans="1:6" x14ac:dyDescent="0.25">
      <c r="A1337" s="62">
        <v>45093</v>
      </c>
      <c r="B1337" s="62" t="s">
        <v>1265</v>
      </c>
      <c r="C1337" s="23">
        <v>-4818</v>
      </c>
      <c r="D1337" s="24" t="s">
        <v>49</v>
      </c>
      <c r="E1337" s="24" t="s">
        <v>56</v>
      </c>
      <c r="F1337" s="63" t="s">
        <v>0</v>
      </c>
    </row>
    <row r="1338" spans="1:6" x14ac:dyDescent="0.25">
      <c r="A1338" s="62">
        <v>45092</v>
      </c>
      <c r="B1338" s="62" t="s">
        <v>1266</v>
      </c>
      <c r="C1338" s="23">
        <v>-1999</v>
      </c>
      <c r="D1338" s="24" t="s">
        <v>49</v>
      </c>
      <c r="E1338" s="24" t="s">
        <v>56</v>
      </c>
      <c r="F1338" s="63" t="s">
        <v>0</v>
      </c>
    </row>
    <row r="1339" spans="1:6" x14ac:dyDescent="0.25">
      <c r="A1339" s="62">
        <v>45092</v>
      </c>
      <c r="B1339" s="62" t="s">
        <v>1267</v>
      </c>
      <c r="C1339" s="23">
        <v>-13000</v>
      </c>
      <c r="D1339" s="24" t="s">
        <v>90</v>
      </c>
      <c r="E1339" s="24" t="s">
        <v>91</v>
      </c>
      <c r="F1339" s="63" t="s">
        <v>0</v>
      </c>
    </row>
    <row r="1340" spans="1:6" x14ac:dyDescent="0.25">
      <c r="A1340" s="62">
        <v>45092</v>
      </c>
      <c r="B1340" s="62" t="s">
        <v>704</v>
      </c>
      <c r="C1340" s="23">
        <v>-6944</v>
      </c>
      <c r="D1340" s="24" t="s">
        <v>46</v>
      </c>
      <c r="E1340" s="24" t="s">
        <v>1162</v>
      </c>
      <c r="F1340" s="63" t="s">
        <v>0</v>
      </c>
    </row>
    <row r="1341" spans="1:6" x14ac:dyDescent="0.25">
      <c r="A1341" s="62">
        <v>45092</v>
      </c>
      <c r="B1341" s="62" t="s">
        <v>1268</v>
      </c>
      <c r="C1341" s="23">
        <v>-4200</v>
      </c>
      <c r="D1341" s="24" t="s">
        <v>52</v>
      </c>
      <c r="E1341" s="24" t="s">
        <v>53</v>
      </c>
      <c r="F1341" s="63" t="s">
        <v>0</v>
      </c>
    </row>
    <row r="1342" spans="1:6" x14ac:dyDescent="0.25">
      <c r="A1342" s="62">
        <v>45092</v>
      </c>
      <c r="B1342" s="62" t="s">
        <v>1269</v>
      </c>
      <c r="C1342" s="23">
        <v>-1490</v>
      </c>
      <c r="D1342" s="24" t="s">
        <v>52</v>
      </c>
      <c r="E1342" s="24" t="s">
        <v>53</v>
      </c>
      <c r="F1342" s="63" t="s">
        <v>0</v>
      </c>
    </row>
    <row r="1343" spans="1:6" x14ac:dyDescent="0.25">
      <c r="A1343" s="62">
        <v>45092</v>
      </c>
      <c r="B1343" s="62" t="s">
        <v>1270</v>
      </c>
      <c r="C1343" s="23">
        <v>-1880</v>
      </c>
      <c r="D1343" s="24" t="s">
        <v>52</v>
      </c>
      <c r="E1343" s="24" t="s">
        <v>134</v>
      </c>
      <c r="F1343" s="63" t="s">
        <v>0</v>
      </c>
    </row>
    <row r="1344" spans="1:6" x14ac:dyDescent="0.25">
      <c r="A1344" s="62">
        <v>45091</v>
      </c>
      <c r="B1344" s="62" t="s">
        <v>1271</v>
      </c>
      <c r="C1344" s="23">
        <v>-825</v>
      </c>
      <c r="D1344" s="24" t="s">
        <v>49</v>
      </c>
      <c r="E1344" s="24" t="s">
        <v>56</v>
      </c>
      <c r="F1344" s="63" t="s">
        <v>0</v>
      </c>
    </row>
    <row r="1345" spans="1:6" x14ac:dyDescent="0.25">
      <c r="A1345" s="62">
        <v>45091</v>
      </c>
      <c r="B1345" s="62" t="s">
        <v>1272</v>
      </c>
      <c r="C1345" s="23">
        <v>-2668</v>
      </c>
      <c r="D1345" s="24" t="s">
        <v>49</v>
      </c>
      <c r="E1345" s="24" t="s">
        <v>56</v>
      </c>
      <c r="F1345" s="63" t="s">
        <v>0</v>
      </c>
    </row>
    <row r="1346" spans="1:6" x14ac:dyDescent="0.25">
      <c r="A1346" s="62">
        <v>45091</v>
      </c>
      <c r="B1346" s="62" t="s">
        <v>1273</v>
      </c>
      <c r="C1346" s="23">
        <v>-20000</v>
      </c>
      <c r="D1346" s="24" t="s">
        <v>206</v>
      </c>
      <c r="E1346" s="24" t="s">
        <v>830</v>
      </c>
      <c r="F1346" s="63" t="s">
        <v>0</v>
      </c>
    </row>
    <row r="1347" spans="1:6" x14ac:dyDescent="0.25">
      <c r="A1347" s="62">
        <v>45091</v>
      </c>
      <c r="B1347" s="62" t="s">
        <v>1274</v>
      </c>
      <c r="C1347" s="23">
        <v>-1680</v>
      </c>
      <c r="D1347" s="24" t="s">
        <v>49</v>
      </c>
      <c r="E1347" s="24" t="s">
        <v>56</v>
      </c>
      <c r="F1347" s="63" t="s">
        <v>0</v>
      </c>
    </row>
    <row r="1348" spans="1:6" x14ac:dyDescent="0.25">
      <c r="A1348" s="62">
        <v>45089</v>
      </c>
      <c r="B1348" s="62" t="s">
        <v>1275</v>
      </c>
      <c r="C1348" s="23">
        <v>-2015</v>
      </c>
      <c r="D1348" s="24" t="s">
        <v>49</v>
      </c>
      <c r="E1348" s="24" t="s">
        <v>56</v>
      </c>
      <c r="F1348" s="63" t="s">
        <v>0</v>
      </c>
    </row>
    <row r="1349" spans="1:6" x14ac:dyDescent="0.25">
      <c r="A1349" s="62">
        <v>45089</v>
      </c>
      <c r="B1349" s="62" t="s">
        <v>1276</v>
      </c>
      <c r="C1349" s="23">
        <v>-4289</v>
      </c>
      <c r="D1349" s="24" t="s">
        <v>49</v>
      </c>
      <c r="E1349" s="24" t="s">
        <v>50</v>
      </c>
      <c r="F1349" s="63" t="s">
        <v>0</v>
      </c>
    </row>
    <row r="1350" spans="1:6" x14ac:dyDescent="0.25">
      <c r="A1350" s="62">
        <v>45089</v>
      </c>
      <c r="B1350" s="62" t="s">
        <v>1277</v>
      </c>
      <c r="C1350" s="23">
        <v>-4995</v>
      </c>
      <c r="D1350" s="24" t="s">
        <v>49</v>
      </c>
      <c r="E1350" s="24" t="s">
        <v>50</v>
      </c>
      <c r="F1350" s="63" t="s">
        <v>0</v>
      </c>
    </row>
    <row r="1351" spans="1:6" x14ac:dyDescent="0.25">
      <c r="A1351" s="62">
        <v>45089</v>
      </c>
      <c r="B1351" s="62" t="s">
        <v>1278</v>
      </c>
      <c r="C1351" s="23">
        <v>-16965</v>
      </c>
      <c r="D1351" s="24" t="s">
        <v>49</v>
      </c>
      <c r="E1351" s="24" t="s">
        <v>56</v>
      </c>
      <c r="F1351" s="63" t="s">
        <v>0</v>
      </c>
    </row>
    <row r="1352" spans="1:6" x14ac:dyDescent="0.25">
      <c r="A1352" s="62">
        <v>45089</v>
      </c>
      <c r="B1352" s="62" t="s">
        <v>1279</v>
      </c>
      <c r="C1352" s="23">
        <v>-34286</v>
      </c>
      <c r="D1352" s="24" t="s">
        <v>72</v>
      </c>
      <c r="E1352" s="24" t="s">
        <v>109</v>
      </c>
      <c r="F1352" s="63" t="s">
        <v>0</v>
      </c>
    </row>
    <row r="1353" spans="1:6" x14ac:dyDescent="0.25">
      <c r="A1353" s="62">
        <v>45089</v>
      </c>
      <c r="B1353" s="62" t="s">
        <v>1095</v>
      </c>
      <c r="C1353" s="23">
        <v>-5588</v>
      </c>
      <c r="D1353" s="24" t="s">
        <v>46</v>
      </c>
      <c r="E1353" s="24" t="s">
        <v>80</v>
      </c>
      <c r="F1353" s="63" t="s">
        <v>0</v>
      </c>
    </row>
    <row r="1354" spans="1:6" x14ac:dyDescent="0.25">
      <c r="A1354" s="62">
        <v>45089</v>
      </c>
      <c r="B1354" s="62" t="s">
        <v>1280</v>
      </c>
      <c r="C1354" s="23">
        <v>-504</v>
      </c>
      <c r="D1354" s="24" t="s">
        <v>72</v>
      </c>
      <c r="E1354" s="24" t="s">
        <v>197</v>
      </c>
      <c r="F1354" s="63" t="s">
        <v>0</v>
      </c>
    </row>
    <row r="1355" spans="1:6" x14ac:dyDescent="0.25">
      <c r="A1355" s="62">
        <v>45089</v>
      </c>
      <c r="B1355" s="62" t="s">
        <v>1281</v>
      </c>
      <c r="C1355" s="23">
        <v>-350</v>
      </c>
      <c r="D1355" s="24" t="s">
        <v>72</v>
      </c>
      <c r="E1355" s="24" t="s">
        <v>197</v>
      </c>
      <c r="F1355" s="63" t="s">
        <v>0</v>
      </c>
    </row>
    <row r="1356" spans="1:6" x14ac:dyDescent="0.25">
      <c r="A1356" s="62">
        <v>45089</v>
      </c>
      <c r="B1356" s="62" t="s">
        <v>1282</v>
      </c>
      <c r="C1356" s="23">
        <v>-1800</v>
      </c>
      <c r="D1356" s="24" t="s">
        <v>46</v>
      </c>
      <c r="E1356" s="24" t="s">
        <v>61</v>
      </c>
      <c r="F1356" s="63" t="s">
        <v>0</v>
      </c>
    </row>
    <row r="1357" spans="1:6" x14ac:dyDescent="0.25">
      <c r="A1357" s="62">
        <v>45089</v>
      </c>
      <c r="B1357" s="62" t="s">
        <v>1092</v>
      </c>
      <c r="C1357" s="23">
        <v>-8900</v>
      </c>
      <c r="D1357" s="24" t="s">
        <v>46</v>
      </c>
      <c r="E1357" s="24" t="s">
        <v>145</v>
      </c>
      <c r="F1357" s="63" t="s">
        <v>0</v>
      </c>
    </row>
    <row r="1358" spans="1:6" x14ac:dyDescent="0.25">
      <c r="A1358" s="62">
        <v>45089</v>
      </c>
      <c r="B1358" s="62" t="s">
        <v>1283</v>
      </c>
      <c r="C1358" s="23">
        <v>-4524</v>
      </c>
      <c r="D1358" s="24" t="s">
        <v>83</v>
      </c>
      <c r="E1358" s="24" t="s">
        <v>660</v>
      </c>
      <c r="F1358" s="63" t="s">
        <v>0</v>
      </c>
    </row>
    <row r="1359" spans="1:6" x14ac:dyDescent="0.25">
      <c r="A1359" s="62">
        <v>45089</v>
      </c>
      <c r="B1359" s="62" t="s">
        <v>1284</v>
      </c>
      <c r="C1359" s="23">
        <v>-3937</v>
      </c>
      <c r="D1359" s="24" t="s">
        <v>83</v>
      </c>
      <c r="E1359" s="24" t="s">
        <v>660</v>
      </c>
      <c r="F1359" s="63" t="s">
        <v>0</v>
      </c>
    </row>
    <row r="1360" spans="1:6" x14ac:dyDescent="0.25">
      <c r="A1360" s="62">
        <v>45089</v>
      </c>
      <c r="B1360" s="62" t="s">
        <v>1285</v>
      </c>
      <c r="C1360" s="23">
        <v>-999</v>
      </c>
      <c r="D1360" s="24" t="s">
        <v>52</v>
      </c>
      <c r="E1360" s="24" t="s">
        <v>53</v>
      </c>
      <c r="F1360" s="63" t="s">
        <v>0</v>
      </c>
    </row>
    <row r="1361" spans="1:6" x14ac:dyDescent="0.25">
      <c r="A1361" s="62">
        <v>45089</v>
      </c>
      <c r="B1361" s="62" t="s">
        <v>1280</v>
      </c>
      <c r="C1361" s="23">
        <v>-504</v>
      </c>
      <c r="D1361" s="24" t="s">
        <v>72</v>
      </c>
      <c r="E1361" s="24" t="s">
        <v>197</v>
      </c>
      <c r="F1361" s="63" t="s">
        <v>0</v>
      </c>
    </row>
    <row r="1362" spans="1:6" x14ac:dyDescent="0.25">
      <c r="A1362" s="62">
        <v>45089</v>
      </c>
      <c r="B1362" s="62" t="s">
        <v>1281</v>
      </c>
      <c r="C1362" s="23">
        <v>-350</v>
      </c>
      <c r="D1362" s="24" t="s">
        <v>72</v>
      </c>
      <c r="E1362" s="24" t="s">
        <v>197</v>
      </c>
      <c r="F1362" s="63" t="s">
        <v>0</v>
      </c>
    </row>
    <row r="1363" spans="1:6" x14ac:dyDescent="0.25">
      <c r="A1363" s="62">
        <v>45089</v>
      </c>
      <c r="B1363" s="62" t="s">
        <v>1281</v>
      </c>
      <c r="C1363" s="23">
        <v>-350</v>
      </c>
      <c r="D1363" s="24" t="s">
        <v>72</v>
      </c>
      <c r="E1363" s="24" t="s">
        <v>197</v>
      </c>
      <c r="F1363" s="63" t="s">
        <v>0</v>
      </c>
    </row>
    <row r="1364" spans="1:6" x14ac:dyDescent="0.25">
      <c r="A1364" s="62">
        <v>45089</v>
      </c>
      <c r="B1364" s="62" t="s">
        <v>1286</v>
      </c>
      <c r="C1364" s="23">
        <v>-8114</v>
      </c>
      <c r="D1364" s="24" t="s">
        <v>46</v>
      </c>
      <c r="E1364" s="24" t="s">
        <v>63</v>
      </c>
      <c r="F1364" s="63" t="s">
        <v>0</v>
      </c>
    </row>
    <row r="1365" spans="1:6" x14ac:dyDescent="0.25">
      <c r="A1365" s="62">
        <v>45089</v>
      </c>
      <c r="B1365" s="62" t="s">
        <v>713</v>
      </c>
      <c r="C1365" s="23">
        <v>996627</v>
      </c>
      <c r="D1365" s="24" t="s">
        <v>58</v>
      </c>
      <c r="E1365" s="24" t="s">
        <v>58</v>
      </c>
      <c r="F1365" s="63" t="s">
        <v>0</v>
      </c>
    </row>
    <row r="1366" spans="1:6" x14ac:dyDescent="0.25">
      <c r="A1366" s="62">
        <v>45087</v>
      </c>
      <c r="B1366" s="62" t="s">
        <v>1287</v>
      </c>
      <c r="C1366" s="23">
        <v>-215368.35</v>
      </c>
      <c r="D1366" s="24" t="s">
        <v>46</v>
      </c>
      <c r="E1366" s="24" t="s">
        <v>10</v>
      </c>
      <c r="F1366" s="63" t="s">
        <v>0</v>
      </c>
    </row>
    <row r="1367" spans="1:6" x14ac:dyDescent="0.25">
      <c r="A1367" s="62">
        <v>45087</v>
      </c>
      <c r="B1367" s="62" t="s">
        <v>1288</v>
      </c>
      <c r="C1367" s="23">
        <v>-25140</v>
      </c>
      <c r="D1367" s="24" t="s">
        <v>52</v>
      </c>
      <c r="E1367" s="24" t="s">
        <v>52</v>
      </c>
      <c r="F1367" s="63" t="s">
        <v>4</v>
      </c>
    </row>
    <row r="1368" spans="1:6" x14ac:dyDescent="0.25">
      <c r="A1368" s="62">
        <v>45087</v>
      </c>
      <c r="B1368" s="62" t="s">
        <v>1289</v>
      </c>
      <c r="C1368" s="23">
        <v>-46436.44</v>
      </c>
      <c r="D1368" s="24" t="s">
        <v>46</v>
      </c>
      <c r="E1368" s="24" t="s">
        <v>10</v>
      </c>
      <c r="F1368" s="63" t="s">
        <v>0</v>
      </c>
    </row>
    <row r="1369" spans="1:6" x14ac:dyDescent="0.25">
      <c r="A1369" s="62">
        <v>45087</v>
      </c>
      <c r="B1369" s="62" t="s">
        <v>1287</v>
      </c>
      <c r="C1369" s="23">
        <v>215368.35</v>
      </c>
      <c r="D1369" s="24" t="s">
        <v>46</v>
      </c>
      <c r="E1369" s="24" t="s">
        <v>10</v>
      </c>
      <c r="F1369" s="63" t="s">
        <v>10</v>
      </c>
    </row>
    <row r="1370" spans="1:6" x14ac:dyDescent="0.25">
      <c r="A1370" s="62">
        <v>45086</v>
      </c>
      <c r="B1370" s="62" t="s">
        <v>1290</v>
      </c>
      <c r="C1370" s="23">
        <v>-6831</v>
      </c>
      <c r="D1370" s="24" t="s">
        <v>49</v>
      </c>
      <c r="E1370" s="24" t="s">
        <v>56</v>
      </c>
      <c r="F1370" s="63" t="s">
        <v>0</v>
      </c>
    </row>
    <row r="1371" spans="1:6" x14ac:dyDescent="0.25">
      <c r="A1371" s="62">
        <v>45086</v>
      </c>
      <c r="B1371" s="62" t="s">
        <v>1291</v>
      </c>
      <c r="C1371" s="23">
        <v>-2450</v>
      </c>
      <c r="D1371" s="24" t="s">
        <v>52</v>
      </c>
      <c r="E1371" s="24" t="s">
        <v>53</v>
      </c>
      <c r="F1371" s="63" t="s">
        <v>0</v>
      </c>
    </row>
    <row r="1372" spans="1:6" x14ac:dyDescent="0.25">
      <c r="A1372" s="62">
        <v>45086</v>
      </c>
      <c r="B1372" s="62" t="s">
        <v>1292</v>
      </c>
      <c r="C1372" s="23">
        <v>-1880</v>
      </c>
      <c r="D1372" s="24" t="s">
        <v>83</v>
      </c>
      <c r="E1372" s="24" t="s">
        <v>660</v>
      </c>
      <c r="F1372" s="63" t="s">
        <v>0</v>
      </c>
    </row>
    <row r="1373" spans="1:6" x14ac:dyDescent="0.25">
      <c r="A1373" s="62">
        <v>45086</v>
      </c>
      <c r="B1373" s="62" t="s">
        <v>1293</v>
      </c>
      <c r="C1373" s="23">
        <v>-820</v>
      </c>
      <c r="D1373" s="24" t="s">
        <v>83</v>
      </c>
      <c r="E1373" s="24" t="s">
        <v>660</v>
      </c>
      <c r="F1373" s="63" t="s">
        <v>0</v>
      </c>
    </row>
    <row r="1374" spans="1:6" x14ac:dyDescent="0.25">
      <c r="A1374" s="62">
        <v>45084</v>
      </c>
      <c r="B1374" s="62" t="s">
        <v>1294</v>
      </c>
      <c r="C1374" s="23">
        <v>53200</v>
      </c>
      <c r="D1374" s="24" t="s">
        <v>49</v>
      </c>
      <c r="E1374" s="24" t="s">
        <v>213</v>
      </c>
      <c r="F1374" s="63" t="s">
        <v>0</v>
      </c>
    </row>
    <row r="1375" spans="1:6" x14ac:dyDescent="0.25">
      <c r="A1375" s="62">
        <v>45084</v>
      </c>
      <c r="B1375" s="62" t="s">
        <v>1295</v>
      </c>
      <c r="C1375" s="23">
        <v>-7288</v>
      </c>
      <c r="D1375" s="24" t="s">
        <v>52</v>
      </c>
      <c r="E1375" s="24" t="s">
        <v>53</v>
      </c>
      <c r="F1375" s="63" t="s">
        <v>0</v>
      </c>
    </row>
    <row r="1376" spans="1:6" x14ac:dyDescent="0.25">
      <c r="A1376" s="62">
        <v>45084</v>
      </c>
      <c r="B1376" s="62" t="s">
        <v>1296</v>
      </c>
      <c r="C1376" s="23">
        <v>-28000</v>
      </c>
      <c r="D1376" s="24" t="s">
        <v>206</v>
      </c>
      <c r="E1376" s="24" t="s">
        <v>206</v>
      </c>
      <c r="F1376" s="63" t="s">
        <v>0</v>
      </c>
    </row>
    <row r="1377" spans="1:6" x14ac:dyDescent="0.25">
      <c r="A1377" s="62">
        <v>45084</v>
      </c>
      <c r="B1377" s="62" t="s">
        <v>1297</v>
      </c>
      <c r="C1377" s="23">
        <v>-19795</v>
      </c>
      <c r="D1377" s="24" t="s">
        <v>49</v>
      </c>
      <c r="E1377" s="24" t="s">
        <v>56</v>
      </c>
      <c r="F1377" s="63" t="s">
        <v>0</v>
      </c>
    </row>
    <row r="1378" spans="1:6" x14ac:dyDescent="0.25">
      <c r="A1378" s="62">
        <v>45084</v>
      </c>
      <c r="B1378" s="62" t="s">
        <v>1298</v>
      </c>
      <c r="C1378" s="23">
        <v>-13168</v>
      </c>
      <c r="D1378" s="24" t="s">
        <v>49</v>
      </c>
      <c r="E1378" s="24" t="s">
        <v>56</v>
      </c>
      <c r="F1378" s="63" t="s">
        <v>0</v>
      </c>
    </row>
    <row r="1379" spans="1:6" x14ac:dyDescent="0.25">
      <c r="A1379" s="62">
        <v>45083</v>
      </c>
      <c r="B1379" s="62" t="s">
        <v>1299</v>
      </c>
      <c r="C1379" s="23">
        <v>-8290</v>
      </c>
      <c r="D1379" s="24" t="s">
        <v>49</v>
      </c>
      <c r="E1379" s="24" t="s">
        <v>56</v>
      </c>
      <c r="F1379" s="63" t="s">
        <v>0</v>
      </c>
    </row>
    <row r="1380" spans="1:6" x14ac:dyDescent="0.25">
      <c r="A1380" s="62">
        <v>45083</v>
      </c>
      <c r="B1380" s="62" t="s">
        <v>1123</v>
      </c>
      <c r="C1380" s="23">
        <v>-2300</v>
      </c>
      <c r="D1380" s="24" t="s">
        <v>52</v>
      </c>
      <c r="E1380" s="24" t="s">
        <v>53</v>
      </c>
      <c r="F1380" s="63" t="s">
        <v>0</v>
      </c>
    </row>
    <row r="1381" spans="1:6" x14ac:dyDescent="0.25">
      <c r="A1381" s="62">
        <v>45083</v>
      </c>
      <c r="B1381" s="62" t="s">
        <v>1300</v>
      </c>
      <c r="C1381" s="23">
        <v>-1200</v>
      </c>
      <c r="D1381" s="24" t="s">
        <v>72</v>
      </c>
      <c r="E1381" s="24" t="s">
        <v>126</v>
      </c>
      <c r="F1381" s="63" t="s">
        <v>0</v>
      </c>
    </row>
    <row r="1382" spans="1:6" x14ac:dyDescent="0.25">
      <c r="A1382" s="62">
        <v>45083</v>
      </c>
      <c r="B1382" s="62" t="s">
        <v>1300</v>
      </c>
      <c r="C1382" s="23">
        <v>-1200</v>
      </c>
      <c r="D1382" s="24" t="s">
        <v>72</v>
      </c>
      <c r="E1382" s="24" t="s">
        <v>126</v>
      </c>
      <c r="F1382" s="63" t="s">
        <v>0</v>
      </c>
    </row>
    <row r="1383" spans="1:6" x14ac:dyDescent="0.25">
      <c r="A1383" s="62">
        <v>45083</v>
      </c>
      <c r="B1383" s="62" t="s">
        <v>1300</v>
      </c>
      <c r="C1383" s="23">
        <v>-1200</v>
      </c>
      <c r="D1383" s="24" t="s">
        <v>72</v>
      </c>
      <c r="E1383" s="24" t="s">
        <v>126</v>
      </c>
      <c r="F1383" s="63" t="s">
        <v>0</v>
      </c>
    </row>
    <row r="1384" spans="1:6" x14ac:dyDescent="0.25">
      <c r="A1384" s="62">
        <v>45083</v>
      </c>
      <c r="B1384" s="62" t="s">
        <v>1301</v>
      </c>
      <c r="C1384" s="23">
        <v>-4890</v>
      </c>
      <c r="D1384" s="24" t="s">
        <v>72</v>
      </c>
      <c r="E1384" s="24" t="s">
        <v>126</v>
      </c>
      <c r="F1384" s="63" t="s">
        <v>0</v>
      </c>
    </row>
    <row r="1385" spans="1:6" x14ac:dyDescent="0.25">
      <c r="A1385" s="62">
        <v>45082</v>
      </c>
      <c r="B1385" s="62" t="s">
        <v>1084</v>
      </c>
      <c r="C1385" s="23">
        <v>-1540</v>
      </c>
      <c r="D1385" s="24" t="s">
        <v>52</v>
      </c>
      <c r="E1385" s="24" t="s">
        <v>53</v>
      </c>
      <c r="F1385" s="63" t="s">
        <v>4</v>
      </c>
    </row>
    <row r="1386" spans="1:6" x14ac:dyDescent="0.25">
      <c r="A1386" s="62">
        <v>45082</v>
      </c>
      <c r="B1386" s="62" t="s">
        <v>1302</v>
      </c>
      <c r="C1386" s="23">
        <v>-914</v>
      </c>
      <c r="D1386" s="24" t="s">
        <v>49</v>
      </c>
      <c r="E1386" s="24" t="s">
        <v>56</v>
      </c>
      <c r="F1386" s="63" t="s">
        <v>0</v>
      </c>
    </row>
    <row r="1387" spans="1:6" x14ac:dyDescent="0.25">
      <c r="A1387" s="62">
        <v>45082</v>
      </c>
      <c r="B1387" s="62" t="s">
        <v>1303</v>
      </c>
      <c r="C1387" s="23">
        <v>-940</v>
      </c>
      <c r="D1387" s="24" t="s">
        <v>49</v>
      </c>
      <c r="E1387" s="24" t="s">
        <v>56</v>
      </c>
      <c r="F1387" s="63" t="s">
        <v>0</v>
      </c>
    </row>
    <row r="1388" spans="1:6" x14ac:dyDescent="0.25">
      <c r="A1388" s="62">
        <v>45082</v>
      </c>
      <c r="B1388" s="62" t="s">
        <v>1304</v>
      </c>
      <c r="C1388" s="23">
        <v>-1440</v>
      </c>
      <c r="D1388" s="24" t="s">
        <v>52</v>
      </c>
      <c r="E1388" s="24" t="s">
        <v>134</v>
      </c>
      <c r="F1388" s="63" t="s">
        <v>0</v>
      </c>
    </row>
    <row r="1389" spans="1:6" x14ac:dyDescent="0.25">
      <c r="A1389" s="62">
        <v>45082</v>
      </c>
      <c r="B1389" s="62" t="s">
        <v>1305</v>
      </c>
      <c r="C1389" s="23">
        <v>-2236</v>
      </c>
      <c r="D1389" s="24" t="s">
        <v>49</v>
      </c>
      <c r="E1389" s="24" t="s">
        <v>56</v>
      </c>
      <c r="F1389" s="63" t="s">
        <v>0</v>
      </c>
    </row>
    <row r="1390" spans="1:6" x14ac:dyDescent="0.25">
      <c r="A1390" s="62">
        <v>45082</v>
      </c>
      <c r="B1390" s="62" t="s">
        <v>1306</v>
      </c>
      <c r="C1390" s="23">
        <v>-5241</v>
      </c>
      <c r="D1390" s="24" t="s">
        <v>49</v>
      </c>
      <c r="E1390" s="24" t="s">
        <v>56</v>
      </c>
      <c r="F1390" s="63" t="s">
        <v>0</v>
      </c>
    </row>
    <row r="1391" spans="1:6" x14ac:dyDescent="0.25">
      <c r="A1391" s="62">
        <v>45082</v>
      </c>
      <c r="B1391" s="62" t="s">
        <v>1307</v>
      </c>
      <c r="C1391" s="23">
        <v>-2517</v>
      </c>
      <c r="D1391" s="24" t="s">
        <v>49</v>
      </c>
      <c r="E1391" s="24" t="s">
        <v>56</v>
      </c>
      <c r="F1391" s="63" t="s">
        <v>0</v>
      </c>
    </row>
    <row r="1392" spans="1:6" x14ac:dyDescent="0.25">
      <c r="A1392" s="62">
        <v>45082</v>
      </c>
      <c r="B1392" s="62" t="s">
        <v>1308</v>
      </c>
      <c r="C1392" s="23">
        <v>-14670</v>
      </c>
      <c r="D1392" s="24" t="s">
        <v>49</v>
      </c>
      <c r="E1392" s="24" t="s">
        <v>56</v>
      </c>
      <c r="F1392" s="63" t="s">
        <v>0</v>
      </c>
    </row>
    <row r="1393" spans="1:6" x14ac:dyDescent="0.25">
      <c r="A1393" s="62">
        <v>45082</v>
      </c>
      <c r="B1393" s="62" t="s">
        <v>1309</v>
      </c>
      <c r="C1393" s="23">
        <v>-18809.84</v>
      </c>
      <c r="D1393" s="24" t="s">
        <v>72</v>
      </c>
      <c r="E1393" s="24" t="s">
        <v>445</v>
      </c>
      <c r="F1393" s="63" t="s">
        <v>0</v>
      </c>
    </row>
    <row r="1394" spans="1:6" x14ac:dyDescent="0.25">
      <c r="A1394" s="62">
        <v>45080</v>
      </c>
      <c r="B1394" s="62" t="s">
        <v>171</v>
      </c>
      <c r="C1394" s="23">
        <v>1914</v>
      </c>
      <c r="D1394" s="24" t="s">
        <v>167</v>
      </c>
      <c r="E1394" s="24" t="s">
        <v>168</v>
      </c>
      <c r="F1394" s="63" t="s">
        <v>0</v>
      </c>
    </row>
    <row r="1395" spans="1:6" x14ac:dyDescent="0.25">
      <c r="A1395" s="62">
        <v>45079</v>
      </c>
      <c r="B1395" s="62" t="s">
        <v>172</v>
      </c>
      <c r="C1395" s="23">
        <v>243600</v>
      </c>
      <c r="D1395" s="24" t="s">
        <v>58</v>
      </c>
      <c r="E1395" s="24" t="s">
        <v>58</v>
      </c>
      <c r="F1395" s="63" t="s">
        <v>0</v>
      </c>
    </row>
    <row r="1396" spans="1:6" x14ac:dyDescent="0.25">
      <c r="A1396" s="62">
        <v>45079</v>
      </c>
      <c r="B1396" s="62" t="s">
        <v>166</v>
      </c>
      <c r="C1396" s="23">
        <v>-7518</v>
      </c>
      <c r="D1396" s="24" t="s">
        <v>167</v>
      </c>
      <c r="E1396" s="24" t="s">
        <v>168</v>
      </c>
      <c r="F1396" s="63" t="s">
        <v>0</v>
      </c>
    </row>
    <row r="1397" spans="1:6" x14ac:dyDescent="0.25">
      <c r="A1397" s="62">
        <v>45078</v>
      </c>
      <c r="B1397" s="62" t="s">
        <v>1084</v>
      </c>
      <c r="C1397" s="23">
        <v>-1540</v>
      </c>
      <c r="D1397" s="24" t="s">
        <v>52</v>
      </c>
      <c r="E1397" s="24" t="s">
        <v>53</v>
      </c>
      <c r="F1397" s="63" t="s">
        <v>4</v>
      </c>
    </row>
    <row r="1398" spans="1:6" x14ac:dyDescent="0.25">
      <c r="A1398" s="62">
        <v>45078</v>
      </c>
      <c r="B1398" s="62" t="s">
        <v>746</v>
      </c>
      <c r="C1398" s="23">
        <v>-2300</v>
      </c>
      <c r="D1398" s="24" t="s">
        <v>52</v>
      </c>
      <c r="E1398" s="24" t="s">
        <v>53</v>
      </c>
      <c r="F1398" s="63" t="s">
        <v>4</v>
      </c>
    </row>
    <row r="1399" spans="1:6" x14ac:dyDescent="0.25">
      <c r="A1399" s="62">
        <v>45078</v>
      </c>
      <c r="B1399" s="62" t="s">
        <v>1310</v>
      </c>
      <c r="C1399" s="23">
        <v>-6512</v>
      </c>
      <c r="D1399" s="24" t="s">
        <v>49</v>
      </c>
      <c r="E1399" s="24" t="s">
        <v>56</v>
      </c>
      <c r="F1399" s="63" t="s">
        <v>0</v>
      </c>
    </row>
    <row r="1400" spans="1:6" x14ac:dyDescent="0.25">
      <c r="A1400" s="62">
        <v>45078</v>
      </c>
      <c r="B1400" s="62" t="s">
        <v>1311</v>
      </c>
      <c r="C1400" s="23">
        <v>-13000</v>
      </c>
      <c r="D1400" s="24" t="s">
        <v>90</v>
      </c>
      <c r="E1400" s="24" t="s">
        <v>91</v>
      </c>
      <c r="F1400" s="63" t="s">
        <v>0</v>
      </c>
    </row>
    <row r="1401" spans="1:6" x14ac:dyDescent="0.25">
      <c r="A1401" s="62">
        <v>45078</v>
      </c>
      <c r="B1401" s="62" t="s">
        <v>1312</v>
      </c>
      <c r="C1401" s="23">
        <v>-19804</v>
      </c>
      <c r="D1401" s="24" t="s">
        <v>49</v>
      </c>
      <c r="E1401" s="24" t="s">
        <v>56</v>
      </c>
      <c r="F1401" s="63" t="s">
        <v>0</v>
      </c>
    </row>
    <row r="1402" spans="1:6" x14ac:dyDescent="0.25">
      <c r="A1402" s="62">
        <v>45078</v>
      </c>
      <c r="B1402" s="62" t="s">
        <v>1313</v>
      </c>
      <c r="C1402" s="23">
        <v>-23884</v>
      </c>
      <c r="D1402" s="24" t="s">
        <v>49</v>
      </c>
      <c r="E1402" s="24" t="s">
        <v>56</v>
      </c>
      <c r="F1402" s="63" t="s">
        <v>0</v>
      </c>
    </row>
    <row r="1403" spans="1:6" x14ac:dyDescent="0.25">
      <c r="A1403" s="62">
        <v>45078</v>
      </c>
      <c r="B1403" s="62" t="s">
        <v>1314</v>
      </c>
      <c r="C1403" s="23">
        <v>-27588</v>
      </c>
      <c r="D1403" s="24" t="s">
        <v>49</v>
      </c>
      <c r="E1403" s="24" t="s">
        <v>56</v>
      </c>
      <c r="F1403" s="63" t="s">
        <v>0</v>
      </c>
    </row>
    <row r="1404" spans="1:6" x14ac:dyDescent="0.25">
      <c r="A1404" s="62">
        <v>45077</v>
      </c>
      <c r="B1404" s="62" t="s">
        <v>43</v>
      </c>
      <c r="C1404" s="23">
        <v>-2222</v>
      </c>
      <c r="D1404" s="24" t="s">
        <v>167</v>
      </c>
      <c r="E1404" s="24" t="s">
        <v>168</v>
      </c>
      <c r="F1404" s="63" t="s">
        <v>0</v>
      </c>
    </row>
    <row r="1405" spans="1:6" x14ac:dyDescent="0.25">
      <c r="A1405" s="62">
        <v>45077</v>
      </c>
      <c r="B1405" s="62" t="s">
        <v>1315</v>
      </c>
      <c r="C1405" s="23">
        <v>700000</v>
      </c>
      <c r="D1405" s="24" t="s">
        <v>167</v>
      </c>
      <c r="E1405" s="24" t="s">
        <v>168</v>
      </c>
      <c r="F1405" s="63" t="s">
        <v>3</v>
      </c>
    </row>
    <row r="1406" spans="1:6" x14ac:dyDescent="0.25">
      <c r="A1406" s="62">
        <v>45077</v>
      </c>
      <c r="B1406" s="62" t="s">
        <v>1315</v>
      </c>
      <c r="C1406" s="23">
        <v>-700000</v>
      </c>
      <c r="D1406" s="24" t="s">
        <v>167</v>
      </c>
      <c r="E1406" s="24" t="s">
        <v>168</v>
      </c>
      <c r="F1406" s="63" t="s">
        <v>0</v>
      </c>
    </row>
    <row r="1407" spans="1:6" x14ac:dyDescent="0.25">
      <c r="A1407" s="62">
        <v>45077</v>
      </c>
      <c r="B1407" s="62" t="s">
        <v>1316</v>
      </c>
      <c r="C1407" s="23">
        <v>-29208</v>
      </c>
      <c r="D1407" s="24" t="s">
        <v>46</v>
      </c>
      <c r="E1407" s="24" t="s">
        <v>1317</v>
      </c>
      <c r="F1407" s="63" t="s">
        <v>0</v>
      </c>
    </row>
    <row r="1408" spans="1:6" x14ac:dyDescent="0.25">
      <c r="A1408" s="62">
        <v>45076</v>
      </c>
      <c r="B1408" s="62" t="s">
        <v>1318</v>
      </c>
      <c r="C1408" s="23">
        <v>-699</v>
      </c>
      <c r="D1408" s="24" t="s">
        <v>49</v>
      </c>
      <c r="E1408" s="24" t="s">
        <v>56</v>
      </c>
      <c r="F1408" s="63" t="s">
        <v>0</v>
      </c>
    </row>
    <row r="1409" spans="1:6" x14ac:dyDescent="0.25">
      <c r="A1409" s="62">
        <v>45076</v>
      </c>
      <c r="B1409" s="62" t="s">
        <v>1319</v>
      </c>
      <c r="C1409" s="23">
        <v>-1799</v>
      </c>
      <c r="D1409" s="24" t="s">
        <v>49</v>
      </c>
      <c r="E1409" s="24" t="s">
        <v>56</v>
      </c>
      <c r="F1409" s="63" t="s">
        <v>0</v>
      </c>
    </row>
    <row r="1410" spans="1:6" x14ac:dyDescent="0.25">
      <c r="A1410" s="62">
        <v>45076</v>
      </c>
      <c r="B1410" s="62" t="s">
        <v>1320</v>
      </c>
      <c r="C1410" s="23">
        <v>-4830</v>
      </c>
      <c r="D1410" s="24" t="s">
        <v>90</v>
      </c>
      <c r="E1410" s="24" t="s">
        <v>59</v>
      </c>
      <c r="F1410" s="63" t="s">
        <v>0</v>
      </c>
    </row>
    <row r="1411" spans="1:6" x14ac:dyDescent="0.25">
      <c r="A1411" s="62">
        <v>45076</v>
      </c>
      <c r="B1411" s="62" t="s">
        <v>1321</v>
      </c>
      <c r="C1411" s="23">
        <v>-5370</v>
      </c>
      <c r="D1411" s="24" t="s">
        <v>49</v>
      </c>
      <c r="E1411" s="24" t="s">
        <v>56</v>
      </c>
      <c r="F1411" s="63" t="s">
        <v>0</v>
      </c>
    </row>
    <row r="1412" spans="1:6" x14ac:dyDescent="0.25">
      <c r="A1412" s="62">
        <v>45076</v>
      </c>
      <c r="B1412" s="62" t="s">
        <v>1322</v>
      </c>
      <c r="C1412" s="23">
        <v>-5844</v>
      </c>
      <c r="D1412" s="24" t="s">
        <v>49</v>
      </c>
      <c r="E1412" s="24" t="s">
        <v>56</v>
      </c>
      <c r="F1412" s="63" t="s">
        <v>0</v>
      </c>
    </row>
    <row r="1413" spans="1:6" x14ac:dyDescent="0.25">
      <c r="A1413" s="62">
        <v>45076</v>
      </c>
      <c r="B1413" s="62" t="s">
        <v>1323</v>
      </c>
      <c r="C1413" s="23">
        <v>-8221</v>
      </c>
      <c r="D1413" s="24" t="s">
        <v>90</v>
      </c>
      <c r="E1413" s="24" t="s">
        <v>185</v>
      </c>
      <c r="F1413" s="63" t="s">
        <v>0</v>
      </c>
    </row>
    <row r="1414" spans="1:6" x14ac:dyDescent="0.25">
      <c r="A1414" s="62">
        <v>45076</v>
      </c>
      <c r="B1414" s="62" t="s">
        <v>1324</v>
      </c>
      <c r="C1414" s="23">
        <v>-9223</v>
      </c>
      <c r="D1414" s="24" t="s">
        <v>90</v>
      </c>
      <c r="E1414" s="24" t="s">
        <v>59</v>
      </c>
      <c r="F1414" s="63" t="s">
        <v>0</v>
      </c>
    </row>
    <row r="1415" spans="1:6" x14ac:dyDescent="0.25">
      <c r="A1415" s="62">
        <v>45076</v>
      </c>
      <c r="B1415" s="62" t="s">
        <v>1325</v>
      </c>
      <c r="C1415" s="23">
        <v>-10000</v>
      </c>
      <c r="D1415" s="24" t="s">
        <v>52</v>
      </c>
      <c r="E1415" s="24" t="s">
        <v>52</v>
      </c>
      <c r="F1415" s="63" t="s">
        <v>0</v>
      </c>
    </row>
    <row r="1416" spans="1:6" x14ac:dyDescent="0.25">
      <c r="A1416" s="62">
        <v>45076</v>
      </c>
      <c r="B1416" s="62" t="s">
        <v>1326</v>
      </c>
      <c r="C1416" s="23">
        <v>-11168</v>
      </c>
      <c r="D1416" s="24" t="s">
        <v>90</v>
      </c>
      <c r="E1416" s="24" t="s">
        <v>185</v>
      </c>
      <c r="F1416" s="63" t="s">
        <v>0</v>
      </c>
    </row>
    <row r="1417" spans="1:6" x14ac:dyDescent="0.25">
      <c r="A1417" s="62">
        <v>45076</v>
      </c>
      <c r="B1417" s="62" t="s">
        <v>1327</v>
      </c>
      <c r="C1417" s="23">
        <v>-12999</v>
      </c>
      <c r="D1417" s="24" t="s">
        <v>49</v>
      </c>
      <c r="E1417" s="24" t="s">
        <v>56</v>
      </c>
      <c r="F1417" s="63" t="s">
        <v>0</v>
      </c>
    </row>
    <row r="1418" spans="1:6" x14ac:dyDescent="0.25">
      <c r="A1418" s="62">
        <v>45076</v>
      </c>
      <c r="B1418" s="62" t="s">
        <v>1328</v>
      </c>
      <c r="C1418" s="23">
        <v>-19380</v>
      </c>
      <c r="D1418" s="24" t="s">
        <v>49</v>
      </c>
      <c r="E1418" s="24" t="s">
        <v>50</v>
      </c>
      <c r="F1418" s="63" t="s">
        <v>0</v>
      </c>
    </row>
    <row r="1419" spans="1:6" x14ac:dyDescent="0.25">
      <c r="A1419" s="62">
        <v>45076</v>
      </c>
      <c r="B1419" s="62" t="s">
        <v>1329</v>
      </c>
      <c r="C1419" s="23">
        <v>-24944</v>
      </c>
      <c r="D1419" s="24" t="s">
        <v>49</v>
      </c>
      <c r="E1419" s="24" t="s">
        <v>56</v>
      </c>
      <c r="F1419" s="63" t="s">
        <v>0</v>
      </c>
    </row>
    <row r="1420" spans="1:6" x14ac:dyDescent="0.25">
      <c r="A1420" s="62">
        <v>45076</v>
      </c>
      <c r="B1420" s="62" t="s">
        <v>1330</v>
      </c>
      <c r="C1420" s="23">
        <v>-3396</v>
      </c>
      <c r="D1420" s="24" t="s">
        <v>49</v>
      </c>
      <c r="E1420" s="24" t="s">
        <v>56</v>
      </c>
      <c r="F1420" s="63" t="s">
        <v>0</v>
      </c>
    </row>
    <row r="1421" spans="1:6" x14ac:dyDescent="0.25">
      <c r="A1421" s="62">
        <v>45076</v>
      </c>
      <c r="B1421" s="62" t="s">
        <v>1331</v>
      </c>
      <c r="C1421" s="23">
        <v>-584</v>
      </c>
      <c r="D1421" s="24" t="s">
        <v>72</v>
      </c>
      <c r="E1421" s="24" t="s">
        <v>197</v>
      </c>
      <c r="F1421" s="63" t="s">
        <v>0</v>
      </c>
    </row>
    <row r="1422" spans="1:6" x14ac:dyDescent="0.25">
      <c r="A1422" s="62">
        <v>45076</v>
      </c>
      <c r="B1422" s="62" t="s">
        <v>1332</v>
      </c>
      <c r="C1422" s="23">
        <v>-4790</v>
      </c>
      <c r="D1422" s="24" t="s">
        <v>49</v>
      </c>
      <c r="E1422" s="24" t="s">
        <v>50</v>
      </c>
      <c r="F1422" s="63" t="s">
        <v>0</v>
      </c>
    </row>
    <row r="1423" spans="1:6" x14ac:dyDescent="0.25">
      <c r="A1423" s="62">
        <v>45076</v>
      </c>
      <c r="B1423" s="62" t="s">
        <v>1333</v>
      </c>
      <c r="C1423" s="23">
        <v>-3490</v>
      </c>
      <c r="D1423" s="24" t="s">
        <v>46</v>
      </c>
      <c r="E1423" s="24" t="s">
        <v>63</v>
      </c>
      <c r="F1423" s="63" t="s">
        <v>0</v>
      </c>
    </row>
    <row r="1424" spans="1:6" x14ac:dyDescent="0.25">
      <c r="A1424" s="62">
        <v>45076</v>
      </c>
      <c r="B1424" s="62" t="s">
        <v>1334</v>
      </c>
      <c r="C1424" s="23">
        <v>-2200</v>
      </c>
      <c r="D1424" s="24" t="s">
        <v>83</v>
      </c>
      <c r="E1424" s="24" t="s">
        <v>84</v>
      </c>
      <c r="F1424" s="63" t="s">
        <v>0</v>
      </c>
    </row>
    <row r="1425" spans="1:6" x14ac:dyDescent="0.25">
      <c r="A1425" s="62">
        <v>45075</v>
      </c>
      <c r="B1425" s="62" t="s">
        <v>1335</v>
      </c>
      <c r="C1425" s="23">
        <v>-8796</v>
      </c>
      <c r="D1425" s="24" t="s">
        <v>90</v>
      </c>
      <c r="E1425" s="24" t="s">
        <v>93</v>
      </c>
      <c r="F1425" s="63" t="s">
        <v>0</v>
      </c>
    </row>
    <row r="1426" spans="1:6" x14ac:dyDescent="0.25">
      <c r="A1426" s="62">
        <v>45072</v>
      </c>
      <c r="B1426" s="62" t="s">
        <v>1336</v>
      </c>
      <c r="C1426" s="23">
        <v>-6031</v>
      </c>
      <c r="D1426" s="24" t="s">
        <v>49</v>
      </c>
      <c r="E1426" s="24" t="s">
        <v>56</v>
      </c>
      <c r="F1426" s="63" t="s">
        <v>0</v>
      </c>
    </row>
    <row r="1427" spans="1:6" x14ac:dyDescent="0.25">
      <c r="A1427" s="62">
        <v>45072</v>
      </c>
      <c r="B1427" s="62" t="s">
        <v>1337</v>
      </c>
      <c r="C1427" s="23">
        <v>-1200</v>
      </c>
      <c r="D1427" s="24" t="s">
        <v>72</v>
      </c>
      <c r="E1427" s="24" t="s">
        <v>126</v>
      </c>
      <c r="F1427" s="63" t="s">
        <v>0</v>
      </c>
    </row>
    <row r="1428" spans="1:6" x14ac:dyDescent="0.25">
      <c r="A1428" s="62">
        <v>45072</v>
      </c>
      <c r="B1428" s="62" t="s">
        <v>1337</v>
      </c>
      <c r="C1428" s="23">
        <v>-1200</v>
      </c>
      <c r="D1428" s="24" t="s">
        <v>72</v>
      </c>
      <c r="E1428" s="24" t="s">
        <v>126</v>
      </c>
      <c r="F1428" s="63" t="s">
        <v>0</v>
      </c>
    </row>
    <row r="1429" spans="1:6" x14ac:dyDescent="0.25">
      <c r="A1429" s="62">
        <v>45072</v>
      </c>
      <c r="B1429" s="62" t="s">
        <v>1338</v>
      </c>
      <c r="C1429" s="23">
        <v>-13410</v>
      </c>
      <c r="D1429" s="24" t="s">
        <v>46</v>
      </c>
      <c r="E1429" s="24" t="s">
        <v>61</v>
      </c>
      <c r="F1429" s="63" t="s">
        <v>0</v>
      </c>
    </row>
    <row r="1430" spans="1:6" x14ac:dyDescent="0.25">
      <c r="A1430" s="62">
        <v>45071</v>
      </c>
      <c r="B1430" s="62" t="s">
        <v>765</v>
      </c>
      <c r="C1430" s="23">
        <v>-1750</v>
      </c>
      <c r="D1430" s="24" t="s">
        <v>52</v>
      </c>
      <c r="E1430" s="24" t="s">
        <v>53</v>
      </c>
      <c r="F1430" s="63" t="s">
        <v>4</v>
      </c>
    </row>
    <row r="1431" spans="1:6" x14ac:dyDescent="0.25">
      <c r="A1431" s="62">
        <v>45071</v>
      </c>
      <c r="B1431" s="62" t="s">
        <v>1339</v>
      </c>
      <c r="C1431" s="23">
        <v>-3818</v>
      </c>
      <c r="D1431" s="24" t="s">
        <v>49</v>
      </c>
      <c r="E1431" s="24" t="s">
        <v>56</v>
      </c>
      <c r="F1431" s="63" t="s">
        <v>0</v>
      </c>
    </row>
    <row r="1432" spans="1:6" x14ac:dyDescent="0.25">
      <c r="A1432" s="62">
        <v>45071</v>
      </c>
      <c r="B1432" s="62" t="s">
        <v>1340</v>
      </c>
      <c r="C1432" s="23">
        <v>-12784</v>
      </c>
      <c r="D1432" s="24" t="s">
        <v>49</v>
      </c>
      <c r="E1432" s="24" t="s">
        <v>56</v>
      </c>
      <c r="F1432" s="63" t="s">
        <v>0</v>
      </c>
    </row>
    <row r="1433" spans="1:6" x14ac:dyDescent="0.25">
      <c r="A1433" s="62">
        <v>45071</v>
      </c>
      <c r="B1433" s="62" t="s">
        <v>1341</v>
      </c>
      <c r="C1433" s="23">
        <v>-4576</v>
      </c>
      <c r="D1433" s="24" t="s">
        <v>49</v>
      </c>
      <c r="E1433" s="24" t="s">
        <v>56</v>
      </c>
      <c r="F1433" s="63" t="s">
        <v>0</v>
      </c>
    </row>
    <row r="1434" spans="1:6" x14ac:dyDescent="0.25">
      <c r="A1434" s="62">
        <v>45071</v>
      </c>
      <c r="B1434" s="62" t="s">
        <v>1342</v>
      </c>
      <c r="C1434" s="23">
        <v>-4990</v>
      </c>
      <c r="D1434" s="24" t="s">
        <v>49</v>
      </c>
      <c r="E1434" s="24" t="s">
        <v>50</v>
      </c>
      <c r="F1434" s="63" t="s">
        <v>0</v>
      </c>
    </row>
    <row r="1435" spans="1:6" x14ac:dyDescent="0.25">
      <c r="A1435" s="62">
        <v>45071</v>
      </c>
      <c r="B1435" s="62" t="s">
        <v>1343</v>
      </c>
      <c r="C1435" s="23">
        <v>-999</v>
      </c>
      <c r="D1435" s="24" t="s">
        <v>46</v>
      </c>
      <c r="E1435" s="24" t="s">
        <v>63</v>
      </c>
      <c r="F1435" s="63" t="s">
        <v>0</v>
      </c>
    </row>
    <row r="1436" spans="1:6" x14ac:dyDescent="0.25">
      <c r="A1436" s="62">
        <v>45070</v>
      </c>
      <c r="B1436" s="62" t="s">
        <v>1084</v>
      </c>
      <c r="C1436" s="23">
        <v>-950</v>
      </c>
      <c r="D1436" s="24" t="s">
        <v>52</v>
      </c>
      <c r="E1436" s="24" t="s">
        <v>53</v>
      </c>
      <c r="F1436" s="63" t="s">
        <v>4</v>
      </c>
    </row>
    <row r="1437" spans="1:6" x14ac:dyDescent="0.25">
      <c r="A1437" s="62">
        <v>45070</v>
      </c>
      <c r="B1437" s="62" t="s">
        <v>746</v>
      </c>
      <c r="C1437" s="23">
        <v>-2300</v>
      </c>
      <c r="D1437" s="24" t="s">
        <v>52</v>
      </c>
      <c r="E1437" s="24" t="s">
        <v>53</v>
      </c>
      <c r="F1437" s="63" t="s">
        <v>4</v>
      </c>
    </row>
    <row r="1438" spans="1:6" x14ac:dyDescent="0.25">
      <c r="A1438" s="62">
        <v>45070</v>
      </c>
      <c r="B1438" s="62" t="s">
        <v>1344</v>
      </c>
      <c r="C1438" s="23">
        <v>-1540</v>
      </c>
      <c r="D1438" s="24" t="s">
        <v>52</v>
      </c>
      <c r="E1438" s="24" t="s">
        <v>134</v>
      </c>
      <c r="F1438" s="63" t="s">
        <v>0</v>
      </c>
    </row>
    <row r="1439" spans="1:6" x14ac:dyDescent="0.25">
      <c r="A1439" s="62">
        <v>45069</v>
      </c>
      <c r="B1439" s="62" t="s">
        <v>1345</v>
      </c>
      <c r="C1439" s="23">
        <v>-1980</v>
      </c>
      <c r="D1439" s="24" t="s">
        <v>52</v>
      </c>
      <c r="E1439" s="24" t="s">
        <v>53</v>
      </c>
      <c r="F1439" s="63" t="s">
        <v>4</v>
      </c>
    </row>
    <row r="1440" spans="1:6" x14ac:dyDescent="0.25">
      <c r="A1440" s="62">
        <v>45069</v>
      </c>
      <c r="B1440" s="62" t="s">
        <v>1346</v>
      </c>
      <c r="C1440" s="23">
        <v>-12000</v>
      </c>
      <c r="D1440" s="24" t="s">
        <v>90</v>
      </c>
      <c r="E1440" s="24" t="s">
        <v>91</v>
      </c>
      <c r="F1440" s="63" t="s">
        <v>0</v>
      </c>
    </row>
    <row r="1441" spans="1:6" x14ac:dyDescent="0.25">
      <c r="A1441" s="62">
        <v>45068</v>
      </c>
      <c r="B1441" s="62" t="s">
        <v>1347</v>
      </c>
      <c r="C1441" s="23">
        <v>-5124</v>
      </c>
      <c r="D1441" s="24" t="s">
        <v>90</v>
      </c>
      <c r="E1441" s="24" t="s">
        <v>93</v>
      </c>
      <c r="F1441" s="63" t="s">
        <v>0</v>
      </c>
    </row>
    <row r="1442" spans="1:6" x14ac:dyDescent="0.25">
      <c r="A1442" s="62">
        <v>45068</v>
      </c>
      <c r="B1442" s="62" t="s">
        <v>1348</v>
      </c>
      <c r="C1442" s="23">
        <v>-14708</v>
      </c>
      <c r="D1442" s="24" t="s">
        <v>49</v>
      </c>
      <c r="E1442" s="24" t="s">
        <v>56</v>
      </c>
      <c r="F1442" s="63" t="s">
        <v>0</v>
      </c>
    </row>
    <row r="1443" spans="1:6" x14ac:dyDescent="0.25">
      <c r="A1443" s="62">
        <v>45068</v>
      </c>
      <c r="B1443" s="62" t="s">
        <v>1349</v>
      </c>
      <c r="C1443" s="23">
        <v>-5460</v>
      </c>
      <c r="D1443" s="24" t="s">
        <v>46</v>
      </c>
      <c r="E1443" s="24" t="s">
        <v>428</v>
      </c>
      <c r="F1443" s="63" t="s">
        <v>0</v>
      </c>
    </row>
    <row r="1444" spans="1:6" x14ac:dyDescent="0.25">
      <c r="A1444" s="62">
        <v>45068</v>
      </c>
      <c r="B1444" s="62" t="s">
        <v>1350</v>
      </c>
      <c r="C1444" s="23">
        <v>-2440</v>
      </c>
      <c r="D1444" s="24" t="s">
        <v>49</v>
      </c>
      <c r="E1444" s="24" t="s">
        <v>56</v>
      </c>
      <c r="F1444" s="63" t="s">
        <v>0</v>
      </c>
    </row>
    <row r="1445" spans="1:6" x14ac:dyDescent="0.25">
      <c r="A1445" s="62">
        <v>45068</v>
      </c>
      <c r="B1445" s="62" t="s">
        <v>1351</v>
      </c>
      <c r="C1445" s="23">
        <v>-1249</v>
      </c>
      <c r="D1445" s="24" t="s">
        <v>49</v>
      </c>
      <c r="E1445" s="24" t="s">
        <v>56</v>
      </c>
      <c r="F1445" s="63" t="s">
        <v>0</v>
      </c>
    </row>
    <row r="1446" spans="1:6" x14ac:dyDescent="0.25">
      <c r="A1446" s="62">
        <v>45067</v>
      </c>
      <c r="B1446" s="62" t="s">
        <v>765</v>
      </c>
      <c r="C1446" s="23">
        <v>-6910</v>
      </c>
      <c r="D1446" s="24" t="s">
        <v>52</v>
      </c>
      <c r="E1446" s="24" t="s">
        <v>53</v>
      </c>
      <c r="F1446" s="63" t="s">
        <v>4</v>
      </c>
    </row>
    <row r="1447" spans="1:6" x14ac:dyDescent="0.25">
      <c r="A1447" s="62">
        <v>45065</v>
      </c>
      <c r="B1447" s="62" t="s">
        <v>139</v>
      </c>
      <c r="C1447" s="23">
        <v>31960</v>
      </c>
      <c r="D1447" s="24" t="s">
        <v>58</v>
      </c>
      <c r="E1447" s="24" t="s">
        <v>58</v>
      </c>
      <c r="F1447" s="63" t="s">
        <v>4</v>
      </c>
    </row>
    <row r="1448" spans="1:6" x14ac:dyDescent="0.25">
      <c r="A1448" s="62">
        <v>45065</v>
      </c>
      <c r="B1448" s="62" t="s">
        <v>1352</v>
      </c>
      <c r="C1448" s="23">
        <v>-1199</v>
      </c>
      <c r="D1448" s="24" t="s">
        <v>49</v>
      </c>
      <c r="E1448" s="24" t="s">
        <v>56</v>
      </c>
      <c r="F1448" s="63" t="s">
        <v>0</v>
      </c>
    </row>
    <row r="1449" spans="1:6" x14ac:dyDescent="0.25">
      <c r="A1449" s="62">
        <v>45064</v>
      </c>
      <c r="B1449" s="62" t="s">
        <v>1353</v>
      </c>
      <c r="C1449" s="23">
        <v>-2990</v>
      </c>
      <c r="D1449" s="24" t="s">
        <v>52</v>
      </c>
      <c r="E1449" s="24" t="s">
        <v>53</v>
      </c>
      <c r="F1449" s="63" t="s">
        <v>4</v>
      </c>
    </row>
    <row r="1450" spans="1:6" x14ac:dyDescent="0.25">
      <c r="A1450" s="62">
        <v>45064</v>
      </c>
      <c r="B1450" s="62" t="s">
        <v>1169</v>
      </c>
      <c r="C1450" s="23">
        <v>-20000</v>
      </c>
      <c r="D1450" s="24" t="s">
        <v>49</v>
      </c>
      <c r="E1450" s="24" t="s">
        <v>56</v>
      </c>
      <c r="F1450" s="63" t="s">
        <v>0</v>
      </c>
    </row>
    <row r="1451" spans="1:6" x14ac:dyDescent="0.25">
      <c r="A1451" s="62">
        <v>45063</v>
      </c>
      <c r="B1451" s="62" t="s">
        <v>1354</v>
      </c>
      <c r="C1451" s="23">
        <v>-10874</v>
      </c>
      <c r="D1451" s="24" t="s">
        <v>49</v>
      </c>
      <c r="E1451" s="24" t="s">
        <v>56</v>
      </c>
      <c r="F1451" s="63" t="s">
        <v>0</v>
      </c>
    </row>
    <row r="1452" spans="1:6" x14ac:dyDescent="0.25">
      <c r="A1452" s="62">
        <v>45063</v>
      </c>
      <c r="B1452" s="62" t="s">
        <v>1355</v>
      </c>
      <c r="C1452" s="23">
        <v>-13000</v>
      </c>
      <c r="D1452" s="24" t="s">
        <v>90</v>
      </c>
      <c r="E1452" s="24" t="s">
        <v>91</v>
      </c>
      <c r="F1452" s="63" t="s">
        <v>0</v>
      </c>
    </row>
    <row r="1453" spans="1:6" x14ac:dyDescent="0.25">
      <c r="A1453" s="62">
        <v>45063</v>
      </c>
      <c r="B1453" s="62" t="s">
        <v>1356</v>
      </c>
      <c r="C1453" s="23">
        <v>-5008</v>
      </c>
      <c r="D1453" s="24" t="s">
        <v>49</v>
      </c>
      <c r="E1453" s="24" t="s">
        <v>56</v>
      </c>
      <c r="F1453" s="63" t="s">
        <v>0</v>
      </c>
    </row>
    <row r="1454" spans="1:6" x14ac:dyDescent="0.25">
      <c r="A1454" s="62">
        <v>45063</v>
      </c>
      <c r="B1454" s="62" t="s">
        <v>1344</v>
      </c>
      <c r="C1454" s="23">
        <v>-1540</v>
      </c>
      <c r="D1454" s="24" t="s">
        <v>52</v>
      </c>
      <c r="E1454" s="24" t="s">
        <v>134</v>
      </c>
      <c r="F1454" s="63" t="s">
        <v>0</v>
      </c>
    </row>
    <row r="1455" spans="1:6" x14ac:dyDescent="0.25">
      <c r="A1455" s="62">
        <v>45062</v>
      </c>
      <c r="B1455" s="62" t="s">
        <v>1353</v>
      </c>
      <c r="C1455" s="23">
        <v>-5980</v>
      </c>
      <c r="D1455" s="24" t="s">
        <v>52</v>
      </c>
      <c r="E1455" s="24" t="s">
        <v>53</v>
      </c>
      <c r="F1455" s="63" t="s">
        <v>4</v>
      </c>
    </row>
    <row r="1456" spans="1:6" x14ac:dyDescent="0.25">
      <c r="A1456" s="62">
        <v>45061</v>
      </c>
      <c r="B1456" s="62" t="s">
        <v>1357</v>
      </c>
      <c r="C1456" s="23">
        <v>-5580</v>
      </c>
      <c r="D1456" s="24" t="s">
        <v>52</v>
      </c>
      <c r="E1456" s="24" t="s">
        <v>53</v>
      </c>
      <c r="F1456" s="63" t="s">
        <v>4</v>
      </c>
    </row>
    <row r="1457" spans="1:6" x14ac:dyDescent="0.25">
      <c r="A1457" s="62">
        <v>45061</v>
      </c>
      <c r="B1457" s="62" t="s">
        <v>1358</v>
      </c>
      <c r="C1457" s="23">
        <v>-2415</v>
      </c>
      <c r="D1457" s="24" t="s">
        <v>90</v>
      </c>
      <c r="E1457" s="24" t="s">
        <v>59</v>
      </c>
      <c r="F1457" s="63" t="s">
        <v>0</v>
      </c>
    </row>
    <row r="1458" spans="1:6" x14ac:dyDescent="0.25">
      <c r="A1458" s="62">
        <v>45061</v>
      </c>
      <c r="B1458" s="62" t="s">
        <v>1359</v>
      </c>
      <c r="C1458" s="23">
        <v>-11380</v>
      </c>
      <c r="D1458" s="24" t="s">
        <v>49</v>
      </c>
      <c r="E1458" s="24" t="s">
        <v>213</v>
      </c>
      <c r="F1458" s="63" t="s">
        <v>0</v>
      </c>
    </row>
    <row r="1459" spans="1:6" x14ac:dyDescent="0.25">
      <c r="A1459" s="62">
        <v>45061</v>
      </c>
      <c r="B1459" s="62" t="s">
        <v>1360</v>
      </c>
      <c r="C1459" s="23">
        <v>-4165</v>
      </c>
      <c r="D1459" s="24" t="s">
        <v>46</v>
      </c>
      <c r="E1459" s="24" t="s">
        <v>428</v>
      </c>
      <c r="F1459" s="63" t="s">
        <v>0</v>
      </c>
    </row>
    <row r="1460" spans="1:6" x14ac:dyDescent="0.25">
      <c r="A1460" s="62">
        <v>45061</v>
      </c>
      <c r="B1460" s="62" t="s">
        <v>1361</v>
      </c>
      <c r="C1460" s="23">
        <v>-22939</v>
      </c>
      <c r="D1460" s="24" t="s">
        <v>49</v>
      </c>
      <c r="E1460" s="24" t="s">
        <v>56</v>
      </c>
      <c r="F1460" s="63" t="s">
        <v>0</v>
      </c>
    </row>
    <row r="1461" spans="1:6" x14ac:dyDescent="0.25">
      <c r="A1461" s="62">
        <v>45061</v>
      </c>
      <c r="B1461" s="62" t="s">
        <v>1362</v>
      </c>
      <c r="C1461" s="23">
        <v>-44326</v>
      </c>
      <c r="D1461" s="24" t="s">
        <v>49</v>
      </c>
      <c r="E1461" s="24" t="s">
        <v>50</v>
      </c>
      <c r="F1461" s="63" t="s">
        <v>0</v>
      </c>
    </row>
    <row r="1462" spans="1:6" x14ac:dyDescent="0.25">
      <c r="A1462" s="62">
        <v>45061</v>
      </c>
      <c r="B1462" s="62" t="s">
        <v>1363</v>
      </c>
      <c r="C1462" s="23">
        <v>-1440</v>
      </c>
      <c r="D1462" s="24" t="s">
        <v>52</v>
      </c>
      <c r="E1462" s="24" t="s">
        <v>52</v>
      </c>
      <c r="F1462" s="63" t="s">
        <v>0</v>
      </c>
    </row>
    <row r="1463" spans="1:6" x14ac:dyDescent="0.25">
      <c r="A1463" s="62">
        <v>45061</v>
      </c>
      <c r="B1463" s="62" t="s">
        <v>1364</v>
      </c>
      <c r="C1463" s="23">
        <v>-2760</v>
      </c>
      <c r="D1463" s="24" t="s">
        <v>52</v>
      </c>
      <c r="E1463" s="24" t="s">
        <v>52</v>
      </c>
      <c r="F1463" s="63" t="s">
        <v>0</v>
      </c>
    </row>
    <row r="1464" spans="1:6" x14ac:dyDescent="0.25">
      <c r="A1464" s="62">
        <v>45061</v>
      </c>
      <c r="B1464" s="62" t="s">
        <v>1365</v>
      </c>
      <c r="C1464" s="23">
        <v>-4790</v>
      </c>
      <c r="D1464" s="24" t="s">
        <v>52</v>
      </c>
      <c r="E1464" s="24" t="s">
        <v>52</v>
      </c>
      <c r="F1464" s="63" t="s">
        <v>0</v>
      </c>
    </row>
    <row r="1465" spans="1:6" x14ac:dyDescent="0.25">
      <c r="A1465" s="62">
        <v>45061</v>
      </c>
      <c r="B1465" s="62" t="s">
        <v>1366</v>
      </c>
      <c r="C1465" s="23">
        <v>-4554</v>
      </c>
      <c r="D1465" s="24" t="s">
        <v>49</v>
      </c>
      <c r="E1465" s="24" t="s">
        <v>56</v>
      </c>
      <c r="F1465" s="63" t="s">
        <v>0</v>
      </c>
    </row>
    <row r="1466" spans="1:6" x14ac:dyDescent="0.25">
      <c r="A1466" s="62">
        <v>45061</v>
      </c>
      <c r="B1466" s="62" t="s">
        <v>1367</v>
      </c>
      <c r="C1466" s="23">
        <v>-1099</v>
      </c>
      <c r="D1466" s="24" t="s">
        <v>49</v>
      </c>
      <c r="E1466" s="24" t="s">
        <v>56</v>
      </c>
      <c r="F1466" s="63" t="s">
        <v>0</v>
      </c>
    </row>
    <row r="1467" spans="1:6" x14ac:dyDescent="0.25">
      <c r="A1467" s="62">
        <v>45061</v>
      </c>
      <c r="B1467" s="62" t="s">
        <v>1368</v>
      </c>
      <c r="C1467" s="23">
        <v>-11611</v>
      </c>
      <c r="D1467" s="24" t="s">
        <v>49</v>
      </c>
      <c r="E1467" s="24" t="s">
        <v>56</v>
      </c>
      <c r="F1467" s="63" t="s">
        <v>0</v>
      </c>
    </row>
    <row r="1468" spans="1:6" x14ac:dyDescent="0.25">
      <c r="A1468" s="62">
        <v>45060</v>
      </c>
      <c r="B1468" s="62" t="s">
        <v>765</v>
      </c>
      <c r="C1468" s="23">
        <v>-6440</v>
      </c>
      <c r="D1468" s="24" t="s">
        <v>52</v>
      </c>
      <c r="E1468" s="24" t="s">
        <v>53</v>
      </c>
      <c r="F1468" s="63" t="s">
        <v>4</v>
      </c>
    </row>
    <row r="1469" spans="1:6" x14ac:dyDescent="0.25">
      <c r="A1469" s="62">
        <v>45058</v>
      </c>
      <c r="B1469" s="62" t="s">
        <v>1369</v>
      </c>
      <c r="C1469" s="23">
        <v>-24975</v>
      </c>
      <c r="D1469" s="24" t="s">
        <v>49</v>
      </c>
      <c r="E1469" s="24" t="s">
        <v>213</v>
      </c>
      <c r="F1469" s="63" t="s">
        <v>0</v>
      </c>
    </row>
    <row r="1470" spans="1:6" x14ac:dyDescent="0.25">
      <c r="A1470" s="62">
        <v>45058</v>
      </c>
      <c r="B1470" s="62" t="s">
        <v>1123</v>
      </c>
      <c r="C1470" s="23">
        <v>-2300</v>
      </c>
      <c r="D1470" s="24" t="s">
        <v>52</v>
      </c>
      <c r="E1470" s="24" t="s">
        <v>53</v>
      </c>
      <c r="F1470" s="63" t="s">
        <v>0</v>
      </c>
    </row>
    <row r="1471" spans="1:6" x14ac:dyDescent="0.25">
      <c r="A1471" s="62">
        <v>45058</v>
      </c>
      <c r="B1471" s="62" t="s">
        <v>1370</v>
      </c>
      <c r="C1471" s="23">
        <v>-6382000</v>
      </c>
      <c r="D1471" s="24" t="s">
        <v>1371</v>
      </c>
      <c r="E1471" s="24" t="s">
        <v>1372</v>
      </c>
      <c r="F1471" s="63" t="s">
        <v>0</v>
      </c>
    </row>
    <row r="1472" spans="1:6" x14ac:dyDescent="0.25">
      <c r="A1472" s="62">
        <v>45057</v>
      </c>
      <c r="B1472" s="62" t="s">
        <v>1373</v>
      </c>
      <c r="C1472" s="23">
        <v>-102500</v>
      </c>
      <c r="D1472" s="24" t="s">
        <v>49</v>
      </c>
      <c r="E1472" s="24" t="s">
        <v>213</v>
      </c>
      <c r="F1472" s="63" t="s">
        <v>0</v>
      </c>
    </row>
    <row r="1473" spans="1:6" x14ac:dyDescent="0.25">
      <c r="A1473" s="62">
        <v>45057</v>
      </c>
      <c r="B1473" s="62" t="s">
        <v>1374</v>
      </c>
      <c r="C1473" s="23">
        <v>-4060</v>
      </c>
      <c r="D1473" s="24" t="s">
        <v>49</v>
      </c>
      <c r="E1473" s="24" t="s">
        <v>213</v>
      </c>
      <c r="F1473" s="63" t="s">
        <v>0</v>
      </c>
    </row>
    <row r="1474" spans="1:6" x14ac:dyDescent="0.25">
      <c r="A1474" s="62">
        <v>45057</v>
      </c>
      <c r="B1474" s="62" t="s">
        <v>1375</v>
      </c>
      <c r="C1474" s="23">
        <v>-2840</v>
      </c>
      <c r="D1474" s="24" t="s">
        <v>52</v>
      </c>
      <c r="E1474" s="24" t="s">
        <v>53</v>
      </c>
      <c r="F1474" s="63" t="s">
        <v>0</v>
      </c>
    </row>
    <row r="1475" spans="1:6" x14ac:dyDescent="0.25">
      <c r="A1475" s="62">
        <v>45057</v>
      </c>
      <c r="B1475" s="62" t="s">
        <v>1376</v>
      </c>
      <c r="C1475" s="23">
        <v>-34872</v>
      </c>
      <c r="D1475" s="24" t="s">
        <v>72</v>
      </c>
      <c r="E1475" s="24" t="s">
        <v>109</v>
      </c>
      <c r="F1475" s="63" t="s">
        <v>0</v>
      </c>
    </row>
    <row r="1476" spans="1:6" x14ac:dyDescent="0.25">
      <c r="A1476" s="62">
        <v>45057</v>
      </c>
      <c r="B1476" s="62" t="s">
        <v>1377</v>
      </c>
      <c r="C1476" s="23">
        <v>-749</v>
      </c>
      <c r="D1476" s="24" t="s">
        <v>49</v>
      </c>
      <c r="E1476" s="24" t="s">
        <v>56</v>
      </c>
      <c r="F1476" s="63" t="s">
        <v>0</v>
      </c>
    </row>
    <row r="1477" spans="1:6" x14ac:dyDescent="0.25">
      <c r="A1477" s="62">
        <v>45057</v>
      </c>
      <c r="B1477" s="62" t="s">
        <v>1378</v>
      </c>
      <c r="C1477" s="23">
        <v>-9196</v>
      </c>
      <c r="D1477" s="24" t="s">
        <v>49</v>
      </c>
      <c r="E1477" s="24" t="s">
        <v>56</v>
      </c>
      <c r="F1477" s="63" t="s">
        <v>0</v>
      </c>
    </row>
    <row r="1478" spans="1:6" x14ac:dyDescent="0.25">
      <c r="A1478" s="62">
        <v>45057</v>
      </c>
      <c r="B1478" s="62" t="s">
        <v>1379</v>
      </c>
      <c r="C1478" s="23">
        <v>-10571</v>
      </c>
      <c r="D1478" s="24" t="s">
        <v>90</v>
      </c>
      <c r="E1478" s="24" t="s">
        <v>59</v>
      </c>
      <c r="F1478" s="63" t="s">
        <v>0</v>
      </c>
    </row>
    <row r="1479" spans="1:6" x14ac:dyDescent="0.25">
      <c r="A1479" s="62">
        <v>45057</v>
      </c>
      <c r="B1479" s="62" t="s">
        <v>1380</v>
      </c>
      <c r="C1479" s="23">
        <v>-1490</v>
      </c>
      <c r="D1479" s="24" t="s">
        <v>52</v>
      </c>
      <c r="E1479" s="24" t="s">
        <v>134</v>
      </c>
      <c r="F1479" s="63" t="s">
        <v>0</v>
      </c>
    </row>
    <row r="1480" spans="1:6" x14ac:dyDescent="0.25">
      <c r="A1480" s="62">
        <v>45056</v>
      </c>
      <c r="B1480" s="62" t="s">
        <v>1381</v>
      </c>
      <c r="C1480" s="23">
        <v>-216440.63</v>
      </c>
      <c r="D1480" s="24" t="s">
        <v>46</v>
      </c>
      <c r="E1480" s="24" t="s">
        <v>10</v>
      </c>
      <c r="F1480" s="63" t="s">
        <v>0</v>
      </c>
    </row>
    <row r="1481" spans="1:6" x14ac:dyDescent="0.25">
      <c r="A1481" s="62">
        <v>45056</v>
      </c>
      <c r="B1481" s="62" t="s">
        <v>1382</v>
      </c>
      <c r="C1481" s="23">
        <v>-15470</v>
      </c>
      <c r="D1481" s="24" t="s">
        <v>49</v>
      </c>
      <c r="E1481" s="24" t="s">
        <v>56</v>
      </c>
      <c r="F1481" s="63" t="s">
        <v>0</v>
      </c>
    </row>
    <row r="1482" spans="1:6" x14ac:dyDescent="0.25">
      <c r="A1482" s="62">
        <v>45056</v>
      </c>
      <c r="B1482" s="62" t="s">
        <v>1383</v>
      </c>
      <c r="C1482" s="23">
        <v>-4060</v>
      </c>
      <c r="D1482" s="24" t="s">
        <v>52</v>
      </c>
      <c r="E1482" s="24" t="s">
        <v>52</v>
      </c>
      <c r="F1482" s="63" t="s">
        <v>0</v>
      </c>
    </row>
    <row r="1483" spans="1:6" x14ac:dyDescent="0.25">
      <c r="A1483" s="62">
        <v>45056</v>
      </c>
      <c r="B1483" s="62" t="s">
        <v>1384</v>
      </c>
      <c r="C1483" s="23">
        <v>-18524</v>
      </c>
      <c r="D1483" s="24" t="s">
        <v>49</v>
      </c>
      <c r="E1483" s="24" t="s">
        <v>56</v>
      </c>
      <c r="F1483" s="63" t="s">
        <v>0</v>
      </c>
    </row>
    <row r="1484" spans="1:6" x14ac:dyDescent="0.25">
      <c r="A1484" s="62">
        <v>45056</v>
      </c>
      <c r="B1484" s="62" t="s">
        <v>1385</v>
      </c>
      <c r="C1484" s="23">
        <v>-20878</v>
      </c>
      <c r="D1484" s="24" t="s">
        <v>49</v>
      </c>
      <c r="E1484" s="24" t="s">
        <v>56</v>
      </c>
      <c r="F1484" s="63" t="s">
        <v>0</v>
      </c>
    </row>
    <row r="1485" spans="1:6" x14ac:dyDescent="0.25">
      <c r="A1485" s="62">
        <v>45056</v>
      </c>
      <c r="B1485" s="62" t="s">
        <v>713</v>
      </c>
      <c r="C1485" s="23">
        <v>957069</v>
      </c>
      <c r="D1485" s="24" t="s">
        <v>58</v>
      </c>
      <c r="E1485" s="24" t="s">
        <v>58</v>
      </c>
      <c r="F1485" s="63" t="s">
        <v>0</v>
      </c>
    </row>
    <row r="1486" spans="1:6" x14ac:dyDescent="0.25">
      <c r="A1486" s="62">
        <v>45056</v>
      </c>
      <c r="B1486" s="62" t="s">
        <v>1386</v>
      </c>
      <c r="C1486" s="23">
        <v>-45364.160000000003</v>
      </c>
      <c r="D1486" s="24" t="s">
        <v>46</v>
      </c>
      <c r="E1486" s="24" t="s">
        <v>10</v>
      </c>
      <c r="F1486" s="63" t="s">
        <v>0</v>
      </c>
    </row>
    <row r="1487" spans="1:6" x14ac:dyDescent="0.25">
      <c r="A1487" s="62">
        <v>45056</v>
      </c>
      <c r="B1487" s="62" t="s">
        <v>1381</v>
      </c>
      <c r="C1487" s="23">
        <v>216440.63</v>
      </c>
      <c r="D1487" s="24" t="s">
        <v>46</v>
      </c>
      <c r="E1487" s="24" t="s">
        <v>10</v>
      </c>
      <c r="F1487" s="63" t="s">
        <v>10</v>
      </c>
    </row>
    <row r="1488" spans="1:6" x14ac:dyDescent="0.25">
      <c r="A1488" s="62">
        <v>45055</v>
      </c>
      <c r="B1488" s="62" t="s">
        <v>746</v>
      </c>
      <c r="C1488" s="23">
        <v>-2300</v>
      </c>
      <c r="D1488" s="24" t="s">
        <v>52</v>
      </c>
      <c r="E1488" s="24" t="s">
        <v>53</v>
      </c>
      <c r="F1488" s="63" t="s">
        <v>4</v>
      </c>
    </row>
    <row r="1489" spans="1:6" x14ac:dyDescent="0.25">
      <c r="A1489" s="62">
        <v>45055</v>
      </c>
      <c r="B1489" s="62" t="s">
        <v>1387</v>
      </c>
      <c r="C1489" s="23">
        <v>-10100</v>
      </c>
      <c r="D1489" s="24" t="s">
        <v>46</v>
      </c>
      <c r="E1489" s="24" t="s">
        <v>61</v>
      </c>
      <c r="F1489" s="63" t="s">
        <v>0</v>
      </c>
    </row>
    <row r="1490" spans="1:6" x14ac:dyDescent="0.25">
      <c r="A1490" s="62">
        <v>45055</v>
      </c>
      <c r="B1490" s="62" t="s">
        <v>1095</v>
      </c>
      <c r="C1490" s="23">
        <v>-5588</v>
      </c>
      <c r="D1490" s="24" t="s">
        <v>46</v>
      </c>
      <c r="E1490" s="24" t="s">
        <v>80</v>
      </c>
      <c r="F1490" s="63" t="s">
        <v>0</v>
      </c>
    </row>
    <row r="1491" spans="1:6" x14ac:dyDescent="0.25">
      <c r="A1491" s="62">
        <v>45055</v>
      </c>
      <c r="B1491" s="62" t="s">
        <v>704</v>
      </c>
      <c r="C1491" s="23">
        <v>-6944</v>
      </c>
      <c r="D1491" s="24" t="s">
        <v>46</v>
      </c>
      <c r="E1491" s="24" t="s">
        <v>150</v>
      </c>
      <c r="F1491" s="63" t="s">
        <v>0</v>
      </c>
    </row>
    <row r="1492" spans="1:6" x14ac:dyDescent="0.25">
      <c r="A1492" s="62">
        <v>45055</v>
      </c>
      <c r="B1492" s="62" t="s">
        <v>833</v>
      </c>
      <c r="C1492" s="23">
        <v>-4567</v>
      </c>
      <c r="D1492" s="24" t="s">
        <v>46</v>
      </c>
      <c r="E1492" s="24" t="s">
        <v>512</v>
      </c>
      <c r="F1492" s="63" t="s">
        <v>0</v>
      </c>
    </row>
    <row r="1493" spans="1:6" x14ac:dyDescent="0.25">
      <c r="A1493" s="62">
        <v>45055</v>
      </c>
      <c r="B1493" s="62" t="s">
        <v>1092</v>
      </c>
      <c r="C1493" s="23">
        <v>-8900</v>
      </c>
      <c r="D1493" s="24" t="s">
        <v>46</v>
      </c>
      <c r="E1493" s="24" t="s">
        <v>1093</v>
      </c>
      <c r="F1493" s="63" t="s">
        <v>0</v>
      </c>
    </row>
    <row r="1494" spans="1:6" x14ac:dyDescent="0.25">
      <c r="A1494" s="62">
        <v>45055</v>
      </c>
      <c r="B1494" s="62" t="s">
        <v>1388</v>
      </c>
      <c r="C1494" s="23">
        <v>-8111</v>
      </c>
      <c r="D1494" s="24" t="s">
        <v>46</v>
      </c>
      <c r="E1494" s="24" t="s">
        <v>63</v>
      </c>
      <c r="F1494" s="63" t="s">
        <v>0</v>
      </c>
    </row>
    <row r="1495" spans="1:6" x14ac:dyDescent="0.25">
      <c r="A1495" s="62">
        <v>45054</v>
      </c>
      <c r="B1495" s="62" t="s">
        <v>1389</v>
      </c>
      <c r="C1495" s="23">
        <v>-2599</v>
      </c>
      <c r="D1495" s="24" t="s">
        <v>49</v>
      </c>
      <c r="E1495" s="24" t="s">
        <v>56</v>
      </c>
      <c r="F1495" s="63" t="s">
        <v>0</v>
      </c>
    </row>
    <row r="1496" spans="1:6" x14ac:dyDescent="0.25">
      <c r="A1496" s="62">
        <v>45054</v>
      </c>
      <c r="B1496" s="62" t="s">
        <v>1390</v>
      </c>
      <c r="C1496" s="23">
        <v>-1678</v>
      </c>
      <c r="D1496" s="24" t="s">
        <v>49</v>
      </c>
      <c r="E1496" s="24" t="s">
        <v>56</v>
      </c>
      <c r="F1496" s="63" t="s">
        <v>0</v>
      </c>
    </row>
    <row r="1497" spans="1:6" x14ac:dyDescent="0.25">
      <c r="A1497" s="62">
        <v>45054</v>
      </c>
      <c r="B1497" s="62" t="s">
        <v>1391</v>
      </c>
      <c r="C1497" s="23">
        <v>-12496</v>
      </c>
      <c r="D1497" s="24" t="s">
        <v>49</v>
      </c>
      <c r="E1497" s="24" t="s">
        <v>56</v>
      </c>
      <c r="F1497" s="63" t="s">
        <v>0</v>
      </c>
    </row>
    <row r="1498" spans="1:6" x14ac:dyDescent="0.25">
      <c r="A1498" s="62">
        <v>45054</v>
      </c>
      <c r="B1498" s="62" t="s">
        <v>1392</v>
      </c>
      <c r="C1498" s="23">
        <v>-2875</v>
      </c>
      <c r="D1498" s="24" t="s">
        <v>49</v>
      </c>
      <c r="E1498" s="24" t="s">
        <v>56</v>
      </c>
      <c r="F1498" s="63" t="s">
        <v>0</v>
      </c>
    </row>
    <row r="1499" spans="1:6" x14ac:dyDescent="0.25">
      <c r="A1499" s="62">
        <v>45051</v>
      </c>
      <c r="B1499" s="62" t="s">
        <v>1393</v>
      </c>
      <c r="C1499" s="23">
        <v>-25963</v>
      </c>
      <c r="D1499" s="24" t="s">
        <v>90</v>
      </c>
      <c r="E1499" s="24" t="s">
        <v>59</v>
      </c>
      <c r="F1499" s="63" t="s">
        <v>0</v>
      </c>
    </row>
    <row r="1500" spans="1:6" x14ac:dyDescent="0.25">
      <c r="A1500" s="62">
        <v>45050</v>
      </c>
      <c r="B1500" s="62" t="s">
        <v>746</v>
      </c>
      <c r="C1500" s="23">
        <v>-2300</v>
      </c>
      <c r="D1500" s="24" t="s">
        <v>52</v>
      </c>
      <c r="E1500" s="24" t="s">
        <v>53</v>
      </c>
      <c r="F1500" s="63" t="s">
        <v>4</v>
      </c>
    </row>
    <row r="1501" spans="1:6" x14ac:dyDescent="0.25">
      <c r="A1501" s="62">
        <v>45050</v>
      </c>
      <c r="B1501" s="62" t="s">
        <v>725</v>
      </c>
      <c r="C1501" s="23">
        <v>-1490</v>
      </c>
      <c r="D1501" s="24" t="s">
        <v>52</v>
      </c>
      <c r="E1501" s="24" t="s">
        <v>53</v>
      </c>
      <c r="F1501" s="63" t="s">
        <v>4</v>
      </c>
    </row>
    <row r="1502" spans="1:6" x14ac:dyDescent="0.25">
      <c r="A1502" s="62">
        <v>45050</v>
      </c>
      <c r="B1502" s="62" t="s">
        <v>1394</v>
      </c>
      <c r="C1502" s="23">
        <v>64125</v>
      </c>
      <c r="D1502" s="24" t="s">
        <v>58</v>
      </c>
      <c r="E1502" s="24" t="s">
        <v>58</v>
      </c>
      <c r="F1502" s="63" t="s">
        <v>0</v>
      </c>
    </row>
    <row r="1503" spans="1:6" x14ac:dyDescent="0.25">
      <c r="A1503" s="62">
        <v>45050</v>
      </c>
      <c r="B1503" s="62" t="s">
        <v>171</v>
      </c>
      <c r="C1503" s="23">
        <v>1672</v>
      </c>
      <c r="D1503" s="24" t="s">
        <v>167</v>
      </c>
      <c r="E1503" s="24" t="s">
        <v>168</v>
      </c>
      <c r="F1503" s="63" t="s">
        <v>0</v>
      </c>
    </row>
    <row r="1504" spans="1:6" x14ac:dyDescent="0.25">
      <c r="A1504" s="62">
        <v>45050</v>
      </c>
      <c r="B1504" s="62" t="s">
        <v>1395</v>
      </c>
      <c r="C1504" s="23">
        <v>-999</v>
      </c>
      <c r="D1504" s="24" t="s">
        <v>49</v>
      </c>
      <c r="E1504" s="24" t="s">
        <v>56</v>
      </c>
      <c r="F1504" s="63" t="s">
        <v>0</v>
      </c>
    </row>
    <row r="1505" spans="1:6" x14ac:dyDescent="0.25">
      <c r="A1505" s="62">
        <v>45049</v>
      </c>
      <c r="B1505" s="62" t="s">
        <v>746</v>
      </c>
      <c r="C1505" s="23">
        <v>-2500</v>
      </c>
      <c r="D1505" s="24" t="s">
        <v>52</v>
      </c>
      <c r="E1505" s="24" t="s">
        <v>53</v>
      </c>
      <c r="F1505" s="63" t="s">
        <v>4</v>
      </c>
    </row>
    <row r="1506" spans="1:6" x14ac:dyDescent="0.25">
      <c r="A1506" s="62">
        <v>45049</v>
      </c>
      <c r="B1506" s="62" t="s">
        <v>172</v>
      </c>
      <c r="C1506" s="23">
        <v>276340</v>
      </c>
      <c r="D1506" s="24" t="s">
        <v>58</v>
      </c>
      <c r="E1506" s="24" t="s">
        <v>58</v>
      </c>
      <c r="F1506" s="63" t="s">
        <v>0</v>
      </c>
    </row>
    <row r="1507" spans="1:6" x14ac:dyDescent="0.25">
      <c r="A1507" s="62">
        <v>45048</v>
      </c>
      <c r="B1507" s="62" t="s">
        <v>1396</v>
      </c>
      <c r="C1507" s="23">
        <v>-3514</v>
      </c>
      <c r="D1507" s="24" t="s">
        <v>49</v>
      </c>
      <c r="E1507" s="24" t="s">
        <v>56</v>
      </c>
      <c r="F1507" s="63" t="s">
        <v>0</v>
      </c>
    </row>
    <row r="1508" spans="1:6" x14ac:dyDescent="0.25">
      <c r="A1508" s="62">
        <v>45048</v>
      </c>
      <c r="B1508" s="62" t="s">
        <v>1397</v>
      </c>
      <c r="C1508" s="23">
        <v>-7709</v>
      </c>
      <c r="D1508" s="24" t="s">
        <v>49</v>
      </c>
      <c r="E1508" s="24" t="s">
        <v>56</v>
      </c>
      <c r="F1508" s="63" t="s">
        <v>0</v>
      </c>
    </row>
    <row r="1509" spans="1:6" x14ac:dyDescent="0.25">
      <c r="A1509" s="62">
        <v>45048</v>
      </c>
      <c r="B1509" s="62" t="s">
        <v>1398</v>
      </c>
      <c r="C1509" s="23">
        <v>-9214</v>
      </c>
      <c r="D1509" s="24" t="s">
        <v>49</v>
      </c>
      <c r="E1509" s="24" t="s">
        <v>56</v>
      </c>
      <c r="F1509" s="63" t="s">
        <v>0</v>
      </c>
    </row>
    <row r="1510" spans="1:6" x14ac:dyDescent="0.25">
      <c r="A1510" s="62">
        <v>45048</v>
      </c>
      <c r="B1510" s="62" t="s">
        <v>1399</v>
      </c>
      <c r="C1510" s="23">
        <v>-46983</v>
      </c>
      <c r="D1510" s="24" t="s">
        <v>49</v>
      </c>
      <c r="E1510" s="24" t="s">
        <v>56</v>
      </c>
      <c r="F1510" s="63" t="s">
        <v>0</v>
      </c>
    </row>
    <row r="1511" spans="1:6" x14ac:dyDescent="0.25">
      <c r="A1511" s="62">
        <v>45048</v>
      </c>
      <c r="B1511" s="62" t="s">
        <v>1400</v>
      </c>
      <c r="C1511" s="23">
        <v>-3490</v>
      </c>
      <c r="D1511" s="24" t="s">
        <v>46</v>
      </c>
      <c r="E1511" s="24" t="s">
        <v>63</v>
      </c>
      <c r="F1511" s="63" t="s">
        <v>0</v>
      </c>
    </row>
    <row r="1512" spans="1:6" x14ac:dyDescent="0.25">
      <c r="A1512" s="62">
        <v>45046</v>
      </c>
      <c r="B1512" s="62" t="s">
        <v>43</v>
      </c>
      <c r="C1512" s="23">
        <v>-1941</v>
      </c>
      <c r="D1512" s="24" t="s">
        <v>167</v>
      </c>
      <c r="E1512" s="24" t="s">
        <v>168</v>
      </c>
      <c r="F1512" s="63" t="s">
        <v>0</v>
      </c>
    </row>
    <row r="1513" spans="1:6" x14ac:dyDescent="0.25">
      <c r="A1513" s="62">
        <v>45045</v>
      </c>
      <c r="B1513" s="62" t="s">
        <v>765</v>
      </c>
      <c r="C1513" s="23">
        <v>-6870</v>
      </c>
      <c r="D1513" s="24" t="s">
        <v>52</v>
      </c>
      <c r="E1513" s="24" t="s">
        <v>53</v>
      </c>
      <c r="F1513" s="63" t="s">
        <v>4</v>
      </c>
    </row>
    <row r="1514" spans="1:6" x14ac:dyDescent="0.25">
      <c r="A1514" s="62">
        <v>45044</v>
      </c>
      <c r="B1514" s="62" t="s">
        <v>1401</v>
      </c>
      <c r="C1514" s="23">
        <v>-19179</v>
      </c>
      <c r="D1514" s="24" t="s">
        <v>49</v>
      </c>
      <c r="E1514" s="24" t="s">
        <v>56</v>
      </c>
      <c r="F1514" s="63" t="s">
        <v>0</v>
      </c>
    </row>
    <row r="1515" spans="1:6" x14ac:dyDescent="0.25">
      <c r="A1515" s="62">
        <v>45043</v>
      </c>
      <c r="B1515" s="62" t="s">
        <v>1402</v>
      </c>
      <c r="C1515" s="23">
        <v>-25010.19</v>
      </c>
      <c r="D1515" s="24" t="s">
        <v>49</v>
      </c>
      <c r="E1515" s="24" t="s">
        <v>56</v>
      </c>
      <c r="F1515" s="63" t="s">
        <v>0</v>
      </c>
    </row>
    <row r="1516" spans="1:6" x14ac:dyDescent="0.25">
      <c r="A1516" s="62">
        <v>45042</v>
      </c>
      <c r="B1516" s="62" t="s">
        <v>1403</v>
      </c>
      <c r="C1516" s="23">
        <v>-950</v>
      </c>
      <c r="D1516" s="24" t="s">
        <v>49</v>
      </c>
      <c r="E1516" s="24" t="s">
        <v>56</v>
      </c>
      <c r="F1516" s="63" t="s">
        <v>0</v>
      </c>
    </row>
    <row r="1517" spans="1:6" x14ac:dyDescent="0.25">
      <c r="A1517" s="62">
        <v>45041</v>
      </c>
      <c r="B1517" s="62" t="s">
        <v>1404</v>
      </c>
      <c r="C1517" s="23">
        <v>-999</v>
      </c>
      <c r="D1517" s="24" t="s">
        <v>46</v>
      </c>
      <c r="E1517" s="24" t="s">
        <v>63</v>
      </c>
      <c r="F1517" s="63" t="s">
        <v>0</v>
      </c>
    </row>
    <row r="1518" spans="1:6" x14ac:dyDescent="0.25">
      <c r="A1518" s="62">
        <v>45040</v>
      </c>
      <c r="B1518" s="62" t="s">
        <v>1405</v>
      </c>
      <c r="C1518" s="23">
        <v>-5000</v>
      </c>
      <c r="D1518" s="24" t="s">
        <v>49</v>
      </c>
      <c r="E1518" s="24" t="s">
        <v>56</v>
      </c>
      <c r="F1518" s="63" t="s">
        <v>0</v>
      </c>
    </row>
    <row r="1519" spans="1:6" x14ac:dyDescent="0.25">
      <c r="A1519" s="62">
        <v>45040</v>
      </c>
      <c r="B1519" s="62" t="s">
        <v>1406</v>
      </c>
      <c r="C1519" s="23">
        <v>-3350</v>
      </c>
      <c r="D1519" s="24" t="s">
        <v>52</v>
      </c>
      <c r="E1519" s="24" t="s">
        <v>134</v>
      </c>
      <c r="F1519" s="63" t="s">
        <v>0</v>
      </c>
    </row>
    <row r="1520" spans="1:6" x14ac:dyDescent="0.25">
      <c r="A1520" s="62">
        <v>45040</v>
      </c>
      <c r="B1520" s="62" t="s">
        <v>1407</v>
      </c>
      <c r="C1520" s="23">
        <v>-20120</v>
      </c>
      <c r="D1520" s="24" t="s">
        <v>90</v>
      </c>
      <c r="E1520" s="24" t="s">
        <v>59</v>
      </c>
      <c r="F1520" s="63" t="s">
        <v>0</v>
      </c>
    </row>
    <row r="1521" spans="1:6" x14ac:dyDescent="0.25">
      <c r="A1521" s="62">
        <v>45040</v>
      </c>
      <c r="B1521" s="62" t="s">
        <v>1408</v>
      </c>
      <c r="C1521" s="23">
        <v>-19154</v>
      </c>
      <c r="D1521" s="24" t="s">
        <v>49</v>
      </c>
      <c r="E1521" s="24" t="s">
        <v>56</v>
      </c>
      <c r="F1521" s="63" t="s">
        <v>0</v>
      </c>
    </row>
    <row r="1522" spans="1:6" x14ac:dyDescent="0.25">
      <c r="A1522" s="62">
        <v>45040</v>
      </c>
      <c r="B1522" s="62" t="s">
        <v>1409</v>
      </c>
      <c r="C1522" s="23">
        <v>-899</v>
      </c>
      <c r="D1522" s="24" t="s">
        <v>49</v>
      </c>
      <c r="E1522" s="24" t="s">
        <v>56</v>
      </c>
      <c r="F1522" s="63" t="s">
        <v>0</v>
      </c>
    </row>
    <row r="1523" spans="1:6" x14ac:dyDescent="0.25">
      <c r="A1523" s="62">
        <v>45040</v>
      </c>
      <c r="B1523" s="62" t="s">
        <v>1410</v>
      </c>
      <c r="C1523" s="23">
        <v>-9924</v>
      </c>
      <c r="D1523" s="24" t="s">
        <v>49</v>
      </c>
      <c r="E1523" s="24" t="s">
        <v>56</v>
      </c>
      <c r="F1523" s="63" t="s">
        <v>0</v>
      </c>
    </row>
    <row r="1524" spans="1:6" x14ac:dyDescent="0.25">
      <c r="A1524" s="62">
        <v>45037</v>
      </c>
      <c r="B1524" s="62" t="s">
        <v>765</v>
      </c>
      <c r="C1524" s="23">
        <v>-7120</v>
      </c>
      <c r="D1524" s="24" t="s">
        <v>52</v>
      </c>
      <c r="E1524" s="24" t="s">
        <v>53</v>
      </c>
      <c r="F1524" s="63" t="s">
        <v>4</v>
      </c>
    </row>
    <row r="1525" spans="1:6" x14ac:dyDescent="0.25">
      <c r="A1525" s="62">
        <v>45037</v>
      </c>
      <c r="B1525" s="62" t="s">
        <v>1205</v>
      </c>
      <c r="C1525" s="23">
        <v>-1199</v>
      </c>
      <c r="D1525" s="24" t="s">
        <v>49</v>
      </c>
      <c r="E1525" s="24" t="s">
        <v>56</v>
      </c>
      <c r="F1525" s="63" t="s">
        <v>0</v>
      </c>
    </row>
    <row r="1526" spans="1:6" x14ac:dyDescent="0.25">
      <c r="A1526" s="62">
        <v>45036</v>
      </c>
      <c r="B1526" s="62" t="s">
        <v>1353</v>
      </c>
      <c r="C1526" s="23">
        <v>-5580</v>
      </c>
      <c r="D1526" s="24" t="s">
        <v>52</v>
      </c>
      <c r="E1526" s="24" t="s">
        <v>53</v>
      </c>
      <c r="F1526" s="63" t="s">
        <v>4</v>
      </c>
    </row>
    <row r="1527" spans="1:6" x14ac:dyDescent="0.25">
      <c r="A1527" s="62">
        <v>45036</v>
      </c>
      <c r="B1527" s="62" t="s">
        <v>139</v>
      </c>
      <c r="C1527" s="23">
        <v>31960</v>
      </c>
      <c r="D1527" s="24" t="s">
        <v>58</v>
      </c>
      <c r="E1527" s="24" t="s">
        <v>58</v>
      </c>
      <c r="F1527" s="63" t="s">
        <v>4</v>
      </c>
    </row>
    <row r="1528" spans="1:6" x14ac:dyDescent="0.25">
      <c r="A1528" s="62">
        <v>45036</v>
      </c>
      <c r="B1528" s="62" t="s">
        <v>1411</v>
      </c>
      <c r="C1528" s="23">
        <v>-10130</v>
      </c>
      <c r="D1528" s="24" t="s">
        <v>90</v>
      </c>
      <c r="E1528" s="24" t="s">
        <v>59</v>
      </c>
      <c r="F1528" s="63" t="s">
        <v>0</v>
      </c>
    </row>
    <row r="1529" spans="1:6" x14ac:dyDescent="0.25">
      <c r="A1529" s="62">
        <v>45036</v>
      </c>
      <c r="B1529" s="62" t="s">
        <v>1412</v>
      </c>
      <c r="C1529" s="23">
        <v>-4944</v>
      </c>
      <c r="D1529" s="24" t="s">
        <v>49</v>
      </c>
      <c r="E1529" s="24" t="s">
        <v>56</v>
      </c>
      <c r="F1529" s="63" t="s">
        <v>0</v>
      </c>
    </row>
    <row r="1530" spans="1:6" x14ac:dyDescent="0.25">
      <c r="A1530" s="62">
        <v>45036</v>
      </c>
      <c r="B1530" s="62" t="s">
        <v>1413</v>
      </c>
      <c r="C1530" s="23">
        <v>-1120</v>
      </c>
      <c r="D1530" s="24" t="s">
        <v>46</v>
      </c>
      <c r="E1530" s="24" t="s">
        <v>61</v>
      </c>
      <c r="F1530" s="63" t="s">
        <v>0</v>
      </c>
    </row>
    <row r="1531" spans="1:6" x14ac:dyDescent="0.25">
      <c r="A1531" s="62">
        <v>45036</v>
      </c>
      <c r="B1531" s="62" t="s">
        <v>1414</v>
      </c>
      <c r="C1531" s="23">
        <v>-11392</v>
      </c>
      <c r="D1531" s="24" t="s">
        <v>46</v>
      </c>
      <c r="E1531" s="24" t="s">
        <v>61</v>
      </c>
      <c r="F1531" s="63" t="s">
        <v>0</v>
      </c>
    </row>
    <row r="1532" spans="1:6" x14ac:dyDescent="0.25">
      <c r="A1532" s="62">
        <v>45036</v>
      </c>
      <c r="B1532" s="62" t="s">
        <v>1415</v>
      </c>
      <c r="C1532" s="23">
        <v>-5618000</v>
      </c>
      <c r="D1532" s="24" t="s">
        <v>1371</v>
      </c>
      <c r="E1532" s="24" t="s">
        <v>1372</v>
      </c>
      <c r="F1532" s="63" t="s">
        <v>1416</v>
      </c>
    </row>
    <row r="1533" spans="1:6" x14ac:dyDescent="0.25">
      <c r="A1533" s="62">
        <v>45035</v>
      </c>
      <c r="B1533" s="62" t="s">
        <v>1417</v>
      </c>
      <c r="C1533" s="23">
        <v>7450000</v>
      </c>
      <c r="D1533" s="24" t="s">
        <v>1371</v>
      </c>
      <c r="E1533" s="24" t="s">
        <v>1372</v>
      </c>
      <c r="F1533" s="63" t="s">
        <v>1416</v>
      </c>
    </row>
    <row r="1534" spans="1:6" x14ac:dyDescent="0.25">
      <c r="A1534" s="62">
        <v>45035</v>
      </c>
      <c r="B1534" s="62" t="s">
        <v>1418</v>
      </c>
      <c r="C1534" s="23">
        <v>350000</v>
      </c>
      <c r="D1534" s="24" t="s">
        <v>1371</v>
      </c>
      <c r="E1534" s="24" t="s">
        <v>1372</v>
      </c>
      <c r="F1534" s="63" t="s">
        <v>1416</v>
      </c>
    </row>
    <row r="1535" spans="1:6" x14ac:dyDescent="0.25">
      <c r="A1535" s="62">
        <v>45034</v>
      </c>
      <c r="B1535" s="62" t="s">
        <v>1419</v>
      </c>
      <c r="C1535" s="23">
        <v>-5285</v>
      </c>
      <c r="D1535" s="24" t="s">
        <v>49</v>
      </c>
      <c r="E1535" s="24" t="s">
        <v>56</v>
      </c>
      <c r="F1535" s="63" t="s">
        <v>0</v>
      </c>
    </row>
    <row r="1536" spans="1:6" x14ac:dyDescent="0.25">
      <c r="A1536" s="62">
        <v>45034</v>
      </c>
      <c r="B1536" s="62" t="s">
        <v>1420</v>
      </c>
      <c r="C1536" s="23">
        <v>-22325</v>
      </c>
      <c r="D1536" s="24" t="s">
        <v>52</v>
      </c>
      <c r="E1536" s="24" t="s">
        <v>53</v>
      </c>
      <c r="F1536" s="63" t="s">
        <v>0</v>
      </c>
    </row>
    <row r="1537" spans="1:6" x14ac:dyDescent="0.25">
      <c r="A1537" s="62">
        <v>45033</v>
      </c>
      <c r="B1537" s="62" t="s">
        <v>1421</v>
      </c>
      <c r="C1537" s="23">
        <v>-15000</v>
      </c>
      <c r="D1537" s="24" t="s">
        <v>90</v>
      </c>
      <c r="E1537" s="24" t="s">
        <v>91</v>
      </c>
      <c r="F1537" s="63" t="s">
        <v>0</v>
      </c>
    </row>
    <row r="1538" spans="1:6" x14ac:dyDescent="0.25">
      <c r="A1538" s="62">
        <v>45033</v>
      </c>
      <c r="B1538" s="62" t="s">
        <v>1422</v>
      </c>
      <c r="C1538" s="23">
        <v>-18379</v>
      </c>
      <c r="D1538" s="24" t="s">
        <v>49</v>
      </c>
      <c r="E1538" s="24" t="s">
        <v>56</v>
      </c>
      <c r="F1538" s="63" t="s">
        <v>0</v>
      </c>
    </row>
    <row r="1539" spans="1:6" x14ac:dyDescent="0.25">
      <c r="A1539" s="62">
        <v>45033</v>
      </c>
      <c r="B1539" s="62" t="s">
        <v>1423</v>
      </c>
      <c r="C1539" s="23">
        <v>-19895</v>
      </c>
      <c r="D1539" s="24" t="s">
        <v>49</v>
      </c>
      <c r="E1539" s="24" t="s">
        <v>56</v>
      </c>
      <c r="F1539" s="63" t="s">
        <v>0</v>
      </c>
    </row>
    <row r="1540" spans="1:6" x14ac:dyDescent="0.25">
      <c r="A1540" s="62">
        <v>45033</v>
      </c>
      <c r="B1540" s="62" t="s">
        <v>1424</v>
      </c>
      <c r="C1540" s="23">
        <v>-39165</v>
      </c>
      <c r="D1540" s="24" t="s">
        <v>49</v>
      </c>
      <c r="E1540" s="24" t="s">
        <v>50</v>
      </c>
      <c r="F1540" s="63" t="s">
        <v>0</v>
      </c>
    </row>
    <row r="1541" spans="1:6" x14ac:dyDescent="0.25">
      <c r="A1541" s="62">
        <v>45033</v>
      </c>
      <c r="B1541" s="62" t="s">
        <v>1425</v>
      </c>
      <c r="C1541" s="23">
        <v>-36267</v>
      </c>
      <c r="D1541" s="24" t="s">
        <v>49</v>
      </c>
      <c r="E1541" s="24" t="s">
        <v>56</v>
      </c>
      <c r="F1541" s="63" t="s">
        <v>0</v>
      </c>
    </row>
    <row r="1542" spans="1:6" x14ac:dyDescent="0.25">
      <c r="A1542" s="62">
        <v>45033</v>
      </c>
      <c r="B1542" s="62" t="s">
        <v>1426</v>
      </c>
      <c r="C1542" s="23">
        <v>-1480</v>
      </c>
      <c r="D1542" s="24" t="s">
        <v>49</v>
      </c>
      <c r="E1542" s="24" t="s">
        <v>56</v>
      </c>
      <c r="F1542" s="63" t="s">
        <v>0</v>
      </c>
    </row>
    <row r="1543" spans="1:6" x14ac:dyDescent="0.25">
      <c r="A1543" s="62">
        <v>45030</v>
      </c>
      <c r="B1543" s="62" t="s">
        <v>714</v>
      </c>
      <c r="C1543" s="23">
        <v>-3990</v>
      </c>
      <c r="D1543" s="24" t="s">
        <v>52</v>
      </c>
      <c r="E1543" s="24" t="s">
        <v>53</v>
      </c>
      <c r="F1543" s="63" t="s">
        <v>4</v>
      </c>
    </row>
    <row r="1544" spans="1:6" x14ac:dyDescent="0.25">
      <c r="A1544" s="62">
        <v>45030</v>
      </c>
      <c r="B1544" s="62" t="s">
        <v>1427</v>
      </c>
      <c r="C1544" s="23">
        <v>-22350</v>
      </c>
      <c r="D1544" s="24" t="s">
        <v>90</v>
      </c>
      <c r="E1544" s="24" t="s">
        <v>93</v>
      </c>
      <c r="F1544" s="63" t="s">
        <v>0</v>
      </c>
    </row>
    <row r="1545" spans="1:6" x14ac:dyDescent="0.25">
      <c r="A1545" s="62">
        <v>45030</v>
      </c>
      <c r="B1545" s="62" t="s">
        <v>1428</v>
      </c>
      <c r="C1545" s="23">
        <v>-9170</v>
      </c>
      <c r="D1545" s="24" t="s">
        <v>46</v>
      </c>
      <c r="E1545" s="24" t="s">
        <v>61</v>
      </c>
      <c r="F1545" s="63" t="s">
        <v>0</v>
      </c>
    </row>
    <row r="1546" spans="1:6" x14ac:dyDescent="0.25">
      <c r="A1546" s="62">
        <v>45030</v>
      </c>
      <c r="B1546" s="62" t="s">
        <v>1429</v>
      </c>
      <c r="C1546" s="23">
        <v>-1413221</v>
      </c>
      <c r="D1546" s="24" t="s">
        <v>1371</v>
      </c>
      <c r="E1546" s="24" t="s">
        <v>1372</v>
      </c>
      <c r="F1546" s="63" t="s">
        <v>3</v>
      </c>
    </row>
    <row r="1547" spans="1:6" x14ac:dyDescent="0.25">
      <c r="A1547" s="62">
        <v>45030</v>
      </c>
      <c r="B1547" s="62" t="s">
        <v>1429</v>
      </c>
      <c r="C1547" s="23">
        <v>1413221</v>
      </c>
      <c r="D1547" s="24" t="s">
        <v>1371</v>
      </c>
      <c r="E1547" s="24" t="s">
        <v>1372</v>
      </c>
      <c r="F1547" s="63" t="s">
        <v>0</v>
      </c>
    </row>
    <row r="1548" spans="1:6" x14ac:dyDescent="0.25">
      <c r="A1548" s="62">
        <v>45029</v>
      </c>
      <c r="B1548" s="62" t="s">
        <v>1430</v>
      </c>
      <c r="C1548" s="23">
        <v>-2225</v>
      </c>
      <c r="D1548" s="24" t="s">
        <v>90</v>
      </c>
      <c r="E1548" s="24" t="s">
        <v>59</v>
      </c>
      <c r="F1548" s="63" t="s">
        <v>0</v>
      </c>
    </row>
    <row r="1549" spans="1:6" x14ac:dyDescent="0.25">
      <c r="A1549" s="62">
        <v>45029</v>
      </c>
      <c r="B1549" s="62" t="s">
        <v>1431</v>
      </c>
      <c r="C1549" s="23">
        <v>-41990</v>
      </c>
      <c r="D1549" s="24" t="s">
        <v>49</v>
      </c>
      <c r="E1549" s="24" t="s">
        <v>50</v>
      </c>
      <c r="F1549" s="63" t="s">
        <v>0</v>
      </c>
    </row>
    <row r="1550" spans="1:6" x14ac:dyDescent="0.25">
      <c r="A1550" s="62">
        <v>45029</v>
      </c>
      <c r="B1550" s="62" t="s">
        <v>1432</v>
      </c>
      <c r="C1550" s="23">
        <v>-1800</v>
      </c>
      <c r="D1550" s="24" t="s">
        <v>52</v>
      </c>
      <c r="E1550" s="24" t="s">
        <v>134</v>
      </c>
      <c r="F1550" s="63" t="s">
        <v>0</v>
      </c>
    </row>
    <row r="1551" spans="1:6" x14ac:dyDescent="0.25">
      <c r="A1551" s="62">
        <v>45028</v>
      </c>
      <c r="B1551" s="62" t="s">
        <v>1433</v>
      </c>
      <c r="C1551" s="23">
        <v>-5456</v>
      </c>
      <c r="D1551" s="24" t="s">
        <v>49</v>
      </c>
      <c r="E1551" s="24" t="s">
        <v>56</v>
      </c>
      <c r="F1551" s="63" t="s">
        <v>0</v>
      </c>
    </row>
    <row r="1552" spans="1:6" x14ac:dyDescent="0.25">
      <c r="A1552" s="62">
        <v>45028</v>
      </c>
      <c r="B1552" s="62" t="s">
        <v>1434</v>
      </c>
      <c r="C1552" s="23">
        <v>-6304</v>
      </c>
      <c r="D1552" s="24" t="s">
        <v>49</v>
      </c>
      <c r="E1552" s="24" t="s">
        <v>56</v>
      </c>
      <c r="F1552" s="63" t="s">
        <v>0</v>
      </c>
    </row>
    <row r="1553" spans="1:6" x14ac:dyDescent="0.25">
      <c r="A1553" s="62">
        <v>45028</v>
      </c>
      <c r="B1553" s="62" t="s">
        <v>1435</v>
      </c>
      <c r="C1553" s="23">
        <v>-6417</v>
      </c>
      <c r="D1553" s="24" t="s">
        <v>49</v>
      </c>
      <c r="E1553" s="24" t="s">
        <v>56</v>
      </c>
      <c r="F1553" s="63" t="s">
        <v>0</v>
      </c>
    </row>
    <row r="1554" spans="1:6" x14ac:dyDescent="0.25">
      <c r="A1554" s="62">
        <v>45028</v>
      </c>
      <c r="B1554" s="62" t="s">
        <v>1436</v>
      </c>
      <c r="C1554" s="23">
        <v>-22592</v>
      </c>
      <c r="D1554" s="24" t="s">
        <v>46</v>
      </c>
      <c r="E1554" s="24" t="s">
        <v>61</v>
      </c>
      <c r="F1554" s="63" t="s">
        <v>0</v>
      </c>
    </row>
    <row r="1555" spans="1:6" x14ac:dyDescent="0.25">
      <c r="A1555" s="62">
        <v>45028</v>
      </c>
      <c r="B1555" s="62" t="s">
        <v>1437</v>
      </c>
      <c r="C1555" s="23">
        <v>-1640</v>
      </c>
      <c r="D1555" s="24" t="s">
        <v>52</v>
      </c>
      <c r="E1555" s="24" t="s">
        <v>134</v>
      </c>
      <c r="F1555" s="63" t="s">
        <v>0</v>
      </c>
    </row>
    <row r="1556" spans="1:6" x14ac:dyDescent="0.25">
      <c r="A1556" s="62">
        <v>45028</v>
      </c>
      <c r="B1556" s="62" t="s">
        <v>1092</v>
      </c>
      <c r="C1556" s="23">
        <v>-8900</v>
      </c>
      <c r="D1556" s="24" t="s">
        <v>46</v>
      </c>
      <c r="E1556" s="24" t="s">
        <v>80</v>
      </c>
      <c r="F1556" s="63" t="s">
        <v>0</v>
      </c>
    </row>
    <row r="1557" spans="1:6" x14ac:dyDescent="0.25">
      <c r="A1557" s="62">
        <v>45028</v>
      </c>
      <c r="B1557" s="62" t="s">
        <v>1095</v>
      </c>
      <c r="C1557" s="23">
        <v>-5588</v>
      </c>
      <c r="D1557" s="24" t="s">
        <v>46</v>
      </c>
      <c r="E1557" s="24" t="s">
        <v>1093</v>
      </c>
      <c r="F1557" s="63" t="s">
        <v>0</v>
      </c>
    </row>
    <row r="1558" spans="1:6" x14ac:dyDescent="0.25">
      <c r="A1558" s="62">
        <v>45028</v>
      </c>
      <c r="B1558" s="62" t="s">
        <v>704</v>
      </c>
      <c r="C1558" s="23">
        <v>-6944</v>
      </c>
      <c r="D1558" s="24" t="s">
        <v>46</v>
      </c>
      <c r="E1558" s="24" t="s">
        <v>150</v>
      </c>
      <c r="F1558" s="63" t="s">
        <v>0</v>
      </c>
    </row>
    <row r="1559" spans="1:6" x14ac:dyDescent="0.25">
      <c r="A1559" s="62">
        <v>45028</v>
      </c>
      <c r="B1559" s="62" t="s">
        <v>1438</v>
      </c>
      <c r="C1559" s="23">
        <v>-880</v>
      </c>
      <c r="D1559" s="24" t="s">
        <v>52</v>
      </c>
      <c r="E1559" s="24" t="s">
        <v>134</v>
      </c>
      <c r="F1559" s="63" t="s">
        <v>0</v>
      </c>
    </row>
    <row r="1560" spans="1:6" x14ac:dyDescent="0.25">
      <c r="A1560" s="62">
        <v>45027</v>
      </c>
      <c r="B1560" s="62" t="s">
        <v>1439</v>
      </c>
      <c r="C1560" s="23">
        <v>-598</v>
      </c>
      <c r="D1560" s="24" t="s">
        <v>49</v>
      </c>
      <c r="E1560" s="24" t="s">
        <v>56</v>
      </c>
      <c r="F1560" s="63" t="s">
        <v>0</v>
      </c>
    </row>
    <row r="1561" spans="1:6" x14ac:dyDescent="0.25">
      <c r="A1561" s="62">
        <v>45027</v>
      </c>
      <c r="B1561" s="62" t="s">
        <v>1440</v>
      </c>
      <c r="C1561" s="23">
        <v>-1896</v>
      </c>
      <c r="D1561" s="24" t="s">
        <v>49</v>
      </c>
      <c r="E1561" s="24" t="s">
        <v>56</v>
      </c>
      <c r="F1561" s="63" t="s">
        <v>0</v>
      </c>
    </row>
    <row r="1562" spans="1:6" x14ac:dyDescent="0.25">
      <c r="A1562" s="62">
        <v>45027</v>
      </c>
      <c r="B1562" s="62" t="s">
        <v>1441</v>
      </c>
      <c r="C1562" s="23">
        <v>-25523</v>
      </c>
      <c r="D1562" s="24" t="s">
        <v>49</v>
      </c>
      <c r="E1562" s="24" t="s">
        <v>56</v>
      </c>
      <c r="F1562" s="63" t="s">
        <v>0</v>
      </c>
    </row>
    <row r="1563" spans="1:6" x14ac:dyDescent="0.25">
      <c r="A1563" s="62">
        <v>45027</v>
      </c>
      <c r="B1563" s="62" t="s">
        <v>1442</v>
      </c>
      <c r="C1563" s="23">
        <v>-2365</v>
      </c>
      <c r="D1563" s="24" t="s">
        <v>49</v>
      </c>
      <c r="E1563" s="24" t="s">
        <v>56</v>
      </c>
      <c r="F1563" s="63" t="s">
        <v>0</v>
      </c>
    </row>
    <row r="1564" spans="1:6" x14ac:dyDescent="0.25">
      <c r="A1564" s="62">
        <v>45027</v>
      </c>
      <c r="B1564" s="62" t="s">
        <v>1443</v>
      </c>
      <c r="C1564" s="23">
        <v>-5014</v>
      </c>
      <c r="D1564" s="24" t="s">
        <v>90</v>
      </c>
      <c r="E1564" s="24" t="s">
        <v>59</v>
      </c>
      <c r="F1564" s="63" t="s">
        <v>0</v>
      </c>
    </row>
    <row r="1565" spans="1:6" x14ac:dyDescent="0.25">
      <c r="A1565" s="62">
        <v>45027</v>
      </c>
      <c r="B1565" s="62" t="s">
        <v>1444</v>
      </c>
      <c r="C1565" s="23">
        <v>-2830</v>
      </c>
      <c r="D1565" s="24" t="s">
        <v>52</v>
      </c>
      <c r="E1565" s="24" t="s">
        <v>134</v>
      </c>
      <c r="F1565" s="63" t="s">
        <v>0</v>
      </c>
    </row>
    <row r="1566" spans="1:6" x14ac:dyDescent="0.25">
      <c r="A1566" s="62">
        <v>45027</v>
      </c>
      <c r="B1566" s="62" t="s">
        <v>1445</v>
      </c>
      <c r="C1566" s="23">
        <v>-7080</v>
      </c>
      <c r="D1566" s="24" t="s">
        <v>46</v>
      </c>
      <c r="E1566" s="24" t="s">
        <v>63</v>
      </c>
      <c r="F1566" s="63" t="s">
        <v>0</v>
      </c>
    </row>
    <row r="1567" spans="1:6" x14ac:dyDescent="0.25">
      <c r="A1567" s="62">
        <v>45026</v>
      </c>
      <c r="B1567" s="62" t="s">
        <v>1446</v>
      </c>
      <c r="C1567" s="23">
        <v>-214492.59</v>
      </c>
      <c r="D1567" s="24" t="s">
        <v>46</v>
      </c>
      <c r="E1567" s="24" t="s">
        <v>10</v>
      </c>
      <c r="F1567" s="63" t="s">
        <v>0</v>
      </c>
    </row>
    <row r="1568" spans="1:6" x14ac:dyDescent="0.25">
      <c r="A1568" s="62">
        <v>45026</v>
      </c>
      <c r="B1568" s="62" t="s">
        <v>1447</v>
      </c>
      <c r="C1568" s="23">
        <v>-47312.2</v>
      </c>
      <c r="D1568" s="24" t="s">
        <v>46</v>
      </c>
      <c r="E1568" s="24" t="s">
        <v>10</v>
      </c>
      <c r="F1568" s="63" t="s">
        <v>0</v>
      </c>
    </row>
    <row r="1569" spans="1:6" x14ac:dyDescent="0.25">
      <c r="A1569" s="62">
        <v>45026</v>
      </c>
      <c r="B1569" s="62" t="s">
        <v>1446</v>
      </c>
      <c r="C1569" s="23">
        <v>214492.59</v>
      </c>
      <c r="D1569" s="24" t="s">
        <v>46</v>
      </c>
      <c r="E1569" s="24" t="s">
        <v>10</v>
      </c>
      <c r="F1569" s="63" t="s">
        <v>10</v>
      </c>
    </row>
    <row r="1570" spans="1:6" x14ac:dyDescent="0.25">
      <c r="A1570" s="62">
        <v>45022</v>
      </c>
      <c r="B1570" s="62" t="s">
        <v>713</v>
      </c>
      <c r="C1570" s="23">
        <v>999323</v>
      </c>
      <c r="D1570" s="24" t="s">
        <v>58</v>
      </c>
      <c r="E1570" s="24" t="s">
        <v>58</v>
      </c>
      <c r="F1570" s="63" t="s">
        <v>0</v>
      </c>
    </row>
    <row r="1571" spans="1:6" x14ac:dyDescent="0.25">
      <c r="A1571" s="62">
        <v>45021</v>
      </c>
      <c r="B1571" s="62" t="s">
        <v>171</v>
      </c>
      <c r="C1571" s="23">
        <v>1672</v>
      </c>
      <c r="D1571" s="24" t="s">
        <v>167</v>
      </c>
      <c r="E1571" s="24" t="s">
        <v>168</v>
      </c>
      <c r="F1571" s="63" t="s">
        <v>0</v>
      </c>
    </row>
    <row r="1572" spans="1:6" x14ac:dyDescent="0.25">
      <c r="A1572" s="62">
        <v>45021</v>
      </c>
      <c r="B1572" s="62" t="s">
        <v>1448</v>
      </c>
      <c r="C1572" s="23">
        <v>-169</v>
      </c>
      <c r="D1572" s="24" t="s">
        <v>49</v>
      </c>
      <c r="E1572" s="24" t="s">
        <v>56</v>
      </c>
      <c r="F1572" s="63" t="s">
        <v>0</v>
      </c>
    </row>
    <row r="1573" spans="1:6" x14ac:dyDescent="0.25">
      <c r="A1573" s="62">
        <v>45021</v>
      </c>
      <c r="B1573" s="62" t="s">
        <v>1449</v>
      </c>
      <c r="C1573" s="23">
        <v>-1500</v>
      </c>
      <c r="D1573" s="24" t="s">
        <v>52</v>
      </c>
      <c r="E1573" s="24" t="s">
        <v>134</v>
      </c>
      <c r="F1573" s="63" t="s">
        <v>0</v>
      </c>
    </row>
    <row r="1574" spans="1:6" x14ac:dyDescent="0.25">
      <c r="A1574" s="62">
        <v>45021</v>
      </c>
      <c r="B1574" s="62" t="s">
        <v>1450</v>
      </c>
      <c r="C1574" s="23">
        <v>-14965</v>
      </c>
      <c r="D1574" s="24" t="s">
        <v>49</v>
      </c>
      <c r="E1574" s="24" t="s">
        <v>56</v>
      </c>
      <c r="F1574" s="63" t="s">
        <v>0</v>
      </c>
    </row>
    <row r="1575" spans="1:6" x14ac:dyDescent="0.25">
      <c r="A1575" s="62">
        <v>45021</v>
      </c>
      <c r="B1575" s="62" t="s">
        <v>1451</v>
      </c>
      <c r="C1575" s="23">
        <v>-1700</v>
      </c>
      <c r="D1575" s="24" t="s">
        <v>52</v>
      </c>
      <c r="E1575" s="24" t="s">
        <v>134</v>
      </c>
      <c r="F1575" s="63" t="s">
        <v>0</v>
      </c>
    </row>
    <row r="1576" spans="1:6" x14ac:dyDescent="0.25">
      <c r="A1576" s="62">
        <v>45021</v>
      </c>
      <c r="B1576" s="62" t="s">
        <v>1452</v>
      </c>
      <c r="C1576" s="23">
        <v>-328642</v>
      </c>
      <c r="D1576" s="24" t="s">
        <v>46</v>
      </c>
      <c r="E1576" s="24" t="s">
        <v>61</v>
      </c>
      <c r="F1576" s="63" t="s">
        <v>0</v>
      </c>
    </row>
    <row r="1577" spans="1:6" x14ac:dyDescent="0.25">
      <c r="A1577" s="62">
        <v>45020</v>
      </c>
      <c r="B1577" s="62" t="s">
        <v>765</v>
      </c>
      <c r="C1577" s="23">
        <v>-7140</v>
      </c>
      <c r="D1577" s="24" t="s">
        <v>52</v>
      </c>
      <c r="E1577" s="24" t="s">
        <v>53</v>
      </c>
      <c r="F1577" s="63" t="s">
        <v>4</v>
      </c>
    </row>
    <row r="1578" spans="1:6" x14ac:dyDescent="0.25">
      <c r="A1578" s="62">
        <v>45020</v>
      </c>
      <c r="B1578" s="62" t="s">
        <v>172</v>
      </c>
      <c r="C1578" s="23">
        <v>396690</v>
      </c>
      <c r="D1578" s="24" t="s">
        <v>58</v>
      </c>
      <c r="E1578" s="24" t="s">
        <v>58</v>
      </c>
      <c r="F1578" s="63" t="s">
        <v>0</v>
      </c>
    </row>
    <row r="1579" spans="1:6" x14ac:dyDescent="0.25">
      <c r="A1579" s="62">
        <v>45020</v>
      </c>
      <c r="B1579" s="62" t="s">
        <v>1453</v>
      </c>
      <c r="C1579" s="23">
        <v>-2300</v>
      </c>
      <c r="D1579" s="24" t="s">
        <v>90</v>
      </c>
      <c r="E1579" s="24" t="s">
        <v>91</v>
      </c>
      <c r="F1579" s="63" t="s">
        <v>0</v>
      </c>
    </row>
    <row r="1580" spans="1:6" x14ac:dyDescent="0.25">
      <c r="A1580" s="62">
        <v>45020</v>
      </c>
      <c r="B1580" s="62" t="s">
        <v>1454</v>
      </c>
      <c r="C1580" s="23">
        <v>-18330</v>
      </c>
      <c r="D1580" s="24" t="s">
        <v>49</v>
      </c>
      <c r="E1580" s="24" t="s">
        <v>56</v>
      </c>
      <c r="F1580" s="63" t="s">
        <v>0</v>
      </c>
    </row>
    <row r="1581" spans="1:6" x14ac:dyDescent="0.25">
      <c r="A1581" s="62">
        <v>45019</v>
      </c>
      <c r="B1581" s="62" t="s">
        <v>1455</v>
      </c>
      <c r="C1581" s="23">
        <v>-559</v>
      </c>
      <c r="D1581" s="24" t="s">
        <v>52</v>
      </c>
      <c r="E1581" s="24" t="s">
        <v>53</v>
      </c>
      <c r="F1581" s="63" t="s">
        <v>0</v>
      </c>
    </row>
    <row r="1582" spans="1:6" x14ac:dyDescent="0.25">
      <c r="A1582" s="62">
        <v>45019</v>
      </c>
      <c r="B1582" s="62" t="s">
        <v>1456</v>
      </c>
      <c r="C1582" s="23">
        <v>-586</v>
      </c>
      <c r="D1582" s="24" t="s">
        <v>72</v>
      </c>
      <c r="E1582" s="24" t="s">
        <v>197</v>
      </c>
      <c r="F1582" s="63" t="s">
        <v>0</v>
      </c>
    </row>
    <row r="1583" spans="1:6" x14ac:dyDescent="0.25">
      <c r="A1583" s="62">
        <v>45019</v>
      </c>
      <c r="B1583" s="62" t="s">
        <v>1457</v>
      </c>
      <c r="C1583" s="23">
        <v>-1890</v>
      </c>
      <c r="D1583" s="24" t="s">
        <v>52</v>
      </c>
      <c r="E1583" s="24" t="s">
        <v>53</v>
      </c>
      <c r="F1583" s="63" t="s">
        <v>0</v>
      </c>
    </row>
    <row r="1584" spans="1:6" x14ac:dyDescent="0.25">
      <c r="A1584" s="62">
        <v>45019</v>
      </c>
      <c r="B1584" s="62" t="s">
        <v>1458</v>
      </c>
      <c r="C1584" s="23">
        <v>-1906</v>
      </c>
      <c r="D1584" s="24" t="s">
        <v>52</v>
      </c>
      <c r="E1584" s="24" t="s">
        <v>53</v>
      </c>
      <c r="F1584" s="63" t="s">
        <v>0</v>
      </c>
    </row>
    <row r="1585" spans="1:6" x14ac:dyDescent="0.25">
      <c r="A1585" s="62">
        <v>45019</v>
      </c>
      <c r="B1585" s="62" t="s">
        <v>1459</v>
      </c>
      <c r="C1585" s="23">
        <v>-12370</v>
      </c>
      <c r="D1585" s="24" t="s">
        <v>49</v>
      </c>
      <c r="E1585" s="24" t="s">
        <v>50</v>
      </c>
      <c r="F1585" s="63" t="s">
        <v>0</v>
      </c>
    </row>
    <row r="1586" spans="1:6" x14ac:dyDescent="0.25">
      <c r="A1586" s="62">
        <v>45019</v>
      </c>
      <c r="B1586" s="62" t="s">
        <v>1460</v>
      </c>
      <c r="C1586" s="23">
        <v>-2150</v>
      </c>
      <c r="D1586" s="24" t="s">
        <v>49</v>
      </c>
      <c r="E1586" s="24" t="s">
        <v>56</v>
      </c>
      <c r="F1586" s="63" t="s">
        <v>0</v>
      </c>
    </row>
    <row r="1587" spans="1:6" x14ac:dyDescent="0.25">
      <c r="A1587" s="62">
        <v>45019</v>
      </c>
      <c r="B1587" s="62" t="s">
        <v>1461</v>
      </c>
      <c r="C1587" s="23">
        <v>-7695</v>
      </c>
      <c r="D1587" s="24" t="s">
        <v>52</v>
      </c>
      <c r="E1587" s="24" t="s">
        <v>53</v>
      </c>
      <c r="F1587" s="63" t="s">
        <v>0</v>
      </c>
    </row>
    <row r="1588" spans="1:6" x14ac:dyDescent="0.25">
      <c r="A1588" s="62">
        <v>45018</v>
      </c>
      <c r="B1588" s="62" t="s">
        <v>765</v>
      </c>
      <c r="C1588" s="23">
        <v>-3810</v>
      </c>
      <c r="D1588" s="24" t="s">
        <v>52</v>
      </c>
      <c r="E1588" s="24" t="s">
        <v>53</v>
      </c>
      <c r="F1588" s="63" t="s">
        <v>4</v>
      </c>
    </row>
    <row r="1589" spans="1:6" x14ac:dyDescent="0.25">
      <c r="A1589" s="62">
        <v>45016</v>
      </c>
      <c r="B1589" s="62" t="s">
        <v>1462</v>
      </c>
      <c r="C1589" s="23">
        <v>130000</v>
      </c>
      <c r="D1589" s="24" t="s">
        <v>46</v>
      </c>
      <c r="E1589" s="24" t="s">
        <v>61</v>
      </c>
      <c r="F1589" s="63" t="s">
        <v>7</v>
      </c>
    </row>
    <row r="1590" spans="1:6" x14ac:dyDescent="0.25">
      <c r="A1590" s="62">
        <v>45016</v>
      </c>
      <c r="B1590" s="62" t="s">
        <v>1463</v>
      </c>
      <c r="C1590" s="23">
        <v>52.29</v>
      </c>
      <c r="D1590" s="24" t="s">
        <v>167</v>
      </c>
      <c r="E1590" s="24" t="s">
        <v>168</v>
      </c>
      <c r="F1590" s="63" t="s">
        <v>0</v>
      </c>
    </row>
    <row r="1591" spans="1:6" x14ac:dyDescent="0.25">
      <c r="A1591" s="62">
        <v>45016</v>
      </c>
      <c r="B1591" s="62" t="s">
        <v>1464</v>
      </c>
      <c r="C1591" s="23">
        <v>-7.84</v>
      </c>
      <c r="D1591" s="24" t="s">
        <v>167</v>
      </c>
      <c r="E1591" s="24" t="s">
        <v>168</v>
      </c>
      <c r="F1591" s="63" t="s">
        <v>0</v>
      </c>
    </row>
    <row r="1592" spans="1:6" x14ac:dyDescent="0.25">
      <c r="A1592" s="62">
        <v>45016</v>
      </c>
      <c r="B1592" s="62" t="s">
        <v>43</v>
      </c>
      <c r="C1592" s="23">
        <v>-1941</v>
      </c>
      <c r="D1592" s="24" t="s">
        <v>167</v>
      </c>
      <c r="E1592" s="24" t="s">
        <v>168</v>
      </c>
      <c r="F1592" s="63" t="s">
        <v>0</v>
      </c>
    </row>
    <row r="1593" spans="1:6" x14ac:dyDescent="0.25">
      <c r="A1593" s="62">
        <v>45016</v>
      </c>
      <c r="B1593" s="62" t="s">
        <v>309</v>
      </c>
      <c r="C1593" s="23">
        <v>-6.12</v>
      </c>
      <c r="D1593" s="24" t="s">
        <v>167</v>
      </c>
      <c r="E1593" s="24" t="s">
        <v>168</v>
      </c>
      <c r="F1593" s="63" t="s">
        <v>0</v>
      </c>
    </row>
    <row r="1594" spans="1:6" x14ac:dyDescent="0.25">
      <c r="A1594" s="62">
        <v>45016</v>
      </c>
      <c r="B1594" s="62" t="s">
        <v>1465</v>
      </c>
      <c r="C1594" s="23">
        <v>-7120</v>
      </c>
      <c r="D1594" s="24" t="s">
        <v>46</v>
      </c>
      <c r="E1594" s="24" t="s">
        <v>61</v>
      </c>
      <c r="F1594" s="63" t="s">
        <v>0</v>
      </c>
    </row>
    <row r="1595" spans="1:6" x14ac:dyDescent="0.25">
      <c r="A1595" s="62">
        <v>45016</v>
      </c>
      <c r="B1595" s="62" t="s">
        <v>1466</v>
      </c>
      <c r="C1595" s="23">
        <v>40.82</v>
      </c>
      <c r="D1595" s="24" t="s">
        <v>167</v>
      </c>
      <c r="E1595" s="24" t="s">
        <v>168</v>
      </c>
      <c r="F1595" s="63" t="s">
        <v>0</v>
      </c>
    </row>
    <row r="1596" spans="1:6" x14ac:dyDescent="0.25">
      <c r="A1596" s="62">
        <v>45015</v>
      </c>
      <c r="B1596" s="62" t="s">
        <v>1467</v>
      </c>
      <c r="C1596" s="23">
        <v>-5341</v>
      </c>
      <c r="D1596" s="24" t="s">
        <v>49</v>
      </c>
      <c r="E1596" s="24" t="s">
        <v>56</v>
      </c>
      <c r="F1596" s="63" t="s">
        <v>0</v>
      </c>
    </row>
    <row r="1597" spans="1:6" x14ac:dyDescent="0.25">
      <c r="A1597" s="62">
        <v>45015</v>
      </c>
      <c r="B1597" s="62" t="s">
        <v>1468</v>
      </c>
      <c r="C1597" s="23">
        <v>-19000</v>
      </c>
      <c r="D1597" s="24" t="s">
        <v>49</v>
      </c>
      <c r="E1597" s="24" t="s">
        <v>50</v>
      </c>
      <c r="F1597" s="63" t="s">
        <v>0</v>
      </c>
    </row>
    <row r="1598" spans="1:6" x14ac:dyDescent="0.25">
      <c r="A1598" s="62">
        <v>45015</v>
      </c>
      <c r="B1598" s="62" t="s">
        <v>1469</v>
      </c>
      <c r="C1598" s="23">
        <v>-18492</v>
      </c>
      <c r="D1598" s="24" t="s">
        <v>46</v>
      </c>
      <c r="E1598" s="24" t="s">
        <v>61</v>
      </c>
      <c r="F1598" s="63" t="s">
        <v>0</v>
      </c>
    </row>
    <row r="1599" spans="1:6" x14ac:dyDescent="0.25">
      <c r="A1599" s="62">
        <v>45015</v>
      </c>
      <c r="B1599" s="62" t="s">
        <v>1470</v>
      </c>
      <c r="C1599" s="23">
        <v>-25597</v>
      </c>
      <c r="D1599" s="24" t="s">
        <v>49</v>
      </c>
      <c r="E1599" s="24" t="s">
        <v>56</v>
      </c>
      <c r="F1599" s="63" t="s">
        <v>0</v>
      </c>
    </row>
    <row r="1600" spans="1:6" x14ac:dyDescent="0.25">
      <c r="A1600" s="62">
        <v>45015</v>
      </c>
      <c r="B1600" s="62" t="s">
        <v>1471</v>
      </c>
      <c r="C1600" s="23">
        <v>-9000</v>
      </c>
      <c r="D1600" s="24" t="s">
        <v>46</v>
      </c>
      <c r="E1600" s="24" t="s">
        <v>61</v>
      </c>
      <c r="F1600" s="63" t="s">
        <v>0</v>
      </c>
    </row>
    <row r="1601" spans="1:6" x14ac:dyDescent="0.25">
      <c r="A1601" s="62">
        <v>45014</v>
      </c>
      <c r="B1601" s="62" t="s">
        <v>1472</v>
      </c>
      <c r="C1601" s="23">
        <v>-1100</v>
      </c>
      <c r="D1601" s="24" t="s">
        <v>49</v>
      </c>
      <c r="E1601" s="24" t="s">
        <v>56</v>
      </c>
      <c r="F1601" s="63" t="s">
        <v>0</v>
      </c>
    </row>
    <row r="1602" spans="1:6" x14ac:dyDescent="0.25">
      <c r="A1602" s="62">
        <v>45014</v>
      </c>
      <c r="B1602" s="62" t="s">
        <v>1473</v>
      </c>
      <c r="C1602" s="23">
        <v>-3490</v>
      </c>
      <c r="D1602" s="24" t="s">
        <v>46</v>
      </c>
      <c r="E1602" s="24" t="s">
        <v>63</v>
      </c>
      <c r="F1602" s="63" t="s">
        <v>0</v>
      </c>
    </row>
    <row r="1603" spans="1:6" x14ac:dyDescent="0.25">
      <c r="A1603" s="62">
        <v>45012</v>
      </c>
      <c r="B1603" s="62" t="s">
        <v>765</v>
      </c>
      <c r="C1603" s="23">
        <v>-8420</v>
      </c>
      <c r="D1603" s="24" t="s">
        <v>52</v>
      </c>
      <c r="E1603" s="24" t="s">
        <v>53</v>
      </c>
      <c r="F1603" s="63" t="s">
        <v>4</v>
      </c>
    </row>
    <row r="1604" spans="1:6" x14ac:dyDescent="0.25">
      <c r="A1604" s="62">
        <v>45012</v>
      </c>
      <c r="B1604" s="62" t="s">
        <v>1474</v>
      </c>
      <c r="C1604" s="23">
        <v>-6815</v>
      </c>
      <c r="D1604" s="24" t="s">
        <v>52</v>
      </c>
      <c r="E1604" s="24" t="s">
        <v>53</v>
      </c>
      <c r="F1604" s="63" t="s">
        <v>0</v>
      </c>
    </row>
    <row r="1605" spans="1:6" x14ac:dyDescent="0.25">
      <c r="A1605" s="62">
        <v>45012</v>
      </c>
      <c r="B1605" s="62" t="s">
        <v>1475</v>
      </c>
      <c r="C1605" s="23">
        <v>-9178</v>
      </c>
      <c r="D1605" s="24" t="s">
        <v>49</v>
      </c>
      <c r="E1605" s="24" t="s">
        <v>56</v>
      </c>
      <c r="F1605" s="63" t="s">
        <v>0</v>
      </c>
    </row>
    <row r="1606" spans="1:6" x14ac:dyDescent="0.25">
      <c r="A1606" s="62">
        <v>45012</v>
      </c>
      <c r="B1606" s="62" t="s">
        <v>1476</v>
      </c>
      <c r="C1606" s="23">
        <v>-3795</v>
      </c>
      <c r="D1606" s="24" t="s">
        <v>52</v>
      </c>
      <c r="E1606" s="24" t="s">
        <v>53</v>
      </c>
      <c r="F1606" s="63" t="s">
        <v>0</v>
      </c>
    </row>
    <row r="1607" spans="1:6" x14ac:dyDescent="0.25">
      <c r="A1607" s="62">
        <v>45012</v>
      </c>
      <c r="B1607" s="62" t="s">
        <v>1477</v>
      </c>
      <c r="C1607" s="23">
        <v>-999</v>
      </c>
      <c r="D1607" s="24" t="s">
        <v>46</v>
      </c>
      <c r="E1607" s="24" t="s">
        <v>63</v>
      </c>
      <c r="F1607" s="63" t="s">
        <v>0</v>
      </c>
    </row>
    <row r="1608" spans="1:6" x14ac:dyDescent="0.25">
      <c r="A1608" s="62">
        <v>45009</v>
      </c>
      <c r="B1608" s="62" t="s">
        <v>1478</v>
      </c>
      <c r="C1608" s="23">
        <v>-586</v>
      </c>
      <c r="D1608" s="24" t="s">
        <v>72</v>
      </c>
      <c r="E1608" s="24" t="s">
        <v>197</v>
      </c>
      <c r="F1608" s="63" t="s">
        <v>0</v>
      </c>
    </row>
    <row r="1609" spans="1:6" x14ac:dyDescent="0.25">
      <c r="A1609" s="62">
        <v>45008</v>
      </c>
      <c r="B1609" s="62" t="s">
        <v>1479</v>
      </c>
      <c r="C1609" s="23">
        <v>-3800</v>
      </c>
      <c r="D1609" s="24" t="s">
        <v>90</v>
      </c>
      <c r="E1609" s="24" t="s">
        <v>93</v>
      </c>
      <c r="F1609" s="63" t="s">
        <v>0</v>
      </c>
    </row>
    <row r="1610" spans="1:6" x14ac:dyDescent="0.25">
      <c r="A1610" s="62">
        <v>45008</v>
      </c>
      <c r="B1610" s="62" t="s">
        <v>1480</v>
      </c>
      <c r="C1610" s="23">
        <v>-5720</v>
      </c>
      <c r="D1610" s="24" t="s">
        <v>49</v>
      </c>
      <c r="E1610" s="24" t="s">
        <v>67</v>
      </c>
      <c r="F1610" s="63" t="s">
        <v>0</v>
      </c>
    </row>
    <row r="1611" spans="1:6" x14ac:dyDescent="0.25">
      <c r="A1611" s="62">
        <v>45008</v>
      </c>
      <c r="B1611" s="62" t="s">
        <v>1481</v>
      </c>
      <c r="C1611" s="23">
        <v>-1486</v>
      </c>
      <c r="D1611" s="24" t="s">
        <v>49</v>
      </c>
      <c r="E1611" s="24" t="s">
        <v>56</v>
      </c>
      <c r="F1611" s="63" t="s">
        <v>0</v>
      </c>
    </row>
    <row r="1612" spans="1:6" x14ac:dyDescent="0.25">
      <c r="A1612" s="62">
        <v>45008</v>
      </c>
      <c r="B1612" s="62" t="s">
        <v>1482</v>
      </c>
      <c r="C1612" s="23">
        <v>-119000</v>
      </c>
      <c r="D1612" s="24" t="s">
        <v>46</v>
      </c>
      <c r="E1612" s="24" t="s">
        <v>61</v>
      </c>
      <c r="F1612" s="63" t="s">
        <v>0</v>
      </c>
    </row>
    <row r="1613" spans="1:6" x14ac:dyDescent="0.25">
      <c r="A1613" s="62">
        <v>45008</v>
      </c>
      <c r="B1613" s="62" t="s">
        <v>1483</v>
      </c>
      <c r="C1613" s="23">
        <v>-5354</v>
      </c>
      <c r="D1613" s="24" t="s">
        <v>49</v>
      </c>
      <c r="E1613" s="24" t="s">
        <v>56</v>
      </c>
      <c r="F1613" s="63" t="s">
        <v>0</v>
      </c>
    </row>
    <row r="1614" spans="1:6" x14ac:dyDescent="0.25">
      <c r="A1614" s="62">
        <v>45008</v>
      </c>
      <c r="B1614" s="62" t="s">
        <v>1484</v>
      </c>
      <c r="C1614" s="23">
        <v>-19233</v>
      </c>
      <c r="D1614" s="24" t="s">
        <v>49</v>
      </c>
      <c r="E1614" s="24" t="s">
        <v>56</v>
      </c>
      <c r="F1614" s="63" t="s">
        <v>0</v>
      </c>
    </row>
    <row r="1615" spans="1:6" x14ac:dyDescent="0.25">
      <c r="A1615" s="62">
        <v>45007</v>
      </c>
      <c r="B1615" s="62" t="s">
        <v>1485</v>
      </c>
      <c r="C1615" s="23">
        <v>-6470</v>
      </c>
      <c r="D1615" s="24" t="s">
        <v>90</v>
      </c>
      <c r="E1615" s="24" t="s">
        <v>93</v>
      </c>
      <c r="F1615" s="63" t="s">
        <v>0</v>
      </c>
    </row>
    <row r="1616" spans="1:6" x14ac:dyDescent="0.25">
      <c r="A1616" s="62">
        <v>45007</v>
      </c>
      <c r="B1616" s="62" t="s">
        <v>1169</v>
      </c>
      <c r="C1616" s="23">
        <v>-10000</v>
      </c>
      <c r="D1616" s="24" t="s">
        <v>49</v>
      </c>
      <c r="E1616" s="24" t="s">
        <v>56</v>
      </c>
      <c r="F1616" s="63" t="s">
        <v>0</v>
      </c>
    </row>
    <row r="1617" spans="1:6" x14ac:dyDescent="0.25">
      <c r="A1617" s="62">
        <v>45007</v>
      </c>
      <c r="B1617" s="62" t="s">
        <v>1486</v>
      </c>
      <c r="C1617" s="23">
        <v>-502</v>
      </c>
      <c r="D1617" s="24" t="s">
        <v>72</v>
      </c>
      <c r="E1617" s="24" t="s">
        <v>73</v>
      </c>
      <c r="F1617" s="63" t="s">
        <v>0</v>
      </c>
    </row>
    <row r="1618" spans="1:6" x14ac:dyDescent="0.25">
      <c r="A1618" s="62">
        <v>45007</v>
      </c>
      <c r="B1618" s="62" t="s">
        <v>1487</v>
      </c>
      <c r="C1618" s="23">
        <v>-1196</v>
      </c>
      <c r="D1618" s="24" t="s">
        <v>49</v>
      </c>
      <c r="E1618" s="24" t="s">
        <v>50</v>
      </c>
      <c r="F1618" s="63" t="s">
        <v>0</v>
      </c>
    </row>
    <row r="1619" spans="1:6" x14ac:dyDescent="0.25">
      <c r="A1619" s="62">
        <v>45007</v>
      </c>
      <c r="B1619" s="62" t="s">
        <v>1488</v>
      </c>
      <c r="C1619" s="23">
        <v>-1400</v>
      </c>
      <c r="D1619" s="24" t="s">
        <v>52</v>
      </c>
      <c r="E1619" s="24" t="s">
        <v>134</v>
      </c>
      <c r="F1619" s="63" t="s">
        <v>0</v>
      </c>
    </row>
    <row r="1620" spans="1:6" x14ac:dyDescent="0.25">
      <c r="A1620" s="62">
        <v>45007</v>
      </c>
      <c r="B1620" s="62" t="s">
        <v>1489</v>
      </c>
      <c r="C1620" s="23">
        <v>-3340</v>
      </c>
      <c r="D1620" s="24" t="s">
        <v>52</v>
      </c>
      <c r="E1620" s="24" t="s">
        <v>53</v>
      </c>
      <c r="F1620" s="63" t="s">
        <v>0</v>
      </c>
    </row>
    <row r="1621" spans="1:6" x14ac:dyDescent="0.25">
      <c r="A1621" s="62">
        <v>45007</v>
      </c>
      <c r="B1621" s="62" t="s">
        <v>1490</v>
      </c>
      <c r="C1621" s="23">
        <v>-5895</v>
      </c>
      <c r="D1621" s="24" t="s">
        <v>52</v>
      </c>
      <c r="E1621" s="24" t="s">
        <v>53</v>
      </c>
      <c r="F1621" s="63" t="s">
        <v>0</v>
      </c>
    </row>
    <row r="1622" spans="1:6" x14ac:dyDescent="0.25">
      <c r="A1622" s="62">
        <v>45006</v>
      </c>
      <c r="B1622" s="62" t="s">
        <v>1491</v>
      </c>
      <c r="C1622" s="23">
        <v>-3060</v>
      </c>
      <c r="D1622" s="24" t="s">
        <v>52</v>
      </c>
      <c r="E1622" s="24" t="s">
        <v>134</v>
      </c>
      <c r="F1622" s="63" t="s">
        <v>0</v>
      </c>
    </row>
    <row r="1623" spans="1:6" x14ac:dyDescent="0.25">
      <c r="A1623" s="62">
        <v>45006</v>
      </c>
      <c r="B1623" s="62" t="s">
        <v>1492</v>
      </c>
      <c r="C1623" s="23">
        <v>-51127</v>
      </c>
      <c r="D1623" s="24" t="s">
        <v>167</v>
      </c>
      <c r="E1623" s="24" t="s">
        <v>183</v>
      </c>
      <c r="F1623" s="63" t="s">
        <v>0</v>
      </c>
    </row>
    <row r="1624" spans="1:6" x14ac:dyDescent="0.25">
      <c r="A1624" s="62">
        <v>45005</v>
      </c>
      <c r="B1624" s="62" t="s">
        <v>139</v>
      </c>
      <c r="C1624" s="23">
        <v>31960</v>
      </c>
      <c r="D1624" s="24" t="s">
        <v>58</v>
      </c>
      <c r="E1624" s="24" t="s">
        <v>58</v>
      </c>
      <c r="F1624" s="63" t="s">
        <v>4</v>
      </c>
    </row>
    <row r="1625" spans="1:6" x14ac:dyDescent="0.25">
      <c r="A1625" s="62">
        <v>45005</v>
      </c>
      <c r="B1625" s="62" t="s">
        <v>1493</v>
      </c>
      <c r="C1625" s="23">
        <v>-2946</v>
      </c>
      <c r="D1625" s="24" t="s">
        <v>49</v>
      </c>
      <c r="E1625" s="24" t="s">
        <v>56</v>
      </c>
      <c r="F1625" s="63" t="s">
        <v>0</v>
      </c>
    </row>
    <row r="1626" spans="1:6" x14ac:dyDescent="0.25">
      <c r="A1626" s="62">
        <v>45005</v>
      </c>
      <c r="B1626" s="62" t="s">
        <v>1494</v>
      </c>
      <c r="C1626" s="23">
        <v>-5508</v>
      </c>
      <c r="D1626" s="24" t="s">
        <v>49</v>
      </c>
      <c r="E1626" s="24" t="s">
        <v>56</v>
      </c>
      <c r="F1626" s="63" t="s">
        <v>0</v>
      </c>
    </row>
    <row r="1627" spans="1:6" x14ac:dyDescent="0.25">
      <c r="A1627" s="62">
        <v>45005</v>
      </c>
      <c r="B1627" s="62" t="s">
        <v>1495</v>
      </c>
      <c r="C1627" s="23">
        <v>-16710</v>
      </c>
      <c r="D1627" s="24" t="s">
        <v>49</v>
      </c>
      <c r="E1627" s="24" t="s">
        <v>56</v>
      </c>
      <c r="F1627" s="63" t="s">
        <v>0</v>
      </c>
    </row>
    <row r="1628" spans="1:6" x14ac:dyDescent="0.25">
      <c r="A1628" s="62">
        <v>45005</v>
      </c>
      <c r="B1628" s="62" t="s">
        <v>1496</v>
      </c>
      <c r="C1628" s="23">
        <v>-12860</v>
      </c>
      <c r="D1628" s="24" t="s">
        <v>46</v>
      </c>
      <c r="E1628" s="24" t="s">
        <v>61</v>
      </c>
      <c r="F1628" s="63" t="s">
        <v>0</v>
      </c>
    </row>
    <row r="1629" spans="1:6" x14ac:dyDescent="0.25">
      <c r="A1629" s="62">
        <v>45005</v>
      </c>
      <c r="B1629" s="62" t="s">
        <v>1497</v>
      </c>
      <c r="C1629" s="23">
        <v>-28120</v>
      </c>
      <c r="D1629" s="24" t="s">
        <v>46</v>
      </c>
      <c r="E1629" s="24" t="s">
        <v>61</v>
      </c>
      <c r="F1629" s="63" t="s">
        <v>0</v>
      </c>
    </row>
    <row r="1630" spans="1:6" x14ac:dyDescent="0.25">
      <c r="A1630" s="62">
        <v>45005</v>
      </c>
      <c r="B1630" s="62" t="s">
        <v>1498</v>
      </c>
      <c r="C1630" s="23">
        <v>-26530</v>
      </c>
      <c r="D1630" s="24" t="s">
        <v>72</v>
      </c>
      <c r="E1630" s="24" t="s">
        <v>109</v>
      </c>
      <c r="F1630" s="63" t="s">
        <v>0</v>
      </c>
    </row>
    <row r="1631" spans="1:6" x14ac:dyDescent="0.25">
      <c r="A1631" s="62">
        <v>45005</v>
      </c>
      <c r="B1631" s="62" t="s">
        <v>1499</v>
      </c>
      <c r="C1631" s="23">
        <v>-6800</v>
      </c>
      <c r="D1631" s="24" t="s">
        <v>46</v>
      </c>
      <c r="E1631" s="24" t="s">
        <v>61</v>
      </c>
      <c r="F1631" s="63" t="s">
        <v>0</v>
      </c>
    </row>
    <row r="1632" spans="1:6" x14ac:dyDescent="0.25">
      <c r="A1632" s="62">
        <v>45002</v>
      </c>
      <c r="B1632" s="62" t="s">
        <v>714</v>
      </c>
      <c r="C1632" s="23">
        <v>-7580</v>
      </c>
      <c r="D1632" s="24" t="s">
        <v>52</v>
      </c>
      <c r="E1632" s="24" t="s">
        <v>53</v>
      </c>
      <c r="F1632" s="63" t="s">
        <v>4</v>
      </c>
    </row>
    <row r="1633" spans="1:6" x14ac:dyDescent="0.25">
      <c r="A1633" s="62">
        <v>45002</v>
      </c>
      <c r="B1633" s="62" t="s">
        <v>1500</v>
      </c>
      <c r="C1633" s="23">
        <v>-4300</v>
      </c>
      <c r="D1633" s="24" t="s">
        <v>52</v>
      </c>
      <c r="E1633" s="24" t="s">
        <v>134</v>
      </c>
      <c r="F1633" s="63" t="s">
        <v>0</v>
      </c>
    </row>
    <row r="1634" spans="1:6" x14ac:dyDescent="0.25">
      <c r="A1634" s="62">
        <v>45002</v>
      </c>
      <c r="B1634" s="62" t="s">
        <v>1501</v>
      </c>
      <c r="C1634" s="23">
        <v>-6803</v>
      </c>
      <c r="D1634" s="24" t="s">
        <v>72</v>
      </c>
      <c r="E1634" s="24" t="s">
        <v>109</v>
      </c>
      <c r="F1634" s="63" t="s">
        <v>0</v>
      </c>
    </row>
    <row r="1635" spans="1:6" x14ac:dyDescent="0.25">
      <c r="A1635" s="62">
        <v>45001</v>
      </c>
      <c r="B1635" s="62" t="s">
        <v>1502</v>
      </c>
      <c r="C1635" s="23">
        <v>-2390</v>
      </c>
      <c r="D1635" s="24" t="s">
        <v>52</v>
      </c>
      <c r="E1635" s="24" t="s">
        <v>134</v>
      </c>
      <c r="F1635" s="63" t="s">
        <v>0</v>
      </c>
    </row>
    <row r="1636" spans="1:6" x14ac:dyDescent="0.25">
      <c r="A1636" s="62">
        <v>45001</v>
      </c>
      <c r="B1636" s="62" t="s">
        <v>1095</v>
      </c>
      <c r="C1636" s="23">
        <v>-5588</v>
      </c>
      <c r="D1636" s="24" t="s">
        <v>46</v>
      </c>
      <c r="E1636" s="24" t="s">
        <v>80</v>
      </c>
      <c r="F1636" s="63" t="s">
        <v>0</v>
      </c>
    </row>
    <row r="1637" spans="1:6" x14ac:dyDescent="0.25">
      <c r="A1637" s="62">
        <v>45001</v>
      </c>
      <c r="B1637" s="62" t="s">
        <v>704</v>
      </c>
      <c r="C1637" s="23">
        <v>-6944</v>
      </c>
      <c r="D1637" s="24" t="s">
        <v>46</v>
      </c>
      <c r="E1637" s="24" t="s">
        <v>150</v>
      </c>
      <c r="F1637" s="63" t="s">
        <v>0</v>
      </c>
    </row>
    <row r="1638" spans="1:6" x14ac:dyDescent="0.25">
      <c r="A1638" s="62">
        <v>45001</v>
      </c>
      <c r="B1638" s="62" t="s">
        <v>1092</v>
      </c>
      <c r="C1638" s="23">
        <v>-8900</v>
      </c>
      <c r="D1638" s="24" t="s">
        <v>46</v>
      </c>
      <c r="E1638" s="24" t="s">
        <v>1093</v>
      </c>
      <c r="F1638" s="63" t="s">
        <v>0</v>
      </c>
    </row>
    <row r="1639" spans="1:6" x14ac:dyDescent="0.25">
      <c r="A1639" s="62">
        <v>45001</v>
      </c>
      <c r="B1639" s="62" t="s">
        <v>1503</v>
      </c>
      <c r="C1639" s="23">
        <v>-38426</v>
      </c>
      <c r="D1639" s="24" t="s">
        <v>72</v>
      </c>
      <c r="E1639" s="24" t="s">
        <v>109</v>
      </c>
      <c r="F1639" s="63" t="s">
        <v>0</v>
      </c>
    </row>
    <row r="1640" spans="1:6" x14ac:dyDescent="0.25">
      <c r="A1640" s="62">
        <v>45001</v>
      </c>
      <c r="B1640" s="62" t="s">
        <v>1504</v>
      </c>
      <c r="C1640" s="23">
        <v>-3194</v>
      </c>
      <c r="D1640" s="24" t="s">
        <v>49</v>
      </c>
      <c r="E1640" s="24" t="s">
        <v>56</v>
      </c>
      <c r="F1640" s="63" t="s">
        <v>0</v>
      </c>
    </row>
    <row r="1641" spans="1:6" x14ac:dyDescent="0.25">
      <c r="A1641" s="62">
        <v>45000</v>
      </c>
      <c r="B1641" s="62" t="s">
        <v>765</v>
      </c>
      <c r="C1641" s="23">
        <v>-4960</v>
      </c>
      <c r="D1641" s="24" t="s">
        <v>52</v>
      </c>
      <c r="E1641" s="24" t="s">
        <v>53</v>
      </c>
      <c r="F1641" s="63" t="s">
        <v>4</v>
      </c>
    </row>
    <row r="1642" spans="1:6" x14ac:dyDescent="0.25">
      <c r="A1642" s="62">
        <v>44999</v>
      </c>
      <c r="B1642" s="62" t="s">
        <v>1505</v>
      </c>
      <c r="C1642" s="23">
        <v>-14000</v>
      </c>
      <c r="D1642" s="24" t="s">
        <v>206</v>
      </c>
      <c r="E1642" s="24" t="s">
        <v>830</v>
      </c>
      <c r="F1642" s="63" t="s">
        <v>0</v>
      </c>
    </row>
    <row r="1643" spans="1:6" x14ac:dyDescent="0.25">
      <c r="A1643" s="62">
        <v>44999</v>
      </c>
      <c r="B1643" s="62" t="s">
        <v>1506</v>
      </c>
      <c r="C1643" s="23">
        <v>-29000</v>
      </c>
      <c r="D1643" s="24" t="s">
        <v>206</v>
      </c>
      <c r="E1643" s="24" t="s">
        <v>830</v>
      </c>
      <c r="F1643" s="63" t="s">
        <v>0</v>
      </c>
    </row>
    <row r="1644" spans="1:6" x14ac:dyDescent="0.25">
      <c r="A1644" s="62">
        <v>44999</v>
      </c>
      <c r="B1644" s="62" t="s">
        <v>1488</v>
      </c>
      <c r="C1644" s="23">
        <v>-1400</v>
      </c>
      <c r="D1644" s="24" t="s">
        <v>52</v>
      </c>
      <c r="E1644" s="24" t="s">
        <v>134</v>
      </c>
      <c r="F1644" s="63" t="s">
        <v>0</v>
      </c>
    </row>
    <row r="1645" spans="1:6" x14ac:dyDescent="0.25">
      <c r="A1645" s="62">
        <v>44999</v>
      </c>
      <c r="B1645" s="62" t="s">
        <v>1507</v>
      </c>
      <c r="C1645" s="23">
        <v>-2790</v>
      </c>
      <c r="D1645" s="24" t="s">
        <v>52</v>
      </c>
      <c r="E1645" s="24" t="s">
        <v>53</v>
      </c>
      <c r="F1645" s="63" t="s">
        <v>0</v>
      </c>
    </row>
    <row r="1646" spans="1:6" x14ac:dyDescent="0.25">
      <c r="A1646" s="62">
        <v>44999</v>
      </c>
      <c r="B1646" s="62" t="s">
        <v>1508</v>
      </c>
      <c r="C1646" s="23">
        <v>-1200</v>
      </c>
      <c r="D1646" s="24" t="s">
        <v>49</v>
      </c>
      <c r="E1646" s="24" t="s">
        <v>67</v>
      </c>
      <c r="F1646" s="63" t="s">
        <v>0</v>
      </c>
    </row>
    <row r="1647" spans="1:6" x14ac:dyDescent="0.25">
      <c r="A1647" s="62">
        <v>44999</v>
      </c>
      <c r="B1647" s="62" t="s">
        <v>985</v>
      </c>
      <c r="C1647" s="23">
        <v>-22500</v>
      </c>
      <c r="D1647" s="24" t="s">
        <v>46</v>
      </c>
      <c r="E1647" s="24" t="s">
        <v>47</v>
      </c>
      <c r="F1647" s="63" t="s">
        <v>0</v>
      </c>
    </row>
    <row r="1648" spans="1:6" x14ac:dyDescent="0.25">
      <c r="A1648" s="62">
        <v>44999</v>
      </c>
      <c r="B1648" s="62" t="s">
        <v>1509</v>
      </c>
      <c r="C1648" s="23">
        <v>-24630</v>
      </c>
      <c r="D1648" s="24" t="s">
        <v>72</v>
      </c>
      <c r="E1648" s="24" t="s">
        <v>266</v>
      </c>
      <c r="F1648" s="63" t="s">
        <v>0</v>
      </c>
    </row>
    <row r="1649" spans="1:6" x14ac:dyDescent="0.25">
      <c r="A1649" s="62">
        <v>44998</v>
      </c>
      <c r="B1649" s="62" t="s">
        <v>1510</v>
      </c>
      <c r="C1649" s="23">
        <v>-1598</v>
      </c>
      <c r="D1649" s="24" t="s">
        <v>49</v>
      </c>
      <c r="E1649" s="24" t="s">
        <v>50</v>
      </c>
      <c r="F1649" s="63" t="s">
        <v>0</v>
      </c>
    </row>
    <row r="1650" spans="1:6" x14ac:dyDescent="0.25">
      <c r="A1650" s="62">
        <v>44998</v>
      </c>
      <c r="B1650" s="62" t="s">
        <v>1511</v>
      </c>
      <c r="C1650" s="23">
        <v>-2557</v>
      </c>
      <c r="D1650" s="24" t="s">
        <v>49</v>
      </c>
      <c r="E1650" s="24" t="s">
        <v>56</v>
      </c>
      <c r="F1650" s="63" t="s">
        <v>0</v>
      </c>
    </row>
    <row r="1651" spans="1:6" x14ac:dyDescent="0.25">
      <c r="A1651" s="62">
        <v>44998</v>
      </c>
      <c r="B1651" s="62" t="s">
        <v>1512</v>
      </c>
      <c r="C1651" s="23">
        <v>-15000</v>
      </c>
      <c r="D1651" s="24" t="s">
        <v>90</v>
      </c>
      <c r="E1651" s="24" t="s">
        <v>91</v>
      </c>
      <c r="F1651" s="63" t="s">
        <v>0</v>
      </c>
    </row>
    <row r="1652" spans="1:6" x14ac:dyDescent="0.25">
      <c r="A1652" s="62">
        <v>44998</v>
      </c>
      <c r="B1652" s="62" t="s">
        <v>1513</v>
      </c>
      <c r="C1652" s="23">
        <v>-1197</v>
      </c>
      <c r="D1652" s="24" t="s">
        <v>49</v>
      </c>
      <c r="E1652" s="24" t="s">
        <v>56</v>
      </c>
      <c r="F1652" s="63" t="s">
        <v>0</v>
      </c>
    </row>
    <row r="1653" spans="1:6" x14ac:dyDescent="0.25">
      <c r="A1653" s="62">
        <v>44998</v>
      </c>
      <c r="B1653" s="62" t="s">
        <v>1514</v>
      </c>
      <c r="C1653" s="23">
        <v>-5000</v>
      </c>
      <c r="D1653" s="24" t="s">
        <v>49</v>
      </c>
      <c r="E1653" s="24" t="s">
        <v>232</v>
      </c>
      <c r="F1653" s="63" t="s">
        <v>0</v>
      </c>
    </row>
    <row r="1654" spans="1:6" x14ac:dyDescent="0.25">
      <c r="A1654" s="62">
        <v>44998</v>
      </c>
      <c r="B1654" s="62" t="s">
        <v>1515</v>
      </c>
      <c r="C1654" s="23">
        <v>-3000</v>
      </c>
      <c r="D1654" s="24" t="s">
        <v>83</v>
      </c>
      <c r="E1654" s="24" t="s">
        <v>84</v>
      </c>
      <c r="F1654" s="63" t="s">
        <v>0</v>
      </c>
    </row>
    <row r="1655" spans="1:6" x14ac:dyDescent="0.25">
      <c r="A1655" s="62">
        <v>44998</v>
      </c>
      <c r="B1655" s="62" t="s">
        <v>1516</v>
      </c>
      <c r="C1655" s="23">
        <v>-1069</v>
      </c>
      <c r="D1655" s="24" t="s">
        <v>49</v>
      </c>
      <c r="E1655" s="24" t="s">
        <v>56</v>
      </c>
      <c r="F1655" s="63" t="s">
        <v>0</v>
      </c>
    </row>
    <row r="1656" spans="1:6" x14ac:dyDescent="0.25">
      <c r="A1656" s="62">
        <v>44998</v>
      </c>
      <c r="B1656" s="62" t="s">
        <v>1517</v>
      </c>
      <c r="C1656" s="23">
        <v>-26517</v>
      </c>
      <c r="D1656" s="24" t="s">
        <v>49</v>
      </c>
      <c r="E1656" s="24" t="s">
        <v>56</v>
      </c>
      <c r="F1656" s="63" t="s">
        <v>0</v>
      </c>
    </row>
    <row r="1657" spans="1:6" x14ac:dyDescent="0.25">
      <c r="A1657" s="62">
        <v>44996</v>
      </c>
      <c r="B1657" s="62" t="s">
        <v>765</v>
      </c>
      <c r="C1657" s="23">
        <v>-11560</v>
      </c>
      <c r="D1657" s="24" t="s">
        <v>52</v>
      </c>
      <c r="E1657" s="24" t="s">
        <v>53</v>
      </c>
      <c r="F1657" s="63" t="s">
        <v>4</v>
      </c>
    </row>
    <row r="1658" spans="1:6" x14ac:dyDescent="0.25">
      <c r="A1658" s="62">
        <v>44995</v>
      </c>
      <c r="B1658" s="62" t="s">
        <v>1518</v>
      </c>
      <c r="C1658" s="23">
        <v>-218669.81</v>
      </c>
      <c r="D1658" s="24" t="s">
        <v>46</v>
      </c>
      <c r="E1658" s="24" t="s">
        <v>10</v>
      </c>
      <c r="F1658" s="63" t="s">
        <v>0</v>
      </c>
    </row>
    <row r="1659" spans="1:6" x14ac:dyDescent="0.25">
      <c r="A1659" s="62">
        <v>44995</v>
      </c>
      <c r="B1659" s="62" t="s">
        <v>1519</v>
      </c>
      <c r="C1659" s="23">
        <v>-1840</v>
      </c>
      <c r="D1659" s="24" t="s">
        <v>49</v>
      </c>
      <c r="E1659" s="24" t="s">
        <v>56</v>
      </c>
      <c r="F1659" s="63" t="s">
        <v>0</v>
      </c>
    </row>
    <row r="1660" spans="1:6" x14ac:dyDescent="0.25">
      <c r="A1660" s="62">
        <v>44995</v>
      </c>
      <c r="B1660" s="62" t="s">
        <v>1169</v>
      </c>
      <c r="C1660" s="23">
        <v>-5000</v>
      </c>
      <c r="D1660" s="24" t="s">
        <v>49</v>
      </c>
      <c r="E1660" s="24" t="s">
        <v>56</v>
      </c>
      <c r="F1660" s="63" t="s">
        <v>0</v>
      </c>
    </row>
    <row r="1661" spans="1:6" x14ac:dyDescent="0.25">
      <c r="A1661" s="62">
        <v>44995</v>
      </c>
      <c r="B1661" s="62" t="s">
        <v>1520</v>
      </c>
      <c r="C1661" s="23">
        <v>-8779</v>
      </c>
      <c r="D1661" s="24" t="s">
        <v>90</v>
      </c>
      <c r="E1661" s="24" t="s">
        <v>93</v>
      </c>
      <c r="F1661" s="63" t="s">
        <v>0</v>
      </c>
    </row>
    <row r="1662" spans="1:6" x14ac:dyDescent="0.25">
      <c r="A1662" s="62">
        <v>44995</v>
      </c>
      <c r="B1662" s="62" t="s">
        <v>713</v>
      </c>
      <c r="C1662" s="23">
        <v>999323</v>
      </c>
      <c r="D1662" s="24" t="s">
        <v>58</v>
      </c>
      <c r="E1662" s="24" t="s">
        <v>58</v>
      </c>
      <c r="F1662" s="63" t="s">
        <v>0</v>
      </c>
    </row>
    <row r="1663" spans="1:6" x14ac:dyDescent="0.25">
      <c r="A1663" s="62">
        <v>44995</v>
      </c>
      <c r="B1663" s="62" t="s">
        <v>1521</v>
      </c>
      <c r="C1663" s="23">
        <v>-43134.98</v>
      </c>
      <c r="D1663" s="24" t="s">
        <v>46</v>
      </c>
      <c r="E1663" s="24" t="s">
        <v>10</v>
      </c>
      <c r="F1663" s="63" t="s">
        <v>0</v>
      </c>
    </row>
    <row r="1664" spans="1:6" x14ac:dyDescent="0.25">
      <c r="A1664" s="62">
        <v>44995</v>
      </c>
      <c r="B1664" s="62" t="s">
        <v>1518</v>
      </c>
      <c r="C1664" s="23">
        <v>218669.81</v>
      </c>
      <c r="D1664" s="24" t="s">
        <v>46</v>
      </c>
      <c r="E1664" s="24" t="s">
        <v>10</v>
      </c>
      <c r="F1664" s="63" t="s">
        <v>10</v>
      </c>
    </row>
    <row r="1665" spans="1:6" x14ac:dyDescent="0.25">
      <c r="A1665" s="62">
        <v>44994</v>
      </c>
      <c r="B1665" s="62" t="s">
        <v>1522</v>
      </c>
      <c r="C1665" s="23">
        <v>-5895</v>
      </c>
      <c r="D1665" s="24" t="s">
        <v>52</v>
      </c>
      <c r="E1665" s="24" t="s">
        <v>53</v>
      </c>
      <c r="F1665" s="63" t="s">
        <v>0</v>
      </c>
    </row>
    <row r="1666" spans="1:6" x14ac:dyDescent="0.25">
      <c r="A1666" s="62">
        <v>44994</v>
      </c>
      <c r="B1666" s="62" t="s">
        <v>1523</v>
      </c>
      <c r="C1666" s="23">
        <v>-6479</v>
      </c>
      <c r="D1666" s="24" t="s">
        <v>49</v>
      </c>
      <c r="E1666" s="24" t="s">
        <v>1165</v>
      </c>
      <c r="F1666" s="63" t="s">
        <v>0</v>
      </c>
    </row>
    <row r="1667" spans="1:6" x14ac:dyDescent="0.25">
      <c r="A1667" s="62">
        <v>44993</v>
      </c>
      <c r="B1667" s="62" t="s">
        <v>714</v>
      </c>
      <c r="C1667" s="23">
        <v>-7580</v>
      </c>
      <c r="D1667" s="24" t="s">
        <v>52</v>
      </c>
      <c r="E1667" s="24" t="s">
        <v>53</v>
      </c>
      <c r="F1667" s="63" t="s">
        <v>4</v>
      </c>
    </row>
    <row r="1668" spans="1:6" x14ac:dyDescent="0.25">
      <c r="A1668" s="62">
        <v>44993</v>
      </c>
      <c r="B1668" s="62" t="s">
        <v>1524</v>
      </c>
      <c r="C1668" s="23">
        <v>-3300</v>
      </c>
      <c r="D1668" s="24" t="s">
        <v>49</v>
      </c>
      <c r="E1668" s="24" t="s">
        <v>164</v>
      </c>
      <c r="F1668" s="63" t="s">
        <v>0</v>
      </c>
    </row>
    <row r="1669" spans="1:6" x14ac:dyDescent="0.25">
      <c r="A1669" s="62">
        <v>44993</v>
      </c>
      <c r="B1669" s="62" t="s">
        <v>1020</v>
      </c>
      <c r="C1669" s="23">
        <v>-999</v>
      </c>
      <c r="D1669" s="24" t="s">
        <v>49</v>
      </c>
      <c r="E1669" s="24" t="s">
        <v>56</v>
      </c>
      <c r="F1669" s="63" t="s">
        <v>0</v>
      </c>
    </row>
    <row r="1670" spans="1:6" x14ac:dyDescent="0.25">
      <c r="A1670" s="62">
        <v>44993</v>
      </c>
      <c r="B1670" s="62" t="s">
        <v>1525</v>
      </c>
      <c r="C1670" s="23">
        <v>-5990</v>
      </c>
      <c r="D1670" s="24" t="s">
        <v>46</v>
      </c>
      <c r="E1670" s="24" t="s">
        <v>428</v>
      </c>
      <c r="F1670" s="63" t="s">
        <v>0</v>
      </c>
    </row>
    <row r="1671" spans="1:6" x14ac:dyDescent="0.25">
      <c r="A1671" s="62">
        <v>44992</v>
      </c>
      <c r="B1671" s="62" t="s">
        <v>1168</v>
      </c>
      <c r="C1671" s="23">
        <v>-2380</v>
      </c>
      <c r="D1671" s="24" t="s">
        <v>52</v>
      </c>
      <c r="E1671" s="24" t="s">
        <v>53</v>
      </c>
      <c r="F1671" s="63" t="s">
        <v>4</v>
      </c>
    </row>
    <row r="1672" spans="1:6" x14ac:dyDescent="0.25">
      <c r="A1672" s="62">
        <v>44991</v>
      </c>
      <c r="B1672" s="62" t="s">
        <v>1526</v>
      </c>
      <c r="C1672" s="23">
        <v>-3000</v>
      </c>
      <c r="D1672" s="24" t="s">
        <v>49</v>
      </c>
      <c r="E1672" s="24" t="s">
        <v>56</v>
      </c>
      <c r="F1672" s="63" t="s">
        <v>0</v>
      </c>
    </row>
    <row r="1673" spans="1:6" x14ac:dyDescent="0.25">
      <c r="A1673" s="62">
        <v>44991</v>
      </c>
      <c r="B1673" s="62" t="s">
        <v>1527</v>
      </c>
      <c r="C1673" s="23">
        <v>-3525</v>
      </c>
      <c r="D1673" s="24" t="s">
        <v>49</v>
      </c>
      <c r="E1673" s="24" t="s">
        <v>56</v>
      </c>
      <c r="F1673" s="63" t="s">
        <v>0</v>
      </c>
    </row>
    <row r="1674" spans="1:6" x14ac:dyDescent="0.25">
      <c r="A1674" s="62">
        <v>44991</v>
      </c>
      <c r="B1674" s="62" t="s">
        <v>1528</v>
      </c>
      <c r="C1674" s="23">
        <v>-13800</v>
      </c>
      <c r="D1674" s="24" t="s">
        <v>49</v>
      </c>
      <c r="E1674" s="24" t="s">
        <v>56</v>
      </c>
      <c r="F1674" s="63" t="s">
        <v>0</v>
      </c>
    </row>
    <row r="1675" spans="1:6" x14ac:dyDescent="0.25">
      <c r="A1675" s="62">
        <v>44991</v>
      </c>
      <c r="B1675" s="62" t="s">
        <v>1529</v>
      </c>
      <c r="C1675" s="23">
        <v>-7833</v>
      </c>
      <c r="D1675" s="24" t="s">
        <v>46</v>
      </c>
      <c r="E1675" s="24" t="s">
        <v>61</v>
      </c>
      <c r="F1675" s="63" t="s">
        <v>0</v>
      </c>
    </row>
    <row r="1676" spans="1:6" x14ac:dyDescent="0.25">
      <c r="A1676" s="62">
        <v>44991</v>
      </c>
      <c r="B1676" s="62" t="s">
        <v>1530</v>
      </c>
      <c r="C1676" s="23">
        <v>-17189</v>
      </c>
      <c r="D1676" s="24" t="s">
        <v>49</v>
      </c>
      <c r="E1676" s="24" t="s">
        <v>56</v>
      </c>
      <c r="F1676" s="63" t="s">
        <v>0</v>
      </c>
    </row>
    <row r="1677" spans="1:6" x14ac:dyDescent="0.25">
      <c r="A1677" s="62">
        <v>44991</v>
      </c>
      <c r="B1677" s="62" t="s">
        <v>1531</v>
      </c>
      <c r="C1677" s="23">
        <v>-1060</v>
      </c>
      <c r="D1677" s="24" t="s">
        <v>52</v>
      </c>
      <c r="E1677" s="24" t="s">
        <v>52</v>
      </c>
      <c r="F1677" s="63" t="s">
        <v>0</v>
      </c>
    </row>
    <row r="1678" spans="1:6" x14ac:dyDescent="0.25">
      <c r="A1678" s="62">
        <v>44991</v>
      </c>
      <c r="B1678" s="62" t="s">
        <v>1532</v>
      </c>
      <c r="C1678" s="23">
        <v>-7310</v>
      </c>
      <c r="D1678" s="24" t="s">
        <v>52</v>
      </c>
      <c r="E1678" s="24" t="s">
        <v>52</v>
      </c>
      <c r="F1678" s="63" t="s">
        <v>0</v>
      </c>
    </row>
    <row r="1679" spans="1:6" x14ac:dyDescent="0.25">
      <c r="A1679" s="62">
        <v>44991</v>
      </c>
      <c r="B1679" s="62" t="s">
        <v>1533</v>
      </c>
      <c r="C1679" s="23">
        <v>-7590</v>
      </c>
      <c r="D1679" s="24" t="s">
        <v>90</v>
      </c>
      <c r="E1679" s="24" t="s">
        <v>174</v>
      </c>
      <c r="F1679" s="63" t="s">
        <v>0</v>
      </c>
    </row>
    <row r="1680" spans="1:6" x14ac:dyDescent="0.25">
      <c r="A1680" s="62">
        <v>44991</v>
      </c>
      <c r="B1680" s="62" t="s">
        <v>1534</v>
      </c>
      <c r="C1680" s="23">
        <v>-1179</v>
      </c>
      <c r="D1680" s="24" t="s">
        <v>72</v>
      </c>
      <c r="E1680" s="24" t="s">
        <v>73</v>
      </c>
      <c r="F1680" s="63" t="s">
        <v>0</v>
      </c>
    </row>
    <row r="1681" spans="1:6" x14ac:dyDescent="0.25">
      <c r="A1681" s="62">
        <v>44990</v>
      </c>
      <c r="B1681" s="62" t="s">
        <v>963</v>
      </c>
      <c r="C1681" s="23">
        <v>-3670</v>
      </c>
      <c r="D1681" s="24" t="s">
        <v>52</v>
      </c>
      <c r="E1681" s="24" t="s">
        <v>53</v>
      </c>
      <c r="F1681" s="63" t="s">
        <v>4</v>
      </c>
    </row>
    <row r="1682" spans="1:6" x14ac:dyDescent="0.25">
      <c r="A1682" s="62">
        <v>44988</v>
      </c>
      <c r="B1682" s="62" t="s">
        <v>171</v>
      </c>
      <c r="C1682" s="23">
        <v>1672</v>
      </c>
      <c r="D1682" s="24" t="s">
        <v>167</v>
      </c>
      <c r="E1682" s="24" t="s">
        <v>168</v>
      </c>
      <c r="F1682" s="63" t="s">
        <v>0</v>
      </c>
    </row>
    <row r="1683" spans="1:6" x14ac:dyDescent="0.25">
      <c r="A1683" s="62">
        <v>44988</v>
      </c>
      <c r="B1683" s="62" t="s">
        <v>1488</v>
      </c>
      <c r="C1683" s="23">
        <v>-1400</v>
      </c>
      <c r="D1683" s="24" t="s">
        <v>52</v>
      </c>
      <c r="E1683" s="24" t="s">
        <v>134</v>
      </c>
      <c r="F1683" s="63" t="s">
        <v>0</v>
      </c>
    </row>
    <row r="1684" spans="1:6" x14ac:dyDescent="0.25">
      <c r="A1684" s="62">
        <v>44988</v>
      </c>
      <c r="B1684" s="62" t="s">
        <v>1535</v>
      </c>
      <c r="C1684" s="23">
        <v>-3140</v>
      </c>
      <c r="D1684" s="24" t="s">
        <v>52</v>
      </c>
      <c r="E1684" s="24" t="s">
        <v>53</v>
      </c>
      <c r="F1684" s="63" t="s">
        <v>0</v>
      </c>
    </row>
    <row r="1685" spans="1:6" x14ac:dyDescent="0.25">
      <c r="A1685" s="62">
        <v>44988</v>
      </c>
      <c r="B1685" s="62" t="s">
        <v>1536</v>
      </c>
      <c r="C1685" s="23">
        <v>-990</v>
      </c>
      <c r="D1685" s="24" t="s">
        <v>52</v>
      </c>
      <c r="E1685" s="24" t="s">
        <v>53</v>
      </c>
      <c r="F1685" s="63" t="s">
        <v>0</v>
      </c>
    </row>
    <row r="1686" spans="1:6" x14ac:dyDescent="0.25">
      <c r="A1686" s="62">
        <v>44988</v>
      </c>
      <c r="B1686" s="62" t="s">
        <v>1537</v>
      </c>
      <c r="C1686" s="23">
        <v>-10055</v>
      </c>
      <c r="D1686" s="24" t="s">
        <v>83</v>
      </c>
      <c r="E1686" s="24" t="s">
        <v>84</v>
      </c>
      <c r="F1686" s="63" t="s">
        <v>0</v>
      </c>
    </row>
    <row r="1687" spans="1:6" x14ac:dyDescent="0.25">
      <c r="A1687" s="62">
        <v>44987</v>
      </c>
      <c r="B1687" s="62" t="s">
        <v>172</v>
      </c>
      <c r="C1687" s="23">
        <v>358300</v>
      </c>
      <c r="D1687" s="24" t="s">
        <v>58</v>
      </c>
      <c r="E1687" s="24" t="s">
        <v>58</v>
      </c>
      <c r="F1687" s="63" t="s">
        <v>0</v>
      </c>
    </row>
    <row r="1688" spans="1:6" x14ac:dyDescent="0.25">
      <c r="A1688" s="62">
        <v>44987</v>
      </c>
      <c r="B1688" s="62" t="s">
        <v>1538</v>
      </c>
      <c r="C1688" s="23">
        <v>-950</v>
      </c>
      <c r="D1688" s="24" t="s">
        <v>49</v>
      </c>
      <c r="E1688" s="24" t="s">
        <v>56</v>
      </c>
      <c r="F1688" s="63" t="s">
        <v>0</v>
      </c>
    </row>
    <row r="1689" spans="1:6" x14ac:dyDescent="0.25">
      <c r="A1689" s="62">
        <v>44987</v>
      </c>
      <c r="B1689" s="62" t="s">
        <v>1539</v>
      </c>
      <c r="C1689" s="23">
        <f>1221824-431700</f>
        <v>790124</v>
      </c>
      <c r="D1689" s="24" t="s">
        <v>46</v>
      </c>
      <c r="E1689" s="24" t="s">
        <v>61</v>
      </c>
      <c r="F1689" s="63" t="s">
        <v>0</v>
      </c>
    </row>
    <row r="1690" spans="1:6" x14ac:dyDescent="0.25">
      <c r="A1690" s="62">
        <v>44985</v>
      </c>
      <c r="B1690" s="62" t="s">
        <v>43</v>
      </c>
      <c r="C1690" s="23">
        <v>-1941</v>
      </c>
      <c r="D1690" s="24" t="s">
        <v>167</v>
      </c>
      <c r="E1690" s="24" t="s">
        <v>168</v>
      </c>
      <c r="F1690" s="63" t="s">
        <v>0</v>
      </c>
    </row>
    <row r="1691" spans="1:6" x14ac:dyDescent="0.25">
      <c r="A1691" s="62">
        <v>44985</v>
      </c>
      <c r="B1691" s="62" t="s">
        <v>1540</v>
      </c>
      <c r="C1691" s="23">
        <v>-17180</v>
      </c>
      <c r="D1691" s="24" t="s">
        <v>49</v>
      </c>
      <c r="E1691" s="24" t="s">
        <v>50</v>
      </c>
      <c r="F1691" s="63" t="s">
        <v>0</v>
      </c>
    </row>
    <row r="1692" spans="1:6" x14ac:dyDescent="0.25">
      <c r="A1692" s="62">
        <v>44985</v>
      </c>
      <c r="B1692" s="62" t="s">
        <v>1488</v>
      </c>
      <c r="C1692" s="23">
        <v>-1400</v>
      </c>
      <c r="D1692" s="24" t="s">
        <v>52</v>
      </c>
      <c r="E1692" s="24" t="s">
        <v>134</v>
      </c>
      <c r="F1692" s="63" t="s">
        <v>0</v>
      </c>
    </row>
    <row r="1693" spans="1:6" x14ac:dyDescent="0.25">
      <c r="A1693" s="62">
        <v>44985</v>
      </c>
      <c r="B1693" s="62" t="s">
        <v>1541</v>
      </c>
      <c r="C1693" s="23">
        <v>-3490</v>
      </c>
      <c r="D1693" s="24" t="s">
        <v>46</v>
      </c>
      <c r="E1693" s="24" t="s">
        <v>63</v>
      </c>
      <c r="F1693" s="63" t="s">
        <v>0</v>
      </c>
    </row>
    <row r="1694" spans="1:6" x14ac:dyDescent="0.25">
      <c r="A1694" s="62">
        <v>44984</v>
      </c>
      <c r="B1694" s="62" t="s">
        <v>1542</v>
      </c>
      <c r="C1694" s="23">
        <v>-6210</v>
      </c>
      <c r="D1694" s="24" t="s">
        <v>52</v>
      </c>
      <c r="E1694" s="24" t="s">
        <v>53</v>
      </c>
      <c r="F1694" s="63" t="s">
        <v>0</v>
      </c>
    </row>
    <row r="1695" spans="1:6" x14ac:dyDescent="0.25">
      <c r="A1695" s="62">
        <v>44984</v>
      </c>
      <c r="B1695" s="62" t="s">
        <v>1543</v>
      </c>
      <c r="C1695" s="23">
        <v>-1190</v>
      </c>
      <c r="D1695" s="24" t="s">
        <v>52</v>
      </c>
      <c r="E1695" s="24" t="s">
        <v>53</v>
      </c>
      <c r="F1695" s="63" t="s">
        <v>0</v>
      </c>
    </row>
    <row r="1696" spans="1:6" x14ac:dyDescent="0.25">
      <c r="A1696" s="62">
        <v>44984</v>
      </c>
      <c r="B1696" s="62" t="s">
        <v>1544</v>
      </c>
      <c r="C1696" s="23">
        <v>-879</v>
      </c>
      <c r="D1696" s="24" t="s">
        <v>49</v>
      </c>
      <c r="E1696" s="24" t="s">
        <v>56</v>
      </c>
      <c r="F1696" s="63" t="s">
        <v>0</v>
      </c>
    </row>
    <row r="1697" spans="1:6" x14ac:dyDescent="0.25">
      <c r="A1697" s="62">
        <v>44984</v>
      </c>
      <c r="B1697" s="62" t="s">
        <v>1545</v>
      </c>
      <c r="C1697" s="23">
        <v>-778</v>
      </c>
      <c r="D1697" s="24" t="s">
        <v>49</v>
      </c>
      <c r="E1697" s="24" t="s">
        <v>56</v>
      </c>
      <c r="F1697" s="63" t="s">
        <v>0</v>
      </c>
    </row>
    <row r="1698" spans="1:6" x14ac:dyDescent="0.25">
      <c r="A1698" s="62">
        <v>44984</v>
      </c>
      <c r="B1698" s="62" t="s">
        <v>1546</v>
      </c>
      <c r="C1698" s="23">
        <v>-4099</v>
      </c>
      <c r="D1698" s="24" t="s">
        <v>49</v>
      </c>
      <c r="E1698" s="24" t="s">
        <v>56</v>
      </c>
      <c r="F1698" s="63" t="s">
        <v>0</v>
      </c>
    </row>
    <row r="1699" spans="1:6" x14ac:dyDescent="0.25">
      <c r="A1699" s="62">
        <v>44984</v>
      </c>
      <c r="B1699" s="62" t="s">
        <v>1547</v>
      </c>
      <c r="C1699" s="23">
        <v>-18111</v>
      </c>
      <c r="D1699" s="24" t="s">
        <v>49</v>
      </c>
      <c r="E1699" s="24" t="s">
        <v>56</v>
      </c>
      <c r="F1699" s="63" t="s">
        <v>0</v>
      </c>
    </row>
    <row r="1700" spans="1:6" x14ac:dyDescent="0.25">
      <c r="A1700" s="62">
        <v>44984</v>
      </c>
      <c r="B1700" s="62" t="s">
        <v>1548</v>
      </c>
      <c r="C1700" s="23">
        <v>-1597</v>
      </c>
      <c r="D1700" s="24" t="s">
        <v>49</v>
      </c>
      <c r="E1700" s="24" t="s">
        <v>56</v>
      </c>
      <c r="F1700" s="63" t="s">
        <v>0</v>
      </c>
    </row>
    <row r="1701" spans="1:6" x14ac:dyDescent="0.25">
      <c r="A1701" s="62">
        <v>44984</v>
      </c>
      <c r="B1701" s="62" t="s">
        <v>1549</v>
      </c>
      <c r="C1701" s="23">
        <v>-789</v>
      </c>
      <c r="D1701" s="24" t="s">
        <v>49</v>
      </c>
      <c r="E1701" s="24" t="s">
        <v>56</v>
      </c>
      <c r="F1701" s="63" t="s">
        <v>0</v>
      </c>
    </row>
    <row r="1702" spans="1:6" x14ac:dyDescent="0.25">
      <c r="A1702" s="62">
        <v>44984</v>
      </c>
      <c r="B1702" s="62" t="s">
        <v>1550</v>
      </c>
      <c r="C1702" s="23">
        <v>-5675</v>
      </c>
      <c r="D1702" s="24" t="s">
        <v>49</v>
      </c>
      <c r="E1702" s="24" t="s">
        <v>56</v>
      </c>
      <c r="F1702" s="63" t="s">
        <v>0</v>
      </c>
    </row>
    <row r="1703" spans="1:6" x14ac:dyDescent="0.25">
      <c r="A1703" s="62">
        <v>44984</v>
      </c>
      <c r="B1703" s="62" t="s">
        <v>1551</v>
      </c>
      <c r="C1703" s="23">
        <v>-3490</v>
      </c>
      <c r="D1703" s="24" t="s">
        <v>49</v>
      </c>
      <c r="E1703" s="24" t="s">
        <v>50</v>
      </c>
      <c r="F1703" s="63" t="s">
        <v>0</v>
      </c>
    </row>
    <row r="1704" spans="1:6" x14ac:dyDescent="0.25">
      <c r="A1704" s="62">
        <v>44984</v>
      </c>
      <c r="B1704" s="62" t="s">
        <v>1552</v>
      </c>
      <c r="C1704" s="23">
        <v>-999</v>
      </c>
      <c r="D1704" s="24" t="s">
        <v>46</v>
      </c>
      <c r="E1704" s="24" t="s">
        <v>63</v>
      </c>
      <c r="F1704" s="63" t="s">
        <v>0</v>
      </c>
    </row>
    <row r="1705" spans="1:6" x14ac:dyDescent="0.25">
      <c r="A1705" s="62">
        <v>44984</v>
      </c>
      <c r="B1705" s="62" t="s">
        <v>1553</v>
      </c>
      <c r="C1705" s="23">
        <v>-1398</v>
      </c>
      <c r="D1705" s="24" t="s">
        <v>49</v>
      </c>
      <c r="E1705" s="24" t="s">
        <v>56</v>
      </c>
      <c r="F1705" s="63" t="s">
        <v>0</v>
      </c>
    </row>
    <row r="1706" spans="1:6" x14ac:dyDescent="0.25">
      <c r="A1706" s="62">
        <v>44982</v>
      </c>
      <c r="B1706" s="62" t="s">
        <v>714</v>
      </c>
      <c r="C1706" s="23">
        <v>-3690</v>
      </c>
      <c r="D1706" s="24" t="s">
        <v>52</v>
      </c>
      <c r="E1706" s="24" t="s">
        <v>53</v>
      </c>
      <c r="F1706" s="63" t="s">
        <v>4</v>
      </c>
    </row>
    <row r="1707" spans="1:6" x14ac:dyDescent="0.25">
      <c r="A1707" s="62">
        <v>44981</v>
      </c>
      <c r="B1707" s="62" t="s">
        <v>746</v>
      </c>
      <c r="C1707" s="23">
        <v>-2300</v>
      </c>
      <c r="D1707" s="24" t="s">
        <v>52</v>
      </c>
      <c r="E1707" s="24" t="s">
        <v>53</v>
      </c>
      <c r="F1707" s="63" t="s">
        <v>4</v>
      </c>
    </row>
    <row r="1708" spans="1:6" x14ac:dyDescent="0.25">
      <c r="A1708" s="62">
        <v>44980</v>
      </c>
      <c r="B1708" s="62" t="s">
        <v>1554</v>
      </c>
      <c r="C1708" s="23">
        <v>-32900</v>
      </c>
      <c r="D1708" s="24" t="s">
        <v>49</v>
      </c>
      <c r="E1708" s="24" t="s">
        <v>50</v>
      </c>
      <c r="F1708" s="63" t="s">
        <v>0</v>
      </c>
    </row>
    <row r="1709" spans="1:6" x14ac:dyDescent="0.25">
      <c r="A1709" s="62">
        <v>44980</v>
      </c>
      <c r="B1709" s="62" t="s">
        <v>1555</v>
      </c>
      <c r="C1709" s="23">
        <v>-49790</v>
      </c>
      <c r="D1709" s="24" t="s">
        <v>49</v>
      </c>
      <c r="E1709" s="24" t="s">
        <v>50</v>
      </c>
      <c r="F1709" s="63" t="s">
        <v>0</v>
      </c>
    </row>
    <row r="1710" spans="1:6" x14ac:dyDescent="0.25">
      <c r="A1710" s="62">
        <v>44979</v>
      </c>
      <c r="B1710" s="62" t="s">
        <v>1556</v>
      </c>
      <c r="C1710" s="23">
        <v>-2027</v>
      </c>
      <c r="D1710" s="24" t="s">
        <v>49</v>
      </c>
      <c r="E1710" s="24" t="s">
        <v>56</v>
      </c>
      <c r="F1710" s="63" t="s">
        <v>0</v>
      </c>
    </row>
    <row r="1711" spans="1:6" x14ac:dyDescent="0.25">
      <c r="A1711" s="62">
        <v>44979</v>
      </c>
      <c r="B1711" s="62" t="s">
        <v>1557</v>
      </c>
      <c r="C1711" s="23">
        <v>-998</v>
      </c>
      <c r="D1711" s="24" t="s">
        <v>49</v>
      </c>
      <c r="E1711" s="24" t="s">
        <v>56</v>
      </c>
      <c r="F1711" s="63" t="s">
        <v>0</v>
      </c>
    </row>
    <row r="1712" spans="1:6" x14ac:dyDescent="0.25">
      <c r="A1712" s="62">
        <v>44979</v>
      </c>
      <c r="B1712" s="62" t="s">
        <v>1488</v>
      </c>
      <c r="C1712" s="23">
        <v>-1400</v>
      </c>
      <c r="D1712" s="24" t="s">
        <v>52</v>
      </c>
      <c r="E1712" s="24" t="s">
        <v>134</v>
      </c>
      <c r="F1712" s="63" t="s">
        <v>0</v>
      </c>
    </row>
    <row r="1713" spans="1:6" x14ac:dyDescent="0.25">
      <c r="A1713" s="62">
        <v>44978</v>
      </c>
      <c r="B1713" s="62" t="s">
        <v>139</v>
      </c>
      <c r="C1713" s="23">
        <v>31960</v>
      </c>
      <c r="D1713" s="24" t="s">
        <v>58</v>
      </c>
      <c r="E1713" s="24" t="s">
        <v>58</v>
      </c>
      <c r="F1713" s="63" t="s">
        <v>4</v>
      </c>
    </row>
    <row r="1714" spans="1:6" x14ac:dyDescent="0.25">
      <c r="A1714" s="62">
        <v>44978</v>
      </c>
      <c r="B1714" s="62" t="s">
        <v>746</v>
      </c>
      <c r="C1714" s="23">
        <v>-2300</v>
      </c>
      <c r="D1714" s="24" t="s">
        <v>52</v>
      </c>
      <c r="E1714" s="24" t="s">
        <v>53</v>
      </c>
      <c r="F1714" s="63" t="s">
        <v>4</v>
      </c>
    </row>
    <row r="1715" spans="1:6" x14ac:dyDescent="0.25">
      <c r="A1715" s="62">
        <v>44978</v>
      </c>
      <c r="B1715" s="62" t="s">
        <v>1558</v>
      </c>
      <c r="C1715" s="23">
        <v>-30093</v>
      </c>
      <c r="D1715" s="24" t="s">
        <v>49</v>
      </c>
      <c r="E1715" s="24" t="s">
        <v>56</v>
      </c>
      <c r="F1715" s="63" t="s">
        <v>0</v>
      </c>
    </row>
    <row r="1716" spans="1:6" x14ac:dyDescent="0.25">
      <c r="A1716" s="62">
        <v>44977</v>
      </c>
      <c r="B1716" s="62" t="s">
        <v>765</v>
      </c>
      <c r="C1716" s="23">
        <v>-3960</v>
      </c>
      <c r="D1716" s="24" t="s">
        <v>52</v>
      </c>
      <c r="E1716" s="24" t="s">
        <v>53</v>
      </c>
      <c r="F1716" s="63" t="s">
        <v>4</v>
      </c>
    </row>
    <row r="1717" spans="1:6" x14ac:dyDescent="0.25">
      <c r="A1717" s="62">
        <v>44977</v>
      </c>
      <c r="B1717" s="62" t="s">
        <v>1559</v>
      </c>
      <c r="C1717" s="23">
        <v>-5224.8599999999997</v>
      </c>
      <c r="D1717" s="24" t="s">
        <v>49</v>
      </c>
      <c r="E1717" s="24" t="s">
        <v>232</v>
      </c>
      <c r="F1717" s="63" t="s">
        <v>2</v>
      </c>
    </row>
    <row r="1718" spans="1:6" x14ac:dyDescent="0.25">
      <c r="A1718" s="62">
        <v>44977</v>
      </c>
      <c r="B1718" s="62" t="s">
        <v>1560</v>
      </c>
      <c r="C1718" s="23">
        <f>-904.665*354</f>
        <v>-320251.40999999997</v>
      </c>
      <c r="D1718" s="24" t="s">
        <v>49</v>
      </c>
      <c r="E1718" s="24" t="s">
        <v>232</v>
      </c>
      <c r="F1718" s="63" t="s">
        <v>2</v>
      </c>
    </row>
    <row r="1719" spans="1:6" x14ac:dyDescent="0.25">
      <c r="A1719" s="62">
        <v>44977</v>
      </c>
      <c r="B1719" s="62" t="s">
        <v>1561</v>
      </c>
      <c r="C1719" s="23">
        <v>-1230</v>
      </c>
      <c r="D1719" s="24" t="s">
        <v>49</v>
      </c>
      <c r="E1719" s="24" t="s">
        <v>56</v>
      </c>
      <c r="F1719" s="63" t="s">
        <v>0</v>
      </c>
    </row>
    <row r="1720" spans="1:6" x14ac:dyDescent="0.25">
      <c r="A1720" s="62">
        <v>44977</v>
      </c>
      <c r="B1720" s="62" t="s">
        <v>1562</v>
      </c>
      <c r="C1720" s="23">
        <v>-1300</v>
      </c>
      <c r="D1720" s="24" t="s">
        <v>49</v>
      </c>
      <c r="E1720" s="24" t="s">
        <v>56</v>
      </c>
      <c r="F1720" s="63" t="s">
        <v>0</v>
      </c>
    </row>
    <row r="1721" spans="1:6" x14ac:dyDescent="0.25">
      <c r="A1721" s="62">
        <v>44977</v>
      </c>
      <c r="B1721" s="62" t="s">
        <v>1563</v>
      </c>
      <c r="C1721" s="23">
        <v>-11440</v>
      </c>
      <c r="D1721" s="24" t="s">
        <v>49</v>
      </c>
      <c r="E1721" s="24" t="s">
        <v>67</v>
      </c>
      <c r="F1721" s="63" t="s">
        <v>0</v>
      </c>
    </row>
    <row r="1722" spans="1:6" x14ac:dyDescent="0.25">
      <c r="A1722" s="62">
        <v>44977</v>
      </c>
      <c r="B1722" s="62" t="s">
        <v>1178</v>
      </c>
      <c r="C1722" s="23">
        <v>-1800</v>
      </c>
      <c r="D1722" s="24" t="s">
        <v>52</v>
      </c>
      <c r="E1722" s="24" t="s">
        <v>53</v>
      </c>
      <c r="F1722" s="63" t="s">
        <v>0</v>
      </c>
    </row>
    <row r="1723" spans="1:6" x14ac:dyDescent="0.25">
      <c r="A1723" s="62">
        <v>44977</v>
      </c>
      <c r="B1723" s="62" t="s">
        <v>1564</v>
      </c>
      <c r="C1723" s="23">
        <v>-19188</v>
      </c>
      <c r="D1723" s="24" t="s">
        <v>49</v>
      </c>
      <c r="E1723" s="24" t="s">
        <v>56</v>
      </c>
      <c r="F1723" s="63" t="s">
        <v>0</v>
      </c>
    </row>
    <row r="1724" spans="1:6" x14ac:dyDescent="0.25">
      <c r="A1724" s="62">
        <v>44974</v>
      </c>
      <c r="B1724" s="62" t="s">
        <v>765</v>
      </c>
      <c r="C1724" s="23">
        <v>-5800</v>
      </c>
      <c r="D1724" s="24" t="s">
        <v>52</v>
      </c>
      <c r="E1724" s="24" t="s">
        <v>53</v>
      </c>
      <c r="F1724" s="63" t="s">
        <v>4</v>
      </c>
    </row>
    <row r="1725" spans="1:6" x14ac:dyDescent="0.25">
      <c r="A1725" s="62">
        <v>44974</v>
      </c>
      <c r="B1725" s="62" t="s">
        <v>1488</v>
      </c>
      <c r="C1725" s="23">
        <v>-1400</v>
      </c>
      <c r="D1725" s="24" t="s">
        <v>52</v>
      </c>
      <c r="E1725" s="24" t="s">
        <v>134</v>
      </c>
      <c r="F1725" s="63" t="s">
        <v>0</v>
      </c>
    </row>
    <row r="1726" spans="1:6" x14ac:dyDescent="0.25">
      <c r="A1726" s="62">
        <v>44973</v>
      </c>
      <c r="B1726" s="62" t="s">
        <v>1565</v>
      </c>
      <c r="C1726" s="23">
        <v>-11189</v>
      </c>
      <c r="D1726" s="24" t="s">
        <v>49</v>
      </c>
      <c r="E1726" s="24" t="s">
        <v>67</v>
      </c>
      <c r="F1726" s="63" t="s">
        <v>0</v>
      </c>
    </row>
    <row r="1727" spans="1:6" x14ac:dyDescent="0.25">
      <c r="A1727" s="62">
        <v>44972</v>
      </c>
      <c r="B1727" s="62" t="s">
        <v>1566</v>
      </c>
      <c r="C1727" s="23">
        <v>-2540</v>
      </c>
      <c r="D1727" s="24" t="s">
        <v>52</v>
      </c>
      <c r="E1727" s="24" t="s">
        <v>53</v>
      </c>
      <c r="F1727" s="63" t="s">
        <v>0</v>
      </c>
    </row>
    <row r="1728" spans="1:6" x14ac:dyDescent="0.25">
      <c r="A1728" s="62">
        <v>44972</v>
      </c>
      <c r="B1728" s="62" t="s">
        <v>1567</v>
      </c>
      <c r="C1728" s="23">
        <v>-4425</v>
      </c>
      <c r="D1728" s="24" t="s">
        <v>49</v>
      </c>
      <c r="E1728" s="24" t="s">
        <v>56</v>
      </c>
      <c r="F1728" s="63" t="s">
        <v>0</v>
      </c>
    </row>
    <row r="1729" spans="1:6" x14ac:dyDescent="0.25">
      <c r="A1729" s="62">
        <v>44972</v>
      </c>
      <c r="B1729" s="62" t="s">
        <v>1568</v>
      </c>
      <c r="C1729" s="23">
        <v>-5255</v>
      </c>
      <c r="D1729" s="24" t="s">
        <v>49</v>
      </c>
      <c r="E1729" s="24" t="s">
        <v>56</v>
      </c>
      <c r="F1729" s="63" t="s">
        <v>0</v>
      </c>
    </row>
    <row r="1730" spans="1:6" x14ac:dyDescent="0.25">
      <c r="A1730" s="62">
        <v>44972</v>
      </c>
      <c r="B1730" s="62" t="s">
        <v>1569</v>
      </c>
      <c r="C1730" s="23">
        <v>-3960</v>
      </c>
      <c r="D1730" s="24" t="s">
        <v>52</v>
      </c>
      <c r="E1730" s="24" t="s">
        <v>52</v>
      </c>
      <c r="F1730" s="63" t="s">
        <v>0</v>
      </c>
    </row>
    <row r="1731" spans="1:6" x14ac:dyDescent="0.25">
      <c r="A1731" s="62">
        <v>44972</v>
      </c>
      <c r="B1731" s="62" t="s">
        <v>1570</v>
      </c>
      <c r="C1731" s="23">
        <v>-39562</v>
      </c>
      <c r="D1731" s="24" t="s">
        <v>72</v>
      </c>
      <c r="E1731" s="24" t="s">
        <v>109</v>
      </c>
      <c r="F1731" s="63" t="s">
        <v>0</v>
      </c>
    </row>
    <row r="1732" spans="1:6" x14ac:dyDescent="0.25">
      <c r="A1732" s="62">
        <v>44971</v>
      </c>
      <c r="B1732" s="62" t="s">
        <v>1169</v>
      </c>
      <c r="C1732" s="23">
        <v>-15516</v>
      </c>
      <c r="D1732" s="24" t="s">
        <v>49</v>
      </c>
      <c r="E1732" s="24" t="s">
        <v>67</v>
      </c>
      <c r="F1732" s="63" t="s">
        <v>0</v>
      </c>
    </row>
    <row r="1733" spans="1:6" x14ac:dyDescent="0.25">
      <c r="A1733" s="62">
        <v>44970</v>
      </c>
      <c r="B1733" s="62" t="s">
        <v>1571</v>
      </c>
      <c r="C1733" s="23">
        <v>-15480</v>
      </c>
      <c r="D1733" s="24" t="s">
        <v>49</v>
      </c>
      <c r="E1733" s="24" t="s">
        <v>213</v>
      </c>
      <c r="F1733" s="63" t="s">
        <v>0</v>
      </c>
    </row>
    <row r="1734" spans="1:6" x14ac:dyDescent="0.25">
      <c r="A1734" s="62">
        <v>44970</v>
      </c>
      <c r="B1734" s="62" t="s">
        <v>1572</v>
      </c>
      <c r="C1734" s="23">
        <v>-1990</v>
      </c>
      <c r="D1734" s="24" t="s">
        <v>52</v>
      </c>
      <c r="E1734" s="24" t="s">
        <v>53</v>
      </c>
      <c r="F1734" s="63" t="s">
        <v>0</v>
      </c>
    </row>
    <row r="1735" spans="1:6" x14ac:dyDescent="0.25">
      <c r="A1735" s="62">
        <v>44970</v>
      </c>
      <c r="B1735" s="62" t="s">
        <v>1573</v>
      </c>
      <c r="C1735" s="23">
        <v>-12857</v>
      </c>
      <c r="D1735" s="24" t="s">
        <v>49</v>
      </c>
      <c r="E1735" s="24" t="s">
        <v>56</v>
      </c>
      <c r="F1735" s="63" t="s">
        <v>0</v>
      </c>
    </row>
    <row r="1736" spans="1:6" x14ac:dyDescent="0.25">
      <c r="A1736" s="62">
        <v>44970</v>
      </c>
      <c r="B1736" s="62" t="s">
        <v>1574</v>
      </c>
      <c r="C1736" s="23">
        <v>454</v>
      </c>
      <c r="D1736" s="24" t="s">
        <v>72</v>
      </c>
      <c r="E1736" s="24" t="s">
        <v>197</v>
      </c>
      <c r="F1736" s="63" t="s">
        <v>0</v>
      </c>
    </row>
    <row r="1737" spans="1:6" x14ac:dyDescent="0.25">
      <c r="A1737" s="62">
        <v>44967</v>
      </c>
      <c r="B1737" s="62" t="s">
        <v>1575</v>
      </c>
      <c r="C1737" s="23">
        <v>-213614.1</v>
      </c>
      <c r="D1737" s="24" t="s">
        <v>46</v>
      </c>
      <c r="E1737" s="24" t="s">
        <v>10</v>
      </c>
      <c r="F1737" s="63" t="s">
        <v>0</v>
      </c>
    </row>
    <row r="1738" spans="1:6" x14ac:dyDescent="0.25">
      <c r="A1738" s="62">
        <v>44967</v>
      </c>
      <c r="B1738" s="62" t="s">
        <v>713</v>
      </c>
      <c r="C1738" s="23">
        <v>962069</v>
      </c>
      <c r="D1738" s="24" t="s">
        <v>58</v>
      </c>
      <c r="E1738" s="24" t="s">
        <v>58</v>
      </c>
      <c r="F1738" s="63" t="s">
        <v>0</v>
      </c>
    </row>
    <row r="1739" spans="1:6" x14ac:dyDescent="0.25">
      <c r="A1739" s="62">
        <v>44967</v>
      </c>
      <c r="B1739" s="62" t="s">
        <v>1576</v>
      </c>
      <c r="C1739" s="23">
        <v>-48190.69</v>
      </c>
      <c r="D1739" s="24" t="s">
        <v>46</v>
      </c>
      <c r="E1739" s="24" t="s">
        <v>10</v>
      </c>
      <c r="F1739" s="63" t="s">
        <v>0</v>
      </c>
    </row>
    <row r="1740" spans="1:6" x14ac:dyDescent="0.25">
      <c r="A1740" s="62">
        <v>44967</v>
      </c>
      <c r="B1740" s="62" t="s">
        <v>1575</v>
      </c>
      <c r="C1740" s="23">
        <v>213614.1</v>
      </c>
      <c r="D1740" s="24" t="s">
        <v>46</v>
      </c>
      <c r="E1740" s="24" t="s">
        <v>10</v>
      </c>
      <c r="F1740" s="63" t="s">
        <v>10</v>
      </c>
    </row>
    <row r="1741" spans="1:6" x14ac:dyDescent="0.25">
      <c r="A1741" s="62">
        <v>44966</v>
      </c>
      <c r="B1741" s="62" t="s">
        <v>1577</v>
      </c>
      <c r="C1741" s="23">
        <v>-13946</v>
      </c>
      <c r="D1741" s="24" t="s">
        <v>49</v>
      </c>
      <c r="E1741" s="24" t="s">
        <v>56</v>
      </c>
      <c r="F1741" s="63" t="s">
        <v>0</v>
      </c>
    </row>
    <row r="1742" spans="1:6" x14ac:dyDescent="0.25">
      <c r="A1742" s="62">
        <v>44966</v>
      </c>
      <c r="B1742" s="62" t="s">
        <v>1578</v>
      </c>
      <c r="C1742" s="23">
        <v>-720</v>
      </c>
      <c r="D1742" s="24" t="s">
        <v>52</v>
      </c>
      <c r="E1742" s="24" t="s">
        <v>53</v>
      </c>
      <c r="F1742" s="63" t="s">
        <v>0</v>
      </c>
    </row>
    <row r="1743" spans="1:6" x14ac:dyDescent="0.25">
      <c r="A1743" s="62">
        <v>44966</v>
      </c>
      <c r="B1743" s="62" t="s">
        <v>1579</v>
      </c>
      <c r="C1743" s="23">
        <v>-6480</v>
      </c>
      <c r="D1743" s="24" t="s">
        <v>49</v>
      </c>
      <c r="E1743" s="24" t="s">
        <v>56</v>
      </c>
      <c r="F1743" s="63" t="s">
        <v>0</v>
      </c>
    </row>
    <row r="1744" spans="1:6" x14ac:dyDescent="0.25">
      <c r="A1744" s="62">
        <v>44965</v>
      </c>
      <c r="B1744" s="62" t="s">
        <v>714</v>
      </c>
      <c r="C1744" s="23">
        <v>-6580</v>
      </c>
      <c r="D1744" s="24" t="s">
        <v>52</v>
      </c>
      <c r="E1744" s="24" t="s">
        <v>53</v>
      </c>
      <c r="F1744" s="63" t="s">
        <v>4</v>
      </c>
    </row>
    <row r="1745" spans="1:6" x14ac:dyDescent="0.25">
      <c r="A1745" s="62">
        <v>44965</v>
      </c>
      <c r="B1745" s="62" t="s">
        <v>1580</v>
      </c>
      <c r="C1745" s="23">
        <v>-21790</v>
      </c>
      <c r="D1745" s="24" t="s">
        <v>90</v>
      </c>
      <c r="E1745" s="24" t="s">
        <v>59</v>
      </c>
      <c r="F1745" s="63" t="s">
        <v>0</v>
      </c>
    </row>
    <row r="1746" spans="1:6" x14ac:dyDescent="0.25">
      <c r="A1746" s="62">
        <v>44965</v>
      </c>
      <c r="B1746" s="62" t="s">
        <v>1581</v>
      </c>
      <c r="C1746" s="23">
        <v>-2000</v>
      </c>
      <c r="D1746" s="24" t="s">
        <v>52</v>
      </c>
      <c r="E1746" s="24" t="s">
        <v>53</v>
      </c>
      <c r="F1746" s="63" t="s">
        <v>0</v>
      </c>
    </row>
    <row r="1747" spans="1:6" x14ac:dyDescent="0.25">
      <c r="A1747" s="62">
        <v>44965</v>
      </c>
      <c r="B1747" s="62" t="s">
        <v>1582</v>
      </c>
      <c r="C1747" s="23">
        <v>1008329</v>
      </c>
      <c r="D1747" s="24" t="s">
        <v>167</v>
      </c>
      <c r="E1747" s="24" t="s">
        <v>183</v>
      </c>
      <c r="F1747" s="63" t="s">
        <v>3</v>
      </c>
    </row>
    <row r="1748" spans="1:6" x14ac:dyDescent="0.25">
      <c r="A1748" s="62">
        <v>44965</v>
      </c>
      <c r="B1748" s="62" t="s">
        <v>1582</v>
      </c>
      <c r="C1748" s="23">
        <v>-1008329</v>
      </c>
      <c r="D1748" s="24" t="s">
        <v>167</v>
      </c>
      <c r="E1748" s="24" t="s">
        <v>183</v>
      </c>
      <c r="F1748" s="63" t="s">
        <v>0</v>
      </c>
    </row>
    <row r="1749" spans="1:6" x14ac:dyDescent="0.25">
      <c r="A1749" s="62">
        <v>44964</v>
      </c>
      <c r="B1749" s="62" t="s">
        <v>1583</v>
      </c>
      <c r="C1749" s="23">
        <v>-18670</v>
      </c>
      <c r="D1749" s="24" t="s">
        <v>49</v>
      </c>
      <c r="E1749" s="24" t="s">
        <v>56</v>
      </c>
      <c r="F1749" s="63" t="s">
        <v>0</v>
      </c>
    </row>
    <row r="1750" spans="1:6" x14ac:dyDescent="0.25">
      <c r="A1750" s="62">
        <v>44963</v>
      </c>
      <c r="B1750" s="62" t="s">
        <v>1584</v>
      </c>
      <c r="C1750" s="23">
        <v>-468</v>
      </c>
      <c r="D1750" s="24" t="s">
        <v>49</v>
      </c>
      <c r="E1750" s="24" t="s">
        <v>56</v>
      </c>
      <c r="F1750" s="63" t="s">
        <v>0</v>
      </c>
    </row>
    <row r="1751" spans="1:6" x14ac:dyDescent="0.25">
      <c r="A1751" s="62">
        <v>44963</v>
      </c>
      <c r="B1751" s="62" t="s">
        <v>1585</v>
      </c>
      <c r="C1751" s="23">
        <v>-820</v>
      </c>
      <c r="D1751" s="24" t="s">
        <v>52</v>
      </c>
      <c r="E1751" s="24" t="s">
        <v>52</v>
      </c>
      <c r="F1751" s="63" t="s">
        <v>0</v>
      </c>
    </row>
    <row r="1752" spans="1:6" x14ac:dyDescent="0.25">
      <c r="A1752" s="62">
        <v>44963</v>
      </c>
      <c r="B1752" s="62" t="s">
        <v>1586</v>
      </c>
      <c r="C1752" s="23">
        <v>-4840</v>
      </c>
      <c r="D1752" s="24" t="s">
        <v>52</v>
      </c>
      <c r="E1752" s="24" t="s">
        <v>52</v>
      </c>
      <c r="F1752" s="63" t="s">
        <v>0</v>
      </c>
    </row>
    <row r="1753" spans="1:6" x14ac:dyDescent="0.25">
      <c r="A1753" s="62">
        <v>44963</v>
      </c>
      <c r="B1753" s="62" t="s">
        <v>1587</v>
      </c>
      <c r="C1753" s="23">
        <v>-9251</v>
      </c>
      <c r="D1753" s="24" t="s">
        <v>49</v>
      </c>
      <c r="E1753" s="24" t="s">
        <v>56</v>
      </c>
      <c r="F1753" s="63" t="s">
        <v>0</v>
      </c>
    </row>
    <row r="1754" spans="1:6" x14ac:dyDescent="0.25">
      <c r="A1754" s="62">
        <v>44963</v>
      </c>
      <c r="B1754" s="62" t="s">
        <v>1588</v>
      </c>
      <c r="C1754" s="23">
        <v>-3508</v>
      </c>
      <c r="D1754" s="24" t="s">
        <v>83</v>
      </c>
      <c r="E1754" s="24" t="s">
        <v>660</v>
      </c>
      <c r="F1754" s="63" t="s">
        <v>0</v>
      </c>
    </row>
    <row r="1755" spans="1:6" x14ac:dyDescent="0.25">
      <c r="A1755" s="62">
        <v>44963</v>
      </c>
      <c r="B1755" s="62" t="s">
        <v>1589</v>
      </c>
      <c r="C1755" s="23">
        <v>-3730</v>
      </c>
      <c r="D1755" s="24" t="s">
        <v>52</v>
      </c>
      <c r="E1755" s="24" t="s">
        <v>53</v>
      </c>
      <c r="F1755" s="63" t="s">
        <v>0</v>
      </c>
    </row>
    <row r="1756" spans="1:6" x14ac:dyDescent="0.25">
      <c r="A1756" s="62">
        <v>44963</v>
      </c>
      <c r="B1756" s="62" t="s">
        <v>1280</v>
      </c>
      <c r="C1756" s="23">
        <v>-504</v>
      </c>
      <c r="D1756" s="24" t="s">
        <v>72</v>
      </c>
      <c r="E1756" s="24" t="s">
        <v>197</v>
      </c>
      <c r="F1756" s="63" t="s">
        <v>0</v>
      </c>
    </row>
    <row r="1757" spans="1:6" x14ac:dyDescent="0.25">
      <c r="A1757" s="62">
        <v>44963</v>
      </c>
      <c r="B1757" s="62" t="s">
        <v>1280</v>
      </c>
      <c r="C1757" s="23">
        <v>-504</v>
      </c>
      <c r="D1757" s="24" t="s">
        <v>72</v>
      </c>
      <c r="E1757" s="24" t="s">
        <v>197</v>
      </c>
      <c r="F1757" s="63" t="s">
        <v>0</v>
      </c>
    </row>
    <row r="1758" spans="1:6" x14ac:dyDescent="0.25">
      <c r="A1758" s="62">
        <v>44963</v>
      </c>
      <c r="B1758" s="62" t="s">
        <v>1590</v>
      </c>
      <c r="C1758" s="23">
        <v>-700</v>
      </c>
      <c r="D1758" s="24" t="s">
        <v>72</v>
      </c>
      <c r="E1758" s="24" t="s">
        <v>197</v>
      </c>
      <c r="F1758" s="63" t="s">
        <v>0</v>
      </c>
    </row>
    <row r="1759" spans="1:6" x14ac:dyDescent="0.25">
      <c r="A1759" s="62">
        <v>44963</v>
      </c>
      <c r="B1759" s="62" t="s">
        <v>1591</v>
      </c>
      <c r="C1759" s="23">
        <v>-3780</v>
      </c>
      <c r="D1759" s="24" t="s">
        <v>52</v>
      </c>
      <c r="E1759" s="24" t="s">
        <v>52</v>
      </c>
      <c r="F1759" s="63" t="s">
        <v>0</v>
      </c>
    </row>
    <row r="1760" spans="1:6" x14ac:dyDescent="0.25">
      <c r="A1760" s="62">
        <v>44963</v>
      </c>
      <c r="B1760" s="62" t="s">
        <v>1592</v>
      </c>
      <c r="C1760" s="23">
        <v>-650</v>
      </c>
      <c r="D1760" s="24" t="s">
        <v>52</v>
      </c>
      <c r="E1760" s="24" t="s">
        <v>52</v>
      </c>
      <c r="F1760" s="63" t="s">
        <v>0</v>
      </c>
    </row>
    <row r="1761" spans="1:6" x14ac:dyDescent="0.25">
      <c r="A1761" s="62">
        <v>44963</v>
      </c>
      <c r="B1761" s="62" t="s">
        <v>1281</v>
      </c>
      <c r="C1761" s="23">
        <v>-350</v>
      </c>
      <c r="D1761" s="24" t="s">
        <v>72</v>
      </c>
      <c r="E1761" s="24" t="s">
        <v>197</v>
      </c>
      <c r="F1761" s="63" t="s">
        <v>0</v>
      </c>
    </row>
    <row r="1762" spans="1:6" x14ac:dyDescent="0.25">
      <c r="A1762" s="62">
        <v>44963</v>
      </c>
      <c r="B1762" s="62" t="s">
        <v>1593</v>
      </c>
      <c r="C1762" s="23">
        <v>-352</v>
      </c>
      <c r="D1762" s="24" t="s">
        <v>83</v>
      </c>
      <c r="E1762" s="24" t="s">
        <v>660</v>
      </c>
      <c r="F1762" s="63" t="s">
        <v>0</v>
      </c>
    </row>
    <row r="1763" spans="1:6" x14ac:dyDescent="0.25">
      <c r="A1763" s="62">
        <v>44963</v>
      </c>
      <c r="B1763" s="62" t="s">
        <v>1594</v>
      </c>
      <c r="C1763" s="23">
        <v>-9420</v>
      </c>
      <c r="D1763" s="24" t="s">
        <v>83</v>
      </c>
      <c r="E1763" s="24" t="s">
        <v>660</v>
      </c>
      <c r="F1763" s="63" t="s">
        <v>0</v>
      </c>
    </row>
    <row r="1764" spans="1:6" x14ac:dyDescent="0.25">
      <c r="A1764" s="62">
        <v>44963</v>
      </c>
      <c r="B1764" s="62" t="s">
        <v>1595</v>
      </c>
      <c r="C1764" s="23">
        <v>-1549</v>
      </c>
      <c r="D1764" s="24" t="s">
        <v>83</v>
      </c>
      <c r="E1764" s="24" t="s">
        <v>660</v>
      </c>
      <c r="F1764" s="63" t="s">
        <v>0</v>
      </c>
    </row>
    <row r="1765" spans="1:6" x14ac:dyDescent="0.25">
      <c r="A1765" s="62">
        <v>44963</v>
      </c>
      <c r="B1765" s="62" t="s">
        <v>1596</v>
      </c>
      <c r="C1765" s="23">
        <v>-10993</v>
      </c>
      <c r="D1765" s="24" t="s">
        <v>83</v>
      </c>
      <c r="E1765" s="24" t="s">
        <v>660</v>
      </c>
      <c r="F1765" s="63" t="s">
        <v>0</v>
      </c>
    </row>
    <row r="1766" spans="1:6" x14ac:dyDescent="0.25">
      <c r="A1766" s="62">
        <v>44963</v>
      </c>
      <c r="B1766" s="62" t="s">
        <v>1597</v>
      </c>
      <c r="C1766" s="23">
        <v>-1099</v>
      </c>
      <c r="D1766" s="24" t="s">
        <v>83</v>
      </c>
      <c r="E1766" s="24" t="s">
        <v>660</v>
      </c>
      <c r="F1766" s="63" t="s">
        <v>0</v>
      </c>
    </row>
    <row r="1767" spans="1:6" x14ac:dyDescent="0.25">
      <c r="A1767" s="62">
        <v>44963</v>
      </c>
      <c r="B1767" s="62" t="s">
        <v>1280</v>
      </c>
      <c r="C1767" s="23">
        <v>-504</v>
      </c>
      <c r="D1767" s="24" t="s">
        <v>72</v>
      </c>
      <c r="E1767" s="24" t="s">
        <v>197</v>
      </c>
      <c r="F1767" s="63" t="s">
        <v>0</v>
      </c>
    </row>
    <row r="1768" spans="1:6" x14ac:dyDescent="0.25">
      <c r="A1768" s="62">
        <v>44961</v>
      </c>
      <c r="B1768" s="62" t="s">
        <v>765</v>
      </c>
      <c r="C1768" s="23">
        <v>-6640</v>
      </c>
      <c r="D1768" s="24" t="s">
        <v>52</v>
      </c>
      <c r="E1768" s="24" t="s">
        <v>53</v>
      </c>
      <c r="F1768" s="63" t="s">
        <v>4</v>
      </c>
    </row>
    <row r="1769" spans="1:6" x14ac:dyDescent="0.25">
      <c r="A1769" s="62">
        <v>44961</v>
      </c>
      <c r="B1769" s="62" t="s">
        <v>1598</v>
      </c>
      <c r="C1769" s="23">
        <v>-3000</v>
      </c>
      <c r="D1769" s="24" t="s">
        <v>49</v>
      </c>
      <c r="E1769" s="24" t="s">
        <v>67</v>
      </c>
      <c r="F1769" s="63" t="s">
        <v>0</v>
      </c>
    </row>
    <row r="1770" spans="1:6" x14ac:dyDescent="0.25">
      <c r="A1770" s="62">
        <v>44960</v>
      </c>
      <c r="B1770" s="62" t="s">
        <v>172</v>
      </c>
      <c r="C1770" s="23">
        <v>133000</v>
      </c>
      <c r="D1770" s="24" t="s">
        <v>58</v>
      </c>
      <c r="E1770" s="24" t="s">
        <v>58</v>
      </c>
      <c r="F1770" s="63" t="s">
        <v>0</v>
      </c>
    </row>
    <row r="1771" spans="1:6" x14ac:dyDescent="0.25">
      <c r="A1771" s="62">
        <v>44960</v>
      </c>
      <c r="B1771" s="62" t="s">
        <v>171</v>
      </c>
      <c r="C1771" s="23">
        <v>1672</v>
      </c>
      <c r="D1771" s="24" t="s">
        <v>167</v>
      </c>
      <c r="E1771" s="24" t="s">
        <v>168</v>
      </c>
      <c r="F1771" s="63" t="s">
        <v>0</v>
      </c>
    </row>
    <row r="1772" spans="1:6" x14ac:dyDescent="0.25">
      <c r="A1772" s="62">
        <v>44960</v>
      </c>
      <c r="B1772" s="62" t="s">
        <v>1599</v>
      </c>
      <c r="C1772" s="23">
        <v>-2087</v>
      </c>
      <c r="D1772" s="24" t="s">
        <v>49</v>
      </c>
      <c r="E1772" s="24" t="s">
        <v>56</v>
      </c>
      <c r="F1772" s="63" t="s">
        <v>0</v>
      </c>
    </row>
    <row r="1773" spans="1:6" x14ac:dyDescent="0.25">
      <c r="A1773" s="62">
        <v>44960</v>
      </c>
      <c r="B1773" s="62" t="s">
        <v>1169</v>
      </c>
      <c r="C1773" s="23">
        <v>-17000</v>
      </c>
      <c r="D1773" s="24" t="s">
        <v>49</v>
      </c>
      <c r="E1773" s="24" t="s">
        <v>67</v>
      </c>
      <c r="F1773" s="63" t="s">
        <v>0</v>
      </c>
    </row>
    <row r="1774" spans="1:6" x14ac:dyDescent="0.25">
      <c r="A1774" s="62">
        <v>44960</v>
      </c>
      <c r="B1774" s="62" t="s">
        <v>1581</v>
      </c>
      <c r="C1774" s="23">
        <v>-2000</v>
      </c>
      <c r="D1774" s="24" t="s">
        <v>52</v>
      </c>
      <c r="E1774" s="24" t="s">
        <v>53</v>
      </c>
      <c r="F1774" s="63" t="s">
        <v>0</v>
      </c>
    </row>
    <row r="1775" spans="1:6" x14ac:dyDescent="0.25">
      <c r="A1775" s="62">
        <v>44959</v>
      </c>
      <c r="B1775" s="62" t="s">
        <v>172</v>
      </c>
      <c r="C1775" s="23">
        <v>396690</v>
      </c>
      <c r="D1775" s="24" t="s">
        <v>58</v>
      </c>
      <c r="E1775" s="24" t="s">
        <v>58</v>
      </c>
      <c r="F1775" s="63" t="s">
        <v>0</v>
      </c>
    </row>
    <row r="1776" spans="1:6" x14ac:dyDescent="0.25">
      <c r="A1776" s="62">
        <v>44959</v>
      </c>
      <c r="B1776" s="62" t="s">
        <v>1600</v>
      </c>
      <c r="C1776" s="23">
        <v>-7246</v>
      </c>
      <c r="D1776" s="24" t="s">
        <v>49</v>
      </c>
      <c r="E1776" s="24" t="s">
        <v>56</v>
      </c>
      <c r="F1776" s="63" t="s">
        <v>0</v>
      </c>
    </row>
    <row r="1777" spans="1:6" x14ac:dyDescent="0.25">
      <c r="A1777" s="62">
        <v>44959</v>
      </c>
      <c r="B1777" s="62" t="s">
        <v>1601</v>
      </c>
      <c r="C1777" s="23">
        <v>-13190</v>
      </c>
      <c r="D1777" s="24" t="s">
        <v>90</v>
      </c>
      <c r="E1777" s="24" t="s">
        <v>59</v>
      </c>
      <c r="F1777" s="63" t="s">
        <v>0</v>
      </c>
    </row>
    <row r="1778" spans="1:6" x14ac:dyDescent="0.25">
      <c r="A1778" s="62">
        <v>44959</v>
      </c>
      <c r="B1778" s="62" t="s">
        <v>1602</v>
      </c>
      <c r="C1778" s="23">
        <v>-7841</v>
      </c>
      <c r="D1778" s="24" t="s">
        <v>49</v>
      </c>
      <c r="E1778" s="24" t="s">
        <v>56</v>
      </c>
      <c r="F1778" s="63" t="s">
        <v>0</v>
      </c>
    </row>
    <row r="1779" spans="1:6" x14ac:dyDescent="0.25">
      <c r="A1779" s="62">
        <v>44958</v>
      </c>
      <c r="B1779" s="62" t="s">
        <v>1488</v>
      </c>
      <c r="C1779" s="23">
        <v>-1400</v>
      </c>
      <c r="D1779" s="24" t="s">
        <v>52</v>
      </c>
      <c r="E1779" s="24" t="s">
        <v>134</v>
      </c>
      <c r="F1779" s="63" t="s">
        <v>0</v>
      </c>
    </row>
    <row r="1780" spans="1:6" x14ac:dyDescent="0.25">
      <c r="A1780" s="62">
        <v>44958</v>
      </c>
      <c r="B1780" s="62" t="s">
        <v>1123</v>
      </c>
      <c r="C1780" s="23">
        <v>-2300</v>
      </c>
      <c r="D1780" s="24" t="s">
        <v>52</v>
      </c>
      <c r="E1780" s="24" t="s">
        <v>53</v>
      </c>
      <c r="F1780" s="63" t="s">
        <v>0</v>
      </c>
    </row>
    <row r="1781" spans="1:6" x14ac:dyDescent="0.25">
      <c r="A1781" s="62">
        <v>44957</v>
      </c>
      <c r="B1781" s="62" t="s">
        <v>43</v>
      </c>
      <c r="C1781" s="23">
        <v>-1941</v>
      </c>
      <c r="D1781" s="24" t="s">
        <v>167</v>
      </c>
      <c r="E1781" s="24" t="s">
        <v>168</v>
      </c>
      <c r="F1781" s="63" t="s">
        <v>0</v>
      </c>
    </row>
    <row r="1782" spans="1:6" x14ac:dyDescent="0.25">
      <c r="A1782" s="62">
        <v>44957</v>
      </c>
      <c r="B1782" s="62" t="s">
        <v>1603</v>
      </c>
      <c r="C1782" s="23">
        <v>-3680</v>
      </c>
      <c r="D1782" s="24" t="s">
        <v>52</v>
      </c>
      <c r="E1782" s="24" t="s">
        <v>134</v>
      </c>
      <c r="F1782" s="63" t="s">
        <v>0</v>
      </c>
    </row>
    <row r="1783" spans="1:6" x14ac:dyDescent="0.25">
      <c r="A1783" s="62">
        <v>44956</v>
      </c>
      <c r="B1783" s="62" t="s">
        <v>1604</v>
      </c>
      <c r="C1783" s="23">
        <v>-539</v>
      </c>
      <c r="D1783" s="24" t="s">
        <v>49</v>
      </c>
      <c r="E1783" s="24" t="s">
        <v>56</v>
      </c>
      <c r="F1783" s="63" t="s">
        <v>0</v>
      </c>
    </row>
    <row r="1784" spans="1:6" x14ac:dyDescent="0.25">
      <c r="A1784" s="62">
        <v>44956</v>
      </c>
      <c r="B1784" s="62" t="s">
        <v>1605</v>
      </c>
      <c r="C1784" s="23">
        <v>-6800</v>
      </c>
      <c r="D1784" s="24" t="s">
        <v>49</v>
      </c>
      <c r="E1784" s="24" t="s">
        <v>56</v>
      </c>
      <c r="F1784" s="63" t="s">
        <v>0</v>
      </c>
    </row>
    <row r="1785" spans="1:6" x14ac:dyDescent="0.25">
      <c r="A1785" s="62">
        <v>44956</v>
      </c>
      <c r="B1785" s="62" t="s">
        <v>1606</v>
      </c>
      <c r="C1785" s="23">
        <v>-918</v>
      </c>
      <c r="D1785" s="24" t="s">
        <v>49</v>
      </c>
      <c r="E1785" s="24" t="s">
        <v>56</v>
      </c>
      <c r="F1785" s="63" t="s">
        <v>0</v>
      </c>
    </row>
    <row r="1786" spans="1:6" x14ac:dyDescent="0.25">
      <c r="A1786" s="62">
        <v>44956</v>
      </c>
      <c r="B1786" s="62" t="s">
        <v>1607</v>
      </c>
      <c r="C1786" s="23">
        <v>-1717</v>
      </c>
      <c r="D1786" s="24" t="s">
        <v>49</v>
      </c>
      <c r="E1786" s="24" t="s">
        <v>56</v>
      </c>
      <c r="F1786" s="63" t="s">
        <v>0</v>
      </c>
    </row>
    <row r="1787" spans="1:6" x14ac:dyDescent="0.25">
      <c r="A1787" s="62">
        <v>44956</v>
      </c>
      <c r="B1787" s="62" t="s">
        <v>1608</v>
      </c>
      <c r="C1787" s="23">
        <v>-11176</v>
      </c>
      <c r="D1787" s="24" t="s">
        <v>46</v>
      </c>
      <c r="E1787" s="24" t="s">
        <v>80</v>
      </c>
      <c r="F1787" s="63" t="s">
        <v>0</v>
      </c>
    </row>
    <row r="1788" spans="1:6" x14ac:dyDescent="0.25">
      <c r="A1788" s="62">
        <v>44956</v>
      </c>
      <c r="B1788" s="62" t="s">
        <v>704</v>
      </c>
      <c r="C1788" s="23">
        <v>-6944</v>
      </c>
      <c r="D1788" s="24" t="s">
        <v>46</v>
      </c>
      <c r="E1788" s="24" t="s">
        <v>150</v>
      </c>
      <c r="F1788" s="63" t="s">
        <v>0</v>
      </c>
    </row>
    <row r="1789" spans="1:6" x14ac:dyDescent="0.25">
      <c r="A1789" s="62">
        <v>44956</v>
      </c>
      <c r="B1789" s="62" t="s">
        <v>1092</v>
      </c>
      <c r="C1789" s="23">
        <v>-8900</v>
      </c>
      <c r="D1789" s="24" t="s">
        <v>46</v>
      </c>
      <c r="E1789" s="24" t="s">
        <v>1093</v>
      </c>
      <c r="F1789" s="63" t="s">
        <v>0</v>
      </c>
    </row>
    <row r="1790" spans="1:6" x14ac:dyDescent="0.25">
      <c r="A1790" s="62">
        <v>44956</v>
      </c>
      <c r="B1790" s="62" t="s">
        <v>1609</v>
      </c>
      <c r="C1790" s="23">
        <v>-14002</v>
      </c>
      <c r="D1790" s="24" t="s">
        <v>49</v>
      </c>
      <c r="E1790" s="24" t="s">
        <v>56</v>
      </c>
      <c r="F1790" s="63" t="s">
        <v>0</v>
      </c>
    </row>
    <row r="1791" spans="1:6" x14ac:dyDescent="0.25">
      <c r="A1791" s="62">
        <v>44956</v>
      </c>
      <c r="B1791" s="62" t="s">
        <v>1610</v>
      </c>
      <c r="C1791" s="23">
        <v>-6979</v>
      </c>
      <c r="D1791" s="24" t="s">
        <v>49</v>
      </c>
      <c r="E1791" s="24" t="s">
        <v>56</v>
      </c>
      <c r="F1791" s="63" t="s">
        <v>0</v>
      </c>
    </row>
    <row r="1792" spans="1:6" x14ac:dyDescent="0.25">
      <c r="A1792" s="62">
        <v>44956</v>
      </c>
      <c r="B1792" s="62" t="s">
        <v>1611</v>
      </c>
      <c r="C1792" s="23">
        <v>-3490</v>
      </c>
      <c r="D1792" s="24" t="s">
        <v>46</v>
      </c>
      <c r="E1792" s="24" t="s">
        <v>63</v>
      </c>
      <c r="F1792" s="63" t="s">
        <v>0</v>
      </c>
    </row>
    <row r="1793" spans="1:6" x14ac:dyDescent="0.25">
      <c r="A1793" s="62">
        <v>44956</v>
      </c>
      <c r="B1793" s="62" t="s">
        <v>1612</v>
      </c>
      <c r="C1793" s="23">
        <v>-6481</v>
      </c>
      <c r="D1793" s="24" t="s">
        <v>46</v>
      </c>
      <c r="E1793" s="24" t="s">
        <v>63</v>
      </c>
      <c r="F1793" s="63" t="s">
        <v>0</v>
      </c>
    </row>
    <row r="1794" spans="1:6" x14ac:dyDescent="0.25">
      <c r="A1794" s="62">
        <v>44953</v>
      </c>
      <c r="B1794" s="62" t="s">
        <v>1613</v>
      </c>
      <c r="C1794" s="23">
        <v>-8325</v>
      </c>
      <c r="D1794" s="24" t="s">
        <v>49</v>
      </c>
      <c r="E1794" s="24" t="s">
        <v>232</v>
      </c>
      <c r="F1794" s="63" t="s">
        <v>0</v>
      </c>
    </row>
    <row r="1795" spans="1:6" x14ac:dyDescent="0.25">
      <c r="A1795" s="62">
        <v>44953</v>
      </c>
      <c r="B1795" s="62" t="s">
        <v>1488</v>
      </c>
      <c r="C1795" s="23">
        <v>-1400</v>
      </c>
      <c r="D1795" s="24" t="s">
        <v>52</v>
      </c>
      <c r="E1795" s="24" t="s">
        <v>134</v>
      </c>
      <c r="F1795" s="63" t="s">
        <v>0</v>
      </c>
    </row>
    <row r="1796" spans="1:6" x14ac:dyDescent="0.25">
      <c r="A1796" s="62">
        <v>44953</v>
      </c>
      <c r="B1796" s="62" t="s">
        <v>1614</v>
      </c>
      <c r="C1796" s="23">
        <v>-2790</v>
      </c>
      <c r="D1796" s="24" t="s">
        <v>52</v>
      </c>
      <c r="E1796" s="24" t="s">
        <v>53</v>
      </c>
      <c r="F1796" s="63" t="s">
        <v>0</v>
      </c>
    </row>
    <row r="1797" spans="1:6" x14ac:dyDescent="0.25">
      <c r="A1797" s="62">
        <v>44951</v>
      </c>
      <c r="B1797" s="62" t="s">
        <v>1615</v>
      </c>
      <c r="C1797" s="23">
        <v>-12277</v>
      </c>
      <c r="D1797" s="24" t="s">
        <v>49</v>
      </c>
      <c r="E1797" s="24" t="s">
        <v>56</v>
      </c>
      <c r="F1797" s="63" t="s">
        <v>0</v>
      </c>
    </row>
    <row r="1798" spans="1:6" x14ac:dyDescent="0.25">
      <c r="A1798" s="62">
        <v>44950</v>
      </c>
      <c r="B1798" s="62" t="s">
        <v>1616</v>
      </c>
      <c r="C1798" s="23">
        <v>-128908</v>
      </c>
      <c r="D1798" s="24" t="s">
        <v>167</v>
      </c>
      <c r="E1798" s="24" t="s">
        <v>1617</v>
      </c>
      <c r="F1798" s="63" t="s">
        <v>6</v>
      </c>
    </row>
    <row r="1799" spans="1:6" x14ac:dyDescent="0.25">
      <c r="A1799" s="62">
        <v>44950</v>
      </c>
      <c r="B1799" s="62" t="s">
        <v>1616</v>
      </c>
      <c r="C1799" s="23">
        <v>123281</v>
      </c>
      <c r="D1799" s="24" t="s">
        <v>167</v>
      </c>
      <c r="E1799" s="24" t="s">
        <v>1617</v>
      </c>
      <c r="F1799" s="63" t="s">
        <v>0</v>
      </c>
    </row>
    <row r="1800" spans="1:6" x14ac:dyDescent="0.25">
      <c r="A1800" s="62">
        <v>44950</v>
      </c>
      <c r="B1800" s="62" t="s">
        <v>1618</v>
      </c>
      <c r="C1800" s="23">
        <v>2455</v>
      </c>
      <c r="D1800" s="24" t="s">
        <v>167</v>
      </c>
      <c r="E1800" s="24" t="s">
        <v>1617</v>
      </c>
      <c r="F1800" s="63" t="s">
        <v>0</v>
      </c>
    </row>
    <row r="1801" spans="1:6" x14ac:dyDescent="0.25">
      <c r="A1801" s="62">
        <v>44950</v>
      </c>
      <c r="B1801" s="62" t="s">
        <v>1619</v>
      </c>
      <c r="C1801" s="23">
        <v>338</v>
      </c>
      <c r="D1801" s="24" t="s">
        <v>167</v>
      </c>
      <c r="E1801" s="24" t="s">
        <v>1617</v>
      </c>
      <c r="F1801" s="63" t="s">
        <v>0</v>
      </c>
    </row>
    <row r="1802" spans="1:6" x14ac:dyDescent="0.25">
      <c r="A1802" s="62">
        <v>44950</v>
      </c>
      <c r="B1802" s="62" t="s">
        <v>1620</v>
      </c>
      <c r="C1802" s="23">
        <v>2834</v>
      </c>
      <c r="D1802" s="24" t="s">
        <v>167</v>
      </c>
      <c r="E1802" s="24" t="s">
        <v>1617</v>
      </c>
      <c r="F1802" s="63" t="s">
        <v>0</v>
      </c>
    </row>
    <row r="1803" spans="1:6" x14ac:dyDescent="0.25">
      <c r="A1803" s="62">
        <v>44949</v>
      </c>
      <c r="B1803" s="62" t="s">
        <v>963</v>
      </c>
      <c r="C1803" s="23">
        <v>-6670</v>
      </c>
      <c r="D1803" s="24" t="s">
        <v>52</v>
      </c>
      <c r="E1803" s="24" t="s">
        <v>53</v>
      </c>
      <c r="F1803" s="63" t="s">
        <v>4</v>
      </c>
    </row>
    <row r="1804" spans="1:6" x14ac:dyDescent="0.25">
      <c r="A1804" s="62">
        <v>44949</v>
      </c>
      <c r="B1804" s="62" t="s">
        <v>1621</v>
      </c>
      <c r="C1804" s="23">
        <v>-7000</v>
      </c>
      <c r="D1804" s="24" t="s">
        <v>90</v>
      </c>
      <c r="E1804" s="24" t="s">
        <v>91</v>
      </c>
      <c r="F1804" s="63" t="s">
        <v>0</v>
      </c>
    </row>
    <row r="1805" spans="1:6" x14ac:dyDescent="0.25">
      <c r="A1805" s="62">
        <v>44949</v>
      </c>
      <c r="B1805" s="62" t="s">
        <v>1622</v>
      </c>
      <c r="C1805" s="23">
        <v>-18620</v>
      </c>
      <c r="D1805" s="24" t="s">
        <v>49</v>
      </c>
      <c r="E1805" s="24" t="s">
        <v>56</v>
      </c>
      <c r="F1805" s="63" t="s">
        <v>0</v>
      </c>
    </row>
    <row r="1806" spans="1:6" x14ac:dyDescent="0.25">
      <c r="A1806" s="62">
        <v>44949</v>
      </c>
      <c r="B1806" s="62" t="s">
        <v>1623</v>
      </c>
      <c r="C1806" s="23">
        <v>-6297</v>
      </c>
      <c r="D1806" s="24" t="s">
        <v>49</v>
      </c>
      <c r="E1806" s="24" t="s">
        <v>56</v>
      </c>
      <c r="F1806" s="63" t="s">
        <v>0</v>
      </c>
    </row>
    <row r="1807" spans="1:6" x14ac:dyDescent="0.25">
      <c r="A1807" s="62">
        <v>44949</v>
      </c>
      <c r="B1807" s="62" t="s">
        <v>1624</v>
      </c>
      <c r="C1807" s="23">
        <v>-18253</v>
      </c>
      <c r="D1807" s="24" t="s">
        <v>49</v>
      </c>
      <c r="E1807" s="24" t="s">
        <v>56</v>
      </c>
      <c r="F1807" s="63" t="s">
        <v>0</v>
      </c>
    </row>
    <row r="1808" spans="1:6" x14ac:dyDescent="0.25">
      <c r="A1808" s="62">
        <v>44949</v>
      </c>
      <c r="B1808" s="62" t="s">
        <v>1625</v>
      </c>
      <c r="C1808" s="23">
        <v>-2036</v>
      </c>
      <c r="D1808" s="24" t="s">
        <v>46</v>
      </c>
      <c r="E1808" s="24" t="s">
        <v>61</v>
      </c>
      <c r="F1808" s="63" t="s">
        <v>0</v>
      </c>
    </row>
    <row r="1809" spans="1:6" x14ac:dyDescent="0.25">
      <c r="A1809" s="62">
        <v>44946</v>
      </c>
      <c r="B1809" s="62" t="s">
        <v>1626</v>
      </c>
      <c r="C1809" s="23">
        <v>-4100</v>
      </c>
      <c r="D1809" s="24" t="s">
        <v>52</v>
      </c>
      <c r="E1809" s="24" t="s">
        <v>53</v>
      </c>
      <c r="F1809" s="63" t="s">
        <v>0</v>
      </c>
    </row>
    <row r="1810" spans="1:6" x14ac:dyDescent="0.25">
      <c r="A1810" s="62">
        <v>44946</v>
      </c>
      <c r="B1810" s="62" t="s">
        <v>1627</v>
      </c>
      <c r="C1810" s="23">
        <v>-1876</v>
      </c>
      <c r="D1810" s="24" t="s">
        <v>49</v>
      </c>
      <c r="E1810" s="24" t="s">
        <v>56</v>
      </c>
      <c r="F1810" s="63" t="s">
        <v>0</v>
      </c>
    </row>
    <row r="1811" spans="1:6" x14ac:dyDescent="0.25">
      <c r="A1811" s="62">
        <v>44944</v>
      </c>
      <c r="B1811" s="62" t="s">
        <v>704</v>
      </c>
      <c r="C1811" s="23">
        <v>-6944</v>
      </c>
      <c r="D1811" s="24" t="s">
        <v>46</v>
      </c>
      <c r="E1811" s="24" t="s">
        <v>150</v>
      </c>
      <c r="F1811" s="63" t="s">
        <v>0</v>
      </c>
    </row>
    <row r="1812" spans="1:6" x14ac:dyDescent="0.25">
      <c r="A1812" s="62">
        <v>44944</v>
      </c>
      <c r="B1812" s="62" t="s">
        <v>1628</v>
      </c>
      <c r="C1812" s="23">
        <v>-6387</v>
      </c>
      <c r="D1812" s="24" t="s">
        <v>49</v>
      </c>
      <c r="E1812" s="24" t="s">
        <v>56</v>
      </c>
      <c r="F1812" s="63" t="s">
        <v>0</v>
      </c>
    </row>
    <row r="1813" spans="1:6" x14ac:dyDescent="0.25">
      <c r="A1813" s="62">
        <v>44944</v>
      </c>
      <c r="B1813" s="62" t="s">
        <v>1629</v>
      </c>
      <c r="C1813" s="23">
        <v>-999</v>
      </c>
      <c r="D1813" s="24" t="s">
        <v>49</v>
      </c>
      <c r="E1813" s="24" t="s">
        <v>56</v>
      </c>
      <c r="F1813" s="63" t="s">
        <v>0</v>
      </c>
    </row>
    <row r="1814" spans="1:6" x14ac:dyDescent="0.25">
      <c r="A1814" s="62">
        <v>44943</v>
      </c>
      <c r="B1814" s="62" t="s">
        <v>1630</v>
      </c>
      <c r="C1814" s="23">
        <v>-3000</v>
      </c>
      <c r="D1814" s="24" t="s">
        <v>52</v>
      </c>
      <c r="E1814" s="24" t="s">
        <v>53</v>
      </c>
      <c r="F1814" s="63" t="s">
        <v>0</v>
      </c>
    </row>
    <row r="1815" spans="1:6" x14ac:dyDescent="0.25">
      <c r="A1815" s="62">
        <v>44943</v>
      </c>
      <c r="B1815" s="62" t="s">
        <v>1631</v>
      </c>
      <c r="C1815" s="23">
        <v>-738</v>
      </c>
      <c r="D1815" s="24" t="s">
        <v>49</v>
      </c>
      <c r="E1815" s="24" t="s">
        <v>56</v>
      </c>
      <c r="F1815" s="63" t="s">
        <v>0</v>
      </c>
    </row>
    <row r="1816" spans="1:6" x14ac:dyDescent="0.25">
      <c r="A1816" s="62">
        <v>44942</v>
      </c>
      <c r="B1816" s="62" t="s">
        <v>1632</v>
      </c>
      <c r="C1816" s="23">
        <v>-13619</v>
      </c>
      <c r="D1816" s="24" t="s">
        <v>49</v>
      </c>
      <c r="E1816" s="24" t="s">
        <v>56</v>
      </c>
      <c r="F1816" s="63" t="s">
        <v>0</v>
      </c>
    </row>
    <row r="1817" spans="1:6" x14ac:dyDescent="0.25">
      <c r="A1817" s="62">
        <v>44942</v>
      </c>
      <c r="B1817" s="62" t="s">
        <v>1633</v>
      </c>
      <c r="C1817" s="23">
        <v>-23259</v>
      </c>
      <c r="D1817" s="24" t="s">
        <v>49</v>
      </c>
      <c r="E1817" s="24" t="s">
        <v>56</v>
      </c>
      <c r="F1817" s="63" t="s">
        <v>0</v>
      </c>
    </row>
    <row r="1818" spans="1:6" x14ac:dyDescent="0.25">
      <c r="A1818" s="62">
        <v>44942</v>
      </c>
      <c r="B1818" s="62" t="s">
        <v>1634</v>
      </c>
      <c r="C1818" s="23">
        <v>-2920</v>
      </c>
      <c r="D1818" s="24" t="s">
        <v>52</v>
      </c>
      <c r="E1818" s="24" t="s">
        <v>134</v>
      </c>
      <c r="F1818" s="63" t="s">
        <v>0</v>
      </c>
    </row>
    <row r="1819" spans="1:6" x14ac:dyDescent="0.25">
      <c r="A1819" s="62">
        <v>44942</v>
      </c>
      <c r="B1819" s="62" t="s">
        <v>1635</v>
      </c>
      <c r="C1819" s="23">
        <v>-1999</v>
      </c>
      <c r="D1819" s="24" t="s">
        <v>49</v>
      </c>
      <c r="E1819" s="24" t="s">
        <v>56</v>
      </c>
      <c r="F1819" s="63" t="s">
        <v>0</v>
      </c>
    </row>
    <row r="1820" spans="1:6" x14ac:dyDescent="0.25">
      <c r="A1820" s="62">
        <v>44942</v>
      </c>
      <c r="B1820" s="62" t="s">
        <v>1636</v>
      </c>
      <c r="C1820" s="23">
        <v>-1340</v>
      </c>
      <c r="D1820" s="24" t="s">
        <v>52</v>
      </c>
      <c r="E1820" s="24" t="s">
        <v>134</v>
      </c>
      <c r="F1820" s="63" t="s">
        <v>0</v>
      </c>
    </row>
    <row r="1821" spans="1:6" x14ac:dyDescent="0.25">
      <c r="A1821" s="62">
        <v>44942</v>
      </c>
      <c r="B1821" s="62" t="s">
        <v>1637</v>
      </c>
      <c r="C1821" s="23">
        <v>-2100</v>
      </c>
      <c r="D1821" s="24" t="s">
        <v>52</v>
      </c>
      <c r="E1821" s="24" t="s">
        <v>53</v>
      </c>
      <c r="F1821" s="63" t="s">
        <v>0</v>
      </c>
    </row>
    <row r="1822" spans="1:6" x14ac:dyDescent="0.25">
      <c r="A1822" s="62">
        <v>44942</v>
      </c>
      <c r="B1822" s="62" t="s">
        <v>1638</v>
      </c>
      <c r="C1822" s="23">
        <v>-794</v>
      </c>
      <c r="D1822" s="24" t="s">
        <v>49</v>
      </c>
      <c r="E1822" s="24" t="s">
        <v>56</v>
      </c>
      <c r="F1822" s="63" t="s">
        <v>0</v>
      </c>
    </row>
    <row r="1823" spans="1:6" x14ac:dyDescent="0.25">
      <c r="A1823" s="62">
        <v>44942</v>
      </c>
      <c r="B1823" s="62" t="s">
        <v>1639</v>
      </c>
      <c r="C1823" s="23">
        <v>-42626</v>
      </c>
      <c r="D1823" s="24" t="s">
        <v>72</v>
      </c>
      <c r="E1823" s="24" t="s">
        <v>109</v>
      </c>
      <c r="F1823" s="63" t="s">
        <v>0</v>
      </c>
    </row>
    <row r="1824" spans="1:6" x14ac:dyDescent="0.25">
      <c r="A1824" s="62">
        <v>44939</v>
      </c>
      <c r="B1824" s="62" t="s">
        <v>1640</v>
      </c>
      <c r="C1824" s="23">
        <v>-1100</v>
      </c>
      <c r="D1824" s="24" t="s">
        <v>49</v>
      </c>
      <c r="E1824" s="24" t="s">
        <v>56</v>
      </c>
      <c r="F1824" s="63" t="s">
        <v>0</v>
      </c>
    </row>
    <row r="1825" spans="1:6" x14ac:dyDescent="0.25">
      <c r="A1825" s="62">
        <v>44939</v>
      </c>
      <c r="B1825" s="62" t="s">
        <v>1641</v>
      </c>
      <c r="C1825" s="23">
        <v>-2213</v>
      </c>
      <c r="D1825" s="24" t="s">
        <v>49</v>
      </c>
      <c r="E1825" s="24" t="s">
        <v>56</v>
      </c>
      <c r="F1825" s="63" t="s">
        <v>0</v>
      </c>
    </row>
    <row r="1826" spans="1:6" x14ac:dyDescent="0.25">
      <c r="A1826" s="62">
        <v>44939</v>
      </c>
      <c r="B1826" s="62" t="s">
        <v>1642</v>
      </c>
      <c r="C1826" s="23">
        <v>-2479</v>
      </c>
      <c r="D1826" s="24" t="s">
        <v>90</v>
      </c>
      <c r="E1826" s="24" t="s">
        <v>59</v>
      </c>
      <c r="F1826" s="63" t="s">
        <v>0</v>
      </c>
    </row>
    <row r="1827" spans="1:6" x14ac:dyDescent="0.25">
      <c r="A1827" s="62">
        <v>44939</v>
      </c>
      <c r="B1827" s="62" t="s">
        <v>1636</v>
      </c>
      <c r="C1827" s="23">
        <v>-1340</v>
      </c>
      <c r="D1827" s="24" t="s">
        <v>52</v>
      </c>
      <c r="E1827" s="24" t="s">
        <v>134</v>
      </c>
      <c r="F1827" s="63" t="s">
        <v>0</v>
      </c>
    </row>
    <row r="1828" spans="1:6" x14ac:dyDescent="0.25">
      <c r="A1828" s="62">
        <v>44939</v>
      </c>
      <c r="B1828" s="62" t="s">
        <v>1581</v>
      </c>
      <c r="C1828" s="23">
        <v>-2000</v>
      </c>
      <c r="D1828" s="24" t="s">
        <v>52</v>
      </c>
      <c r="E1828" s="24" t="s">
        <v>53</v>
      </c>
      <c r="F1828" s="63" t="s">
        <v>0</v>
      </c>
    </row>
    <row r="1829" spans="1:6" x14ac:dyDescent="0.25">
      <c r="A1829" s="62">
        <v>44939</v>
      </c>
      <c r="B1829" s="62" t="s">
        <v>1643</v>
      </c>
      <c r="C1829" s="23">
        <v>992166</v>
      </c>
      <c r="D1829" s="24" t="s">
        <v>167</v>
      </c>
      <c r="E1829" s="24" t="s">
        <v>183</v>
      </c>
      <c r="F1829" s="63" t="s">
        <v>3</v>
      </c>
    </row>
    <row r="1830" spans="1:6" x14ac:dyDescent="0.25">
      <c r="A1830" s="62">
        <v>44939</v>
      </c>
      <c r="B1830" s="62" t="s">
        <v>1643</v>
      </c>
      <c r="C1830" s="23">
        <v>-992166</v>
      </c>
      <c r="D1830" s="24" t="s">
        <v>167</v>
      </c>
      <c r="E1830" s="24" t="s">
        <v>183</v>
      </c>
      <c r="F1830" s="63" t="s">
        <v>0</v>
      </c>
    </row>
    <row r="1831" spans="1:6" x14ac:dyDescent="0.25">
      <c r="A1831" s="62">
        <v>44938</v>
      </c>
      <c r="B1831" s="62" t="s">
        <v>1644</v>
      </c>
      <c r="C1831" s="23">
        <v>-3525</v>
      </c>
      <c r="D1831" s="24" t="s">
        <v>49</v>
      </c>
      <c r="E1831" s="24" t="s">
        <v>56</v>
      </c>
      <c r="F1831" s="63" t="s">
        <v>0</v>
      </c>
    </row>
    <row r="1832" spans="1:6" x14ac:dyDescent="0.25">
      <c r="A1832" s="62">
        <v>44938</v>
      </c>
      <c r="B1832" s="62" t="s">
        <v>1645</v>
      </c>
      <c r="C1832" s="23">
        <v>-5210</v>
      </c>
      <c r="D1832" s="24" t="s">
        <v>52</v>
      </c>
      <c r="E1832" s="24" t="s">
        <v>53</v>
      </c>
      <c r="F1832" s="63" t="s">
        <v>0</v>
      </c>
    </row>
    <row r="1833" spans="1:6" x14ac:dyDescent="0.25">
      <c r="A1833" s="62">
        <v>44938</v>
      </c>
      <c r="B1833" s="62" t="s">
        <v>1646</v>
      </c>
      <c r="C1833" s="23">
        <v>-7160</v>
      </c>
      <c r="D1833" s="24" t="s">
        <v>49</v>
      </c>
      <c r="E1833" s="24" t="s">
        <v>67</v>
      </c>
      <c r="F1833" s="63" t="s">
        <v>0</v>
      </c>
    </row>
    <row r="1834" spans="1:6" x14ac:dyDescent="0.25">
      <c r="A1834" s="62">
        <v>44936</v>
      </c>
      <c r="B1834" s="62" t="s">
        <v>1647</v>
      </c>
      <c r="C1834" s="23">
        <v>-213180.87</v>
      </c>
      <c r="D1834" s="24" t="s">
        <v>46</v>
      </c>
      <c r="E1834" s="24" t="s">
        <v>10</v>
      </c>
      <c r="F1834" s="63" t="s">
        <v>0</v>
      </c>
    </row>
    <row r="1835" spans="1:6" x14ac:dyDescent="0.25">
      <c r="A1835" s="62">
        <v>44936</v>
      </c>
      <c r="B1835" s="62" t="s">
        <v>1648</v>
      </c>
      <c r="C1835" s="23">
        <v>-8880</v>
      </c>
      <c r="D1835" s="24" t="s">
        <v>46</v>
      </c>
      <c r="E1835" s="24" t="s">
        <v>1093</v>
      </c>
      <c r="F1835" s="63" t="s">
        <v>0</v>
      </c>
    </row>
    <row r="1836" spans="1:6" x14ac:dyDescent="0.25">
      <c r="A1836" s="62">
        <v>44936</v>
      </c>
      <c r="B1836" s="62" t="s">
        <v>1649</v>
      </c>
      <c r="C1836" s="23">
        <v>-8049</v>
      </c>
      <c r="D1836" s="24" t="s">
        <v>90</v>
      </c>
      <c r="E1836" s="24" t="s">
        <v>59</v>
      </c>
      <c r="F1836" s="63" t="s">
        <v>0</v>
      </c>
    </row>
    <row r="1837" spans="1:6" x14ac:dyDescent="0.25">
      <c r="A1837" s="62">
        <v>44936</v>
      </c>
      <c r="B1837" s="62" t="s">
        <v>1650</v>
      </c>
      <c r="C1837" s="23">
        <v>-13259</v>
      </c>
      <c r="D1837" s="24" t="s">
        <v>49</v>
      </c>
      <c r="E1837" s="24" t="s">
        <v>56</v>
      </c>
      <c r="F1837" s="63" t="s">
        <v>0</v>
      </c>
    </row>
    <row r="1838" spans="1:6" x14ac:dyDescent="0.25">
      <c r="A1838" s="62">
        <v>44936</v>
      </c>
      <c r="B1838" s="62" t="s">
        <v>1651</v>
      </c>
      <c r="C1838" s="23">
        <v>915670</v>
      </c>
      <c r="D1838" s="24" t="s">
        <v>58</v>
      </c>
      <c r="E1838" s="24" t="s">
        <v>58</v>
      </c>
      <c r="F1838" s="63" t="s">
        <v>0</v>
      </c>
    </row>
    <row r="1839" spans="1:6" x14ac:dyDescent="0.25">
      <c r="A1839" s="62">
        <v>44936</v>
      </c>
      <c r="B1839" s="62" t="s">
        <v>1652</v>
      </c>
      <c r="C1839" s="23">
        <v>-48623.92</v>
      </c>
      <c r="D1839" s="24" t="s">
        <v>46</v>
      </c>
      <c r="E1839" s="24" t="s">
        <v>10</v>
      </c>
      <c r="F1839" s="63" t="s">
        <v>0</v>
      </c>
    </row>
    <row r="1840" spans="1:6" x14ac:dyDescent="0.25">
      <c r="A1840" s="62">
        <v>44936</v>
      </c>
      <c r="B1840" s="62" t="s">
        <v>1647</v>
      </c>
      <c r="C1840" s="23">
        <v>213180.87</v>
      </c>
      <c r="D1840" s="24" t="s">
        <v>46</v>
      </c>
      <c r="E1840" s="24" t="s">
        <v>10</v>
      </c>
      <c r="F1840" s="63" t="s">
        <v>10</v>
      </c>
    </row>
    <row r="1841" spans="1:6" x14ac:dyDescent="0.25">
      <c r="A1841" s="62">
        <v>44935</v>
      </c>
      <c r="B1841" s="62" t="s">
        <v>1653</v>
      </c>
      <c r="C1841" s="23">
        <v>-8990</v>
      </c>
      <c r="D1841" s="24" t="s">
        <v>90</v>
      </c>
      <c r="E1841" s="24" t="s">
        <v>91</v>
      </c>
      <c r="F1841" s="63" t="s">
        <v>0</v>
      </c>
    </row>
    <row r="1842" spans="1:6" x14ac:dyDescent="0.25">
      <c r="A1842" s="62">
        <v>44935</v>
      </c>
      <c r="B1842" s="62" t="s">
        <v>1654</v>
      </c>
      <c r="C1842" s="23">
        <v>-1550</v>
      </c>
      <c r="D1842" s="24" t="s">
        <v>52</v>
      </c>
      <c r="E1842" s="24" t="s">
        <v>134</v>
      </c>
      <c r="F1842" s="63" t="s">
        <v>0</v>
      </c>
    </row>
    <row r="1843" spans="1:6" x14ac:dyDescent="0.25">
      <c r="A1843" s="62">
        <v>44935</v>
      </c>
      <c r="B1843" s="62" t="s">
        <v>1655</v>
      </c>
      <c r="C1843" s="23">
        <v>-1977</v>
      </c>
      <c r="D1843" s="24" t="s">
        <v>49</v>
      </c>
      <c r="E1843" s="24" t="s">
        <v>56</v>
      </c>
      <c r="F1843" s="63" t="s">
        <v>0</v>
      </c>
    </row>
    <row r="1844" spans="1:6" x14ac:dyDescent="0.25">
      <c r="A1844" s="62">
        <v>44935</v>
      </c>
      <c r="B1844" s="62" t="s">
        <v>1656</v>
      </c>
      <c r="C1844" s="23">
        <v>-2647</v>
      </c>
      <c r="D1844" s="24" t="s">
        <v>49</v>
      </c>
      <c r="E1844" s="24" t="s">
        <v>56</v>
      </c>
      <c r="F1844" s="63" t="s">
        <v>0</v>
      </c>
    </row>
    <row r="1845" spans="1:6" x14ac:dyDescent="0.25">
      <c r="A1845" s="62">
        <v>44932</v>
      </c>
      <c r="B1845" s="62" t="s">
        <v>1657</v>
      </c>
      <c r="C1845" s="23">
        <v>-560000</v>
      </c>
      <c r="D1845" s="24" t="s">
        <v>167</v>
      </c>
      <c r="E1845" s="24" t="s">
        <v>1658</v>
      </c>
      <c r="F1845" s="63" t="s">
        <v>5</v>
      </c>
    </row>
    <row r="1846" spans="1:6" x14ac:dyDescent="0.25">
      <c r="A1846" s="62">
        <v>44932</v>
      </c>
      <c r="B1846" s="62" t="s">
        <v>1657</v>
      </c>
      <c r="C1846" s="23">
        <v>560000</v>
      </c>
      <c r="D1846" s="24" t="s">
        <v>167</v>
      </c>
      <c r="E1846" s="24" t="s">
        <v>1658</v>
      </c>
      <c r="F1846" s="63" t="s">
        <v>0</v>
      </c>
    </row>
    <row r="1847" spans="1:6" x14ac:dyDescent="0.25">
      <c r="A1847" s="62">
        <v>44932</v>
      </c>
      <c r="B1847" s="62" t="s">
        <v>1659</v>
      </c>
      <c r="C1847" s="23">
        <v>-19050</v>
      </c>
      <c r="D1847" s="24" t="s">
        <v>90</v>
      </c>
      <c r="E1847" s="24" t="s">
        <v>93</v>
      </c>
      <c r="F1847" s="63" t="s">
        <v>0</v>
      </c>
    </row>
    <row r="1848" spans="1:6" x14ac:dyDescent="0.25">
      <c r="A1848" s="62">
        <v>44932</v>
      </c>
      <c r="B1848" s="62" t="s">
        <v>1660</v>
      </c>
      <c r="C1848" s="23">
        <v>-39900</v>
      </c>
      <c r="D1848" s="24" t="s">
        <v>90</v>
      </c>
      <c r="E1848" s="24" t="s">
        <v>91</v>
      </c>
      <c r="F1848" s="63" t="s">
        <v>0</v>
      </c>
    </row>
    <row r="1849" spans="1:6" x14ac:dyDescent="0.25">
      <c r="A1849" s="62">
        <v>44932</v>
      </c>
      <c r="B1849" s="62" t="s">
        <v>1661</v>
      </c>
      <c r="C1849" s="23">
        <v>-1999</v>
      </c>
      <c r="D1849" s="24" t="s">
        <v>49</v>
      </c>
      <c r="E1849" s="24" t="s">
        <v>50</v>
      </c>
      <c r="F1849" s="63" t="s">
        <v>0</v>
      </c>
    </row>
    <row r="1850" spans="1:6" x14ac:dyDescent="0.25">
      <c r="A1850" s="62">
        <v>44932</v>
      </c>
      <c r="B1850" s="62" t="s">
        <v>1662</v>
      </c>
      <c r="C1850" s="23">
        <v>-830000</v>
      </c>
      <c r="D1850" s="24" t="s">
        <v>167</v>
      </c>
      <c r="E1850" s="24" t="s">
        <v>1658</v>
      </c>
      <c r="F1850" s="63" t="s">
        <v>5</v>
      </c>
    </row>
    <row r="1851" spans="1:6" x14ac:dyDescent="0.25">
      <c r="A1851" s="62">
        <v>44932</v>
      </c>
      <c r="B1851" s="62" t="s">
        <v>1662</v>
      </c>
      <c r="C1851" s="23">
        <v>830000</v>
      </c>
      <c r="D1851" s="24" t="s">
        <v>167</v>
      </c>
      <c r="E1851" s="24" t="s">
        <v>1658</v>
      </c>
      <c r="F1851" s="63" t="s">
        <v>0</v>
      </c>
    </row>
    <row r="1852" spans="1:6" x14ac:dyDescent="0.25">
      <c r="A1852" s="62">
        <v>44930</v>
      </c>
      <c r="B1852" s="62" t="s">
        <v>171</v>
      </c>
      <c r="C1852" s="23">
        <v>1672</v>
      </c>
      <c r="D1852" s="24" t="s">
        <v>167</v>
      </c>
      <c r="E1852" s="24" t="s">
        <v>168</v>
      </c>
      <c r="F1852" s="63" t="s">
        <v>0</v>
      </c>
    </row>
    <row r="1853" spans="1:6" x14ac:dyDescent="0.25">
      <c r="A1853" s="62">
        <v>44929</v>
      </c>
      <c r="B1853" s="62" t="s">
        <v>172</v>
      </c>
      <c r="C1853" s="23">
        <v>396690</v>
      </c>
      <c r="D1853" s="24" t="s">
        <v>58</v>
      </c>
      <c r="E1853" s="24" t="s">
        <v>58</v>
      </c>
      <c r="F1853" s="63" t="s">
        <v>0</v>
      </c>
    </row>
    <row r="1854" spans="1:6" x14ac:dyDescent="0.25">
      <c r="A1854" s="62">
        <v>44929</v>
      </c>
      <c r="B1854" s="62" t="s">
        <v>1663</v>
      </c>
      <c r="C1854" s="23">
        <v>-24221</v>
      </c>
      <c r="D1854" s="24" t="s">
        <v>49</v>
      </c>
      <c r="E1854" s="24" t="s">
        <v>56</v>
      </c>
      <c r="F1854" s="63" t="s">
        <v>0</v>
      </c>
    </row>
    <row r="1855" spans="1:6" x14ac:dyDescent="0.25">
      <c r="A1855" s="62">
        <v>44928</v>
      </c>
      <c r="B1855" s="62" t="s">
        <v>1664</v>
      </c>
      <c r="C1855" s="23">
        <v>-8437</v>
      </c>
      <c r="D1855" s="24" t="s">
        <v>90</v>
      </c>
      <c r="E1855" s="24" t="s">
        <v>59</v>
      </c>
      <c r="F1855" s="63" t="s">
        <v>0</v>
      </c>
    </row>
    <row r="1856" spans="1:6" x14ac:dyDescent="0.25">
      <c r="A1856" s="62">
        <v>44928</v>
      </c>
      <c r="B1856" s="62" t="s">
        <v>1665</v>
      </c>
      <c r="C1856" s="23">
        <v>-8480</v>
      </c>
      <c r="D1856" s="24" t="s">
        <v>90</v>
      </c>
      <c r="E1856" s="24" t="s">
        <v>93</v>
      </c>
      <c r="F1856" s="63" t="s">
        <v>0</v>
      </c>
    </row>
    <row r="1857" spans="1:6" x14ac:dyDescent="0.25">
      <c r="A1857" s="62">
        <v>44928</v>
      </c>
      <c r="B1857" s="62" t="s">
        <v>309</v>
      </c>
      <c r="C1857" s="23">
        <v>-2.2000000000000002</v>
      </c>
      <c r="D1857" s="24" t="s">
        <v>167</v>
      </c>
      <c r="E1857" s="24" t="s">
        <v>32</v>
      </c>
      <c r="F1857" s="63" t="s">
        <v>0</v>
      </c>
    </row>
    <row r="1858" spans="1:6" x14ac:dyDescent="0.25">
      <c r="A1858" s="62">
        <v>44928</v>
      </c>
      <c r="B1858" s="62" t="s">
        <v>1666</v>
      </c>
      <c r="C1858" s="23">
        <v>-619</v>
      </c>
      <c r="D1858" s="24" t="s">
        <v>49</v>
      </c>
      <c r="E1858" s="24" t="s">
        <v>56</v>
      </c>
      <c r="F1858" s="63" t="s">
        <v>0</v>
      </c>
    </row>
    <row r="1859" spans="1:6" x14ac:dyDescent="0.25">
      <c r="A1859" s="62">
        <v>44928</v>
      </c>
      <c r="B1859" s="62" t="s">
        <v>1667</v>
      </c>
      <c r="C1859" s="23">
        <v>-8748</v>
      </c>
      <c r="D1859" s="24" t="s">
        <v>49</v>
      </c>
      <c r="E1859" s="24" t="s">
        <v>56</v>
      </c>
      <c r="F1859" s="63" t="s">
        <v>0</v>
      </c>
    </row>
    <row r="1860" spans="1:6" x14ac:dyDescent="0.25">
      <c r="A1860" s="62">
        <v>44928</v>
      </c>
      <c r="B1860" s="62" t="s">
        <v>1668</v>
      </c>
      <c r="C1860" s="23">
        <v>-3491</v>
      </c>
      <c r="D1860" s="24" t="s">
        <v>46</v>
      </c>
      <c r="E1860" s="24" t="s">
        <v>61</v>
      </c>
      <c r="F1860" s="63" t="s">
        <v>0</v>
      </c>
    </row>
    <row r="1861" spans="1:6" x14ac:dyDescent="0.25">
      <c r="A1861" s="62">
        <v>44928</v>
      </c>
      <c r="B1861" s="62" t="s">
        <v>32</v>
      </c>
      <c r="C1861" s="23">
        <v>14.66</v>
      </c>
      <c r="D1861" s="24" t="s">
        <v>167</v>
      </c>
      <c r="E1861" s="24" t="s">
        <v>32</v>
      </c>
      <c r="F1861" s="63" t="s">
        <v>0</v>
      </c>
    </row>
    <row r="1862" spans="1:6" x14ac:dyDescent="0.25">
      <c r="A1862" s="62">
        <v>44926</v>
      </c>
      <c r="B1862" s="62" t="s">
        <v>1669</v>
      </c>
      <c r="C1862" s="23">
        <v>42.07</v>
      </c>
      <c r="D1862" s="24" t="s">
        <v>167</v>
      </c>
      <c r="E1862" s="24" t="s">
        <v>168</v>
      </c>
      <c r="F1862" s="63" t="s">
        <v>0</v>
      </c>
    </row>
    <row r="1863" spans="1:6" x14ac:dyDescent="0.25">
      <c r="A1863" s="62">
        <v>44926</v>
      </c>
      <c r="B1863" s="62" t="s">
        <v>1670</v>
      </c>
      <c r="C1863" s="23">
        <v>-6.31</v>
      </c>
      <c r="D1863" s="24" t="s">
        <v>167</v>
      </c>
      <c r="E1863" s="24" t="s">
        <v>168</v>
      </c>
      <c r="F1863" s="63" t="s">
        <v>0</v>
      </c>
    </row>
    <row r="1864" spans="1:6" x14ac:dyDescent="0.25">
      <c r="A1864" s="62">
        <v>44926</v>
      </c>
      <c r="B1864" s="62" t="s">
        <v>43</v>
      </c>
      <c r="C1864" s="23">
        <v>-1941</v>
      </c>
      <c r="D1864" s="24" t="s">
        <v>167</v>
      </c>
      <c r="E1864" s="24" t="s">
        <v>168</v>
      </c>
      <c r="F1864" s="63" t="s">
        <v>0</v>
      </c>
    </row>
    <row r="1865" spans="1:6" x14ac:dyDescent="0.25">
      <c r="A1865" s="62">
        <v>44926</v>
      </c>
      <c r="B1865" s="62" t="s">
        <v>1671</v>
      </c>
      <c r="C1865" s="23">
        <v>-8480</v>
      </c>
      <c r="D1865" s="24" t="s">
        <v>90</v>
      </c>
      <c r="E1865" s="24" t="s">
        <v>93</v>
      </c>
      <c r="F1865" s="63" t="s">
        <v>0</v>
      </c>
    </row>
    <row r="1866" spans="1:6" x14ac:dyDescent="0.25">
      <c r="A1866" s="62">
        <v>44926</v>
      </c>
      <c r="B1866" s="62" t="s">
        <v>1672</v>
      </c>
      <c r="C1866" s="23">
        <v>-619</v>
      </c>
      <c r="D1866" s="24" t="s">
        <v>49</v>
      </c>
      <c r="E1866" s="24" t="s">
        <v>56</v>
      </c>
      <c r="F1866" s="63" t="s">
        <v>0</v>
      </c>
    </row>
    <row r="1867" spans="1:6" x14ac:dyDescent="0.25">
      <c r="A1867" s="62">
        <v>44924</v>
      </c>
      <c r="B1867" s="62" t="s">
        <v>1673</v>
      </c>
      <c r="C1867" s="23">
        <v>-8437</v>
      </c>
      <c r="D1867" s="24" t="s">
        <v>90</v>
      </c>
      <c r="E1867" s="24" t="s">
        <v>59</v>
      </c>
      <c r="F1867" s="63" t="s">
        <v>0</v>
      </c>
    </row>
    <row r="1868" spans="1:6" x14ac:dyDescent="0.25">
      <c r="A1868" s="62">
        <v>44924</v>
      </c>
      <c r="B1868" s="62" t="s">
        <v>1674</v>
      </c>
      <c r="C1868" s="23">
        <v>-16604</v>
      </c>
      <c r="D1868" s="24" t="s">
        <v>90</v>
      </c>
      <c r="E1868" s="24" t="s">
        <v>59</v>
      </c>
      <c r="F1868" s="63" t="s">
        <v>0</v>
      </c>
    </row>
    <row r="1869" spans="1:6" x14ac:dyDescent="0.25">
      <c r="A1869" s="62">
        <v>44924</v>
      </c>
      <c r="B1869" s="62" t="s">
        <v>1675</v>
      </c>
      <c r="C1869" s="23">
        <v>-8748</v>
      </c>
      <c r="D1869" s="24" t="s">
        <v>49</v>
      </c>
      <c r="E1869" s="24" t="s">
        <v>56</v>
      </c>
      <c r="F1869" s="63" t="s">
        <v>0</v>
      </c>
    </row>
    <row r="1870" spans="1:6" x14ac:dyDescent="0.25">
      <c r="A1870" s="62">
        <v>44924</v>
      </c>
      <c r="B1870" s="62" t="s">
        <v>1676</v>
      </c>
      <c r="C1870" s="23">
        <v>-3491</v>
      </c>
      <c r="D1870" s="24" t="s">
        <v>46</v>
      </c>
      <c r="E1870" s="24" t="s">
        <v>61</v>
      </c>
      <c r="F1870" s="63" t="s">
        <v>0</v>
      </c>
    </row>
    <row r="1871" spans="1:6" x14ac:dyDescent="0.25">
      <c r="A1871" s="62">
        <v>44924</v>
      </c>
      <c r="B1871" s="62" t="s">
        <v>1677</v>
      </c>
      <c r="C1871" s="23">
        <v>-1340</v>
      </c>
      <c r="D1871" s="24" t="s">
        <v>49</v>
      </c>
      <c r="E1871" s="24" t="s">
        <v>56</v>
      </c>
      <c r="F1871" s="63" t="s">
        <v>0</v>
      </c>
    </row>
    <row r="1872" spans="1:6" x14ac:dyDescent="0.25">
      <c r="A1872" s="62">
        <v>44923</v>
      </c>
      <c r="B1872" s="62" t="s">
        <v>1678</v>
      </c>
      <c r="C1872" s="23">
        <v>-5325</v>
      </c>
      <c r="D1872" s="24" t="s">
        <v>49</v>
      </c>
      <c r="E1872" s="24" t="s">
        <v>56</v>
      </c>
      <c r="F1872" s="63" t="s">
        <v>0</v>
      </c>
    </row>
    <row r="1873" spans="1:6" x14ac:dyDescent="0.25">
      <c r="A1873" s="62">
        <v>44923</v>
      </c>
      <c r="B1873" s="62" t="s">
        <v>1679</v>
      </c>
      <c r="C1873" s="23">
        <v>-4727</v>
      </c>
      <c r="D1873" s="24" t="s">
        <v>49</v>
      </c>
      <c r="E1873" s="24" t="s">
        <v>56</v>
      </c>
      <c r="F1873" s="63" t="s">
        <v>0</v>
      </c>
    </row>
    <row r="1874" spans="1:6" x14ac:dyDescent="0.25">
      <c r="A1874" s="62">
        <v>44923</v>
      </c>
      <c r="B1874" s="62" t="s">
        <v>1680</v>
      </c>
      <c r="C1874" s="23">
        <v>-3490</v>
      </c>
      <c r="D1874" s="24" t="s">
        <v>46</v>
      </c>
      <c r="E1874" s="24" t="s">
        <v>63</v>
      </c>
      <c r="F1874" s="63" t="s">
        <v>0</v>
      </c>
    </row>
    <row r="1875" spans="1:6" x14ac:dyDescent="0.25">
      <c r="A1875" s="62">
        <v>44923</v>
      </c>
      <c r="B1875" s="62" t="s">
        <v>1681</v>
      </c>
      <c r="C1875" s="23">
        <v>-10000</v>
      </c>
      <c r="D1875" s="24" t="s">
        <v>49</v>
      </c>
      <c r="E1875" s="24" t="s">
        <v>56</v>
      </c>
      <c r="F1875" s="63" t="s">
        <v>0</v>
      </c>
    </row>
    <row r="1876" spans="1:6" x14ac:dyDescent="0.25">
      <c r="A1876" s="62">
        <v>44922</v>
      </c>
      <c r="B1876" s="62" t="s">
        <v>1682</v>
      </c>
      <c r="C1876" s="23">
        <v>-4366</v>
      </c>
      <c r="D1876" s="24" t="s">
        <v>49</v>
      </c>
      <c r="E1876" s="24" t="s">
        <v>56</v>
      </c>
      <c r="F1876" s="63" t="s">
        <v>0</v>
      </c>
    </row>
    <row r="1877" spans="1:6" x14ac:dyDescent="0.25">
      <c r="A1877" s="62">
        <v>44922</v>
      </c>
      <c r="B1877" s="62" t="s">
        <v>1683</v>
      </c>
      <c r="C1877" s="23">
        <v>-1099</v>
      </c>
      <c r="D1877" s="24" t="s">
        <v>49</v>
      </c>
      <c r="E1877" s="24" t="s">
        <v>56</v>
      </c>
      <c r="F1877" s="63" t="s">
        <v>0</v>
      </c>
    </row>
    <row r="1878" spans="1:6" x14ac:dyDescent="0.25">
      <c r="A1878" s="62">
        <v>44922</v>
      </c>
      <c r="B1878" s="62" t="s">
        <v>1684</v>
      </c>
      <c r="C1878" s="23">
        <v>-4095</v>
      </c>
      <c r="D1878" s="24" t="s">
        <v>49</v>
      </c>
      <c r="E1878" s="24" t="s">
        <v>56</v>
      </c>
      <c r="F1878" s="63" t="s">
        <v>0</v>
      </c>
    </row>
    <row r="1879" spans="1:6" x14ac:dyDescent="0.25">
      <c r="A1879" s="62">
        <v>44922</v>
      </c>
      <c r="B1879" s="62" t="s">
        <v>1685</v>
      </c>
      <c r="C1879" s="23">
        <v>-67598</v>
      </c>
      <c r="D1879" s="24" t="s">
        <v>46</v>
      </c>
      <c r="E1879" s="24" t="s">
        <v>61</v>
      </c>
      <c r="F1879" s="63" t="s">
        <v>0</v>
      </c>
    </row>
    <row r="1880" spans="1:6" x14ac:dyDescent="0.25">
      <c r="A1880" s="62">
        <v>44918</v>
      </c>
      <c r="B1880" s="62" t="s">
        <v>1686</v>
      </c>
      <c r="C1880" s="23">
        <v>-8913</v>
      </c>
      <c r="D1880" s="24" t="s">
        <v>49</v>
      </c>
      <c r="E1880" s="24" t="s">
        <v>56</v>
      </c>
      <c r="F1880" s="63" t="s">
        <v>0</v>
      </c>
    </row>
    <row r="1881" spans="1:6" x14ac:dyDescent="0.25">
      <c r="A1881" s="62">
        <v>44918</v>
      </c>
      <c r="B1881" s="62" t="s">
        <v>1687</v>
      </c>
      <c r="C1881" s="23">
        <v>-15061</v>
      </c>
      <c r="D1881" s="24" t="s">
        <v>49</v>
      </c>
      <c r="E1881" s="24" t="s">
        <v>56</v>
      </c>
      <c r="F1881" s="63" t="s">
        <v>0</v>
      </c>
    </row>
    <row r="1882" spans="1:6" x14ac:dyDescent="0.25">
      <c r="A1882" s="62">
        <v>44918</v>
      </c>
      <c r="B1882" s="62" t="s">
        <v>1688</v>
      </c>
      <c r="C1882" s="23">
        <v>-329</v>
      </c>
      <c r="D1882" s="24" t="s">
        <v>49</v>
      </c>
      <c r="E1882" s="24" t="s">
        <v>56</v>
      </c>
      <c r="F1882" s="63" t="s">
        <v>0</v>
      </c>
    </row>
    <row r="1883" spans="1:6" x14ac:dyDescent="0.25">
      <c r="A1883" s="62">
        <v>44917</v>
      </c>
      <c r="B1883" s="62" t="s">
        <v>1689</v>
      </c>
      <c r="C1883" s="23">
        <v>-14806</v>
      </c>
      <c r="D1883" s="24" t="s">
        <v>49</v>
      </c>
      <c r="E1883" s="24" t="s">
        <v>50</v>
      </c>
      <c r="F1883" s="63" t="s">
        <v>0</v>
      </c>
    </row>
    <row r="1884" spans="1:6" x14ac:dyDescent="0.25">
      <c r="A1884" s="62">
        <v>44916</v>
      </c>
      <c r="B1884" s="62" t="s">
        <v>139</v>
      </c>
      <c r="C1884" s="23">
        <v>7670</v>
      </c>
      <c r="D1884" s="24" t="s">
        <v>58</v>
      </c>
      <c r="E1884" s="24" t="s">
        <v>58</v>
      </c>
      <c r="F1884" s="63" t="s">
        <v>4</v>
      </c>
    </row>
    <row r="1885" spans="1:6" x14ac:dyDescent="0.25">
      <c r="A1885" s="62">
        <v>44916</v>
      </c>
      <c r="B1885" s="62" t="s">
        <v>139</v>
      </c>
      <c r="C1885" s="23">
        <v>24937</v>
      </c>
      <c r="D1885" s="24" t="s">
        <v>58</v>
      </c>
      <c r="E1885" s="24" t="s">
        <v>58</v>
      </c>
      <c r="F1885" s="63" t="s">
        <v>4</v>
      </c>
    </row>
    <row r="1886" spans="1:6" x14ac:dyDescent="0.25">
      <c r="A1886" s="62">
        <v>44916</v>
      </c>
      <c r="B1886" s="62" t="s">
        <v>1690</v>
      </c>
      <c r="C1886" s="23">
        <v>-699</v>
      </c>
      <c r="D1886" s="24" t="s">
        <v>49</v>
      </c>
      <c r="E1886" s="24" t="s">
        <v>56</v>
      </c>
      <c r="F1886" s="63" t="s">
        <v>0</v>
      </c>
    </row>
    <row r="1887" spans="1:6" x14ac:dyDescent="0.25">
      <c r="A1887" s="62">
        <v>44916</v>
      </c>
      <c r="B1887" s="62" t="s">
        <v>1691</v>
      </c>
      <c r="C1887" s="23">
        <v>-71876</v>
      </c>
      <c r="D1887" s="24" t="s">
        <v>72</v>
      </c>
      <c r="E1887" s="24" t="s">
        <v>445</v>
      </c>
      <c r="F1887" s="63" t="s">
        <v>0</v>
      </c>
    </row>
    <row r="1888" spans="1:6" x14ac:dyDescent="0.25">
      <c r="A1888" s="62">
        <v>44915</v>
      </c>
      <c r="B1888" s="62" t="s">
        <v>1169</v>
      </c>
      <c r="C1888" s="23">
        <v>-20000</v>
      </c>
      <c r="D1888" s="24" t="s">
        <v>49</v>
      </c>
      <c r="E1888" s="24" t="s">
        <v>56</v>
      </c>
      <c r="F1888" s="63" t="s">
        <v>0</v>
      </c>
    </row>
    <row r="1889" spans="1:6" x14ac:dyDescent="0.25">
      <c r="A1889" s="62">
        <v>44915</v>
      </c>
      <c r="B1889" s="62" t="s">
        <v>1095</v>
      </c>
      <c r="C1889" s="23">
        <v>-5588</v>
      </c>
      <c r="D1889" s="24" t="s">
        <v>46</v>
      </c>
      <c r="E1889" s="24" t="s">
        <v>80</v>
      </c>
      <c r="F1889" s="63" t="s">
        <v>0</v>
      </c>
    </row>
    <row r="1890" spans="1:6" x14ac:dyDescent="0.25">
      <c r="A1890" s="62">
        <v>44915</v>
      </c>
      <c r="B1890" s="62" t="s">
        <v>1692</v>
      </c>
      <c r="C1890" s="23">
        <v>-4790</v>
      </c>
      <c r="D1890" s="24" t="s">
        <v>90</v>
      </c>
      <c r="E1890" s="24" t="s">
        <v>59</v>
      </c>
      <c r="F1890" s="63" t="s">
        <v>0</v>
      </c>
    </row>
    <row r="1891" spans="1:6" x14ac:dyDescent="0.25">
      <c r="A1891" s="62">
        <v>44915</v>
      </c>
      <c r="B1891" s="62" t="s">
        <v>1693</v>
      </c>
      <c r="C1891" s="23">
        <v>-1548</v>
      </c>
      <c r="D1891" s="24" t="s">
        <v>49</v>
      </c>
      <c r="E1891" s="24" t="s">
        <v>56</v>
      </c>
      <c r="F1891" s="63" t="s">
        <v>0</v>
      </c>
    </row>
    <row r="1892" spans="1:6" x14ac:dyDescent="0.25">
      <c r="A1892" s="62">
        <v>44915</v>
      </c>
      <c r="B1892" s="62" t="s">
        <v>1694</v>
      </c>
      <c r="C1892" s="23">
        <v>-699</v>
      </c>
      <c r="D1892" s="24" t="s">
        <v>49</v>
      </c>
      <c r="E1892" s="24" t="s">
        <v>56</v>
      </c>
      <c r="F1892" s="63" t="s">
        <v>0</v>
      </c>
    </row>
    <row r="1893" spans="1:6" x14ac:dyDescent="0.25">
      <c r="A1893" s="62">
        <v>44915</v>
      </c>
      <c r="B1893" s="62" t="s">
        <v>1695</v>
      </c>
      <c r="C1893" s="23">
        <v>-10992</v>
      </c>
      <c r="D1893" s="24" t="s">
        <v>49</v>
      </c>
      <c r="E1893" s="24" t="s">
        <v>56</v>
      </c>
      <c r="F1893" s="63" t="s">
        <v>0</v>
      </c>
    </row>
    <row r="1894" spans="1:6" x14ac:dyDescent="0.25">
      <c r="A1894" s="62">
        <v>44915</v>
      </c>
      <c r="B1894" s="62" t="s">
        <v>1696</v>
      </c>
      <c r="C1894" s="23">
        <v>-4326</v>
      </c>
      <c r="D1894" s="24" t="s">
        <v>49</v>
      </c>
      <c r="E1894" s="24" t="s">
        <v>56</v>
      </c>
      <c r="F1894" s="63" t="s">
        <v>0</v>
      </c>
    </row>
    <row r="1895" spans="1:6" x14ac:dyDescent="0.25">
      <c r="A1895" s="62">
        <v>44915</v>
      </c>
      <c r="B1895" s="62" t="s">
        <v>1697</v>
      </c>
      <c r="C1895" s="23">
        <v>-9198</v>
      </c>
      <c r="D1895" s="24" t="s">
        <v>46</v>
      </c>
      <c r="E1895" s="24" t="s">
        <v>61</v>
      </c>
      <c r="F1895" s="63" t="s">
        <v>0</v>
      </c>
    </row>
    <row r="1896" spans="1:6" x14ac:dyDescent="0.25">
      <c r="A1896" s="62">
        <v>44915</v>
      </c>
      <c r="B1896" s="62" t="s">
        <v>1698</v>
      </c>
      <c r="C1896" s="23">
        <v>-5091</v>
      </c>
      <c r="D1896" s="24" t="s">
        <v>90</v>
      </c>
      <c r="E1896" s="24" t="s">
        <v>59</v>
      </c>
      <c r="F1896" s="63" t="s">
        <v>0</v>
      </c>
    </row>
    <row r="1897" spans="1:6" x14ac:dyDescent="0.25">
      <c r="A1897" s="62">
        <v>44915</v>
      </c>
      <c r="B1897" s="62" t="s">
        <v>1429</v>
      </c>
      <c r="C1897" s="23">
        <v>-41</v>
      </c>
      <c r="D1897" s="24" t="s">
        <v>167</v>
      </c>
      <c r="E1897" s="24" t="s">
        <v>168</v>
      </c>
      <c r="F1897" s="63" t="s">
        <v>0</v>
      </c>
    </row>
    <row r="1898" spans="1:6" x14ac:dyDescent="0.25">
      <c r="A1898" s="62">
        <v>44914</v>
      </c>
      <c r="B1898" s="62" t="s">
        <v>765</v>
      </c>
      <c r="C1898" s="23">
        <v>-5830</v>
      </c>
      <c r="D1898" s="24" t="s">
        <v>52</v>
      </c>
      <c r="E1898" s="24" t="s">
        <v>53</v>
      </c>
      <c r="F1898" s="63" t="s">
        <v>4</v>
      </c>
    </row>
    <row r="1899" spans="1:6" x14ac:dyDescent="0.25">
      <c r="A1899" s="62">
        <v>44914</v>
      </c>
      <c r="B1899" s="62" t="s">
        <v>1699</v>
      </c>
      <c r="C1899" s="23">
        <v>-10110</v>
      </c>
      <c r="D1899" s="24" t="s">
        <v>90</v>
      </c>
      <c r="E1899" s="24" t="s">
        <v>111</v>
      </c>
      <c r="F1899" s="63" t="s">
        <v>0</v>
      </c>
    </row>
    <row r="1900" spans="1:6" x14ac:dyDescent="0.25">
      <c r="A1900" s="62">
        <v>44914</v>
      </c>
      <c r="B1900" s="62" t="s">
        <v>1700</v>
      </c>
      <c r="C1900" s="23">
        <v>-2845</v>
      </c>
      <c r="D1900" s="24" t="s">
        <v>90</v>
      </c>
      <c r="E1900" s="24" t="s">
        <v>59</v>
      </c>
      <c r="F1900" s="63" t="s">
        <v>0</v>
      </c>
    </row>
    <row r="1901" spans="1:6" x14ac:dyDescent="0.25">
      <c r="A1901" s="62">
        <v>44914</v>
      </c>
      <c r="B1901" s="62" t="s">
        <v>1701</v>
      </c>
      <c r="C1901" s="23">
        <v>-1270</v>
      </c>
      <c r="D1901" s="24" t="s">
        <v>49</v>
      </c>
      <c r="E1901" s="24" t="s">
        <v>56</v>
      </c>
      <c r="F1901" s="63" t="s">
        <v>0</v>
      </c>
    </row>
    <row r="1902" spans="1:6" x14ac:dyDescent="0.25">
      <c r="A1902" s="62">
        <v>44914</v>
      </c>
      <c r="B1902" s="62" t="s">
        <v>1702</v>
      </c>
      <c r="C1902" s="23">
        <v>-5237</v>
      </c>
      <c r="D1902" s="24" t="s">
        <v>90</v>
      </c>
      <c r="E1902" s="24" t="s">
        <v>59</v>
      </c>
      <c r="F1902" s="63" t="s">
        <v>0</v>
      </c>
    </row>
    <row r="1903" spans="1:6" x14ac:dyDescent="0.25">
      <c r="A1903" s="62">
        <v>44914</v>
      </c>
      <c r="B1903" s="62" t="s">
        <v>1703</v>
      </c>
      <c r="C1903" s="23">
        <v>-7080</v>
      </c>
      <c r="D1903" s="24" t="s">
        <v>46</v>
      </c>
      <c r="E1903" s="24" t="s">
        <v>63</v>
      </c>
      <c r="F1903" s="63" t="s">
        <v>0</v>
      </c>
    </row>
    <row r="1904" spans="1:6" x14ac:dyDescent="0.25">
      <c r="A1904" s="62">
        <v>44911</v>
      </c>
      <c r="B1904" s="62" t="s">
        <v>1704</v>
      </c>
      <c r="C1904" s="23">
        <v>-3035</v>
      </c>
      <c r="D1904" s="24" t="s">
        <v>90</v>
      </c>
      <c r="E1904" s="24" t="s">
        <v>59</v>
      </c>
      <c r="F1904" s="63" t="s">
        <v>0</v>
      </c>
    </row>
    <row r="1905" spans="1:6" x14ac:dyDescent="0.25">
      <c r="A1905" s="62">
        <v>44911</v>
      </c>
      <c r="B1905" s="62" t="s">
        <v>1705</v>
      </c>
      <c r="C1905" s="23">
        <v>-22000</v>
      </c>
      <c r="D1905" s="24" t="s">
        <v>90</v>
      </c>
      <c r="E1905" s="24" t="s">
        <v>111</v>
      </c>
      <c r="F1905" s="63" t="s">
        <v>0</v>
      </c>
    </row>
    <row r="1906" spans="1:6" x14ac:dyDescent="0.25">
      <c r="A1906" s="62">
        <v>44911</v>
      </c>
      <c r="B1906" s="62" t="s">
        <v>1706</v>
      </c>
      <c r="C1906" s="23">
        <v>-1000</v>
      </c>
      <c r="D1906" s="24" t="s">
        <v>72</v>
      </c>
      <c r="E1906" s="24" t="s">
        <v>73</v>
      </c>
      <c r="F1906" s="63" t="s">
        <v>0</v>
      </c>
    </row>
    <row r="1907" spans="1:6" x14ac:dyDescent="0.25">
      <c r="A1907" s="62">
        <v>44911</v>
      </c>
      <c r="B1907" s="62" t="s">
        <v>1707</v>
      </c>
      <c r="C1907" s="23">
        <v>-7205</v>
      </c>
      <c r="D1907" s="24" t="s">
        <v>83</v>
      </c>
      <c r="E1907" s="24" t="s">
        <v>660</v>
      </c>
      <c r="F1907" s="63" t="s">
        <v>0</v>
      </c>
    </row>
    <row r="1908" spans="1:6" x14ac:dyDescent="0.25">
      <c r="A1908" s="62">
        <v>44910</v>
      </c>
      <c r="B1908" s="62" t="s">
        <v>1708</v>
      </c>
      <c r="C1908" s="23">
        <v>-17090</v>
      </c>
      <c r="D1908" s="24" t="s">
        <v>49</v>
      </c>
      <c r="E1908" s="24" t="s">
        <v>56</v>
      </c>
      <c r="F1908" s="63" t="s">
        <v>0</v>
      </c>
    </row>
    <row r="1909" spans="1:6" x14ac:dyDescent="0.25">
      <c r="A1909" s="62">
        <v>44910</v>
      </c>
      <c r="B1909" s="62" t="s">
        <v>1709</v>
      </c>
      <c r="C1909" s="23">
        <v>-4943</v>
      </c>
      <c r="D1909" s="24" t="s">
        <v>49</v>
      </c>
      <c r="E1909" s="24" t="s">
        <v>56</v>
      </c>
      <c r="F1909" s="63" t="s">
        <v>0</v>
      </c>
    </row>
    <row r="1910" spans="1:6" x14ac:dyDescent="0.25">
      <c r="A1910" s="62">
        <v>44910</v>
      </c>
      <c r="B1910" s="62" t="s">
        <v>1710</v>
      </c>
      <c r="C1910" s="23">
        <v>-6543</v>
      </c>
      <c r="D1910" s="24" t="s">
        <v>49</v>
      </c>
      <c r="E1910" s="24" t="s">
        <v>56</v>
      </c>
      <c r="F1910" s="63" t="s">
        <v>0</v>
      </c>
    </row>
    <row r="1911" spans="1:6" x14ac:dyDescent="0.25">
      <c r="A1911" s="62">
        <v>44910</v>
      </c>
      <c r="B1911" s="62" t="s">
        <v>1711</v>
      </c>
      <c r="C1911" s="23">
        <v>-40000</v>
      </c>
      <c r="D1911" s="24" t="s">
        <v>72</v>
      </c>
      <c r="E1911" s="24" t="s">
        <v>109</v>
      </c>
      <c r="F1911" s="63" t="s">
        <v>0</v>
      </c>
    </row>
    <row r="1912" spans="1:6" x14ac:dyDescent="0.25">
      <c r="A1912" s="62">
        <v>44910</v>
      </c>
      <c r="B1912" s="62" t="s">
        <v>1712</v>
      </c>
      <c r="C1912" s="23">
        <v>-7497</v>
      </c>
      <c r="D1912" s="24" t="s">
        <v>49</v>
      </c>
      <c r="E1912" s="24" t="s">
        <v>50</v>
      </c>
      <c r="F1912" s="63" t="s">
        <v>0</v>
      </c>
    </row>
    <row r="1913" spans="1:6" x14ac:dyDescent="0.25">
      <c r="A1913" s="62">
        <v>44910</v>
      </c>
      <c r="B1913" s="62" t="s">
        <v>1713</v>
      </c>
      <c r="C1913" s="23">
        <v>-249</v>
      </c>
      <c r="D1913" s="24" t="s">
        <v>49</v>
      </c>
      <c r="E1913" s="24" t="s">
        <v>56</v>
      </c>
      <c r="F1913" s="63" t="s">
        <v>0</v>
      </c>
    </row>
    <row r="1914" spans="1:6" x14ac:dyDescent="0.25">
      <c r="A1914" s="62">
        <v>44910</v>
      </c>
      <c r="B1914" s="62" t="s">
        <v>1714</v>
      </c>
      <c r="C1914" s="23">
        <v>-5431</v>
      </c>
      <c r="D1914" s="24" t="s">
        <v>90</v>
      </c>
      <c r="E1914" s="24" t="s">
        <v>59</v>
      </c>
      <c r="F1914" s="63" t="s">
        <v>0</v>
      </c>
    </row>
    <row r="1915" spans="1:6" x14ac:dyDescent="0.25">
      <c r="A1915" s="62">
        <v>44909</v>
      </c>
      <c r="B1915" s="62" t="s">
        <v>746</v>
      </c>
      <c r="C1915" s="23">
        <v>-2400</v>
      </c>
      <c r="D1915" s="24" t="s">
        <v>52</v>
      </c>
      <c r="E1915" s="24" t="s">
        <v>53</v>
      </c>
      <c r="F1915" s="63" t="s">
        <v>4</v>
      </c>
    </row>
    <row r="1916" spans="1:6" x14ac:dyDescent="0.25">
      <c r="A1916" s="62">
        <v>44909</v>
      </c>
      <c r="B1916" s="62" t="s">
        <v>1715</v>
      </c>
      <c r="C1916" s="23">
        <v>-2430</v>
      </c>
      <c r="D1916" s="24" t="s">
        <v>52</v>
      </c>
      <c r="E1916" s="24" t="s">
        <v>53</v>
      </c>
      <c r="F1916" s="63" t="s">
        <v>4</v>
      </c>
    </row>
    <row r="1917" spans="1:6" x14ac:dyDescent="0.25">
      <c r="A1917" s="62">
        <v>44909</v>
      </c>
      <c r="B1917" s="62" t="s">
        <v>1716</v>
      </c>
      <c r="C1917" s="23">
        <v>-5900</v>
      </c>
      <c r="D1917" s="24" t="s">
        <v>90</v>
      </c>
      <c r="E1917" s="24" t="s">
        <v>59</v>
      </c>
      <c r="F1917" s="63" t="s">
        <v>0</v>
      </c>
    </row>
    <row r="1918" spans="1:6" x14ac:dyDescent="0.25">
      <c r="A1918" s="62">
        <v>44909</v>
      </c>
      <c r="B1918" s="62" t="s">
        <v>1717</v>
      </c>
      <c r="C1918" s="23">
        <v>-8080</v>
      </c>
      <c r="D1918" s="24" t="s">
        <v>90</v>
      </c>
      <c r="E1918" s="24" t="s">
        <v>93</v>
      </c>
      <c r="F1918" s="63" t="s">
        <v>0</v>
      </c>
    </row>
    <row r="1919" spans="1:6" x14ac:dyDescent="0.25">
      <c r="A1919" s="62">
        <v>44909</v>
      </c>
      <c r="B1919" s="62" t="s">
        <v>1718</v>
      </c>
      <c r="C1919" s="23">
        <v>-1480</v>
      </c>
      <c r="D1919" s="24" t="s">
        <v>52</v>
      </c>
      <c r="E1919" s="24" t="s">
        <v>53</v>
      </c>
      <c r="F1919" s="63" t="s">
        <v>0</v>
      </c>
    </row>
    <row r="1920" spans="1:6" x14ac:dyDescent="0.25">
      <c r="A1920" s="62">
        <v>44907</v>
      </c>
      <c r="B1920" s="62" t="s">
        <v>1719</v>
      </c>
      <c r="C1920" s="23">
        <v>-19693</v>
      </c>
      <c r="D1920" s="24" t="s">
        <v>72</v>
      </c>
      <c r="E1920" s="24" t="s">
        <v>109</v>
      </c>
      <c r="F1920" s="63" t="s">
        <v>0</v>
      </c>
    </row>
    <row r="1921" spans="1:6" x14ac:dyDescent="0.25">
      <c r="A1921" s="62">
        <v>44907</v>
      </c>
      <c r="B1921" s="62" t="s">
        <v>1720</v>
      </c>
      <c r="C1921" s="23">
        <v>-24876</v>
      </c>
      <c r="D1921" s="24" t="s">
        <v>49</v>
      </c>
      <c r="E1921" s="24" t="s">
        <v>50</v>
      </c>
      <c r="F1921" s="63" t="s">
        <v>0</v>
      </c>
    </row>
    <row r="1922" spans="1:6" x14ac:dyDescent="0.25">
      <c r="A1922" s="62">
        <v>44907</v>
      </c>
      <c r="B1922" s="62" t="s">
        <v>1721</v>
      </c>
      <c r="C1922" s="23">
        <v>-9288</v>
      </c>
      <c r="D1922" s="24" t="s">
        <v>49</v>
      </c>
      <c r="E1922" s="24" t="s">
        <v>56</v>
      </c>
      <c r="F1922" s="63" t="s">
        <v>0</v>
      </c>
    </row>
    <row r="1923" spans="1:6" x14ac:dyDescent="0.25">
      <c r="A1923" s="62">
        <v>44907</v>
      </c>
      <c r="B1923" s="62" t="s">
        <v>1722</v>
      </c>
      <c r="C1923" s="23">
        <v>-12371</v>
      </c>
      <c r="D1923" s="24" t="s">
        <v>49</v>
      </c>
      <c r="E1923" s="24" t="s">
        <v>56</v>
      </c>
      <c r="F1923" s="63" t="s">
        <v>0</v>
      </c>
    </row>
    <row r="1924" spans="1:6" x14ac:dyDescent="0.25">
      <c r="A1924" s="62">
        <v>44905</v>
      </c>
      <c r="B1924" s="62" t="s">
        <v>1723</v>
      </c>
      <c r="C1924" s="23">
        <v>-214327.87</v>
      </c>
      <c r="D1924" s="24" t="s">
        <v>46</v>
      </c>
      <c r="E1924" s="24" t="s">
        <v>10</v>
      </c>
      <c r="F1924" s="63" t="s">
        <v>0</v>
      </c>
    </row>
    <row r="1925" spans="1:6" x14ac:dyDescent="0.25">
      <c r="A1925" s="62">
        <v>44905</v>
      </c>
      <c r="B1925" s="62" t="s">
        <v>765</v>
      </c>
      <c r="C1925" s="23">
        <v>-5750</v>
      </c>
      <c r="D1925" s="24" t="s">
        <v>52</v>
      </c>
      <c r="E1925" s="24" t="s">
        <v>53</v>
      </c>
      <c r="F1925" s="63" t="s">
        <v>4</v>
      </c>
    </row>
    <row r="1926" spans="1:6" x14ac:dyDescent="0.25">
      <c r="A1926" s="62">
        <v>44905</v>
      </c>
      <c r="B1926" s="62" t="s">
        <v>1724</v>
      </c>
      <c r="C1926" s="23">
        <v>-47476.92</v>
      </c>
      <c r="D1926" s="24" t="s">
        <v>46</v>
      </c>
      <c r="E1926" s="24" t="s">
        <v>10</v>
      </c>
      <c r="F1926" s="63" t="s">
        <v>0</v>
      </c>
    </row>
    <row r="1927" spans="1:6" x14ac:dyDescent="0.25">
      <c r="A1927" s="62">
        <v>44905</v>
      </c>
      <c r="B1927" s="62" t="s">
        <v>1723</v>
      </c>
      <c r="C1927" s="23">
        <v>214327.87</v>
      </c>
      <c r="D1927" s="24" t="s">
        <v>46</v>
      </c>
      <c r="E1927" s="24" t="s">
        <v>10</v>
      </c>
      <c r="F1927" s="63" t="s">
        <v>10</v>
      </c>
    </row>
    <row r="1928" spans="1:6" x14ac:dyDescent="0.25">
      <c r="A1928" s="62">
        <v>44904</v>
      </c>
      <c r="B1928" s="62" t="s">
        <v>1637</v>
      </c>
      <c r="C1928" s="23">
        <v>-2100</v>
      </c>
      <c r="D1928" s="24" t="s">
        <v>52</v>
      </c>
      <c r="E1928" s="24" t="s">
        <v>53</v>
      </c>
      <c r="F1928" s="63" t="s">
        <v>0</v>
      </c>
    </row>
    <row r="1929" spans="1:6" x14ac:dyDescent="0.25">
      <c r="A1929" s="62">
        <v>44904</v>
      </c>
      <c r="B1929" s="62" t="s">
        <v>1725</v>
      </c>
      <c r="C1929" s="23">
        <v>-949</v>
      </c>
      <c r="D1929" s="24" t="s">
        <v>49</v>
      </c>
      <c r="E1929" s="24" t="s">
        <v>56</v>
      </c>
      <c r="F1929" s="63" t="s">
        <v>0</v>
      </c>
    </row>
    <row r="1930" spans="1:6" x14ac:dyDescent="0.25">
      <c r="A1930" s="62">
        <v>44904</v>
      </c>
      <c r="B1930" s="62" t="s">
        <v>1651</v>
      </c>
      <c r="C1930" s="23">
        <v>911829</v>
      </c>
      <c r="D1930" s="24" t="s">
        <v>58</v>
      </c>
      <c r="E1930" s="24" t="s">
        <v>58</v>
      </c>
      <c r="F1930" s="63" t="s">
        <v>0</v>
      </c>
    </row>
    <row r="1931" spans="1:6" x14ac:dyDescent="0.25">
      <c r="A1931" s="62">
        <v>44903</v>
      </c>
      <c r="B1931" s="62" t="s">
        <v>1095</v>
      </c>
      <c r="C1931" s="23">
        <v>-5588</v>
      </c>
      <c r="D1931" s="24" t="s">
        <v>46</v>
      </c>
      <c r="E1931" s="24" t="s">
        <v>80</v>
      </c>
      <c r="F1931" s="63" t="s">
        <v>0</v>
      </c>
    </row>
    <row r="1932" spans="1:6" x14ac:dyDescent="0.25">
      <c r="A1932" s="62">
        <v>44903</v>
      </c>
      <c r="B1932" s="62" t="s">
        <v>704</v>
      </c>
      <c r="C1932" s="23">
        <v>-6944</v>
      </c>
      <c r="D1932" s="24" t="s">
        <v>46</v>
      </c>
      <c r="E1932" s="24" t="s">
        <v>150</v>
      </c>
      <c r="F1932" s="63" t="s">
        <v>0</v>
      </c>
    </row>
    <row r="1933" spans="1:6" x14ac:dyDescent="0.25">
      <c r="A1933" s="62">
        <v>44903</v>
      </c>
      <c r="B1933" s="62" t="s">
        <v>1726</v>
      </c>
      <c r="C1933" s="23">
        <v>-1222</v>
      </c>
      <c r="D1933" s="24" t="s">
        <v>49</v>
      </c>
      <c r="E1933" s="24" t="s">
        <v>56</v>
      </c>
      <c r="F1933" s="63" t="s">
        <v>0</v>
      </c>
    </row>
    <row r="1934" spans="1:6" x14ac:dyDescent="0.25">
      <c r="A1934" s="62">
        <v>44903</v>
      </c>
      <c r="B1934" s="62" t="s">
        <v>1727</v>
      </c>
      <c r="C1934" s="23">
        <v>-2290</v>
      </c>
      <c r="D1934" s="24" t="s">
        <v>52</v>
      </c>
      <c r="E1934" s="24" t="s">
        <v>134</v>
      </c>
      <c r="F1934" s="63" t="s">
        <v>0</v>
      </c>
    </row>
    <row r="1935" spans="1:6" x14ac:dyDescent="0.25">
      <c r="A1935" s="62">
        <v>44903</v>
      </c>
      <c r="B1935" s="62" t="s">
        <v>1636</v>
      </c>
      <c r="C1935" s="23">
        <v>-1340</v>
      </c>
      <c r="D1935" s="24" t="s">
        <v>52</v>
      </c>
      <c r="E1935" s="24" t="s">
        <v>134</v>
      </c>
      <c r="F1935" s="63" t="s">
        <v>0</v>
      </c>
    </row>
    <row r="1936" spans="1:6" x14ac:dyDescent="0.25">
      <c r="A1936" s="62">
        <v>44903</v>
      </c>
      <c r="B1936" s="62" t="s">
        <v>1648</v>
      </c>
      <c r="C1936" s="23">
        <v>-8880</v>
      </c>
      <c r="D1936" s="24" t="s">
        <v>46</v>
      </c>
      <c r="E1936" s="24" t="s">
        <v>1093</v>
      </c>
      <c r="F1936" s="63" t="s">
        <v>0</v>
      </c>
    </row>
    <row r="1937" spans="1:6" x14ac:dyDescent="0.25">
      <c r="A1937" s="62">
        <v>44903</v>
      </c>
      <c r="B1937" s="62" t="s">
        <v>1728</v>
      </c>
      <c r="C1937" s="23">
        <v>-1799</v>
      </c>
      <c r="D1937" s="24" t="s">
        <v>49</v>
      </c>
      <c r="E1937" s="24" t="s">
        <v>56</v>
      </c>
      <c r="F1937" s="63" t="s">
        <v>0</v>
      </c>
    </row>
    <row r="1938" spans="1:6" x14ac:dyDescent="0.25">
      <c r="A1938" s="62">
        <v>44903</v>
      </c>
      <c r="B1938" s="62" t="s">
        <v>1729</v>
      </c>
      <c r="C1938" s="23">
        <v>-9000</v>
      </c>
      <c r="D1938" s="24" t="s">
        <v>49</v>
      </c>
      <c r="E1938" s="24" t="s">
        <v>56</v>
      </c>
      <c r="F1938" s="63" t="s">
        <v>0</v>
      </c>
    </row>
    <row r="1939" spans="1:6" x14ac:dyDescent="0.25">
      <c r="A1939" s="62">
        <v>44903</v>
      </c>
      <c r="B1939" s="62" t="s">
        <v>1730</v>
      </c>
      <c r="C1939" s="23">
        <v>-1767</v>
      </c>
      <c r="D1939" s="24" t="s">
        <v>49</v>
      </c>
      <c r="E1939" s="24" t="s">
        <v>56</v>
      </c>
      <c r="F1939" s="63" t="s">
        <v>0</v>
      </c>
    </row>
    <row r="1940" spans="1:6" x14ac:dyDescent="0.25">
      <c r="A1940" s="62">
        <v>44903</v>
      </c>
      <c r="B1940" s="62" t="s">
        <v>1731</v>
      </c>
      <c r="C1940" s="23">
        <v>-2797</v>
      </c>
      <c r="D1940" s="24" t="s">
        <v>49</v>
      </c>
      <c r="E1940" s="24" t="s">
        <v>56</v>
      </c>
      <c r="F1940" s="63" t="s">
        <v>0</v>
      </c>
    </row>
    <row r="1941" spans="1:6" x14ac:dyDescent="0.25">
      <c r="A1941" s="62">
        <v>44903</v>
      </c>
      <c r="B1941" s="62" t="s">
        <v>1732</v>
      </c>
      <c r="C1941" s="23">
        <v>-1720</v>
      </c>
      <c r="D1941" s="24" t="s">
        <v>49</v>
      </c>
      <c r="E1941" s="24" t="s">
        <v>56</v>
      </c>
      <c r="F1941" s="63" t="s">
        <v>0</v>
      </c>
    </row>
    <row r="1942" spans="1:6" x14ac:dyDescent="0.25">
      <c r="A1942" s="62">
        <v>44902</v>
      </c>
      <c r="B1942" s="62" t="s">
        <v>1733</v>
      </c>
      <c r="C1942" s="23">
        <v>-2790</v>
      </c>
      <c r="D1942" s="24" t="s">
        <v>52</v>
      </c>
      <c r="E1942" s="24" t="s">
        <v>53</v>
      </c>
      <c r="F1942" s="63" t="s">
        <v>4</v>
      </c>
    </row>
    <row r="1943" spans="1:6" x14ac:dyDescent="0.25">
      <c r="A1943" s="62">
        <v>44902</v>
      </c>
      <c r="B1943" s="62" t="s">
        <v>1636</v>
      </c>
      <c r="C1943" s="23">
        <v>-1340</v>
      </c>
      <c r="D1943" s="24" t="s">
        <v>52</v>
      </c>
      <c r="E1943" s="24" t="s">
        <v>134</v>
      </c>
      <c r="F1943" s="63" t="s">
        <v>0</v>
      </c>
    </row>
    <row r="1944" spans="1:6" x14ac:dyDescent="0.25">
      <c r="A1944" s="62">
        <v>44902</v>
      </c>
      <c r="B1944" s="62" t="s">
        <v>1734</v>
      </c>
      <c r="C1944" s="23">
        <v>-6481</v>
      </c>
      <c r="D1944" s="24" t="s">
        <v>46</v>
      </c>
      <c r="E1944" s="24" t="s">
        <v>63</v>
      </c>
      <c r="F1944" s="63" t="s">
        <v>0</v>
      </c>
    </row>
    <row r="1945" spans="1:6" x14ac:dyDescent="0.25">
      <c r="A1945" s="62">
        <v>44901</v>
      </c>
      <c r="B1945" s="62" t="s">
        <v>1735</v>
      </c>
      <c r="C1945" s="23">
        <v>-19000</v>
      </c>
      <c r="D1945" s="24" t="s">
        <v>49</v>
      </c>
      <c r="E1945" s="24" t="s">
        <v>50</v>
      </c>
      <c r="F1945" s="63" t="s">
        <v>0</v>
      </c>
    </row>
    <row r="1946" spans="1:6" x14ac:dyDescent="0.25">
      <c r="A1946" s="62">
        <v>44900</v>
      </c>
      <c r="B1946" s="62" t="s">
        <v>1736</v>
      </c>
      <c r="C1946" s="23">
        <v>-7240</v>
      </c>
      <c r="D1946" s="24" t="s">
        <v>90</v>
      </c>
      <c r="E1946" s="24" t="s">
        <v>93</v>
      </c>
      <c r="F1946" s="63" t="s">
        <v>0</v>
      </c>
    </row>
    <row r="1947" spans="1:6" x14ac:dyDescent="0.25">
      <c r="A1947" s="62">
        <v>44900</v>
      </c>
      <c r="B1947" s="62" t="s">
        <v>1737</v>
      </c>
      <c r="C1947" s="23">
        <v>-7151</v>
      </c>
      <c r="D1947" s="24" t="s">
        <v>49</v>
      </c>
      <c r="E1947" s="24" t="s">
        <v>56</v>
      </c>
      <c r="F1947" s="63" t="s">
        <v>0</v>
      </c>
    </row>
    <row r="1948" spans="1:6" x14ac:dyDescent="0.25">
      <c r="A1948" s="62">
        <v>44900</v>
      </c>
      <c r="B1948" s="62" t="s">
        <v>1738</v>
      </c>
      <c r="C1948" s="23">
        <v>-880</v>
      </c>
      <c r="D1948" s="24" t="s">
        <v>49</v>
      </c>
      <c r="E1948" s="24" t="s">
        <v>56</v>
      </c>
      <c r="F1948" s="63" t="s">
        <v>0</v>
      </c>
    </row>
    <row r="1949" spans="1:6" x14ac:dyDescent="0.25">
      <c r="A1949" s="62">
        <v>44898</v>
      </c>
      <c r="B1949" s="62" t="s">
        <v>765</v>
      </c>
      <c r="C1949" s="23">
        <v>-2580</v>
      </c>
      <c r="D1949" s="24" t="s">
        <v>52</v>
      </c>
      <c r="E1949" s="24" t="s">
        <v>53</v>
      </c>
      <c r="F1949" s="63" t="s">
        <v>4</v>
      </c>
    </row>
    <row r="1950" spans="1:6" x14ac:dyDescent="0.25">
      <c r="A1950" s="62">
        <v>44898</v>
      </c>
      <c r="B1950" s="62" t="s">
        <v>171</v>
      </c>
      <c r="C1950" s="23">
        <v>1672</v>
      </c>
      <c r="D1950" s="24" t="s">
        <v>167</v>
      </c>
      <c r="E1950" s="24" t="s">
        <v>168</v>
      </c>
      <c r="F1950" s="63" t="s">
        <v>0</v>
      </c>
    </row>
    <row r="1951" spans="1:6" x14ac:dyDescent="0.25">
      <c r="A1951" s="62">
        <v>44898</v>
      </c>
      <c r="B1951" s="62" t="s">
        <v>1739</v>
      </c>
      <c r="C1951" s="23">
        <v>-15000</v>
      </c>
      <c r="D1951" s="24" t="s">
        <v>90</v>
      </c>
      <c r="E1951" s="24" t="s">
        <v>111</v>
      </c>
      <c r="F1951" s="63" t="s">
        <v>0</v>
      </c>
    </row>
    <row r="1952" spans="1:6" x14ac:dyDescent="0.25">
      <c r="A1952" s="62">
        <v>44897</v>
      </c>
      <c r="B1952" s="62" t="s">
        <v>172</v>
      </c>
      <c r="C1952" s="23">
        <v>383890</v>
      </c>
      <c r="D1952" s="24" t="s">
        <v>58</v>
      </c>
      <c r="E1952" s="24" t="s">
        <v>58</v>
      </c>
      <c r="F1952" s="63" t="s">
        <v>0</v>
      </c>
    </row>
    <row r="1953" spans="1:6" x14ac:dyDescent="0.25">
      <c r="A1953" s="62">
        <v>44896</v>
      </c>
      <c r="B1953" s="62" t="s">
        <v>172</v>
      </c>
      <c r="C1953" s="23">
        <v>64631</v>
      </c>
      <c r="D1953" s="24" t="s">
        <v>58</v>
      </c>
      <c r="E1953" s="24" t="s">
        <v>58</v>
      </c>
      <c r="F1953" s="63" t="s">
        <v>0</v>
      </c>
    </row>
    <row r="1954" spans="1:6" x14ac:dyDescent="0.25">
      <c r="A1954" s="62">
        <v>44896</v>
      </c>
      <c r="B1954" s="62" t="s">
        <v>1740</v>
      </c>
      <c r="C1954" s="23">
        <v>-758</v>
      </c>
      <c r="D1954" s="24" t="s">
        <v>49</v>
      </c>
      <c r="E1954" s="24" t="s">
        <v>56</v>
      </c>
      <c r="F1954" s="63" t="s">
        <v>0</v>
      </c>
    </row>
    <row r="1955" spans="1:6" x14ac:dyDescent="0.25">
      <c r="A1955" s="62">
        <v>44896</v>
      </c>
      <c r="B1955" s="62" t="s">
        <v>1741</v>
      </c>
      <c r="C1955" s="23">
        <v>-1500</v>
      </c>
      <c r="D1955" s="24" t="s">
        <v>49</v>
      </c>
      <c r="E1955" s="24" t="s">
        <v>50</v>
      </c>
      <c r="F1955" s="63" t="s">
        <v>0</v>
      </c>
    </row>
    <row r="1956" spans="1:6" x14ac:dyDescent="0.25">
      <c r="A1956" s="62">
        <v>44895</v>
      </c>
      <c r="B1956" s="62" t="s">
        <v>43</v>
      </c>
      <c r="C1956" s="23">
        <v>-1941</v>
      </c>
      <c r="D1956" s="24" t="s">
        <v>167</v>
      </c>
      <c r="E1956" s="24" t="s">
        <v>168</v>
      </c>
      <c r="F1956" s="63" t="s">
        <v>0</v>
      </c>
    </row>
    <row r="1957" spans="1:6" x14ac:dyDescent="0.25">
      <c r="A1957" s="62">
        <v>44895</v>
      </c>
      <c r="B1957" s="62" t="s">
        <v>1742</v>
      </c>
      <c r="C1957" s="23">
        <v>-11113</v>
      </c>
      <c r="D1957" s="24" t="s">
        <v>90</v>
      </c>
      <c r="E1957" s="24" t="s">
        <v>59</v>
      </c>
      <c r="F1957" s="63" t="s">
        <v>0</v>
      </c>
    </row>
    <row r="1958" spans="1:6" x14ac:dyDescent="0.25">
      <c r="A1958" s="62">
        <v>44895</v>
      </c>
      <c r="B1958" s="62" t="s">
        <v>1743</v>
      </c>
      <c r="C1958" s="23">
        <v>-649</v>
      </c>
      <c r="D1958" s="24" t="s">
        <v>52</v>
      </c>
      <c r="E1958" s="24" t="s">
        <v>53</v>
      </c>
      <c r="F1958" s="63" t="s">
        <v>0</v>
      </c>
    </row>
    <row r="1959" spans="1:6" x14ac:dyDescent="0.25">
      <c r="A1959" s="62">
        <v>44895</v>
      </c>
      <c r="B1959" s="62" t="s">
        <v>1744</v>
      </c>
      <c r="C1959" s="23">
        <v>-12426</v>
      </c>
      <c r="D1959" s="24" t="s">
        <v>49</v>
      </c>
      <c r="E1959" s="24" t="s">
        <v>56</v>
      </c>
      <c r="F1959" s="63" t="s">
        <v>0</v>
      </c>
    </row>
    <row r="1960" spans="1:6" x14ac:dyDescent="0.25">
      <c r="A1960" s="62">
        <v>44895</v>
      </c>
      <c r="B1960" s="62" t="s">
        <v>1745</v>
      </c>
      <c r="C1960" s="23">
        <v>-224</v>
      </c>
      <c r="D1960" s="24" t="s">
        <v>72</v>
      </c>
      <c r="E1960" s="24" t="s">
        <v>197</v>
      </c>
      <c r="F1960" s="63" t="s">
        <v>0</v>
      </c>
    </row>
    <row r="1961" spans="1:6" x14ac:dyDescent="0.25">
      <c r="A1961" s="62">
        <v>44895</v>
      </c>
      <c r="B1961" s="62" t="s">
        <v>1281</v>
      </c>
      <c r="C1961" s="23">
        <v>-350</v>
      </c>
      <c r="D1961" s="24" t="s">
        <v>72</v>
      </c>
      <c r="E1961" s="24" t="s">
        <v>197</v>
      </c>
      <c r="F1961" s="63" t="s">
        <v>0</v>
      </c>
    </row>
    <row r="1962" spans="1:6" x14ac:dyDescent="0.25">
      <c r="A1962" s="62">
        <v>44895</v>
      </c>
      <c r="B1962" s="62" t="s">
        <v>1746</v>
      </c>
      <c r="C1962" s="23">
        <v>-12410</v>
      </c>
      <c r="D1962" s="24" t="s">
        <v>49</v>
      </c>
      <c r="E1962" s="24" t="s">
        <v>56</v>
      </c>
      <c r="F1962" s="63" t="s">
        <v>0</v>
      </c>
    </row>
    <row r="1963" spans="1:6" x14ac:dyDescent="0.25">
      <c r="A1963" s="62">
        <v>44894</v>
      </c>
      <c r="B1963" s="62" t="s">
        <v>1747</v>
      </c>
      <c r="C1963" s="23">
        <v>-828</v>
      </c>
      <c r="D1963" s="24" t="s">
        <v>49</v>
      </c>
      <c r="E1963" s="24" t="s">
        <v>56</v>
      </c>
      <c r="F1963" s="63" t="s">
        <v>0</v>
      </c>
    </row>
    <row r="1964" spans="1:6" x14ac:dyDescent="0.25">
      <c r="A1964" s="62">
        <v>44894</v>
      </c>
      <c r="B1964" s="62" t="s">
        <v>1748</v>
      </c>
      <c r="C1964" s="23">
        <v>-5980</v>
      </c>
      <c r="D1964" s="24" t="s">
        <v>49</v>
      </c>
      <c r="E1964" s="24" t="s">
        <v>56</v>
      </c>
      <c r="F1964" s="63" t="s">
        <v>0</v>
      </c>
    </row>
    <row r="1965" spans="1:6" x14ac:dyDescent="0.25">
      <c r="A1965" s="62">
        <v>44894</v>
      </c>
      <c r="B1965" s="62" t="s">
        <v>1749</v>
      </c>
      <c r="C1965" s="23">
        <v>-2860</v>
      </c>
      <c r="D1965" s="24" t="s">
        <v>46</v>
      </c>
      <c r="E1965" s="24" t="s">
        <v>61</v>
      </c>
      <c r="F1965" s="63" t="s">
        <v>0</v>
      </c>
    </row>
    <row r="1966" spans="1:6" x14ac:dyDescent="0.25">
      <c r="A1966" s="62">
        <v>44894</v>
      </c>
      <c r="B1966" s="62" t="s">
        <v>1750</v>
      </c>
      <c r="C1966" s="23">
        <v>-6990</v>
      </c>
      <c r="D1966" s="24" t="s">
        <v>49</v>
      </c>
      <c r="E1966" s="24" t="s">
        <v>50</v>
      </c>
      <c r="F1966" s="63" t="s">
        <v>0</v>
      </c>
    </row>
    <row r="1967" spans="1:6" x14ac:dyDescent="0.25">
      <c r="A1967" s="62">
        <v>44893</v>
      </c>
      <c r="B1967" s="62" t="s">
        <v>765</v>
      </c>
      <c r="C1967" s="23">
        <v>-2770</v>
      </c>
      <c r="D1967" s="24" t="s">
        <v>52</v>
      </c>
      <c r="E1967" s="24" t="s">
        <v>53</v>
      </c>
      <c r="F1967" s="63" t="s">
        <v>4</v>
      </c>
    </row>
    <row r="1968" spans="1:6" x14ac:dyDescent="0.25">
      <c r="A1968" s="62">
        <v>44893</v>
      </c>
      <c r="B1968" s="62" t="s">
        <v>1751</v>
      </c>
      <c r="C1968" s="23">
        <v>-9506</v>
      </c>
      <c r="D1968" s="24" t="s">
        <v>90</v>
      </c>
      <c r="E1968" s="24" t="s">
        <v>93</v>
      </c>
      <c r="F1968" s="63" t="s">
        <v>0</v>
      </c>
    </row>
    <row r="1969" spans="1:6" x14ac:dyDescent="0.25">
      <c r="A1969" s="62">
        <v>44893</v>
      </c>
      <c r="B1969" s="62" t="s">
        <v>1752</v>
      </c>
      <c r="C1969" s="23">
        <v>-2472</v>
      </c>
      <c r="D1969" s="24" t="s">
        <v>49</v>
      </c>
      <c r="E1969" s="24" t="s">
        <v>56</v>
      </c>
      <c r="F1969" s="63" t="s">
        <v>0</v>
      </c>
    </row>
    <row r="1970" spans="1:6" x14ac:dyDescent="0.25">
      <c r="A1970" s="62">
        <v>44893</v>
      </c>
      <c r="B1970" s="62" t="s">
        <v>1753</v>
      </c>
      <c r="C1970" s="23">
        <v>-3616</v>
      </c>
      <c r="D1970" s="24" t="s">
        <v>49</v>
      </c>
      <c r="E1970" s="24" t="s">
        <v>56</v>
      </c>
      <c r="F1970" s="63" t="s">
        <v>0</v>
      </c>
    </row>
    <row r="1971" spans="1:6" x14ac:dyDescent="0.25">
      <c r="A1971" s="62">
        <v>44893</v>
      </c>
      <c r="B1971" s="62" t="s">
        <v>1754</v>
      </c>
      <c r="C1971" s="23">
        <v>-850</v>
      </c>
      <c r="D1971" s="24" t="s">
        <v>46</v>
      </c>
      <c r="E1971" s="24" t="s">
        <v>61</v>
      </c>
      <c r="F1971" s="63" t="s">
        <v>0</v>
      </c>
    </row>
    <row r="1972" spans="1:6" x14ac:dyDescent="0.25">
      <c r="A1972" s="62">
        <v>44893</v>
      </c>
      <c r="B1972" s="62" t="s">
        <v>1755</v>
      </c>
      <c r="C1972" s="23">
        <v>-1690</v>
      </c>
      <c r="D1972" s="24" t="s">
        <v>46</v>
      </c>
      <c r="E1972" s="24" t="s">
        <v>61</v>
      </c>
      <c r="F1972" s="63" t="s">
        <v>0</v>
      </c>
    </row>
    <row r="1973" spans="1:6" x14ac:dyDescent="0.25">
      <c r="A1973" s="62">
        <v>44893</v>
      </c>
      <c r="B1973" s="62" t="s">
        <v>1756</v>
      </c>
      <c r="C1973" s="23">
        <v>-11180</v>
      </c>
      <c r="D1973" s="24" t="s">
        <v>49</v>
      </c>
      <c r="E1973" s="24" t="s">
        <v>213</v>
      </c>
      <c r="F1973" s="63" t="s">
        <v>0</v>
      </c>
    </row>
    <row r="1974" spans="1:6" x14ac:dyDescent="0.25">
      <c r="A1974" s="62">
        <v>44893</v>
      </c>
      <c r="B1974" s="62" t="s">
        <v>1757</v>
      </c>
      <c r="C1974" s="23">
        <v>-12608</v>
      </c>
      <c r="D1974" s="24" t="s">
        <v>90</v>
      </c>
      <c r="E1974" s="24" t="s">
        <v>59</v>
      </c>
      <c r="F1974" s="63" t="s">
        <v>0</v>
      </c>
    </row>
    <row r="1975" spans="1:6" x14ac:dyDescent="0.25">
      <c r="A1975" s="62">
        <v>44893</v>
      </c>
      <c r="B1975" s="62" t="s">
        <v>1758</v>
      </c>
      <c r="C1975" s="23">
        <v>-1521</v>
      </c>
      <c r="D1975" s="24" t="s">
        <v>49</v>
      </c>
      <c r="E1975" s="24" t="s">
        <v>56</v>
      </c>
      <c r="F1975" s="63" t="s">
        <v>0</v>
      </c>
    </row>
    <row r="1976" spans="1:6" x14ac:dyDescent="0.25">
      <c r="A1976" s="62">
        <v>44893</v>
      </c>
      <c r="B1976" s="62" t="s">
        <v>1759</v>
      </c>
      <c r="C1976" s="23">
        <v>-3490</v>
      </c>
      <c r="D1976" s="24" t="s">
        <v>46</v>
      </c>
      <c r="E1976" s="24" t="s">
        <v>63</v>
      </c>
      <c r="F1976" s="63" t="s">
        <v>0</v>
      </c>
    </row>
    <row r="1977" spans="1:6" x14ac:dyDescent="0.25">
      <c r="A1977" s="62">
        <v>44888</v>
      </c>
      <c r="B1977" s="62" t="s">
        <v>1760</v>
      </c>
      <c r="C1977" s="23">
        <v>-27265</v>
      </c>
      <c r="D1977" s="24" t="s">
        <v>49</v>
      </c>
      <c r="E1977" s="24" t="s">
        <v>213</v>
      </c>
      <c r="F1977" s="63" t="s">
        <v>0</v>
      </c>
    </row>
    <row r="1978" spans="1:6" x14ac:dyDescent="0.25">
      <c r="A1978" s="62">
        <v>44888</v>
      </c>
      <c r="B1978" s="62" t="s">
        <v>1761</v>
      </c>
      <c r="C1978" s="23">
        <v>-699</v>
      </c>
      <c r="D1978" s="24" t="s">
        <v>49</v>
      </c>
      <c r="E1978" s="24" t="s">
        <v>56</v>
      </c>
      <c r="F1978" s="63" t="s">
        <v>0</v>
      </c>
    </row>
    <row r="1979" spans="1:6" x14ac:dyDescent="0.25">
      <c r="A1979" s="62">
        <v>44888</v>
      </c>
      <c r="B1979" s="62" t="s">
        <v>1762</v>
      </c>
      <c r="C1979" s="23">
        <v>-660</v>
      </c>
      <c r="D1979" s="24" t="s">
        <v>49</v>
      </c>
      <c r="E1979" s="24" t="s">
        <v>56</v>
      </c>
      <c r="F1979" s="63" t="s">
        <v>0</v>
      </c>
    </row>
    <row r="1980" spans="1:6" x14ac:dyDescent="0.25">
      <c r="A1980" s="62">
        <v>44888</v>
      </c>
      <c r="B1980" s="62" t="s">
        <v>1763</v>
      </c>
      <c r="C1980" s="23">
        <v>-1690</v>
      </c>
      <c r="D1980" s="24" t="s">
        <v>90</v>
      </c>
      <c r="E1980" s="24" t="s">
        <v>59</v>
      </c>
      <c r="F1980" s="63" t="s">
        <v>0</v>
      </c>
    </row>
    <row r="1981" spans="1:6" x14ac:dyDescent="0.25">
      <c r="A1981" s="62">
        <v>44888</v>
      </c>
      <c r="B1981" s="62" t="s">
        <v>1764</v>
      </c>
      <c r="C1981" s="23">
        <v>-2400</v>
      </c>
      <c r="D1981" s="24" t="s">
        <v>90</v>
      </c>
      <c r="E1981" s="24" t="s">
        <v>59</v>
      </c>
      <c r="F1981" s="63" t="s">
        <v>0</v>
      </c>
    </row>
    <row r="1982" spans="1:6" x14ac:dyDescent="0.25">
      <c r="A1982" s="62">
        <v>44887</v>
      </c>
      <c r="B1982" s="62" t="s">
        <v>1765</v>
      </c>
      <c r="C1982" s="23">
        <v>-6060</v>
      </c>
      <c r="D1982" s="24" t="s">
        <v>52</v>
      </c>
      <c r="E1982" s="24" t="s">
        <v>53</v>
      </c>
      <c r="F1982" s="63" t="s">
        <v>4</v>
      </c>
    </row>
    <row r="1983" spans="1:6" x14ac:dyDescent="0.25">
      <c r="A1983" s="62">
        <v>44887</v>
      </c>
      <c r="B1983" s="62" t="s">
        <v>1766</v>
      </c>
      <c r="C1983" s="23">
        <v>-8239</v>
      </c>
      <c r="D1983" s="24" t="s">
        <v>49</v>
      </c>
      <c r="E1983" s="24" t="s">
        <v>56</v>
      </c>
      <c r="F1983" s="63" t="s">
        <v>0</v>
      </c>
    </row>
    <row r="1984" spans="1:6" x14ac:dyDescent="0.25">
      <c r="A1984" s="62">
        <v>44887</v>
      </c>
      <c r="B1984" s="62" t="s">
        <v>1767</v>
      </c>
      <c r="C1984" s="23">
        <v>-6400</v>
      </c>
      <c r="D1984" s="24" t="s">
        <v>90</v>
      </c>
      <c r="E1984" s="24" t="s">
        <v>59</v>
      </c>
      <c r="F1984" s="63" t="s">
        <v>0</v>
      </c>
    </row>
    <row r="1985" spans="1:6" x14ac:dyDescent="0.25">
      <c r="A1985" s="62">
        <v>44887</v>
      </c>
      <c r="B1985" s="62" t="s">
        <v>1768</v>
      </c>
      <c r="C1985" s="23">
        <v>-35000</v>
      </c>
      <c r="D1985" s="24" t="s">
        <v>72</v>
      </c>
      <c r="E1985" s="24" t="s">
        <v>109</v>
      </c>
      <c r="F1985" s="63" t="s">
        <v>0</v>
      </c>
    </row>
    <row r="1986" spans="1:6" x14ac:dyDescent="0.25">
      <c r="A1986" s="62">
        <v>44887</v>
      </c>
      <c r="B1986" s="62" t="s">
        <v>1769</v>
      </c>
      <c r="C1986" s="23">
        <v>-6946</v>
      </c>
      <c r="D1986" s="24" t="s">
        <v>49</v>
      </c>
      <c r="E1986" s="24" t="s">
        <v>56</v>
      </c>
      <c r="F1986" s="63" t="s">
        <v>0</v>
      </c>
    </row>
    <row r="1987" spans="1:6" x14ac:dyDescent="0.25">
      <c r="A1987" s="62">
        <v>44887</v>
      </c>
      <c r="B1987" s="62" t="s">
        <v>1770</v>
      </c>
      <c r="C1987" s="23">
        <v>-4690</v>
      </c>
      <c r="D1987" s="24" t="s">
        <v>49</v>
      </c>
      <c r="E1987" s="24" t="s">
        <v>50</v>
      </c>
      <c r="F1987" s="63" t="s">
        <v>0</v>
      </c>
    </row>
    <row r="1988" spans="1:6" x14ac:dyDescent="0.25">
      <c r="A1988" s="62">
        <v>44887</v>
      </c>
      <c r="B1988" s="62" t="s">
        <v>1771</v>
      </c>
      <c r="C1988" s="23">
        <v>-890</v>
      </c>
      <c r="D1988" s="24" t="s">
        <v>52</v>
      </c>
      <c r="E1988" s="24" t="s">
        <v>53</v>
      </c>
      <c r="F1988" s="63" t="s">
        <v>0</v>
      </c>
    </row>
    <row r="1989" spans="1:6" x14ac:dyDescent="0.25">
      <c r="A1989" s="62">
        <v>44887</v>
      </c>
      <c r="B1989" s="62" t="s">
        <v>1772</v>
      </c>
      <c r="C1989" s="23">
        <v>-4990</v>
      </c>
      <c r="D1989" s="24" t="s">
        <v>49</v>
      </c>
      <c r="E1989" s="24" t="s">
        <v>213</v>
      </c>
      <c r="F1989" s="63" t="s">
        <v>0</v>
      </c>
    </row>
    <row r="1990" spans="1:6" x14ac:dyDescent="0.25">
      <c r="A1990" s="62">
        <v>44887</v>
      </c>
      <c r="B1990" s="62" t="s">
        <v>1773</v>
      </c>
      <c r="C1990" s="23">
        <v>-5821</v>
      </c>
      <c r="D1990" s="24" t="s">
        <v>49</v>
      </c>
      <c r="E1990" s="24" t="s">
        <v>56</v>
      </c>
      <c r="F1990" s="63" t="s">
        <v>0</v>
      </c>
    </row>
    <row r="1991" spans="1:6" x14ac:dyDescent="0.25">
      <c r="A1991" s="62">
        <v>44886</v>
      </c>
      <c r="B1991" s="62" t="s">
        <v>1241</v>
      </c>
      <c r="C1991" s="23">
        <v>-5060</v>
      </c>
      <c r="D1991" s="24" t="s">
        <v>52</v>
      </c>
      <c r="E1991" s="24" t="s">
        <v>53</v>
      </c>
      <c r="F1991" s="63" t="s">
        <v>4</v>
      </c>
    </row>
    <row r="1992" spans="1:6" x14ac:dyDescent="0.25">
      <c r="A1992" s="62">
        <v>44886</v>
      </c>
      <c r="B1992" s="62" t="s">
        <v>139</v>
      </c>
      <c r="C1992" s="23">
        <v>25038</v>
      </c>
      <c r="D1992" s="24" t="s">
        <v>58</v>
      </c>
      <c r="E1992" s="24" t="s">
        <v>58</v>
      </c>
      <c r="F1992" s="63" t="s">
        <v>4</v>
      </c>
    </row>
    <row r="1993" spans="1:6" x14ac:dyDescent="0.25">
      <c r="A1993" s="62">
        <v>44886</v>
      </c>
      <c r="B1993" s="62" t="s">
        <v>139</v>
      </c>
      <c r="C1993" s="23">
        <v>7670</v>
      </c>
      <c r="D1993" s="24" t="s">
        <v>58</v>
      </c>
      <c r="E1993" s="24" t="s">
        <v>58</v>
      </c>
      <c r="F1993" s="63" t="s">
        <v>4</v>
      </c>
    </row>
    <row r="1994" spans="1:6" x14ac:dyDescent="0.25">
      <c r="A1994" s="62">
        <v>44886</v>
      </c>
      <c r="B1994" s="62" t="s">
        <v>1774</v>
      </c>
      <c r="C1994" s="23">
        <v>-4499</v>
      </c>
      <c r="D1994" s="24" t="s">
        <v>49</v>
      </c>
      <c r="E1994" s="24" t="s">
        <v>56</v>
      </c>
      <c r="F1994" s="63" t="s">
        <v>0</v>
      </c>
    </row>
    <row r="1995" spans="1:6" x14ac:dyDescent="0.25">
      <c r="A1995" s="62">
        <v>44886</v>
      </c>
      <c r="B1995" s="62" t="s">
        <v>1775</v>
      </c>
      <c r="C1995" s="23">
        <v>-1034</v>
      </c>
      <c r="D1995" s="24" t="s">
        <v>90</v>
      </c>
      <c r="E1995" s="24" t="s">
        <v>59</v>
      </c>
      <c r="F1995" s="63" t="s">
        <v>0</v>
      </c>
    </row>
    <row r="1996" spans="1:6" x14ac:dyDescent="0.25">
      <c r="A1996" s="62">
        <v>44886</v>
      </c>
      <c r="B1996" s="62" t="s">
        <v>1776</v>
      </c>
      <c r="C1996" s="23">
        <v>-5745</v>
      </c>
      <c r="D1996" s="24" t="s">
        <v>49</v>
      </c>
      <c r="E1996" s="24" t="s">
        <v>56</v>
      </c>
      <c r="F1996" s="63" t="s">
        <v>0</v>
      </c>
    </row>
    <row r="1997" spans="1:6" x14ac:dyDescent="0.25">
      <c r="A1997" s="62">
        <v>44886</v>
      </c>
      <c r="B1997" s="62" t="s">
        <v>1777</v>
      </c>
      <c r="C1997" s="23">
        <v>-3275</v>
      </c>
      <c r="D1997" s="24" t="s">
        <v>49</v>
      </c>
      <c r="E1997" s="24" t="s">
        <v>56</v>
      </c>
      <c r="F1997" s="63" t="s">
        <v>0</v>
      </c>
    </row>
    <row r="1998" spans="1:6" x14ac:dyDescent="0.25">
      <c r="A1998" s="62">
        <v>44883</v>
      </c>
      <c r="B1998" s="62" t="s">
        <v>1778</v>
      </c>
      <c r="C1998" s="23">
        <v>-4567</v>
      </c>
      <c r="D1998" s="24" t="s">
        <v>46</v>
      </c>
      <c r="E1998" s="24" t="s">
        <v>512</v>
      </c>
      <c r="F1998" s="63" t="s">
        <v>0</v>
      </c>
    </row>
    <row r="1999" spans="1:6" x14ac:dyDescent="0.25">
      <c r="A1999" s="62">
        <v>44882</v>
      </c>
      <c r="B1999" s="62" t="s">
        <v>1779</v>
      </c>
      <c r="C1999" s="23">
        <v>-10490</v>
      </c>
      <c r="D1999" s="24" t="s">
        <v>49</v>
      </c>
      <c r="E1999" s="24" t="s">
        <v>56</v>
      </c>
      <c r="F1999" s="63" t="s">
        <v>0</v>
      </c>
    </row>
    <row r="2000" spans="1:6" x14ac:dyDescent="0.25">
      <c r="A2000" s="62">
        <v>44882</v>
      </c>
      <c r="B2000" s="62" t="s">
        <v>1780</v>
      </c>
      <c r="C2000" s="23">
        <v>-7398</v>
      </c>
      <c r="D2000" s="24" t="s">
        <v>49</v>
      </c>
      <c r="E2000" s="24" t="s">
        <v>56</v>
      </c>
      <c r="F2000" s="63" t="s">
        <v>0</v>
      </c>
    </row>
    <row r="2001" spans="1:6" x14ac:dyDescent="0.25">
      <c r="A2001" s="62">
        <v>44881</v>
      </c>
      <c r="B2001" s="62" t="s">
        <v>1781</v>
      </c>
      <c r="C2001" s="23">
        <v>-1770</v>
      </c>
      <c r="D2001" s="24" t="s">
        <v>90</v>
      </c>
      <c r="E2001" s="24" t="s">
        <v>93</v>
      </c>
      <c r="F2001" s="63" t="s">
        <v>0</v>
      </c>
    </row>
    <row r="2002" spans="1:6" x14ac:dyDescent="0.25">
      <c r="A2002" s="62">
        <v>44881</v>
      </c>
      <c r="B2002" s="62" t="s">
        <v>1782</v>
      </c>
      <c r="C2002" s="23">
        <v>-75679</v>
      </c>
      <c r="D2002" s="24" t="s">
        <v>49</v>
      </c>
      <c r="E2002" s="24" t="s">
        <v>50</v>
      </c>
      <c r="F2002" s="63" t="s">
        <v>0</v>
      </c>
    </row>
    <row r="2003" spans="1:6" x14ac:dyDescent="0.25">
      <c r="A2003" s="62">
        <v>44881</v>
      </c>
      <c r="B2003" s="62" t="s">
        <v>1783</v>
      </c>
      <c r="C2003" s="23">
        <v>-3174</v>
      </c>
      <c r="D2003" s="24" t="s">
        <v>90</v>
      </c>
      <c r="E2003" s="24" t="s">
        <v>59</v>
      </c>
      <c r="F2003" s="63" t="s">
        <v>0</v>
      </c>
    </row>
    <row r="2004" spans="1:6" x14ac:dyDescent="0.25">
      <c r="A2004" s="62">
        <v>44881</v>
      </c>
      <c r="B2004" s="62" t="s">
        <v>1784</v>
      </c>
      <c r="C2004" s="23">
        <v>-5798</v>
      </c>
      <c r="D2004" s="24" t="s">
        <v>49</v>
      </c>
      <c r="E2004" s="24" t="s">
        <v>56</v>
      </c>
      <c r="F2004" s="63" t="s">
        <v>0</v>
      </c>
    </row>
    <row r="2005" spans="1:6" x14ac:dyDescent="0.25">
      <c r="A2005" s="62">
        <v>44880</v>
      </c>
      <c r="B2005" s="62" t="s">
        <v>704</v>
      </c>
      <c r="C2005" s="23">
        <v>-6944</v>
      </c>
      <c r="D2005" s="24" t="s">
        <v>46</v>
      </c>
      <c r="E2005" s="24" t="s">
        <v>150</v>
      </c>
      <c r="F2005" s="63" t="s">
        <v>0</v>
      </c>
    </row>
    <row r="2006" spans="1:6" x14ac:dyDescent="0.25">
      <c r="A2006" s="62">
        <v>44880</v>
      </c>
      <c r="B2006" s="62" t="s">
        <v>1785</v>
      </c>
      <c r="C2006" s="23">
        <v>-2750</v>
      </c>
      <c r="D2006" s="24" t="s">
        <v>52</v>
      </c>
      <c r="E2006" s="24" t="s">
        <v>134</v>
      </c>
      <c r="F2006" s="63" t="s">
        <v>0</v>
      </c>
    </row>
    <row r="2007" spans="1:6" x14ac:dyDescent="0.25">
      <c r="A2007" s="62">
        <v>44880</v>
      </c>
      <c r="B2007" s="62" t="s">
        <v>1786</v>
      </c>
      <c r="C2007" s="23">
        <v>-2654</v>
      </c>
      <c r="D2007" s="24" t="s">
        <v>46</v>
      </c>
      <c r="E2007" s="24" t="s">
        <v>61</v>
      </c>
      <c r="F2007" s="63" t="s">
        <v>0</v>
      </c>
    </row>
    <row r="2008" spans="1:6" x14ac:dyDescent="0.25">
      <c r="A2008" s="62">
        <v>44880</v>
      </c>
      <c r="B2008" s="62" t="s">
        <v>1787</v>
      </c>
      <c r="C2008" s="23">
        <v>-1780</v>
      </c>
      <c r="D2008" s="24" t="s">
        <v>52</v>
      </c>
      <c r="E2008" s="24" t="s">
        <v>53</v>
      </c>
      <c r="F2008" s="63" t="s">
        <v>0</v>
      </c>
    </row>
    <row r="2009" spans="1:6" x14ac:dyDescent="0.25">
      <c r="A2009" s="62">
        <v>44880</v>
      </c>
      <c r="B2009" s="62" t="s">
        <v>1788</v>
      </c>
      <c r="C2009" s="23">
        <v>-2557</v>
      </c>
      <c r="D2009" s="24" t="s">
        <v>46</v>
      </c>
      <c r="E2009" s="24" t="s">
        <v>1093</v>
      </c>
      <c r="F2009" s="63" t="s">
        <v>0</v>
      </c>
    </row>
    <row r="2010" spans="1:6" x14ac:dyDescent="0.25">
      <c r="A2010" s="62">
        <v>44880</v>
      </c>
      <c r="B2010" s="62" t="s">
        <v>1789</v>
      </c>
      <c r="C2010" s="23">
        <v>-5190</v>
      </c>
      <c r="D2010" s="24" t="s">
        <v>90</v>
      </c>
      <c r="E2010" s="24" t="s">
        <v>106</v>
      </c>
      <c r="F2010" s="63" t="s">
        <v>0</v>
      </c>
    </row>
    <row r="2011" spans="1:6" x14ac:dyDescent="0.25">
      <c r="A2011" s="62">
        <v>44880</v>
      </c>
      <c r="B2011" s="62" t="s">
        <v>1790</v>
      </c>
      <c r="C2011" s="23">
        <v>-1424</v>
      </c>
      <c r="D2011" s="24" t="s">
        <v>72</v>
      </c>
      <c r="E2011" s="24" t="s">
        <v>73</v>
      </c>
      <c r="F2011" s="63" t="s">
        <v>0</v>
      </c>
    </row>
    <row r="2012" spans="1:6" x14ac:dyDescent="0.25">
      <c r="A2012" s="62">
        <v>44880</v>
      </c>
      <c r="B2012" s="62" t="s">
        <v>735</v>
      </c>
      <c r="C2012" s="23">
        <v>-239</v>
      </c>
      <c r="D2012" s="24" t="s">
        <v>72</v>
      </c>
      <c r="E2012" s="24" t="s">
        <v>73</v>
      </c>
      <c r="F2012" s="63" t="s">
        <v>0</v>
      </c>
    </row>
    <row r="2013" spans="1:6" x14ac:dyDescent="0.25">
      <c r="A2013" s="62">
        <v>44880</v>
      </c>
      <c r="B2013" s="62" t="s">
        <v>1791</v>
      </c>
      <c r="C2013" s="23">
        <v>-15924</v>
      </c>
      <c r="D2013" s="24" t="s">
        <v>49</v>
      </c>
      <c r="E2013" s="24" t="s">
        <v>56</v>
      </c>
      <c r="F2013" s="63" t="s">
        <v>0</v>
      </c>
    </row>
    <row r="2014" spans="1:6" x14ac:dyDescent="0.25">
      <c r="A2014" s="62">
        <v>44879</v>
      </c>
      <c r="B2014" s="62" t="s">
        <v>1792</v>
      </c>
      <c r="C2014" s="23">
        <v>-884</v>
      </c>
      <c r="D2014" s="24" t="s">
        <v>167</v>
      </c>
      <c r="E2014" s="24" t="s">
        <v>168</v>
      </c>
      <c r="F2014" s="63" t="s">
        <v>0</v>
      </c>
    </row>
    <row r="2015" spans="1:6" x14ac:dyDescent="0.25">
      <c r="A2015" s="62">
        <v>44879</v>
      </c>
      <c r="B2015" s="62" t="s">
        <v>1793</v>
      </c>
      <c r="C2015" s="23">
        <v>-1200</v>
      </c>
      <c r="D2015" s="24" t="s">
        <v>52</v>
      </c>
      <c r="E2015" s="24" t="s">
        <v>53</v>
      </c>
      <c r="F2015" s="63" t="s">
        <v>0</v>
      </c>
    </row>
    <row r="2016" spans="1:6" x14ac:dyDescent="0.25">
      <c r="A2016" s="62">
        <v>44879</v>
      </c>
      <c r="B2016" s="62" t="s">
        <v>1693</v>
      </c>
      <c r="C2016" s="23">
        <v>-1548</v>
      </c>
      <c r="D2016" s="24" t="s">
        <v>49</v>
      </c>
      <c r="E2016" s="24" t="s">
        <v>56</v>
      </c>
      <c r="F2016" s="63" t="s">
        <v>0</v>
      </c>
    </row>
    <row r="2017" spans="1:6" x14ac:dyDescent="0.25">
      <c r="A2017" s="62">
        <v>44879</v>
      </c>
      <c r="B2017" s="62" t="s">
        <v>1794</v>
      </c>
      <c r="C2017" s="23">
        <v>-2682</v>
      </c>
      <c r="D2017" s="24" t="s">
        <v>49</v>
      </c>
      <c r="E2017" s="24" t="s">
        <v>56</v>
      </c>
      <c r="F2017" s="63" t="s">
        <v>0</v>
      </c>
    </row>
    <row r="2018" spans="1:6" x14ac:dyDescent="0.25">
      <c r="A2018" s="62">
        <v>44879</v>
      </c>
      <c r="B2018" s="62" t="s">
        <v>1795</v>
      </c>
      <c r="C2018" s="23">
        <v>-7327</v>
      </c>
      <c r="D2018" s="24" t="s">
        <v>49</v>
      </c>
      <c r="E2018" s="24" t="s">
        <v>56</v>
      </c>
      <c r="F2018" s="63" t="s">
        <v>0</v>
      </c>
    </row>
    <row r="2019" spans="1:6" x14ac:dyDescent="0.25">
      <c r="A2019" s="62">
        <v>44879</v>
      </c>
      <c r="B2019" s="62" t="s">
        <v>1796</v>
      </c>
      <c r="C2019" s="23">
        <v>-3890</v>
      </c>
      <c r="D2019" s="24" t="s">
        <v>49</v>
      </c>
      <c r="E2019" s="24" t="s">
        <v>50</v>
      </c>
      <c r="F2019" s="63" t="s">
        <v>0</v>
      </c>
    </row>
    <row r="2020" spans="1:6" x14ac:dyDescent="0.25">
      <c r="A2020" s="62">
        <v>44879</v>
      </c>
      <c r="B2020" s="62" t="s">
        <v>1797</v>
      </c>
      <c r="C2020" s="23">
        <v>-1275</v>
      </c>
      <c r="D2020" s="24" t="s">
        <v>72</v>
      </c>
      <c r="E2020" s="24" t="s">
        <v>109</v>
      </c>
      <c r="F2020" s="63" t="s">
        <v>0</v>
      </c>
    </row>
    <row r="2021" spans="1:6" x14ac:dyDescent="0.25">
      <c r="A2021" s="62">
        <v>44879</v>
      </c>
      <c r="B2021" s="62" t="s">
        <v>1798</v>
      </c>
      <c r="C2021" s="23">
        <v>-6390</v>
      </c>
      <c r="D2021" s="24" t="s">
        <v>90</v>
      </c>
      <c r="E2021" s="24" t="s">
        <v>91</v>
      </c>
      <c r="F2021" s="63" t="s">
        <v>0</v>
      </c>
    </row>
    <row r="2022" spans="1:6" x14ac:dyDescent="0.25">
      <c r="A2022" s="62">
        <v>44879</v>
      </c>
      <c r="B2022" s="62" t="s">
        <v>1799</v>
      </c>
      <c r="C2022" s="23">
        <v>-9525</v>
      </c>
      <c r="D2022" s="24" t="s">
        <v>49</v>
      </c>
      <c r="E2022" s="24" t="s">
        <v>56</v>
      </c>
      <c r="F2022" s="63" t="s">
        <v>0</v>
      </c>
    </row>
    <row r="2023" spans="1:6" x14ac:dyDescent="0.25">
      <c r="A2023" s="62">
        <v>44879</v>
      </c>
      <c r="B2023" s="62" t="s">
        <v>1800</v>
      </c>
      <c r="C2023" s="23">
        <v>-1439</v>
      </c>
      <c r="D2023" s="24" t="s">
        <v>72</v>
      </c>
      <c r="E2023" s="24" t="s">
        <v>73</v>
      </c>
      <c r="F2023" s="63" t="s">
        <v>0</v>
      </c>
    </row>
    <row r="2024" spans="1:6" x14ac:dyDescent="0.25">
      <c r="A2024" s="62">
        <v>44879</v>
      </c>
      <c r="B2024" s="62" t="s">
        <v>1801</v>
      </c>
      <c r="C2024" s="23">
        <v>-1274</v>
      </c>
      <c r="D2024" s="24" t="s">
        <v>72</v>
      </c>
      <c r="E2024" s="24" t="s">
        <v>73</v>
      </c>
      <c r="F2024" s="63" t="s">
        <v>0</v>
      </c>
    </row>
    <row r="2025" spans="1:6" x14ac:dyDescent="0.25">
      <c r="A2025" s="62">
        <v>44879</v>
      </c>
      <c r="B2025" s="62" t="s">
        <v>1790</v>
      </c>
      <c r="C2025" s="23">
        <v>-1424</v>
      </c>
      <c r="D2025" s="24" t="s">
        <v>72</v>
      </c>
      <c r="E2025" s="24" t="s">
        <v>73</v>
      </c>
      <c r="F2025" s="63" t="s">
        <v>0</v>
      </c>
    </row>
    <row r="2026" spans="1:6" x14ac:dyDescent="0.25">
      <c r="A2026" s="62">
        <v>44879</v>
      </c>
      <c r="B2026" s="62" t="s">
        <v>1802</v>
      </c>
      <c r="C2026" s="23">
        <v>-1387</v>
      </c>
      <c r="D2026" s="24" t="s">
        <v>72</v>
      </c>
      <c r="E2026" s="24" t="s">
        <v>73</v>
      </c>
      <c r="F2026" s="63" t="s">
        <v>0</v>
      </c>
    </row>
    <row r="2027" spans="1:6" x14ac:dyDescent="0.25">
      <c r="A2027" s="62">
        <v>44879</v>
      </c>
      <c r="B2027" s="62" t="s">
        <v>1792</v>
      </c>
      <c r="C2027" s="23">
        <v>4000</v>
      </c>
      <c r="D2027" s="24" t="s">
        <v>206</v>
      </c>
      <c r="E2027" s="24" t="s">
        <v>830</v>
      </c>
      <c r="F2027" s="63" t="s">
        <v>0</v>
      </c>
    </row>
    <row r="2028" spans="1:6" x14ac:dyDescent="0.25">
      <c r="A2028" s="62">
        <v>44879</v>
      </c>
      <c r="B2028" s="62" t="s">
        <v>1792</v>
      </c>
      <c r="C2028" s="23">
        <v>-4000</v>
      </c>
      <c r="D2028" s="24" t="s">
        <v>206</v>
      </c>
      <c r="E2028" s="24" t="s">
        <v>830</v>
      </c>
      <c r="F2028" s="63" t="s">
        <v>0</v>
      </c>
    </row>
    <row r="2029" spans="1:6" x14ac:dyDescent="0.25">
      <c r="A2029" s="62">
        <v>44878</v>
      </c>
      <c r="B2029" s="62" t="s">
        <v>1803</v>
      </c>
      <c r="C2029" s="23">
        <v>-2160</v>
      </c>
      <c r="D2029" s="24" t="s">
        <v>52</v>
      </c>
      <c r="E2029" s="24" t="s">
        <v>53</v>
      </c>
      <c r="F2029" s="63" t="s">
        <v>4</v>
      </c>
    </row>
    <row r="2030" spans="1:6" x14ac:dyDescent="0.25">
      <c r="A2030" s="62">
        <v>44877</v>
      </c>
      <c r="B2030" s="62" t="s">
        <v>1804</v>
      </c>
      <c r="C2030" s="23">
        <v>-3070</v>
      </c>
      <c r="D2030" s="24" t="s">
        <v>52</v>
      </c>
      <c r="E2030" s="24" t="s">
        <v>53</v>
      </c>
      <c r="F2030" s="63" t="s">
        <v>4</v>
      </c>
    </row>
    <row r="2031" spans="1:6" x14ac:dyDescent="0.25">
      <c r="A2031" s="62">
        <v>44876</v>
      </c>
      <c r="B2031" s="62" t="s">
        <v>1805</v>
      </c>
      <c r="C2031" s="23">
        <v>-37179</v>
      </c>
      <c r="D2031" s="24" t="s">
        <v>49</v>
      </c>
      <c r="E2031" s="24" t="s">
        <v>50</v>
      </c>
      <c r="F2031" s="63" t="s">
        <v>0</v>
      </c>
    </row>
    <row r="2032" spans="1:6" x14ac:dyDescent="0.25">
      <c r="A2032" s="62">
        <v>44875</v>
      </c>
      <c r="B2032" s="62" t="s">
        <v>1806</v>
      </c>
      <c r="C2032" s="23">
        <v>-212313.84</v>
      </c>
      <c r="D2032" s="24" t="s">
        <v>46</v>
      </c>
      <c r="E2032" s="24" t="s">
        <v>10</v>
      </c>
      <c r="F2032" s="63" t="s">
        <v>0</v>
      </c>
    </row>
    <row r="2033" spans="1:6" x14ac:dyDescent="0.25">
      <c r="A2033" s="62">
        <v>44875</v>
      </c>
      <c r="B2033" s="62" t="s">
        <v>1807</v>
      </c>
      <c r="C2033" s="23">
        <v>100000</v>
      </c>
      <c r="D2033" s="24" t="s">
        <v>206</v>
      </c>
      <c r="E2033" s="24" t="s">
        <v>830</v>
      </c>
      <c r="F2033" s="63" t="s">
        <v>7</v>
      </c>
    </row>
    <row r="2034" spans="1:6" x14ac:dyDescent="0.25">
      <c r="A2034" s="62">
        <v>44875</v>
      </c>
      <c r="B2034" s="62" t="s">
        <v>1807</v>
      </c>
      <c r="C2034" s="23">
        <v>-100000</v>
      </c>
      <c r="D2034" s="24" t="s">
        <v>206</v>
      </c>
      <c r="E2034" s="24" t="s">
        <v>830</v>
      </c>
      <c r="F2034" s="63" t="s">
        <v>0</v>
      </c>
    </row>
    <row r="2035" spans="1:6" x14ac:dyDescent="0.25">
      <c r="A2035" s="62">
        <v>44875</v>
      </c>
      <c r="B2035" s="62" t="s">
        <v>1808</v>
      </c>
      <c r="C2035" s="23">
        <v>-49490.95</v>
      </c>
      <c r="D2035" s="24" t="s">
        <v>46</v>
      </c>
      <c r="E2035" s="24" t="s">
        <v>10</v>
      </c>
      <c r="F2035" s="63" t="s">
        <v>0</v>
      </c>
    </row>
    <row r="2036" spans="1:6" x14ac:dyDescent="0.25">
      <c r="A2036" s="62">
        <v>44875</v>
      </c>
      <c r="B2036" s="62" t="s">
        <v>1809</v>
      </c>
      <c r="C2036" s="23">
        <v>-1918</v>
      </c>
      <c r="D2036" s="24" t="s">
        <v>49</v>
      </c>
      <c r="E2036" s="24" t="s">
        <v>56</v>
      </c>
      <c r="F2036" s="63" t="s">
        <v>0</v>
      </c>
    </row>
    <row r="2037" spans="1:6" x14ac:dyDescent="0.25">
      <c r="A2037" s="62">
        <v>44875</v>
      </c>
      <c r="B2037" s="62" t="s">
        <v>1651</v>
      </c>
      <c r="C2037" s="23">
        <v>881487</v>
      </c>
      <c r="D2037" s="24" t="s">
        <v>58</v>
      </c>
      <c r="E2037" s="24" t="s">
        <v>58</v>
      </c>
      <c r="F2037" s="63" t="s">
        <v>0</v>
      </c>
    </row>
    <row r="2038" spans="1:6" x14ac:dyDescent="0.25">
      <c r="A2038" s="62">
        <v>44875</v>
      </c>
      <c r="B2038" s="62" t="s">
        <v>1806</v>
      </c>
      <c r="C2038" s="23">
        <v>212313.84</v>
      </c>
      <c r="D2038" s="24" t="s">
        <v>46</v>
      </c>
      <c r="E2038" s="24" t="s">
        <v>10</v>
      </c>
      <c r="F2038" s="63" t="s">
        <v>10</v>
      </c>
    </row>
    <row r="2039" spans="1:6" x14ac:dyDescent="0.25">
      <c r="A2039" s="62">
        <v>44874</v>
      </c>
      <c r="B2039" s="62" t="s">
        <v>746</v>
      </c>
      <c r="C2039" s="23">
        <v>-2200</v>
      </c>
      <c r="D2039" s="24" t="s">
        <v>52</v>
      </c>
      <c r="E2039" s="24" t="s">
        <v>53</v>
      </c>
      <c r="F2039" s="63" t="s">
        <v>4</v>
      </c>
    </row>
    <row r="2040" spans="1:6" x14ac:dyDescent="0.25">
      <c r="A2040" s="62">
        <v>44874</v>
      </c>
      <c r="B2040" s="62" t="s">
        <v>1768</v>
      </c>
      <c r="C2040" s="23">
        <v>-35000</v>
      </c>
      <c r="D2040" s="24" t="s">
        <v>72</v>
      </c>
      <c r="E2040" s="24" t="s">
        <v>109</v>
      </c>
      <c r="F2040" s="63" t="s">
        <v>0</v>
      </c>
    </row>
    <row r="2041" spans="1:6" x14ac:dyDescent="0.25">
      <c r="A2041" s="62">
        <v>44874</v>
      </c>
      <c r="B2041" s="62" t="s">
        <v>1810</v>
      </c>
      <c r="C2041" s="23">
        <v>-1300</v>
      </c>
      <c r="D2041" s="24" t="s">
        <v>52</v>
      </c>
      <c r="E2041" s="24" t="s">
        <v>134</v>
      </c>
      <c r="F2041" s="63" t="s">
        <v>0</v>
      </c>
    </row>
    <row r="2042" spans="1:6" x14ac:dyDescent="0.25">
      <c r="A2042" s="62">
        <v>44873</v>
      </c>
      <c r="B2042" s="62" t="s">
        <v>1811</v>
      </c>
      <c r="C2042" s="23">
        <v>-16113</v>
      </c>
      <c r="D2042" s="24" t="s">
        <v>49</v>
      </c>
      <c r="E2042" s="24" t="s">
        <v>56</v>
      </c>
      <c r="F2042" s="63" t="s">
        <v>0</v>
      </c>
    </row>
    <row r="2043" spans="1:6" x14ac:dyDescent="0.25">
      <c r="A2043" s="62">
        <v>44872</v>
      </c>
      <c r="B2043" s="62" t="s">
        <v>1812</v>
      </c>
      <c r="C2043" s="23">
        <v>-599</v>
      </c>
      <c r="D2043" s="24" t="s">
        <v>49</v>
      </c>
      <c r="E2043" s="24" t="s">
        <v>56</v>
      </c>
      <c r="F2043" s="63" t="s">
        <v>0</v>
      </c>
    </row>
    <row r="2044" spans="1:6" x14ac:dyDescent="0.25">
      <c r="A2044" s="62">
        <v>44872</v>
      </c>
      <c r="B2044" s="62" t="s">
        <v>1813</v>
      </c>
      <c r="C2044" s="23">
        <v>-2368</v>
      </c>
      <c r="D2044" s="24" t="s">
        <v>49</v>
      </c>
      <c r="E2044" s="24" t="s">
        <v>56</v>
      </c>
      <c r="F2044" s="63" t="s">
        <v>0</v>
      </c>
    </row>
    <row r="2045" spans="1:6" x14ac:dyDescent="0.25">
      <c r="A2045" s="62">
        <v>44872</v>
      </c>
      <c r="B2045" s="62" t="s">
        <v>1814</v>
      </c>
      <c r="C2045" s="23">
        <v>-5444</v>
      </c>
      <c r="D2045" s="24" t="s">
        <v>49</v>
      </c>
      <c r="E2045" s="24" t="s">
        <v>56</v>
      </c>
      <c r="F2045" s="63" t="s">
        <v>0</v>
      </c>
    </row>
    <row r="2046" spans="1:6" x14ac:dyDescent="0.25">
      <c r="A2046" s="62">
        <v>44872</v>
      </c>
      <c r="B2046" s="62" t="s">
        <v>1815</v>
      </c>
      <c r="C2046" s="23">
        <v>-6252</v>
      </c>
      <c r="D2046" s="24" t="s">
        <v>49</v>
      </c>
      <c r="E2046" s="24" t="s">
        <v>56</v>
      </c>
      <c r="F2046" s="63" t="s">
        <v>0</v>
      </c>
    </row>
    <row r="2047" spans="1:6" x14ac:dyDescent="0.25">
      <c r="A2047" s="62">
        <v>44872</v>
      </c>
      <c r="B2047" s="62" t="s">
        <v>1816</v>
      </c>
      <c r="C2047" s="23">
        <v>-279</v>
      </c>
      <c r="D2047" s="24" t="s">
        <v>49</v>
      </c>
      <c r="E2047" s="24" t="s">
        <v>56</v>
      </c>
      <c r="F2047" s="63" t="s">
        <v>0</v>
      </c>
    </row>
    <row r="2048" spans="1:6" x14ac:dyDescent="0.25">
      <c r="A2048" s="62">
        <v>44872</v>
      </c>
      <c r="B2048" s="62" t="s">
        <v>1817</v>
      </c>
      <c r="C2048" s="23">
        <v>-11000</v>
      </c>
      <c r="D2048" s="24" t="s">
        <v>46</v>
      </c>
      <c r="E2048" s="24" t="s">
        <v>47</v>
      </c>
      <c r="F2048" s="63" t="s">
        <v>0</v>
      </c>
    </row>
    <row r="2049" spans="1:6" x14ac:dyDescent="0.25">
      <c r="A2049" s="62">
        <v>44872</v>
      </c>
      <c r="B2049" s="62" t="s">
        <v>1818</v>
      </c>
      <c r="C2049" s="23">
        <v>-3960</v>
      </c>
      <c r="D2049" s="24" t="s">
        <v>49</v>
      </c>
      <c r="E2049" s="24" t="s">
        <v>213</v>
      </c>
      <c r="F2049" s="63" t="s">
        <v>0</v>
      </c>
    </row>
    <row r="2050" spans="1:6" x14ac:dyDescent="0.25">
      <c r="A2050" s="62">
        <v>44872</v>
      </c>
      <c r="B2050" s="62" t="s">
        <v>1819</v>
      </c>
      <c r="C2050" s="23">
        <v>-3413</v>
      </c>
      <c r="D2050" s="24" t="s">
        <v>49</v>
      </c>
      <c r="E2050" s="24" t="s">
        <v>56</v>
      </c>
      <c r="F2050" s="63" t="s">
        <v>0</v>
      </c>
    </row>
    <row r="2051" spans="1:6" x14ac:dyDescent="0.25">
      <c r="A2051" s="62">
        <v>44871</v>
      </c>
      <c r="B2051" s="62" t="s">
        <v>171</v>
      </c>
      <c r="C2051" s="23">
        <v>1672</v>
      </c>
      <c r="D2051" s="24" t="s">
        <v>167</v>
      </c>
      <c r="E2051" s="24" t="s">
        <v>168</v>
      </c>
      <c r="F2051" s="63" t="s">
        <v>0</v>
      </c>
    </row>
    <row r="2052" spans="1:6" x14ac:dyDescent="0.25">
      <c r="A2052" s="62">
        <v>44868</v>
      </c>
      <c r="B2052" s="62" t="s">
        <v>172</v>
      </c>
      <c r="C2052" s="23">
        <v>209215</v>
      </c>
      <c r="D2052" s="24" t="s">
        <v>58</v>
      </c>
      <c r="E2052" s="24" t="s">
        <v>58</v>
      </c>
      <c r="F2052" s="63" t="s">
        <v>0</v>
      </c>
    </row>
    <row r="2053" spans="1:6" x14ac:dyDescent="0.25">
      <c r="A2053" s="62">
        <v>44867</v>
      </c>
      <c r="B2053" s="62" t="s">
        <v>1820</v>
      </c>
      <c r="C2053" s="23">
        <v>-5367</v>
      </c>
      <c r="D2053" s="24" t="s">
        <v>90</v>
      </c>
      <c r="E2053" s="24" t="s">
        <v>59</v>
      </c>
      <c r="F2053" s="63" t="s">
        <v>0</v>
      </c>
    </row>
    <row r="2054" spans="1:6" x14ac:dyDescent="0.25">
      <c r="A2054" s="62">
        <v>44867</v>
      </c>
      <c r="B2054" s="62" t="s">
        <v>1821</v>
      </c>
      <c r="C2054" s="23">
        <v>-5800</v>
      </c>
      <c r="D2054" s="24" t="s">
        <v>49</v>
      </c>
      <c r="E2054" s="24" t="s">
        <v>56</v>
      </c>
      <c r="F2054" s="63" t="s">
        <v>0</v>
      </c>
    </row>
    <row r="2055" spans="1:6" x14ac:dyDescent="0.25">
      <c r="A2055" s="62">
        <v>44867</v>
      </c>
      <c r="B2055" s="62" t="s">
        <v>1822</v>
      </c>
      <c r="C2055" s="23">
        <v>-60000</v>
      </c>
      <c r="D2055" s="24" t="s">
        <v>90</v>
      </c>
      <c r="E2055" s="24" t="s">
        <v>111</v>
      </c>
      <c r="F2055" s="63" t="s">
        <v>0</v>
      </c>
    </row>
    <row r="2056" spans="1:6" x14ac:dyDescent="0.25">
      <c r="A2056" s="62">
        <v>44867</v>
      </c>
      <c r="B2056" s="62" t="s">
        <v>1823</v>
      </c>
      <c r="C2056" s="23">
        <v>-17870</v>
      </c>
      <c r="D2056" s="24" t="s">
        <v>46</v>
      </c>
      <c r="E2056" s="24" t="s">
        <v>61</v>
      </c>
      <c r="F2056" s="63" t="s">
        <v>0</v>
      </c>
    </row>
    <row r="2057" spans="1:6" x14ac:dyDescent="0.25">
      <c r="A2057" s="62">
        <v>44867</v>
      </c>
      <c r="B2057" s="62" t="s">
        <v>1824</v>
      </c>
      <c r="C2057" s="23">
        <v>-886</v>
      </c>
      <c r="D2057" s="24" t="s">
        <v>49</v>
      </c>
      <c r="E2057" s="24" t="s">
        <v>56</v>
      </c>
      <c r="F2057" s="63" t="s">
        <v>0</v>
      </c>
    </row>
    <row r="2058" spans="1:6" x14ac:dyDescent="0.25">
      <c r="A2058" s="62">
        <v>44867</v>
      </c>
      <c r="B2058" s="62" t="s">
        <v>1825</v>
      </c>
      <c r="C2058" s="23">
        <v>-18958</v>
      </c>
      <c r="D2058" s="24" t="s">
        <v>46</v>
      </c>
      <c r="E2058" s="24" t="s">
        <v>61</v>
      </c>
      <c r="F2058" s="63" t="s">
        <v>0</v>
      </c>
    </row>
    <row r="2059" spans="1:6" x14ac:dyDescent="0.25">
      <c r="A2059" s="62">
        <v>44867</v>
      </c>
      <c r="B2059" s="62" t="s">
        <v>1826</v>
      </c>
      <c r="C2059" s="23">
        <v>-2250</v>
      </c>
      <c r="D2059" s="24" t="s">
        <v>46</v>
      </c>
      <c r="E2059" s="24" t="s">
        <v>61</v>
      </c>
      <c r="F2059" s="63" t="s">
        <v>0</v>
      </c>
    </row>
    <row r="2060" spans="1:6" x14ac:dyDescent="0.25">
      <c r="A2060" s="62">
        <v>44867</v>
      </c>
      <c r="B2060" s="62" t="s">
        <v>1827</v>
      </c>
      <c r="C2060" s="23">
        <v>-1151</v>
      </c>
      <c r="D2060" s="24" t="s">
        <v>46</v>
      </c>
      <c r="E2060" s="24" t="s">
        <v>61</v>
      </c>
      <c r="F2060" s="63" t="s">
        <v>0</v>
      </c>
    </row>
    <row r="2061" spans="1:6" x14ac:dyDescent="0.25">
      <c r="A2061" s="62">
        <v>44867</v>
      </c>
      <c r="B2061" s="62" t="s">
        <v>1828</v>
      </c>
      <c r="C2061" s="23">
        <v>-13797</v>
      </c>
      <c r="D2061" s="24" t="s">
        <v>49</v>
      </c>
      <c r="E2061" s="24" t="s">
        <v>50</v>
      </c>
      <c r="F2061" s="63" t="s">
        <v>0</v>
      </c>
    </row>
    <row r="2062" spans="1:6" x14ac:dyDescent="0.25">
      <c r="A2062" s="62">
        <v>44867</v>
      </c>
      <c r="B2062" s="62" t="s">
        <v>1829</v>
      </c>
      <c r="C2062" s="23">
        <v>-64989</v>
      </c>
      <c r="D2062" s="24" t="s">
        <v>49</v>
      </c>
      <c r="E2062" s="24" t="s">
        <v>232</v>
      </c>
      <c r="F2062" s="63" t="s">
        <v>0</v>
      </c>
    </row>
    <row r="2063" spans="1:6" x14ac:dyDescent="0.25">
      <c r="A2063" s="62">
        <v>44866</v>
      </c>
      <c r="B2063" s="62" t="s">
        <v>1830</v>
      </c>
      <c r="C2063" s="23">
        <v>-5670</v>
      </c>
      <c r="D2063" s="24" t="s">
        <v>46</v>
      </c>
      <c r="E2063" s="24" t="s">
        <v>63</v>
      </c>
      <c r="F2063" s="63" t="s">
        <v>0</v>
      </c>
    </row>
    <row r="2064" spans="1:6" x14ac:dyDescent="0.25">
      <c r="A2064" s="62">
        <v>44865</v>
      </c>
      <c r="B2064" s="62" t="s">
        <v>43</v>
      </c>
      <c r="C2064" s="23">
        <v>-1941</v>
      </c>
      <c r="D2064" s="24" t="s">
        <v>167</v>
      </c>
      <c r="E2064" s="24" t="s">
        <v>168</v>
      </c>
      <c r="F2064" s="63" t="s">
        <v>0</v>
      </c>
    </row>
    <row r="2065" spans="1:6" x14ac:dyDescent="0.25">
      <c r="A2065" s="62">
        <v>44863</v>
      </c>
      <c r="B2065" s="62" t="s">
        <v>1831</v>
      </c>
      <c r="C2065" s="23">
        <v>-5800</v>
      </c>
      <c r="D2065" s="24" t="s">
        <v>49</v>
      </c>
      <c r="E2065" s="24" t="s">
        <v>56</v>
      </c>
      <c r="F2065" s="63" t="s">
        <v>0</v>
      </c>
    </row>
    <row r="2066" spans="1:6" x14ac:dyDescent="0.25">
      <c r="A2066" s="62">
        <v>44862</v>
      </c>
      <c r="B2066" s="62" t="s">
        <v>1832</v>
      </c>
      <c r="C2066" s="23">
        <v>-886</v>
      </c>
      <c r="D2066" s="24" t="s">
        <v>49</v>
      </c>
      <c r="E2066" s="24" t="s">
        <v>56</v>
      </c>
      <c r="F2066" s="63" t="s">
        <v>0</v>
      </c>
    </row>
    <row r="2067" spans="1:6" x14ac:dyDescent="0.25">
      <c r="A2067" s="62">
        <v>44862</v>
      </c>
      <c r="B2067" s="62" t="s">
        <v>1833</v>
      </c>
      <c r="C2067" s="23">
        <v>-990</v>
      </c>
      <c r="D2067" s="24" t="s">
        <v>49</v>
      </c>
      <c r="E2067" s="24" t="s">
        <v>56</v>
      </c>
      <c r="F2067" s="63" t="s">
        <v>0</v>
      </c>
    </row>
    <row r="2068" spans="1:6" x14ac:dyDescent="0.25">
      <c r="A2068" s="62">
        <v>44862</v>
      </c>
      <c r="B2068" s="62" t="s">
        <v>1834</v>
      </c>
      <c r="C2068" s="23">
        <v>-5367</v>
      </c>
      <c r="D2068" s="24" t="s">
        <v>90</v>
      </c>
      <c r="E2068" s="24" t="s">
        <v>59</v>
      </c>
      <c r="F2068" s="63" t="s">
        <v>0</v>
      </c>
    </row>
    <row r="2069" spans="1:6" x14ac:dyDescent="0.25">
      <c r="A2069" s="62">
        <v>44862</v>
      </c>
      <c r="B2069" s="62" t="s">
        <v>1835</v>
      </c>
      <c r="C2069" s="23">
        <v>-4814</v>
      </c>
      <c r="D2069" s="24" t="s">
        <v>49</v>
      </c>
      <c r="E2069" s="24" t="s">
        <v>56</v>
      </c>
      <c r="F2069" s="63" t="s">
        <v>0</v>
      </c>
    </row>
    <row r="2070" spans="1:6" x14ac:dyDescent="0.25">
      <c r="A2070" s="62">
        <v>44862</v>
      </c>
      <c r="B2070" s="62" t="s">
        <v>1836</v>
      </c>
      <c r="C2070" s="23">
        <v>-369</v>
      </c>
      <c r="D2070" s="24" t="s">
        <v>49</v>
      </c>
      <c r="E2070" s="24" t="s">
        <v>56</v>
      </c>
      <c r="F2070" s="63" t="s">
        <v>0</v>
      </c>
    </row>
    <row r="2071" spans="1:6" x14ac:dyDescent="0.25">
      <c r="A2071" s="62">
        <v>44862</v>
      </c>
      <c r="B2071" s="62" t="s">
        <v>1837</v>
      </c>
      <c r="C2071" s="23">
        <v>-5245</v>
      </c>
      <c r="D2071" s="24" t="s">
        <v>49</v>
      </c>
      <c r="E2071" s="24" t="s">
        <v>56</v>
      </c>
      <c r="F2071" s="63" t="s">
        <v>0</v>
      </c>
    </row>
    <row r="2072" spans="1:6" x14ac:dyDescent="0.25">
      <c r="A2072" s="62">
        <v>44862</v>
      </c>
      <c r="B2072" s="62" t="s">
        <v>1838</v>
      </c>
      <c r="C2072" s="23">
        <v>-1151</v>
      </c>
      <c r="D2072" s="24" t="s">
        <v>46</v>
      </c>
      <c r="E2072" s="24" t="s">
        <v>61</v>
      </c>
      <c r="F2072" s="63" t="s">
        <v>0</v>
      </c>
    </row>
    <row r="2073" spans="1:6" x14ac:dyDescent="0.25">
      <c r="A2073" s="62">
        <v>44862</v>
      </c>
      <c r="B2073" s="62" t="s">
        <v>1839</v>
      </c>
      <c r="C2073" s="23">
        <v>-18958</v>
      </c>
      <c r="D2073" s="24" t="s">
        <v>46</v>
      </c>
      <c r="E2073" s="24" t="s">
        <v>61</v>
      </c>
      <c r="F2073" s="63" t="s">
        <v>0</v>
      </c>
    </row>
    <row r="2074" spans="1:6" x14ac:dyDescent="0.25">
      <c r="A2074" s="62">
        <v>44862</v>
      </c>
      <c r="B2074" s="62" t="s">
        <v>1840</v>
      </c>
      <c r="C2074" s="23">
        <v>-2250</v>
      </c>
      <c r="D2074" s="24" t="s">
        <v>46</v>
      </c>
      <c r="E2074" s="24" t="s">
        <v>61</v>
      </c>
      <c r="F2074" s="63" t="s">
        <v>0</v>
      </c>
    </row>
    <row r="2075" spans="1:6" x14ac:dyDescent="0.25">
      <c r="A2075" s="62">
        <v>44862</v>
      </c>
      <c r="B2075" s="62" t="s">
        <v>1841</v>
      </c>
      <c r="C2075" s="23">
        <v>-4385</v>
      </c>
      <c r="D2075" s="24" t="s">
        <v>49</v>
      </c>
      <c r="E2075" s="24" t="s">
        <v>56</v>
      </c>
      <c r="F2075" s="63" t="s">
        <v>0</v>
      </c>
    </row>
    <row r="2076" spans="1:6" x14ac:dyDescent="0.25">
      <c r="A2076" s="62">
        <v>44862</v>
      </c>
      <c r="B2076" s="62" t="s">
        <v>1842</v>
      </c>
      <c r="C2076" s="23">
        <v>-17870</v>
      </c>
      <c r="D2076" s="24" t="s">
        <v>46</v>
      </c>
      <c r="E2076" s="24" t="s">
        <v>428</v>
      </c>
      <c r="F2076" s="63" t="s">
        <v>0</v>
      </c>
    </row>
    <row r="2077" spans="1:6" x14ac:dyDescent="0.25">
      <c r="A2077" s="62">
        <v>44862</v>
      </c>
      <c r="B2077" s="62" t="s">
        <v>1843</v>
      </c>
      <c r="C2077" s="23">
        <v>-4300</v>
      </c>
      <c r="D2077" s="24" t="s">
        <v>46</v>
      </c>
      <c r="E2077" s="24" t="s">
        <v>61</v>
      </c>
      <c r="F2077" s="63" t="s">
        <v>0</v>
      </c>
    </row>
    <row r="2078" spans="1:6" x14ac:dyDescent="0.25">
      <c r="A2078" s="62">
        <v>44862</v>
      </c>
      <c r="B2078" s="62" t="s">
        <v>1844</v>
      </c>
      <c r="C2078" s="23">
        <v>-3490</v>
      </c>
      <c r="D2078" s="24" t="s">
        <v>46</v>
      </c>
      <c r="E2078" s="24" t="s">
        <v>63</v>
      </c>
      <c r="F2078" s="63" t="s">
        <v>0</v>
      </c>
    </row>
    <row r="2079" spans="1:6" x14ac:dyDescent="0.25">
      <c r="A2079" s="62">
        <v>44862</v>
      </c>
      <c r="B2079" s="62" t="s">
        <v>1845</v>
      </c>
      <c r="C2079" s="23">
        <v>-30000</v>
      </c>
      <c r="D2079" s="24" t="s">
        <v>46</v>
      </c>
      <c r="E2079" s="24" t="s">
        <v>61</v>
      </c>
      <c r="F2079" s="63" t="s">
        <v>0</v>
      </c>
    </row>
    <row r="2080" spans="1:6" x14ac:dyDescent="0.25">
      <c r="A2080" s="62">
        <v>44861</v>
      </c>
      <c r="B2080" s="62" t="s">
        <v>1846</v>
      </c>
      <c r="C2080" s="23">
        <v>-4075</v>
      </c>
      <c r="D2080" s="24" t="s">
        <v>49</v>
      </c>
      <c r="E2080" s="24" t="s">
        <v>56</v>
      </c>
      <c r="F2080" s="63" t="s">
        <v>0</v>
      </c>
    </row>
    <row r="2081" spans="1:6" x14ac:dyDescent="0.25">
      <c r="A2081" s="62">
        <v>44861</v>
      </c>
      <c r="B2081" s="62" t="s">
        <v>1847</v>
      </c>
      <c r="C2081" s="23">
        <v>-1554</v>
      </c>
      <c r="D2081" s="24" t="s">
        <v>49</v>
      </c>
      <c r="E2081" s="24" t="s">
        <v>56</v>
      </c>
      <c r="F2081" s="63" t="s">
        <v>0</v>
      </c>
    </row>
    <row r="2082" spans="1:6" x14ac:dyDescent="0.25">
      <c r="A2082" s="62">
        <v>44860</v>
      </c>
      <c r="B2082" s="62" t="s">
        <v>1848</v>
      </c>
      <c r="C2082" s="23">
        <v>-220</v>
      </c>
      <c r="D2082" s="24" t="s">
        <v>49</v>
      </c>
      <c r="E2082" s="24" t="s">
        <v>56</v>
      </c>
      <c r="F2082" s="63" t="s">
        <v>0</v>
      </c>
    </row>
    <row r="2083" spans="1:6" x14ac:dyDescent="0.25">
      <c r="A2083" s="62">
        <v>44860</v>
      </c>
      <c r="B2083" s="62" t="s">
        <v>1849</v>
      </c>
      <c r="C2083" s="23">
        <v>-1509</v>
      </c>
      <c r="D2083" s="24" t="s">
        <v>49</v>
      </c>
      <c r="E2083" s="24" t="s">
        <v>56</v>
      </c>
      <c r="F2083" s="63" t="s">
        <v>0</v>
      </c>
    </row>
    <row r="2084" spans="1:6" x14ac:dyDescent="0.25">
      <c r="A2084" s="62">
        <v>44860</v>
      </c>
      <c r="B2084" s="62" t="s">
        <v>1850</v>
      </c>
      <c r="C2084" s="23">
        <v>-20500</v>
      </c>
      <c r="D2084" s="24" t="s">
        <v>49</v>
      </c>
      <c r="E2084" s="24" t="s">
        <v>56</v>
      </c>
      <c r="F2084" s="63" t="s">
        <v>0</v>
      </c>
    </row>
    <row r="2085" spans="1:6" x14ac:dyDescent="0.25">
      <c r="A2085" s="62">
        <v>44860</v>
      </c>
      <c r="B2085" s="62" t="s">
        <v>1851</v>
      </c>
      <c r="C2085" s="23">
        <v>-3200</v>
      </c>
      <c r="D2085" s="24" t="s">
        <v>46</v>
      </c>
      <c r="E2085" s="24" t="s">
        <v>61</v>
      </c>
      <c r="F2085" s="63" t="s">
        <v>0</v>
      </c>
    </row>
    <row r="2086" spans="1:6" x14ac:dyDescent="0.25">
      <c r="A2086" s="62">
        <v>44860</v>
      </c>
      <c r="B2086" s="62" t="s">
        <v>1852</v>
      </c>
      <c r="C2086" s="23">
        <v>-15000</v>
      </c>
      <c r="D2086" s="24" t="s">
        <v>46</v>
      </c>
      <c r="E2086" s="24" t="s">
        <v>61</v>
      </c>
      <c r="F2086" s="63" t="s">
        <v>0</v>
      </c>
    </row>
    <row r="2087" spans="1:6" x14ac:dyDescent="0.25">
      <c r="A2087" s="62">
        <v>44859</v>
      </c>
      <c r="B2087" s="62" t="s">
        <v>1853</v>
      </c>
      <c r="C2087" s="23">
        <v>-50000</v>
      </c>
      <c r="D2087" s="24" t="s">
        <v>46</v>
      </c>
      <c r="E2087" s="24" t="s">
        <v>61</v>
      </c>
      <c r="F2087" s="63" t="s">
        <v>0</v>
      </c>
    </row>
    <row r="2088" spans="1:6" x14ac:dyDescent="0.25">
      <c r="A2088" s="62">
        <v>44859</v>
      </c>
      <c r="B2088" s="62" t="s">
        <v>1854</v>
      </c>
      <c r="C2088" s="23">
        <v>-100000</v>
      </c>
      <c r="D2088" s="24" t="s">
        <v>46</v>
      </c>
      <c r="E2088" s="24" t="s">
        <v>61</v>
      </c>
      <c r="F2088" s="63" t="s">
        <v>0</v>
      </c>
    </row>
    <row r="2089" spans="1:6" x14ac:dyDescent="0.25">
      <c r="A2089" s="62">
        <v>44859</v>
      </c>
      <c r="B2089" s="62" t="s">
        <v>1845</v>
      </c>
      <c r="C2089" s="23">
        <v>-30000</v>
      </c>
      <c r="D2089" s="24" t="s">
        <v>46</v>
      </c>
      <c r="E2089" s="24" t="s">
        <v>61</v>
      </c>
      <c r="F2089" s="63" t="s">
        <v>0</v>
      </c>
    </row>
    <row r="2090" spans="1:6" x14ac:dyDescent="0.25">
      <c r="A2090" s="62">
        <v>44858</v>
      </c>
      <c r="B2090" s="62" t="s">
        <v>1855</v>
      </c>
      <c r="C2090" s="23">
        <v>24999</v>
      </c>
      <c r="D2090" s="24" t="s">
        <v>49</v>
      </c>
      <c r="E2090" s="24" t="s">
        <v>213</v>
      </c>
      <c r="F2090" s="63" t="s">
        <v>0</v>
      </c>
    </row>
    <row r="2091" spans="1:6" x14ac:dyDescent="0.25">
      <c r="A2091" s="62">
        <v>44858</v>
      </c>
      <c r="B2091" s="62" t="s">
        <v>1856</v>
      </c>
      <c r="C2091" s="23">
        <v>-6310</v>
      </c>
      <c r="D2091" s="24" t="s">
        <v>90</v>
      </c>
      <c r="E2091" s="24" t="s">
        <v>59</v>
      </c>
      <c r="F2091" s="63" t="s">
        <v>0</v>
      </c>
    </row>
    <row r="2092" spans="1:6" x14ac:dyDescent="0.25">
      <c r="A2092" s="62">
        <v>44858</v>
      </c>
      <c r="B2092" s="62" t="s">
        <v>1857</v>
      </c>
      <c r="C2092" s="23">
        <v>-8796</v>
      </c>
      <c r="D2092" s="24" t="s">
        <v>90</v>
      </c>
      <c r="E2092" s="24" t="s">
        <v>106</v>
      </c>
      <c r="F2092" s="63" t="s">
        <v>0</v>
      </c>
    </row>
    <row r="2093" spans="1:6" x14ac:dyDescent="0.25">
      <c r="A2093" s="62">
        <v>44858</v>
      </c>
      <c r="B2093" s="62" t="s">
        <v>1858</v>
      </c>
      <c r="C2093" s="23">
        <v>-18259</v>
      </c>
      <c r="D2093" s="24" t="s">
        <v>46</v>
      </c>
      <c r="E2093" s="24" t="s">
        <v>150</v>
      </c>
      <c r="F2093" s="63" t="s">
        <v>0</v>
      </c>
    </row>
    <row r="2094" spans="1:6" x14ac:dyDescent="0.25">
      <c r="A2094" s="62">
        <v>44858</v>
      </c>
      <c r="B2094" s="62" t="s">
        <v>1859</v>
      </c>
      <c r="C2094" s="23">
        <v>-8000</v>
      </c>
      <c r="D2094" s="24" t="s">
        <v>46</v>
      </c>
      <c r="E2094" s="24" t="s">
        <v>428</v>
      </c>
      <c r="F2094" s="63" t="s">
        <v>0</v>
      </c>
    </row>
    <row r="2095" spans="1:6" x14ac:dyDescent="0.25">
      <c r="A2095" s="62">
        <v>44858</v>
      </c>
      <c r="B2095" s="62" t="s">
        <v>1860</v>
      </c>
      <c r="C2095" s="23">
        <v>-7936</v>
      </c>
      <c r="D2095" s="24" t="s">
        <v>49</v>
      </c>
      <c r="E2095" s="24" t="s">
        <v>56</v>
      </c>
      <c r="F2095" s="63" t="s">
        <v>0</v>
      </c>
    </row>
    <row r="2096" spans="1:6" x14ac:dyDescent="0.25">
      <c r="A2096" s="62">
        <v>44858</v>
      </c>
      <c r="B2096" s="62" t="s">
        <v>1861</v>
      </c>
      <c r="C2096" s="23">
        <v>-7873</v>
      </c>
      <c r="D2096" s="24" t="s">
        <v>49</v>
      </c>
      <c r="E2096" s="24" t="s">
        <v>56</v>
      </c>
      <c r="F2096" s="63" t="s">
        <v>0</v>
      </c>
    </row>
    <row r="2097" spans="1:6" x14ac:dyDescent="0.25">
      <c r="A2097" s="62">
        <v>44858</v>
      </c>
      <c r="B2097" s="62" t="s">
        <v>1862</v>
      </c>
      <c r="C2097" s="23">
        <v>-6313</v>
      </c>
      <c r="D2097" s="24" t="s">
        <v>46</v>
      </c>
      <c r="E2097" s="24" t="s">
        <v>61</v>
      </c>
      <c r="F2097" s="63" t="s">
        <v>0</v>
      </c>
    </row>
    <row r="2098" spans="1:6" x14ac:dyDescent="0.25">
      <c r="A2098" s="62">
        <v>44858</v>
      </c>
      <c r="B2098" s="62" t="s">
        <v>1863</v>
      </c>
      <c r="C2098" s="23">
        <v>-2030</v>
      </c>
      <c r="D2098" s="24" t="s">
        <v>52</v>
      </c>
      <c r="E2098" s="24" t="s">
        <v>134</v>
      </c>
      <c r="F2098" s="63" t="s">
        <v>0</v>
      </c>
    </row>
    <row r="2099" spans="1:6" x14ac:dyDescent="0.25">
      <c r="A2099" s="62">
        <v>44858</v>
      </c>
      <c r="B2099" s="62" t="s">
        <v>1864</v>
      </c>
      <c r="C2099" s="23">
        <v>-7500</v>
      </c>
      <c r="D2099" s="24" t="s">
        <v>52</v>
      </c>
      <c r="E2099" s="24" t="s">
        <v>1865</v>
      </c>
      <c r="F2099" s="63" t="s">
        <v>0</v>
      </c>
    </row>
    <row r="2100" spans="1:6" x14ac:dyDescent="0.25">
      <c r="A2100" s="62">
        <v>44858</v>
      </c>
      <c r="B2100" s="62" t="s">
        <v>1866</v>
      </c>
      <c r="C2100" s="23">
        <v>-847</v>
      </c>
      <c r="D2100" s="24" t="s">
        <v>49</v>
      </c>
      <c r="E2100" s="24" t="s">
        <v>56</v>
      </c>
      <c r="F2100" s="63" t="s">
        <v>0</v>
      </c>
    </row>
    <row r="2101" spans="1:6" x14ac:dyDescent="0.25">
      <c r="A2101" s="62">
        <v>44858</v>
      </c>
      <c r="B2101" s="62" t="s">
        <v>1867</v>
      </c>
      <c r="C2101" s="23">
        <v>-11742</v>
      </c>
      <c r="D2101" s="24" t="s">
        <v>46</v>
      </c>
      <c r="E2101" s="24" t="s">
        <v>80</v>
      </c>
      <c r="F2101" s="63" t="s">
        <v>0</v>
      </c>
    </row>
    <row r="2102" spans="1:6" x14ac:dyDescent="0.25">
      <c r="A2102" s="62">
        <v>44858</v>
      </c>
      <c r="B2102" s="62" t="s">
        <v>1868</v>
      </c>
      <c r="C2102" s="23">
        <v>-7080</v>
      </c>
      <c r="D2102" s="24" t="s">
        <v>46</v>
      </c>
      <c r="E2102" s="24" t="s">
        <v>63</v>
      </c>
      <c r="F2102" s="63" t="s">
        <v>0</v>
      </c>
    </row>
    <row r="2103" spans="1:6" x14ac:dyDescent="0.25">
      <c r="A2103" s="62">
        <v>44858</v>
      </c>
      <c r="B2103" s="62" t="s">
        <v>1869</v>
      </c>
      <c r="C2103" s="23">
        <v>-2790</v>
      </c>
      <c r="D2103" s="24" t="s">
        <v>72</v>
      </c>
      <c r="E2103" s="24" t="s">
        <v>126</v>
      </c>
      <c r="F2103" s="63" t="s">
        <v>0</v>
      </c>
    </row>
    <row r="2104" spans="1:6" x14ac:dyDescent="0.25">
      <c r="A2104" s="62">
        <v>44855</v>
      </c>
      <c r="B2104" s="62" t="s">
        <v>139</v>
      </c>
      <c r="C2104" s="23">
        <v>25917</v>
      </c>
      <c r="D2104" s="24" t="s">
        <v>58</v>
      </c>
      <c r="E2104" s="24" t="s">
        <v>58</v>
      </c>
      <c r="F2104" s="63" t="s">
        <v>4</v>
      </c>
    </row>
    <row r="2105" spans="1:6" x14ac:dyDescent="0.25">
      <c r="A2105" s="62">
        <v>44855</v>
      </c>
      <c r="B2105" s="62" t="s">
        <v>139</v>
      </c>
      <c r="C2105" s="23">
        <v>7670</v>
      </c>
      <c r="D2105" s="24" t="s">
        <v>58</v>
      </c>
      <c r="E2105" s="24" t="s">
        <v>58</v>
      </c>
      <c r="F2105" s="63" t="s">
        <v>4</v>
      </c>
    </row>
    <row r="2106" spans="1:6" x14ac:dyDescent="0.25">
      <c r="A2106" s="62">
        <v>44855</v>
      </c>
      <c r="B2106" s="62" t="s">
        <v>1870</v>
      </c>
      <c r="C2106" s="23">
        <v>-2487</v>
      </c>
      <c r="D2106" s="24" t="s">
        <v>49</v>
      </c>
      <c r="E2106" s="24" t="s">
        <v>56</v>
      </c>
      <c r="F2106" s="63" t="s">
        <v>0</v>
      </c>
    </row>
    <row r="2107" spans="1:6" x14ac:dyDescent="0.25">
      <c r="A2107" s="62">
        <v>44854</v>
      </c>
      <c r="B2107" s="62" t="s">
        <v>1871</v>
      </c>
      <c r="C2107" s="23">
        <v>-293</v>
      </c>
      <c r="D2107" s="24" t="s">
        <v>72</v>
      </c>
      <c r="E2107" s="24" t="s">
        <v>197</v>
      </c>
      <c r="F2107" s="63" t="s">
        <v>0</v>
      </c>
    </row>
    <row r="2108" spans="1:6" x14ac:dyDescent="0.25">
      <c r="A2108" s="62">
        <v>44854</v>
      </c>
      <c r="B2108" s="62" t="s">
        <v>1872</v>
      </c>
      <c r="C2108" s="23">
        <v>-759</v>
      </c>
      <c r="D2108" s="24" t="s">
        <v>52</v>
      </c>
      <c r="E2108" s="24" t="s">
        <v>53</v>
      </c>
      <c r="F2108" s="63" t="s">
        <v>0</v>
      </c>
    </row>
    <row r="2109" spans="1:6" x14ac:dyDescent="0.25">
      <c r="A2109" s="62">
        <v>44854</v>
      </c>
      <c r="B2109" s="62" t="s">
        <v>1873</v>
      </c>
      <c r="C2109" s="23">
        <v>-261</v>
      </c>
      <c r="D2109" s="24" t="s">
        <v>49</v>
      </c>
      <c r="E2109" s="24" t="s">
        <v>56</v>
      </c>
      <c r="F2109" s="63" t="s">
        <v>0</v>
      </c>
    </row>
    <row r="2110" spans="1:6" x14ac:dyDescent="0.25">
      <c r="A2110" s="62">
        <v>44854</v>
      </c>
      <c r="B2110" s="62" t="s">
        <v>1874</v>
      </c>
      <c r="C2110" s="23">
        <v>-1975</v>
      </c>
      <c r="D2110" s="24" t="s">
        <v>46</v>
      </c>
      <c r="E2110" s="24" t="s">
        <v>61</v>
      </c>
      <c r="F2110" s="63" t="s">
        <v>0</v>
      </c>
    </row>
    <row r="2111" spans="1:6" x14ac:dyDescent="0.25">
      <c r="A2111" s="62">
        <v>44853</v>
      </c>
      <c r="B2111" s="62" t="s">
        <v>746</v>
      </c>
      <c r="C2111" s="23">
        <v>-2100</v>
      </c>
      <c r="D2111" s="24" t="s">
        <v>52</v>
      </c>
      <c r="E2111" s="24" t="s">
        <v>53</v>
      </c>
      <c r="F2111" s="63" t="s">
        <v>4</v>
      </c>
    </row>
    <row r="2112" spans="1:6" x14ac:dyDescent="0.25">
      <c r="A2112" s="62">
        <v>44853</v>
      </c>
      <c r="B2112" s="62" t="s">
        <v>1875</v>
      </c>
      <c r="C2112" s="23">
        <v>27990</v>
      </c>
      <c r="D2112" s="24" t="s">
        <v>49</v>
      </c>
      <c r="E2112" s="24" t="s">
        <v>213</v>
      </c>
      <c r="F2112" s="63" t="s">
        <v>0</v>
      </c>
    </row>
    <row r="2113" spans="1:6" x14ac:dyDescent="0.25">
      <c r="A2113" s="62">
        <v>44853</v>
      </c>
      <c r="B2113" s="62" t="s">
        <v>1876</v>
      </c>
      <c r="C2113" s="23">
        <v>-2550</v>
      </c>
      <c r="D2113" s="24" t="s">
        <v>90</v>
      </c>
      <c r="E2113" s="24" t="s">
        <v>93</v>
      </c>
      <c r="F2113" s="63" t="s">
        <v>0</v>
      </c>
    </row>
    <row r="2114" spans="1:6" x14ac:dyDescent="0.25">
      <c r="A2114" s="62">
        <v>44853</v>
      </c>
      <c r="B2114" s="62" t="s">
        <v>1877</v>
      </c>
      <c r="C2114" s="23">
        <v>-3802</v>
      </c>
      <c r="D2114" s="24" t="s">
        <v>49</v>
      </c>
      <c r="E2114" s="24" t="s">
        <v>56</v>
      </c>
      <c r="F2114" s="63" t="s">
        <v>0</v>
      </c>
    </row>
    <row r="2115" spans="1:6" x14ac:dyDescent="0.25">
      <c r="A2115" s="62">
        <v>44853</v>
      </c>
      <c r="B2115" s="62" t="s">
        <v>1878</v>
      </c>
      <c r="C2115" s="23">
        <v>-5000</v>
      </c>
      <c r="D2115" s="24" t="s">
        <v>90</v>
      </c>
      <c r="E2115" s="24" t="s">
        <v>91</v>
      </c>
      <c r="F2115" s="63" t="s">
        <v>0</v>
      </c>
    </row>
    <row r="2116" spans="1:6" x14ac:dyDescent="0.25">
      <c r="A2116" s="62">
        <v>44853</v>
      </c>
      <c r="B2116" s="62" t="s">
        <v>1879</v>
      </c>
      <c r="C2116" s="23">
        <v>-5629</v>
      </c>
      <c r="D2116" s="24" t="s">
        <v>90</v>
      </c>
      <c r="E2116" s="24" t="s">
        <v>93</v>
      </c>
      <c r="F2116" s="63" t="s">
        <v>0</v>
      </c>
    </row>
    <row r="2117" spans="1:6" x14ac:dyDescent="0.25">
      <c r="A2117" s="62">
        <v>44853</v>
      </c>
      <c r="B2117" s="62" t="s">
        <v>1880</v>
      </c>
      <c r="C2117" s="23">
        <v>-14000</v>
      </c>
      <c r="D2117" s="24" t="s">
        <v>90</v>
      </c>
      <c r="E2117" s="24" t="s">
        <v>91</v>
      </c>
      <c r="F2117" s="63" t="s">
        <v>0</v>
      </c>
    </row>
    <row r="2118" spans="1:6" x14ac:dyDescent="0.25">
      <c r="A2118" s="62">
        <v>44853</v>
      </c>
      <c r="B2118" s="62" t="s">
        <v>1881</v>
      </c>
      <c r="C2118" s="23">
        <v>-660</v>
      </c>
      <c r="D2118" s="24" t="s">
        <v>72</v>
      </c>
      <c r="E2118" s="24" t="s">
        <v>73</v>
      </c>
      <c r="F2118" s="63" t="s">
        <v>0</v>
      </c>
    </row>
    <row r="2119" spans="1:6" x14ac:dyDescent="0.25">
      <c r="A2119" s="62">
        <v>44853</v>
      </c>
      <c r="B2119" s="62" t="s">
        <v>1882</v>
      </c>
      <c r="C2119" s="23">
        <v>-4600</v>
      </c>
      <c r="D2119" s="24" t="s">
        <v>49</v>
      </c>
      <c r="E2119" s="24" t="s">
        <v>56</v>
      </c>
      <c r="F2119" s="63" t="s">
        <v>0</v>
      </c>
    </row>
    <row r="2120" spans="1:6" x14ac:dyDescent="0.25">
      <c r="A2120" s="62">
        <v>44853</v>
      </c>
      <c r="B2120" s="62" t="s">
        <v>1883</v>
      </c>
      <c r="C2120" s="23">
        <v>-4950</v>
      </c>
      <c r="D2120" s="24" t="s">
        <v>49</v>
      </c>
      <c r="E2120" s="24" t="s">
        <v>213</v>
      </c>
      <c r="F2120" s="63" t="s">
        <v>0</v>
      </c>
    </row>
    <row r="2121" spans="1:6" x14ac:dyDescent="0.25">
      <c r="A2121" s="62">
        <v>44852</v>
      </c>
      <c r="B2121" s="62" t="s">
        <v>1884</v>
      </c>
      <c r="C2121" s="23">
        <v>-8534</v>
      </c>
      <c r="D2121" s="24" t="s">
        <v>52</v>
      </c>
      <c r="E2121" s="24" t="s">
        <v>53</v>
      </c>
      <c r="F2121" s="63" t="s">
        <v>4</v>
      </c>
    </row>
    <row r="2122" spans="1:6" x14ac:dyDescent="0.25">
      <c r="A2122" s="62">
        <v>44852</v>
      </c>
      <c r="B2122" s="62" t="s">
        <v>1885</v>
      </c>
      <c r="C2122" s="23">
        <v>-11799</v>
      </c>
      <c r="D2122" s="24" t="s">
        <v>46</v>
      </c>
      <c r="E2122" s="24" t="s">
        <v>61</v>
      </c>
      <c r="F2122" s="63" t="s">
        <v>0</v>
      </c>
    </row>
    <row r="2123" spans="1:6" x14ac:dyDescent="0.25">
      <c r="A2123" s="62">
        <v>44852</v>
      </c>
      <c r="B2123" s="62" t="s">
        <v>1886</v>
      </c>
      <c r="C2123" s="23">
        <v>-475122</v>
      </c>
      <c r="D2123" s="24" t="s">
        <v>46</v>
      </c>
      <c r="E2123" s="24" t="s">
        <v>61</v>
      </c>
      <c r="F2123" s="63" t="s">
        <v>0</v>
      </c>
    </row>
    <row r="2124" spans="1:6" x14ac:dyDescent="0.25">
      <c r="A2124" s="62">
        <v>44852</v>
      </c>
      <c r="B2124" s="62" t="s">
        <v>1887</v>
      </c>
      <c r="C2124" s="23">
        <v>4000</v>
      </c>
      <c r="D2124" s="24" t="s">
        <v>46</v>
      </c>
      <c r="E2124" s="24" t="s">
        <v>428</v>
      </c>
      <c r="F2124" s="63" t="s">
        <v>0</v>
      </c>
    </row>
    <row r="2125" spans="1:6" x14ac:dyDescent="0.25">
      <c r="A2125" s="62">
        <v>44852</v>
      </c>
      <c r="B2125" s="62" t="s">
        <v>1888</v>
      </c>
      <c r="C2125" s="23">
        <v>-2799</v>
      </c>
      <c r="D2125" s="24" t="s">
        <v>49</v>
      </c>
      <c r="E2125" s="24" t="s">
        <v>56</v>
      </c>
      <c r="F2125" s="63" t="s">
        <v>0</v>
      </c>
    </row>
    <row r="2126" spans="1:6" x14ac:dyDescent="0.25">
      <c r="A2126" s="62">
        <v>44852</v>
      </c>
      <c r="B2126" s="62" t="s">
        <v>1859</v>
      </c>
      <c r="C2126" s="23">
        <v>-8000</v>
      </c>
      <c r="D2126" s="24" t="s">
        <v>46</v>
      </c>
      <c r="E2126" s="24" t="s">
        <v>428</v>
      </c>
      <c r="F2126" s="63" t="s">
        <v>0</v>
      </c>
    </row>
    <row r="2127" spans="1:6" x14ac:dyDescent="0.25">
      <c r="A2127" s="62">
        <v>44852</v>
      </c>
      <c r="B2127" s="62" t="s">
        <v>1889</v>
      </c>
      <c r="C2127" s="23">
        <v>-1000</v>
      </c>
      <c r="D2127" s="24" t="s">
        <v>52</v>
      </c>
      <c r="E2127" s="24" t="s">
        <v>134</v>
      </c>
      <c r="F2127" s="63" t="s">
        <v>0</v>
      </c>
    </row>
    <row r="2128" spans="1:6" x14ac:dyDescent="0.25">
      <c r="A2128" s="62">
        <v>44852</v>
      </c>
      <c r="B2128" s="62" t="s">
        <v>1890</v>
      </c>
      <c r="C2128" s="23">
        <v>-12173</v>
      </c>
      <c r="D2128" s="24" t="s">
        <v>49</v>
      </c>
      <c r="E2128" s="24" t="s">
        <v>56</v>
      </c>
      <c r="F2128" s="63" t="s">
        <v>0</v>
      </c>
    </row>
    <row r="2129" spans="1:6" x14ac:dyDescent="0.25">
      <c r="A2129" s="62">
        <v>44852</v>
      </c>
      <c r="B2129" s="62" t="s">
        <v>1891</v>
      </c>
      <c r="C2129" s="23">
        <v>-1042</v>
      </c>
      <c r="D2129" s="24" t="s">
        <v>72</v>
      </c>
      <c r="E2129" s="24" t="s">
        <v>73</v>
      </c>
      <c r="F2129" s="63" t="s">
        <v>0</v>
      </c>
    </row>
    <row r="2130" spans="1:6" x14ac:dyDescent="0.25">
      <c r="A2130" s="62">
        <v>44851</v>
      </c>
      <c r="B2130" s="62" t="s">
        <v>1892</v>
      </c>
      <c r="C2130" s="23">
        <v>-1755</v>
      </c>
      <c r="D2130" s="24" t="s">
        <v>49</v>
      </c>
      <c r="E2130" s="24" t="s">
        <v>56</v>
      </c>
      <c r="F2130" s="63" t="s">
        <v>0</v>
      </c>
    </row>
    <row r="2131" spans="1:6" x14ac:dyDescent="0.25">
      <c r="A2131" s="62">
        <v>44851</v>
      </c>
      <c r="B2131" s="62" t="s">
        <v>1893</v>
      </c>
      <c r="C2131" s="23">
        <v>-8439</v>
      </c>
      <c r="D2131" s="24" t="s">
        <v>90</v>
      </c>
      <c r="E2131" s="24" t="s">
        <v>106</v>
      </c>
      <c r="F2131" s="63" t="s">
        <v>0</v>
      </c>
    </row>
    <row r="2132" spans="1:6" x14ac:dyDescent="0.25">
      <c r="A2132" s="62">
        <v>44851</v>
      </c>
      <c r="B2132" s="62" t="s">
        <v>1894</v>
      </c>
      <c r="C2132" s="23">
        <v>-1180</v>
      </c>
      <c r="D2132" s="24" t="s">
        <v>52</v>
      </c>
      <c r="E2132" s="24" t="s">
        <v>134</v>
      </c>
      <c r="F2132" s="63" t="s">
        <v>0</v>
      </c>
    </row>
    <row r="2133" spans="1:6" x14ac:dyDescent="0.25">
      <c r="A2133" s="62">
        <v>44851</v>
      </c>
      <c r="B2133" s="62" t="s">
        <v>1895</v>
      </c>
      <c r="C2133" s="23">
        <v>-4870</v>
      </c>
      <c r="D2133" s="24" t="s">
        <v>49</v>
      </c>
      <c r="E2133" s="24" t="s">
        <v>56</v>
      </c>
      <c r="F2133" s="63" t="s">
        <v>0</v>
      </c>
    </row>
    <row r="2134" spans="1:6" x14ac:dyDescent="0.25">
      <c r="A2134" s="62">
        <v>44851</v>
      </c>
      <c r="B2134" s="62" t="s">
        <v>1896</v>
      </c>
      <c r="C2134" s="23">
        <v>-3820</v>
      </c>
      <c r="D2134" s="24" t="s">
        <v>49</v>
      </c>
      <c r="E2134" s="24" t="s">
        <v>56</v>
      </c>
      <c r="F2134" s="63" t="s">
        <v>0</v>
      </c>
    </row>
    <row r="2135" spans="1:6" x14ac:dyDescent="0.25">
      <c r="A2135" s="62">
        <v>44851</v>
      </c>
      <c r="B2135" s="62" t="s">
        <v>1897</v>
      </c>
      <c r="C2135" s="23">
        <v>-16970</v>
      </c>
      <c r="D2135" s="24" t="s">
        <v>49</v>
      </c>
      <c r="E2135" s="24" t="s">
        <v>56</v>
      </c>
      <c r="F2135" s="63" t="s">
        <v>0</v>
      </c>
    </row>
    <row r="2136" spans="1:6" x14ac:dyDescent="0.25">
      <c r="A2136" s="62">
        <v>44849</v>
      </c>
      <c r="B2136" s="62" t="s">
        <v>1898</v>
      </c>
      <c r="C2136" s="23">
        <v>-11385</v>
      </c>
      <c r="D2136" s="24" t="s">
        <v>52</v>
      </c>
      <c r="E2136" s="24" t="s">
        <v>1865</v>
      </c>
      <c r="F2136" s="63" t="s">
        <v>0</v>
      </c>
    </row>
    <row r="2137" spans="1:6" x14ac:dyDescent="0.25">
      <c r="A2137" s="62">
        <v>44849</v>
      </c>
      <c r="B2137" s="62" t="s">
        <v>1899</v>
      </c>
      <c r="C2137" s="23">
        <v>-709</v>
      </c>
      <c r="D2137" s="24" t="s">
        <v>72</v>
      </c>
      <c r="E2137" s="24" t="s">
        <v>73</v>
      </c>
      <c r="F2137" s="63" t="s">
        <v>0</v>
      </c>
    </row>
    <row r="2138" spans="1:6" x14ac:dyDescent="0.25">
      <c r="A2138" s="62">
        <v>44848</v>
      </c>
      <c r="B2138" s="62" t="s">
        <v>1900</v>
      </c>
      <c r="C2138" s="23">
        <v>-643</v>
      </c>
      <c r="D2138" s="24" t="s">
        <v>49</v>
      </c>
      <c r="E2138" s="24" t="s">
        <v>56</v>
      </c>
      <c r="F2138" s="63" t="s">
        <v>0</v>
      </c>
    </row>
    <row r="2139" spans="1:6" x14ac:dyDescent="0.25">
      <c r="A2139" s="62">
        <v>44847</v>
      </c>
      <c r="B2139" s="62" t="s">
        <v>1901</v>
      </c>
      <c r="C2139" s="23">
        <v>-10000</v>
      </c>
      <c r="D2139" s="24" t="s">
        <v>72</v>
      </c>
      <c r="E2139" s="24" t="s">
        <v>109</v>
      </c>
      <c r="F2139" s="63" t="s">
        <v>0</v>
      </c>
    </row>
    <row r="2140" spans="1:6" x14ac:dyDescent="0.25">
      <c r="A2140" s="62">
        <v>44847</v>
      </c>
      <c r="B2140" s="62" t="s">
        <v>1902</v>
      </c>
      <c r="C2140" s="23">
        <v>-2412</v>
      </c>
      <c r="D2140" s="24" t="s">
        <v>72</v>
      </c>
      <c r="E2140" s="24" t="s">
        <v>109</v>
      </c>
      <c r="F2140" s="63" t="s">
        <v>0</v>
      </c>
    </row>
    <row r="2141" spans="1:6" x14ac:dyDescent="0.25">
      <c r="A2141" s="62">
        <v>44847</v>
      </c>
      <c r="B2141" s="62" t="s">
        <v>1903</v>
      </c>
      <c r="C2141" s="23">
        <v>-22470</v>
      </c>
      <c r="D2141" s="24" t="s">
        <v>49</v>
      </c>
      <c r="E2141" s="24" t="s">
        <v>56</v>
      </c>
      <c r="F2141" s="63" t="s">
        <v>0</v>
      </c>
    </row>
    <row r="2142" spans="1:6" x14ac:dyDescent="0.25">
      <c r="A2142" s="62">
        <v>44847</v>
      </c>
      <c r="B2142" s="62" t="s">
        <v>1904</v>
      </c>
      <c r="C2142" s="23">
        <v>-799</v>
      </c>
      <c r="D2142" s="24" t="s">
        <v>49</v>
      </c>
      <c r="E2142" s="24" t="s">
        <v>56</v>
      </c>
      <c r="F2142" s="63" t="s">
        <v>0</v>
      </c>
    </row>
    <row r="2143" spans="1:6" x14ac:dyDescent="0.25">
      <c r="A2143" s="62">
        <v>44846</v>
      </c>
      <c r="B2143" s="62" t="s">
        <v>1905</v>
      </c>
      <c r="C2143" s="23">
        <v>-3590</v>
      </c>
      <c r="D2143" s="24" t="s">
        <v>52</v>
      </c>
      <c r="E2143" s="24" t="s">
        <v>134</v>
      </c>
      <c r="F2143" s="63" t="s">
        <v>0</v>
      </c>
    </row>
    <row r="2144" spans="1:6" x14ac:dyDescent="0.25">
      <c r="A2144" s="62">
        <v>44845</v>
      </c>
      <c r="B2144" s="62" t="s">
        <v>1906</v>
      </c>
      <c r="C2144" s="23">
        <v>-4990</v>
      </c>
      <c r="D2144" s="24" t="s">
        <v>46</v>
      </c>
      <c r="E2144" s="24" t="s">
        <v>428</v>
      </c>
      <c r="F2144" s="63" t="s">
        <v>0</v>
      </c>
    </row>
    <row r="2145" spans="1:6" x14ac:dyDescent="0.25">
      <c r="A2145" s="62">
        <v>44845</v>
      </c>
      <c r="B2145" s="62" t="s">
        <v>1907</v>
      </c>
      <c r="C2145" s="23">
        <v>-2820</v>
      </c>
      <c r="D2145" s="24" t="s">
        <v>52</v>
      </c>
      <c r="E2145" s="24" t="s">
        <v>134</v>
      </c>
      <c r="F2145" s="63" t="s">
        <v>0</v>
      </c>
    </row>
    <row r="2146" spans="1:6" x14ac:dyDescent="0.25">
      <c r="A2146" s="62">
        <v>44844</v>
      </c>
      <c r="B2146" s="62" t="s">
        <v>1908</v>
      </c>
      <c r="C2146" s="23">
        <v>-213490.45</v>
      </c>
      <c r="D2146" s="24" t="s">
        <v>46</v>
      </c>
      <c r="E2146" s="24" t="s">
        <v>10</v>
      </c>
      <c r="F2146" s="63" t="s">
        <v>0</v>
      </c>
    </row>
    <row r="2147" spans="1:6" x14ac:dyDescent="0.25">
      <c r="A2147" s="62">
        <v>44844</v>
      </c>
      <c r="B2147" s="62" t="s">
        <v>1909</v>
      </c>
      <c r="C2147" s="23">
        <v>-490</v>
      </c>
      <c r="D2147" s="24" t="s">
        <v>52</v>
      </c>
      <c r="E2147" s="24" t="s">
        <v>53</v>
      </c>
      <c r="F2147" s="63" t="s">
        <v>0</v>
      </c>
    </row>
    <row r="2148" spans="1:6" x14ac:dyDescent="0.25">
      <c r="A2148" s="62">
        <v>44844</v>
      </c>
      <c r="B2148" s="62" t="s">
        <v>1910</v>
      </c>
      <c r="C2148" s="23">
        <v>-2060</v>
      </c>
      <c r="D2148" s="24" t="s">
        <v>49</v>
      </c>
      <c r="E2148" s="24" t="s">
        <v>213</v>
      </c>
      <c r="F2148" s="63" t="s">
        <v>0</v>
      </c>
    </row>
    <row r="2149" spans="1:6" x14ac:dyDescent="0.25">
      <c r="A2149" s="62">
        <v>44844</v>
      </c>
      <c r="B2149" s="62" t="s">
        <v>1911</v>
      </c>
      <c r="C2149" s="23">
        <v>-10285</v>
      </c>
      <c r="D2149" s="24" t="s">
        <v>49</v>
      </c>
      <c r="E2149" s="24" t="s">
        <v>213</v>
      </c>
      <c r="F2149" s="63" t="s">
        <v>0</v>
      </c>
    </row>
    <row r="2150" spans="1:6" x14ac:dyDescent="0.25">
      <c r="A2150" s="62">
        <v>44844</v>
      </c>
      <c r="B2150" s="62" t="s">
        <v>1912</v>
      </c>
      <c r="C2150" s="23">
        <v>-27892</v>
      </c>
      <c r="D2150" s="24" t="s">
        <v>49</v>
      </c>
      <c r="E2150" s="24" t="s">
        <v>50</v>
      </c>
      <c r="F2150" s="63" t="s">
        <v>0</v>
      </c>
    </row>
    <row r="2151" spans="1:6" x14ac:dyDescent="0.25">
      <c r="A2151" s="62">
        <v>44844</v>
      </c>
      <c r="B2151" s="62" t="s">
        <v>1913</v>
      </c>
      <c r="C2151" s="23">
        <v>-48314.34</v>
      </c>
      <c r="D2151" s="24" t="s">
        <v>46</v>
      </c>
      <c r="E2151" s="24" t="s">
        <v>10</v>
      </c>
      <c r="F2151" s="63" t="s">
        <v>0</v>
      </c>
    </row>
    <row r="2152" spans="1:6" x14ac:dyDescent="0.25">
      <c r="A2152" s="62">
        <v>44844</v>
      </c>
      <c r="B2152" s="62" t="s">
        <v>1914</v>
      </c>
      <c r="C2152" s="23">
        <v>-690</v>
      </c>
      <c r="D2152" s="24" t="s">
        <v>52</v>
      </c>
      <c r="E2152" s="24" t="s">
        <v>53</v>
      </c>
      <c r="F2152" s="63" t="s">
        <v>0</v>
      </c>
    </row>
    <row r="2153" spans="1:6" x14ac:dyDescent="0.25">
      <c r="A2153" s="62">
        <v>44844</v>
      </c>
      <c r="B2153" s="62" t="s">
        <v>1915</v>
      </c>
      <c r="C2153" s="23">
        <v>-6914</v>
      </c>
      <c r="D2153" s="24" t="s">
        <v>90</v>
      </c>
      <c r="E2153" s="24" t="s">
        <v>59</v>
      </c>
      <c r="F2153" s="63" t="s">
        <v>0</v>
      </c>
    </row>
    <row r="2154" spans="1:6" x14ac:dyDescent="0.25">
      <c r="A2154" s="62">
        <v>44844</v>
      </c>
      <c r="B2154" s="62" t="s">
        <v>1916</v>
      </c>
      <c r="C2154" s="23">
        <v>-6623</v>
      </c>
      <c r="D2154" s="24" t="s">
        <v>49</v>
      </c>
      <c r="E2154" s="24" t="s">
        <v>56</v>
      </c>
      <c r="F2154" s="63" t="s">
        <v>0</v>
      </c>
    </row>
    <row r="2155" spans="1:6" x14ac:dyDescent="0.25">
      <c r="A2155" s="62">
        <v>44844</v>
      </c>
      <c r="B2155" s="62" t="s">
        <v>1917</v>
      </c>
      <c r="C2155" s="23">
        <v>-8307</v>
      </c>
      <c r="D2155" s="24" t="s">
        <v>49</v>
      </c>
      <c r="E2155" s="24" t="s">
        <v>56</v>
      </c>
      <c r="F2155" s="63" t="s">
        <v>0</v>
      </c>
    </row>
    <row r="2156" spans="1:6" x14ac:dyDescent="0.25">
      <c r="A2156" s="62">
        <v>44844</v>
      </c>
      <c r="B2156" s="62" t="s">
        <v>1651</v>
      </c>
      <c r="C2156" s="23">
        <v>924310</v>
      </c>
      <c r="D2156" s="24" t="s">
        <v>58</v>
      </c>
      <c r="E2156" s="24" t="s">
        <v>58</v>
      </c>
      <c r="F2156" s="63" t="s">
        <v>0</v>
      </c>
    </row>
    <row r="2157" spans="1:6" x14ac:dyDescent="0.25">
      <c r="A2157" s="62">
        <v>44844</v>
      </c>
      <c r="B2157" s="62" t="s">
        <v>1908</v>
      </c>
      <c r="C2157" s="23">
        <v>213490.45</v>
      </c>
      <c r="D2157" s="24" t="s">
        <v>46</v>
      </c>
      <c r="E2157" s="24" t="s">
        <v>10</v>
      </c>
      <c r="F2157" s="63" t="s">
        <v>10</v>
      </c>
    </row>
    <row r="2158" spans="1:6" x14ac:dyDescent="0.25">
      <c r="A2158" s="62">
        <v>44841</v>
      </c>
      <c r="B2158" s="62" t="s">
        <v>746</v>
      </c>
      <c r="C2158" s="23">
        <v>-2100</v>
      </c>
      <c r="D2158" s="24" t="s">
        <v>52</v>
      </c>
      <c r="E2158" s="24" t="s">
        <v>53</v>
      </c>
      <c r="F2158" s="63" t="s">
        <v>4</v>
      </c>
    </row>
    <row r="2159" spans="1:6" x14ac:dyDescent="0.25">
      <c r="A2159" s="62">
        <v>44841</v>
      </c>
      <c r="B2159" s="62" t="s">
        <v>171</v>
      </c>
      <c r="C2159" s="23">
        <v>1672</v>
      </c>
      <c r="D2159" s="24" t="s">
        <v>167</v>
      </c>
      <c r="E2159" s="24" t="s">
        <v>168</v>
      </c>
      <c r="F2159" s="63" t="s">
        <v>0</v>
      </c>
    </row>
    <row r="2160" spans="1:6" x14ac:dyDescent="0.25">
      <c r="A2160" s="62">
        <v>44841</v>
      </c>
      <c r="B2160" s="62" t="s">
        <v>1810</v>
      </c>
      <c r="C2160" s="23">
        <v>-1300</v>
      </c>
      <c r="D2160" s="24" t="s">
        <v>52</v>
      </c>
      <c r="E2160" s="24" t="s">
        <v>134</v>
      </c>
      <c r="F2160" s="63" t="s">
        <v>0</v>
      </c>
    </row>
    <row r="2161" spans="1:6" x14ac:dyDescent="0.25">
      <c r="A2161" s="62">
        <v>44841</v>
      </c>
      <c r="B2161" s="62" t="s">
        <v>1918</v>
      </c>
      <c r="C2161" s="23">
        <v>-8480</v>
      </c>
      <c r="D2161" s="24" t="s">
        <v>46</v>
      </c>
      <c r="E2161" s="24" t="s">
        <v>428</v>
      </c>
      <c r="F2161" s="63" t="s">
        <v>0</v>
      </c>
    </row>
    <row r="2162" spans="1:6" x14ac:dyDescent="0.25">
      <c r="A2162" s="62">
        <v>44841</v>
      </c>
      <c r="B2162" s="62" t="s">
        <v>1919</v>
      </c>
      <c r="C2162" s="23">
        <v>-214</v>
      </c>
      <c r="D2162" s="24" t="s">
        <v>72</v>
      </c>
      <c r="E2162" s="24" t="s">
        <v>73</v>
      </c>
      <c r="F2162" s="63" t="s">
        <v>0</v>
      </c>
    </row>
    <row r="2163" spans="1:6" x14ac:dyDescent="0.25">
      <c r="A2163" s="62">
        <v>44841</v>
      </c>
      <c r="B2163" s="62" t="s">
        <v>1920</v>
      </c>
      <c r="C2163" s="23">
        <v>-10738</v>
      </c>
      <c r="D2163" s="24" t="s">
        <v>49</v>
      </c>
      <c r="E2163" s="24" t="s">
        <v>56</v>
      </c>
      <c r="F2163" s="63" t="s">
        <v>0</v>
      </c>
    </row>
    <row r="2164" spans="1:6" x14ac:dyDescent="0.25">
      <c r="A2164" s="62">
        <v>44839</v>
      </c>
      <c r="B2164" s="62" t="s">
        <v>1921</v>
      </c>
      <c r="C2164" s="23">
        <v>-1627</v>
      </c>
      <c r="D2164" s="24" t="s">
        <v>49</v>
      </c>
      <c r="E2164" s="24" t="s">
        <v>56</v>
      </c>
      <c r="F2164" s="63" t="s">
        <v>0</v>
      </c>
    </row>
    <row r="2165" spans="1:6" x14ac:dyDescent="0.25">
      <c r="A2165" s="62">
        <v>44839</v>
      </c>
      <c r="B2165" s="62" t="s">
        <v>1922</v>
      </c>
      <c r="C2165" s="23">
        <v>-2340</v>
      </c>
      <c r="D2165" s="24" t="s">
        <v>46</v>
      </c>
      <c r="E2165" s="24" t="s">
        <v>61</v>
      </c>
      <c r="F2165" s="63" t="s">
        <v>0</v>
      </c>
    </row>
    <row r="2166" spans="1:6" x14ac:dyDescent="0.25">
      <c r="A2166" s="62">
        <v>44838</v>
      </c>
      <c r="B2166" s="62" t="s">
        <v>172</v>
      </c>
      <c r="C2166" s="23">
        <v>334894</v>
      </c>
      <c r="D2166" s="24" t="s">
        <v>58</v>
      </c>
      <c r="E2166" s="24" t="s">
        <v>58</v>
      </c>
      <c r="F2166" s="63" t="s">
        <v>0</v>
      </c>
    </row>
    <row r="2167" spans="1:6" x14ac:dyDescent="0.25">
      <c r="A2167" s="62">
        <v>44838</v>
      </c>
      <c r="B2167" s="62" t="s">
        <v>1923</v>
      </c>
      <c r="C2167" s="23">
        <v>17485</v>
      </c>
      <c r="D2167" s="24" t="s">
        <v>49</v>
      </c>
      <c r="E2167" s="24" t="s">
        <v>213</v>
      </c>
      <c r="F2167" s="63" t="s">
        <v>0</v>
      </c>
    </row>
    <row r="2168" spans="1:6" x14ac:dyDescent="0.25">
      <c r="A2168" s="62">
        <v>44838</v>
      </c>
      <c r="B2168" s="62" t="s">
        <v>1924</v>
      </c>
      <c r="C2168" s="23">
        <v>-60000</v>
      </c>
      <c r="D2168" s="24" t="s">
        <v>90</v>
      </c>
      <c r="E2168" s="24" t="s">
        <v>111</v>
      </c>
      <c r="F2168" s="63" t="s">
        <v>0</v>
      </c>
    </row>
    <row r="2169" spans="1:6" x14ac:dyDescent="0.25">
      <c r="A2169" s="62">
        <v>44838</v>
      </c>
      <c r="B2169" s="62" t="s">
        <v>1925</v>
      </c>
      <c r="C2169" s="23">
        <v>-25000</v>
      </c>
      <c r="D2169" s="24" t="s">
        <v>72</v>
      </c>
      <c r="E2169" s="24" t="s">
        <v>109</v>
      </c>
      <c r="F2169" s="63" t="s">
        <v>0</v>
      </c>
    </row>
    <row r="2170" spans="1:6" x14ac:dyDescent="0.25">
      <c r="A2170" s="62">
        <v>44838</v>
      </c>
      <c r="B2170" s="62" t="s">
        <v>1926</v>
      </c>
      <c r="C2170" s="23">
        <v>-7080</v>
      </c>
      <c r="D2170" s="24" t="s">
        <v>46</v>
      </c>
      <c r="E2170" s="24" t="s">
        <v>63</v>
      </c>
      <c r="F2170" s="63" t="s">
        <v>0</v>
      </c>
    </row>
    <row r="2171" spans="1:6" x14ac:dyDescent="0.25">
      <c r="A2171" s="62">
        <v>44837</v>
      </c>
      <c r="B2171" s="62" t="s">
        <v>1927</v>
      </c>
      <c r="C2171" s="23">
        <v>-1450</v>
      </c>
      <c r="D2171" s="24" t="s">
        <v>52</v>
      </c>
      <c r="E2171" s="24" t="s">
        <v>53</v>
      </c>
      <c r="F2171" s="63" t="s">
        <v>0</v>
      </c>
    </row>
    <row r="2172" spans="1:6" x14ac:dyDescent="0.25">
      <c r="A2172" s="62">
        <v>44837</v>
      </c>
      <c r="B2172" s="62" t="s">
        <v>1928</v>
      </c>
      <c r="C2172" s="23">
        <v>-5415</v>
      </c>
      <c r="D2172" s="24" t="s">
        <v>49</v>
      </c>
      <c r="E2172" s="24" t="s">
        <v>56</v>
      </c>
      <c r="F2172" s="63" t="s">
        <v>0</v>
      </c>
    </row>
    <row r="2173" spans="1:6" x14ac:dyDescent="0.25">
      <c r="A2173" s="62">
        <v>44837</v>
      </c>
      <c r="B2173" s="62" t="s">
        <v>1929</v>
      </c>
      <c r="C2173" s="23">
        <v>-1672</v>
      </c>
      <c r="D2173" s="24" t="s">
        <v>49</v>
      </c>
      <c r="E2173" s="24" t="s">
        <v>56</v>
      </c>
      <c r="F2173" s="63" t="s">
        <v>0</v>
      </c>
    </row>
    <row r="2174" spans="1:6" x14ac:dyDescent="0.25">
      <c r="A2174" s="62">
        <v>44837</v>
      </c>
      <c r="B2174" s="62" t="s">
        <v>1930</v>
      </c>
      <c r="C2174" s="23">
        <v>-10296</v>
      </c>
      <c r="D2174" s="24" t="s">
        <v>49</v>
      </c>
      <c r="E2174" s="24" t="s">
        <v>56</v>
      </c>
      <c r="F2174" s="63" t="s">
        <v>0</v>
      </c>
    </row>
    <row r="2175" spans="1:6" x14ac:dyDescent="0.25">
      <c r="A2175" s="62">
        <v>44837</v>
      </c>
      <c r="B2175" s="62" t="s">
        <v>1931</v>
      </c>
      <c r="C2175" s="23">
        <v>-5942</v>
      </c>
      <c r="D2175" s="24" t="s">
        <v>49</v>
      </c>
      <c r="E2175" s="24" t="s">
        <v>56</v>
      </c>
      <c r="F2175" s="63" t="s">
        <v>0</v>
      </c>
    </row>
    <row r="2176" spans="1:6" x14ac:dyDescent="0.25">
      <c r="A2176" s="62">
        <v>44837</v>
      </c>
      <c r="B2176" s="62" t="s">
        <v>1932</v>
      </c>
      <c r="C2176" s="23">
        <v>-9854</v>
      </c>
      <c r="D2176" s="24" t="s">
        <v>49</v>
      </c>
      <c r="E2176" s="24" t="s">
        <v>56</v>
      </c>
      <c r="F2176" s="63" t="s">
        <v>0</v>
      </c>
    </row>
    <row r="2177" spans="1:6" x14ac:dyDescent="0.25">
      <c r="A2177" s="62">
        <v>44835</v>
      </c>
      <c r="B2177" s="62" t="s">
        <v>746</v>
      </c>
      <c r="C2177" s="23">
        <v>-2600</v>
      </c>
      <c r="D2177" s="24" t="s">
        <v>52</v>
      </c>
      <c r="E2177" s="24" t="s">
        <v>53</v>
      </c>
      <c r="F2177" s="63" t="s">
        <v>4</v>
      </c>
    </row>
    <row r="2178" spans="1:6" x14ac:dyDescent="0.25">
      <c r="A2178" s="62">
        <v>44834</v>
      </c>
      <c r="B2178" s="62" t="s">
        <v>1933</v>
      </c>
      <c r="C2178" s="23">
        <v>43.13</v>
      </c>
      <c r="D2178" s="24" t="s">
        <v>167</v>
      </c>
      <c r="E2178" s="24" t="s">
        <v>32</v>
      </c>
      <c r="F2178" s="63" t="s">
        <v>0</v>
      </c>
    </row>
    <row r="2179" spans="1:6" x14ac:dyDescent="0.25">
      <c r="A2179" s="62">
        <v>44834</v>
      </c>
      <c r="B2179" s="62" t="s">
        <v>1934</v>
      </c>
      <c r="C2179" s="23">
        <v>-6.47</v>
      </c>
      <c r="D2179" s="24" t="s">
        <v>167</v>
      </c>
      <c r="E2179" s="24" t="s">
        <v>32</v>
      </c>
      <c r="F2179" s="63" t="s">
        <v>0</v>
      </c>
    </row>
    <row r="2180" spans="1:6" x14ac:dyDescent="0.25">
      <c r="A2180" s="62">
        <v>44834</v>
      </c>
      <c r="B2180" s="62" t="s">
        <v>43</v>
      </c>
      <c r="C2180" s="23">
        <v>-1941</v>
      </c>
      <c r="D2180" s="24" t="s">
        <v>167</v>
      </c>
      <c r="E2180" s="24" t="s">
        <v>168</v>
      </c>
      <c r="F2180" s="63" t="s">
        <v>0</v>
      </c>
    </row>
    <row r="2181" spans="1:6" x14ac:dyDescent="0.25">
      <c r="A2181" s="62">
        <v>44834</v>
      </c>
      <c r="B2181" s="62" t="s">
        <v>1935</v>
      </c>
      <c r="C2181" s="23">
        <v>-15930</v>
      </c>
      <c r="D2181" s="24" t="s">
        <v>49</v>
      </c>
      <c r="E2181" s="24" t="s">
        <v>56</v>
      </c>
      <c r="F2181" s="63" t="s">
        <v>0</v>
      </c>
    </row>
    <row r="2182" spans="1:6" x14ac:dyDescent="0.25">
      <c r="A2182" s="62">
        <v>44834</v>
      </c>
      <c r="B2182" s="62" t="s">
        <v>309</v>
      </c>
      <c r="C2182" s="23">
        <v>-2.5099999999999998</v>
      </c>
      <c r="D2182" s="24" t="s">
        <v>167</v>
      </c>
      <c r="E2182" s="24" t="s">
        <v>32</v>
      </c>
      <c r="F2182" s="63" t="s">
        <v>0</v>
      </c>
    </row>
    <row r="2183" spans="1:6" x14ac:dyDescent="0.25">
      <c r="A2183" s="62">
        <v>44834</v>
      </c>
      <c r="B2183" s="62" t="s">
        <v>1936</v>
      </c>
      <c r="C2183" s="23">
        <v>-1071</v>
      </c>
      <c r="D2183" s="24" t="s">
        <v>52</v>
      </c>
      <c r="E2183" s="24" t="s">
        <v>53</v>
      </c>
      <c r="F2183" s="63" t="s">
        <v>0</v>
      </c>
    </row>
    <row r="2184" spans="1:6" x14ac:dyDescent="0.25">
      <c r="A2184" s="62">
        <v>44834</v>
      </c>
      <c r="B2184" s="62" t="s">
        <v>1937</v>
      </c>
      <c r="C2184" s="23">
        <v>-20565</v>
      </c>
      <c r="D2184" s="24" t="s">
        <v>49</v>
      </c>
      <c r="E2184" s="24" t="s">
        <v>56</v>
      </c>
      <c r="F2184" s="63" t="s">
        <v>0</v>
      </c>
    </row>
    <row r="2185" spans="1:6" x14ac:dyDescent="0.25">
      <c r="A2185" s="62">
        <v>44834</v>
      </c>
      <c r="B2185" s="62" t="s">
        <v>32</v>
      </c>
      <c r="C2185" s="23">
        <v>16.72</v>
      </c>
      <c r="D2185" s="24" t="s">
        <v>167</v>
      </c>
      <c r="E2185" s="24" t="s">
        <v>32</v>
      </c>
      <c r="F2185" s="63" t="s">
        <v>0</v>
      </c>
    </row>
    <row r="2186" spans="1:6" x14ac:dyDescent="0.25">
      <c r="A2186" s="62">
        <v>44833</v>
      </c>
      <c r="B2186" s="62" t="s">
        <v>1938</v>
      </c>
      <c r="C2186" s="23">
        <v>-689</v>
      </c>
      <c r="D2186" s="24" t="s">
        <v>49</v>
      </c>
      <c r="E2186" s="24" t="s">
        <v>56</v>
      </c>
      <c r="F2186" s="63" t="s">
        <v>0</v>
      </c>
    </row>
    <row r="2187" spans="1:6" x14ac:dyDescent="0.25">
      <c r="A2187" s="62">
        <v>44832</v>
      </c>
      <c r="B2187" s="62" t="s">
        <v>1939</v>
      </c>
      <c r="C2187" s="23">
        <v>-814</v>
      </c>
      <c r="D2187" s="24" t="s">
        <v>49</v>
      </c>
      <c r="E2187" s="24" t="s">
        <v>56</v>
      </c>
      <c r="F2187" s="63" t="s">
        <v>0</v>
      </c>
    </row>
    <row r="2188" spans="1:6" x14ac:dyDescent="0.25">
      <c r="A2188" s="62">
        <v>44832</v>
      </c>
      <c r="B2188" s="62" t="s">
        <v>1940</v>
      </c>
      <c r="C2188" s="23">
        <v>-319</v>
      </c>
      <c r="D2188" s="24" t="s">
        <v>72</v>
      </c>
      <c r="E2188" s="24" t="s">
        <v>73</v>
      </c>
      <c r="F2188" s="63" t="s">
        <v>0</v>
      </c>
    </row>
    <row r="2189" spans="1:6" x14ac:dyDescent="0.25">
      <c r="A2189" s="62">
        <v>44832</v>
      </c>
      <c r="B2189" s="62" t="s">
        <v>734</v>
      </c>
      <c r="C2189" s="23">
        <v>-1889</v>
      </c>
      <c r="D2189" s="24" t="s">
        <v>72</v>
      </c>
      <c r="E2189" s="24" t="s">
        <v>73</v>
      </c>
      <c r="F2189" s="63" t="s">
        <v>0</v>
      </c>
    </row>
    <row r="2190" spans="1:6" x14ac:dyDescent="0.25">
      <c r="A2190" s="62">
        <v>44832</v>
      </c>
      <c r="B2190" s="62" t="s">
        <v>1941</v>
      </c>
      <c r="C2190" s="23">
        <v>-3490</v>
      </c>
      <c r="D2190" s="24" t="s">
        <v>46</v>
      </c>
      <c r="E2190" s="24" t="s">
        <v>63</v>
      </c>
      <c r="F2190" s="63" t="s">
        <v>0</v>
      </c>
    </row>
    <row r="2191" spans="1:6" x14ac:dyDescent="0.25">
      <c r="A2191" s="62">
        <v>44831</v>
      </c>
      <c r="B2191" s="62" t="s">
        <v>1942</v>
      </c>
      <c r="C2191" s="23">
        <v>-16856</v>
      </c>
      <c r="D2191" s="24" t="s">
        <v>90</v>
      </c>
      <c r="E2191" s="24" t="s">
        <v>59</v>
      </c>
      <c r="F2191" s="63" t="s">
        <v>0</v>
      </c>
    </row>
    <row r="2192" spans="1:6" x14ac:dyDescent="0.25">
      <c r="A2192" s="62">
        <v>44830</v>
      </c>
      <c r="B2192" s="62" t="s">
        <v>1943</v>
      </c>
      <c r="C2192" s="23">
        <v>-507</v>
      </c>
      <c r="D2192" s="24" t="s">
        <v>49</v>
      </c>
      <c r="E2192" s="24" t="s">
        <v>56</v>
      </c>
      <c r="F2192" s="63" t="s">
        <v>0</v>
      </c>
    </row>
    <row r="2193" spans="1:6" x14ac:dyDescent="0.25">
      <c r="A2193" s="62">
        <v>44830</v>
      </c>
      <c r="B2193" s="62" t="s">
        <v>1944</v>
      </c>
      <c r="C2193" s="23">
        <v>-2490</v>
      </c>
      <c r="D2193" s="24" t="s">
        <v>52</v>
      </c>
      <c r="E2193" s="24" t="s">
        <v>53</v>
      </c>
      <c r="F2193" s="63" t="s">
        <v>0</v>
      </c>
    </row>
    <row r="2194" spans="1:6" x14ac:dyDescent="0.25">
      <c r="A2194" s="62">
        <v>44830</v>
      </c>
      <c r="B2194" s="62" t="s">
        <v>1945</v>
      </c>
      <c r="C2194" s="23">
        <v>-35000</v>
      </c>
      <c r="D2194" s="24" t="s">
        <v>90</v>
      </c>
      <c r="E2194" s="24" t="s">
        <v>111</v>
      </c>
      <c r="F2194" s="63" t="s">
        <v>0</v>
      </c>
    </row>
    <row r="2195" spans="1:6" x14ac:dyDescent="0.25">
      <c r="A2195" s="62">
        <v>44830</v>
      </c>
      <c r="B2195" s="62" t="s">
        <v>1946</v>
      </c>
      <c r="C2195" s="23">
        <v>24000</v>
      </c>
      <c r="D2195" s="24" t="s">
        <v>49</v>
      </c>
      <c r="E2195" s="24" t="s">
        <v>67</v>
      </c>
      <c r="F2195" s="63" t="s">
        <v>0</v>
      </c>
    </row>
    <row r="2196" spans="1:6" x14ac:dyDescent="0.25">
      <c r="A2196" s="62">
        <v>44830</v>
      </c>
      <c r="B2196" s="62" t="s">
        <v>1947</v>
      </c>
      <c r="C2196" s="23">
        <v>-22540</v>
      </c>
      <c r="D2196" s="24" t="s">
        <v>46</v>
      </c>
      <c r="E2196" s="24" t="s">
        <v>428</v>
      </c>
      <c r="F2196" s="63" t="s">
        <v>0</v>
      </c>
    </row>
    <row r="2197" spans="1:6" x14ac:dyDescent="0.25">
      <c r="A2197" s="62">
        <v>44830</v>
      </c>
      <c r="B2197" s="62" t="s">
        <v>1948</v>
      </c>
      <c r="C2197" s="23">
        <v>-329</v>
      </c>
      <c r="D2197" s="24" t="s">
        <v>72</v>
      </c>
      <c r="E2197" s="24" t="s">
        <v>73</v>
      </c>
      <c r="F2197" s="63" t="s">
        <v>0</v>
      </c>
    </row>
    <row r="2198" spans="1:6" x14ac:dyDescent="0.25">
      <c r="A2198" s="62">
        <v>44830</v>
      </c>
      <c r="B2198" s="62" t="s">
        <v>1949</v>
      </c>
      <c r="C2198" s="23">
        <v>-6130</v>
      </c>
      <c r="D2198" s="24" t="s">
        <v>49</v>
      </c>
      <c r="E2198" s="24" t="s">
        <v>56</v>
      </c>
      <c r="F2198" s="63" t="s">
        <v>0</v>
      </c>
    </row>
    <row r="2199" spans="1:6" x14ac:dyDescent="0.25">
      <c r="A2199" s="62">
        <v>44830</v>
      </c>
      <c r="B2199" s="62" t="s">
        <v>1950</v>
      </c>
      <c r="C2199" s="23">
        <v>-490</v>
      </c>
      <c r="D2199" s="24" t="s">
        <v>52</v>
      </c>
      <c r="E2199" s="24" t="s">
        <v>53</v>
      </c>
      <c r="F2199" s="63" t="s">
        <v>0</v>
      </c>
    </row>
    <row r="2200" spans="1:6" x14ac:dyDescent="0.25">
      <c r="A2200" s="62">
        <v>44830</v>
      </c>
      <c r="B2200" s="62" t="s">
        <v>1951</v>
      </c>
      <c r="C2200" s="23">
        <v>-6283</v>
      </c>
      <c r="D2200" s="24" t="s">
        <v>49</v>
      </c>
      <c r="E2200" s="24" t="s">
        <v>56</v>
      </c>
      <c r="F2200" s="63" t="s">
        <v>0</v>
      </c>
    </row>
    <row r="2201" spans="1:6" x14ac:dyDescent="0.25">
      <c r="A2201" s="62">
        <v>44830</v>
      </c>
      <c r="B2201" s="62" t="s">
        <v>1952</v>
      </c>
      <c r="C2201" s="23">
        <v>-1900</v>
      </c>
      <c r="D2201" s="24" t="s">
        <v>52</v>
      </c>
      <c r="E2201" s="24" t="s">
        <v>53</v>
      </c>
      <c r="F2201" s="63" t="s">
        <v>0</v>
      </c>
    </row>
    <row r="2202" spans="1:6" x14ac:dyDescent="0.25">
      <c r="A2202" s="62">
        <v>44827</v>
      </c>
      <c r="B2202" s="62" t="s">
        <v>1953</v>
      </c>
      <c r="C2202" s="23">
        <v>-1000</v>
      </c>
      <c r="D2202" s="24" t="s">
        <v>52</v>
      </c>
      <c r="E2202" s="24" t="s">
        <v>53</v>
      </c>
      <c r="F2202" s="63" t="s">
        <v>0</v>
      </c>
    </row>
    <row r="2203" spans="1:6" x14ac:dyDescent="0.25">
      <c r="A2203" s="62">
        <v>44826</v>
      </c>
      <c r="B2203" s="62" t="s">
        <v>1954</v>
      </c>
      <c r="C2203" s="23">
        <v>-21806</v>
      </c>
      <c r="D2203" s="24" t="s">
        <v>49</v>
      </c>
      <c r="E2203" s="24" t="s">
        <v>56</v>
      </c>
      <c r="F2203" s="63" t="s">
        <v>0</v>
      </c>
    </row>
    <row r="2204" spans="1:6" x14ac:dyDescent="0.25">
      <c r="A2204" s="62">
        <v>44826</v>
      </c>
      <c r="B2204" s="62" t="s">
        <v>1955</v>
      </c>
      <c r="C2204" s="23">
        <v>-39970</v>
      </c>
      <c r="D2204" s="24" t="s">
        <v>49</v>
      </c>
      <c r="E2204" s="24" t="s">
        <v>213</v>
      </c>
      <c r="F2204" s="63" t="s">
        <v>0</v>
      </c>
    </row>
    <row r="2205" spans="1:6" x14ac:dyDescent="0.25">
      <c r="A2205" s="62">
        <v>44826</v>
      </c>
      <c r="B2205" s="62" t="s">
        <v>1956</v>
      </c>
      <c r="C2205" s="23">
        <v>-1450</v>
      </c>
      <c r="D2205" s="24" t="s">
        <v>52</v>
      </c>
      <c r="E2205" s="24" t="s">
        <v>53</v>
      </c>
      <c r="F2205" s="63" t="s">
        <v>0</v>
      </c>
    </row>
    <row r="2206" spans="1:6" x14ac:dyDescent="0.25">
      <c r="A2206" s="62">
        <v>44826</v>
      </c>
      <c r="B2206" s="62" t="s">
        <v>1957</v>
      </c>
      <c r="C2206" s="23">
        <v>-4803</v>
      </c>
      <c r="D2206" s="24" t="s">
        <v>49</v>
      </c>
      <c r="E2206" s="24" t="s">
        <v>56</v>
      </c>
      <c r="F2206" s="63" t="s">
        <v>0</v>
      </c>
    </row>
    <row r="2207" spans="1:6" x14ac:dyDescent="0.25">
      <c r="A2207" s="62">
        <v>44825</v>
      </c>
      <c r="B2207" s="62" t="s">
        <v>139</v>
      </c>
      <c r="C2207" s="23">
        <v>25917</v>
      </c>
      <c r="D2207" s="24" t="s">
        <v>58</v>
      </c>
      <c r="E2207" s="24" t="s">
        <v>58</v>
      </c>
      <c r="F2207" s="63" t="s">
        <v>4</v>
      </c>
    </row>
    <row r="2208" spans="1:6" x14ac:dyDescent="0.25">
      <c r="A2208" s="62">
        <v>44825</v>
      </c>
      <c r="B2208" s="62" t="s">
        <v>139</v>
      </c>
      <c r="C2208" s="23">
        <v>7670</v>
      </c>
      <c r="D2208" s="24" t="s">
        <v>58</v>
      </c>
      <c r="E2208" s="24" t="s">
        <v>58</v>
      </c>
      <c r="F2208" s="63" t="s">
        <v>4</v>
      </c>
    </row>
    <row r="2209" spans="1:6" x14ac:dyDescent="0.25">
      <c r="A2209" s="62">
        <v>44825</v>
      </c>
      <c r="B2209" s="62" t="s">
        <v>1958</v>
      </c>
      <c r="C2209" s="23">
        <v>-27990</v>
      </c>
      <c r="D2209" s="24" t="s">
        <v>49</v>
      </c>
      <c r="E2209" s="24" t="s">
        <v>213</v>
      </c>
      <c r="F2209" s="63" t="s">
        <v>0</v>
      </c>
    </row>
    <row r="2210" spans="1:6" x14ac:dyDescent="0.25">
      <c r="A2210" s="62">
        <v>44825</v>
      </c>
      <c r="B2210" s="62" t="s">
        <v>1959</v>
      </c>
      <c r="C2210" s="23">
        <v>-36187</v>
      </c>
      <c r="D2210" s="24" t="s">
        <v>49</v>
      </c>
      <c r="E2210" s="24" t="s">
        <v>213</v>
      </c>
      <c r="F2210" s="63" t="s">
        <v>0</v>
      </c>
    </row>
    <row r="2211" spans="1:6" x14ac:dyDescent="0.25">
      <c r="A2211" s="62">
        <v>44825</v>
      </c>
      <c r="B2211" s="62" t="s">
        <v>1960</v>
      </c>
      <c r="C2211" s="23">
        <v>-73680</v>
      </c>
      <c r="D2211" s="24" t="s">
        <v>46</v>
      </c>
      <c r="E2211" s="24" t="s">
        <v>428</v>
      </c>
      <c r="F2211" s="63" t="s">
        <v>0</v>
      </c>
    </row>
    <row r="2212" spans="1:6" x14ac:dyDescent="0.25">
      <c r="A2212" s="62">
        <v>44825</v>
      </c>
      <c r="B2212" s="62" t="s">
        <v>1961</v>
      </c>
      <c r="C2212" s="23">
        <v>-1380</v>
      </c>
      <c r="D2212" s="24" t="s">
        <v>49</v>
      </c>
      <c r="E2212" s="24" t="s">
        <v>56</v>
      </c>
      <c r="F2212" s="63" t="s">
        <v>0</v>
      </c>
    </row>
    <row r="2213" spans="1:6" x14ac:dyDescent="0.25">
      <c r="A2213" s="62">
        <v>44824</v>
      </c>
      <c r="B2213" s="62" t="s">
        <v>1962</v>
      </c>
      <c r="C2213" s="23">
        <v>-18293</v>
      </c>
      <c r="D2213" s="24" t="s">
        <v>72</v>
      </c>
      <c r="E2213" s="24" t="s">
        <v>109</v>
      </c>
      <c r="F2213" s="63" t="s">
        <v>0</v>
      </c>
    </row>
    <row r="2214" spans="1:6" x14ac:dyDescent="0.25">
      <c r="A2214" s="62">
        <v>44824</v>
      </c>
      <c r="B2214" s="62" t="s">
        <v>1963</v>
      </c>
      <c r="C2214" s="23">
        <v>-42233</v>
      </c>
      <c r="D2214" s="24" t="s">
        <v>72</v>
      </c>
      <c r="E2214" s="24" t="s">
        <v>109</v>
      </c>
      <c r="F2214" s="63" t="s">
        <v>0</v>
      </c>
    </row>
    <row r="2215" spans="1:6" x14ac:dyDescent="0.25">
      <c r="A2215" s="62">
        <v>44824</v>
      </c>
      <c r="B2215" s="62" t="s">
        <v>1964</v>
      </c>
      <c r="C2215" s="23">
        <v>-25000</v>
      </c>
      <c r="D2215" s="24" t="s">
        <v>49</v>
      </c>
      <c r="E2215" s="24" t="s">
        <v>67</v>
      </c>
      <c r="F2215" s="63" t="s">
        <v>0</v>
      </c>
    </row>
    <row r="2216" spans="1:6" x14ac:dyDescent="0.25">
      <c r="A2216" s="62">
        <v>44823</v>
      </c>
      <c r="B2216" s="62" t="s">
        <v>1965</v>
      </c>
      <c r="C2216" s="23">
        <v>3995</v>
      </c>
      <c r="D2216" s="24" t="s">
        <v>49</v>
      </c>
      <c r="E2216" s="24" t="s">
        <v>213</v>
      </c>
      <c r="F2216" s="63" t="s">
        <v>0</v>
      </c>
    </row>
    <row r="2217" spans="1:6" x14ac:dyDescent="0.25">
      <c r="A2217" s="62">
        <v>44823</v>
      </c>
      <c r="B2217" s="62" t="s">
        <v>1966</v>
      </c>
      <c r="C2217" s="23">
        <v>-880</v>
      </c>
      <c r="D2217" s="24" t="s">
        <v>49</v>
      </c>
      <c r="E2217" s="24" t="s">
        <v>56</v>
      </c>
      <c r="F2217" s="63" t="s">
        <v>0</v>
      </c>
    </row>
    <row r="2218" spans="1:6" x14ac:dyDescent="0.25">
      <c r="A2218" s="62">
        <v>44823</v>
      </c>
      <c r="B2218" s="62" t="s">
        <v>1967</v>
      </c>
      <c r="C2218" s="23">
        <v>-8100</v>
      </c>
      <c r="D2218" s="24" t="s">
        <v>90</v>
      </c>
      <c r="E2218" s="24" t="s">
        <v>111</v>
      </c>
      <c r="F2218" s="63" t="s">
        <v>0</v>
      </c>
    </row>
    <row r="2219" spans="1:6" x14ac:dyDescent="0.25">
      <c r="A2219" s="62">
        <v>44823</v>
      </c>
      <c r="B2219" s="62" t="s">
        <v>1968</v>
      </c>
      <c r="C2219" s="23">
        <v>-10273</v>
      </c>
      <c r="D2219" s="24" t="s">
        <v>49</v>
      </c>
      <c r="E2219" s="24" t="s">
        <v>56</v>
      </c>
      <c r="F2219" s="63" t="s">
        <v>0</v>
      </c>
    </row>
    <row r="2220" spans="1:6" x14ac:dyDescent="0.25">
      <c r="A2220" s="62">
        <v>44823</v>
      </c>
      <c r="B2220" s="62" t="s">
        <v>1969</v>
      </c>
      <c r="C2220" s="23">
        <v>-11990</v>
      </c>
      <c r="D2220" s="24" t="s">
        <v>49</v>
      </c>
      <c r="E2220" s="24" t="s">
        <v>213</v>
      </c>
      <c r="F2220" s="63" t="s">
        <v>0</v>
      </c>
    </row>
    <row r="2221" spans="1:6" x14ac:dyDescent="0.25">
      <c r="A2221" s="62">
        <v>44823</v>
      </c>
      <c r="B2221" s="62" t="s">
        <v>1970</v>
      </c>
      <c r="C2221" s="23">
        <v>-11998</v>
      </c>
      <c r="D2221" s="24" t="s">
        <v>49</v>
      </c>
      <c r="E2221" s="24" t="s">
        <v>213</v>
      </c>
      <c r="F2221" s="63" t="s">
        <v>0</v>
      </c>
    </row>
    <row r="2222" spans="1:6" x14ac:dyDescent="0.25">
      <c r="A2222" s="62">
        <v>44823</v>
      </c>
      <c r="B2222" s="62" t="s">
        <v>1971</v>
      </c>
      <c r="C2222" s="23">
        <v>-14740</v>
      </c>
      <c r="D2222" s="24" t="s">
        <v>90</v>
      </c>
      <c r="E2222" s="24" t="s">
        <v>93</v>
      </c>
      <c r="F2222" s="63" t="s">
        <v>0</v>
      </c>
    </row>
    <row r="2223" spans="1:6" x14ac:dyDescent="0.25">
      <c r="A2223" s="62">
        <v>44823</v>
      </c>
      <c r="B2223" s="62" t="s">
        <v>1972</v>
      </c>
      <c r="C2223" s="23">
        <v>-12049</v>
      </c>
      <c r="D2223" s="24" t="s">
        <v>49</v>
      </c>
      <c r="E2223" s="24" t="s">
        <v>56</v>
      </c>
      <c r="F2223" s="63" t="s">
        <v>0</v>
      </c>
    </row>
    <row r="2224" spans="1:6" x14ac:dyDescent="0.25">
      <c r="A2224" s="62">
        <v>44823</v>
      </c>
      <c r="B2224" s="62" t="s">
        <v>1973</v>
      </c>
      <c r="C2224" s="23">
        <v>-32788</v>
      </c>
      <c r="D2224" s="24" t="s">
        <v>46</v>
      </c>
      <c r="E2224" s="24" t="s">
        <v>61</v>
      </c>
      <c r="F2224" s="63" t="s">
        <v>0</v>
      </c>
    </row>
    <row r="2225" spans="1:6" x14ac:dyDescent="0.25">
      <c r="A2225" s="62">
        <v>44823</v>
      </c>
      <c r="B2225" s="62" t="s">
        <v>1974</v>
      </c>
      <c r="C2225" s="23">
        <v>-1098</v>
      </c>
      <c r="D2225" s="24" t="s">
        <v>49</v>
      </c>
      <c r="E2225" s="24" t="s">
        <v>56</v>
      </c>
      <c r="F2225" s="63" t="s">
        <v>0</v>
      </c>
    </row>
    <row r="2226" spans="1:6" x14ac:dyDescent="0.25">
      <c r="A2226" s="62">
        <v>44823</v>
      </c>
      <c r="B2226" s="62" t="s">
        <v>1975</v>
      </c>
      <c r="C2226" s="23">
        <v>-23990</v>
      </c>
      <c r="D2226" s="24" t="s">
        <v>49</v>
      </c>
      <c r="E2226" s="24" t="s">
        <v>232</v>
      </c>
      <c r="F2226" s="63" t="s">
        <v>0</v>
      </c>
    </row>
    <row r="2227" spans="1:6" x14ac:dyDescent="0.25">
      <c r="A2227" s="62">
        <v>44820</v>
      </c>
      <c r="B2227" s="62" t="s">
        <v>1976</v>
      </c>
      <c r="C2227" s="23">
        <v>-380</v>
      </c>
      <c r="D2227" s="24" t="s">
        <v>49</v>
      </c>
      <c r="E2227" s="24" t="s">
        <v>67</v>
      </c>
      <c r="F2227" s="63" t="s">
        <v>0</v>
      </c>
    </row>
    <row r="2228" spans="1:6" x14ac:dyDescent="0.25">
      <c r="A2228" s="62">
        <v>44820</v>
      </c>
      <c r="B2228" s="62" t="s">
        <v>1977</v>
      </c>
      <c r="C2228" s="23">
        <v>-4650</v>
      </c>
      <c r="D2228" s="24" t="s">
        <v>49</v>
      </c>
      <c r="E2228" s="24" t="s">
        <v>213</v>
      </c>
      <c r="F2228" s="63" t="s">
        <v>0</v>
      </c>
    </row>
    <row r="2229" spans="1:6" x14ac:dyDescent="0.25">
      <c r="A2229" s="62">
        <v>44820</v>
      </c>
      <c r="B2229" s="62" t="s">
        <v>1978</v>
      </c>
      <c r="C2229" s="23">
        <v>-4963</v>
      </c>
      <c r="D2229" s="24" t="s">
        <v>49</v>
      </c>
      <c r="E2229" s="24" t="s">
        <v>56</v>
      </c>
      <c r="F2229" s="63" t="s">
        <v>0</v>
      </c>
    </row>
    <row r="2230" spans="1:6" x14ac:dyDescent="0.25">
      <c r="A2230" s="62">
        <v>44820</v>
      </c>
      <c r="B2230" s="62" t="s">
        <v>1979</v>
      </c>
      <c r="C2230" s="23">
        <v>-22486</v>
      </c>
      <c r="D2230" s="24" t="s">
        <v>49</v>
      </c>
      <c r="E2230" s="24" t="s">
        <v>213</v>
      </c>
      <c r="F2230" s="63" t="s">
        <v>0</v>
      </c>
    </row>
    <row r="2231" spans="1:6" x14ac:dyDescent="0.25">
      <c r="A2231" s="62">
        <v>44820</v>
      </c>
      <c r="B2231" s="62" t="s">
        <v>1637</v>
      </c>
      <c r="C2231" s="23">
        <v>-2100</v>
      </c>
      <c r="D2231" s="24" t="s">
        <v>52</v>
      </c>
      <c r="E2231" s="24" t="s">
        <v>53</v>
      </c>
      <c r="F2231" s="63" t="s">
        <v>0</v>
      </c>
    </row>
    <row r="2232" spans="1:6" x14ac:dyDescent="0.25">
      <c r="A2232" s="62">
        <v>44820</v>
      </c>
      <c r="B2232" s="62" t="s">
        <v>1980</v>
      </c>
      <c r="C2232" s="23">
        <v>-29250</v>
      </c>
      <c r="D2232" s="24" t="s">
        <v>72</v>
      </c>
      <c r="E2232" s="24" t="s">
        <v>109</v>
      </c>
      <c r="F2232" s="63" t="s">
        <v>0</v>
      </c>
    </row>
    <row r="2233" spans="1:6" x14ac:dyDescent="0.25">
      <c r="A2233" s="62">
        <v>44820</v>
      </c>
      <c r="B2233" s="62" t="s">
        <v>1981</v>
      </c>
      <c r="C2233" s="23">
        <v>-220</v>
      </c>
      <c r="D2233" s="24" t="s">
        <v>49</v>
      </c>
      <c r="E2233" s="24" t="s">
        <v>56</v>
      </c>
      <c r="F2233" s="63" t="s">
        <v>0</v>
      </c>
    </row>
    <row r="2234" spans="1:6" x14ac:dyDescent="0.25">
      <c r="A2234" s="62">
        <v>44820</v>
      </c>
      <c r="B2234" s="62" t="s">
        <v>1982</v>
      </c>
      <c r="C2234" s="23">
        <v>-990</v>
      </c>
      <c r="D2234" s="24" t="s">
        <v>52</v>
      </c>
      <c r="E2234" s="24" t="s">
        <v>53</v>
      </c>
      <c r="F2234" s="63" t="s">
        <v>0</v>
      </c>
    </row>
    <row r="2235" spans="1:6" x14ac:dyDescent="0.25">
      <c r="A2235" s="62">
        <v>44819</v>
      </c>
      <c r="B2235" s="62" t="s">
        <v>1983</v>
      </c>
      <c r="C2235" s="23">
        <v>-780</v>
      </c>
      <c r="D2235" s="24" t="s">
        <v>90</v>
      </c>
      <c r="E2235" s="24" t="s">
        <v>59</v>
      </c>
      <c r="F2235" s="63" t="s">
        <v>0</v>
      </c>
    </row>
    <row r="2236" spans="1:6" x14ac:dyDescent="0.25">
      <c r="A2236" s="62">
        <v>44819</v>
      </c>
      <c r="B2236" s="62" t="s">
        <v>1984</v>
      </c>
      <c r="C2236" s="23">
        <v>-24000</v>
      </c>
      <c r="D2236" s="24" t="s">
        <v>72</v>
      </c>
      <c r="E2236" s="24" t="s">
        <v>109</v>
      </c>
      <c r="F2236" s="63" t="s">
        <v>0</v>
      </c>
    </row>
    <row r="2237" spans="1:6" x14ac:dyDescent="0.25">
      <c r="A2237" s="62">
        <v>44819</v>
      </c>
      <c r="B2237" s="62" t="s">
        <v>1985</v>
      </c>
      <c r="C2237" s="23">
        <v>-969</v>
      </c>
      <c r="D2237" s="24" t="s">
        <v>46</v>
      </c>
      <c r="E2237" s="24" t="s">
        <v>61</v>
      </c>
      <c r="F2237" s="63" t="s">
        <v>0</v>
      </c>
    </row>
    <row r="2238" spans="1:6" x14ac:dyDescent="0.25">
      <c r="A2238" s="62">
        <v>44819</v>
      </c>
      <c r="B2238" s="62" t="s">
        <v>704</v>
      </c>
      <c r="C2238" s="23">
        <v>-6944</v>
      </c>
      <c r="D2238" s="24" t="s">
        <v>46</v>
      </c>
      <c r="E2238" s="24" t="s">
        <v>150</v>
      </c>
      <c r="F2238" s="63" t="s">
        <v>0</v>
      </c>
    </row>
    <row r="2239" spans="1:6" x14ac:dyDescent="0.25">
      <c r="A2239" s="62">
        <v>44819</v>
      </c>
      <c r="B2239" s="62" t="s">
        <v>1986</v>
      </c>
      <c r="C2239" s="23">
        <v>-3610</v>
      </c>
      <c r="D2239" s="24" t="s">
        <v>52</v>
      </c>
      <c r="E2239" s="24" t="s">
        <v>53</v>
      </c>
      <c r="F2239" s="63" t="s">
        <v>0</v>
      </c>
    </row>
    <row r="2240" spans="1:6" x14ac:dyDescent="0.25">
      <c r="A2240" s="62">
        <v>44819</v>
      </c>
      <c r="B2240" s="62" t="s">
        <v>1987</v>
      </c>
      <c r="C2240" s="23">
        <v>-389</v>
      </c>
      <c r="D2240" s="24" t="s">
        <v>72</v>
      </c>
      <c r="E2240" s="24" t="s">
        <v>73</v>
      </c>
      <c r="F2240" s="63" t="s">
        <v>0</v>
      </c>
    </row>
    <row r="2241" spans="1:6" x14ac:dyDescent="0.25">
      <c r="A2241" s="62">
        <v>44819</v>
      </c>
      <c r="B2241" s="62" t="s">
        <v>1800</v>
      </c>
      <c r="C2241" s="23">
        <v>-1439</v>
      </c>
      <c r="D2241" s="24" t="s">
        <v>72</v>
      </c>
      <c r="E2241" s="24" t="s">
        <v>73</v>
      </c>
      <c r="F2241" s="63" t="s">
        <v>0</v>
      </c>
    </row>
    <row r="2242" spans="1:6" x14ac:dyDescent="0.25">
      <c r="A2242" s="62">
        <v>44819</v>
      </c>
      <c r="B2242" s="62" t="s">
        <v>1988</v>
      </c>
      <c r="C2242" s="23">
        <v>-1050</v>
      </c>
      <c r="D2242" s="24" t="s">
        <v>72</v>
      </c>
      <c r="E2242" s="24" t="s">
        <v>73</v>
      </c>
      <c r="F2242" s="63" t="s">
        <v>0</v>
      </c>
    </row>
    <row r="2243" spans="1:6" x14ac:dyDescent="0.25">
      <c r="A2243" s="62">
        <v>44818</v>
      </c>
      <c r="B2243" s="62" t="s">
        <v>1989</v>
      </c>
      <c r="C2243" s="23">
        <v>-22231</v>
      </c>
      <c r="D2243" s="24" t="s">
        <v>46</v>
      </c>
      <c r="E2243" s="24" t="s">
        <v>61</v>
      </c>
      <c r="F2243" s="63" t="s">
        <v>0</v>
      </c>
    </row>
    <row r="2244" spans="1:6" x14ac:dyDescent="0.25">
      <c r="A2244" s="62">
        <v>44817</v>
      </c>
      <c r="B2244" s="62" t="s">
        <v>1990</v>
      </c>
      <c r="C2244" s="23">
        <v>-1439</v>
      </c>
      <c r="D2244" s="24" t="s">
        <v>49</v>
      </c>
      <c r="E2244" s="24" t="s">
        <v>56</v>
      </c>
      <c r="F2244" s="63" t="s">
        <v>0</v>
      </c>
    </row>
    <row r="2245" spans="1:6" x14ac:dyDescent="0.25">
      <c r="A2245" s="62">
        <v>44816</v>
      </c>
      <c r="B2245" s="62" t="s">
        <v>1991</v>
      </c>
      <c r="C2245" s="23">
        <v>-293</v>
      </c>
      <c r="D2245" s="24" t="s">
        <v>72</v>
      </c>
      <c r="E2245" s="24" t="s">
        <v>197</v>
      </c>
      <c r="F2245" s="63" t="s">
        <v>0</v>
      </c>
    </row>
    <row r="2246" spans="1:6" x14ac:dyDescent="0.25">
      <c r="A2246" s="62">
        <v>44816</v>
      </c>
      <c r="B2246" s="62" t="s">
        <v>1992</v>
      </c>
      <c r="C2246" s="23">
        <v>-15000</v>
      </c>
      <c r="D2246" s="24" t="s">
        <v>90</v>
      </c>
      <c r="E2246" s="24" t="s">
        <v>111</v>
      </c>
      <c r="F2246" s="63" t="s">
        <v>0</v>
      </c>
    </row>
    <row r="2247" spans="1:6" x14ac:dyDescent="0.25">
      <c r="A2247" s="62">
        <v>44816</v>
      </c>
      <c r="B2247" s="62" t="s">
        <v>1993</v>
      </c>
      <c r="C2247" s="23">
        <v>-22495</v>
      </c>
      <c r="D2247" s="24" t="s">
        <v>49</v>
      </c>
      <c r="E2247" s="24" t="s">
        <v>56</v>
      </c>
      <c r="F2247" s="63" t="s">
        <v>0</v>
      </c>
    </row>
    <row r="2248" spans="1:6" x14ac:dyDescent="0.25">
      <c r="A2248" s="62">
        <v>44816</v>
      </c>
      <c r="B2248" s="62" t="s">
        <v>1994</v>
      </c>
      <c r="C2248" s="23">
        <v>-14793</v>
      </c>
      <c r="D2248" s="24" t="s">
        <v>49</v>
      </c>
      <c r="E2248" s="24" t="s">
        <v>56</v>
      </c>
      <c r="F2248" s="63" t="s">
        <v>0</v>
      </c>
    </row>
    <row r="2249" spans="1:6" x14ac:dyDescent="0.25">
      <c r="A2249" s="62">
        <v>44816</v>
      </c>
      <c r="B2249" s="62" t="s">
        <v>1995</v>
      </c>
      <c r="C2249" s="23">
        <v>-1360</v>
      </c>
      <c r="D2249" s="24" t="s">
        <v>49</v>
      </c>
      <c r="E2249" s="24" t="s">
        <v>56</v>
      </c>
      <c r="F2249" s="63" t="s">
        <v>0</v>
      </c>
    </row>
    <row r="2250" spans="1:6" x14ac:dyDescent="0.25">
      <c r="A2250" s="62">
        <v>44816</v>
      </c>
      <c r="B2250" s="62" t="s">
        <v>1996</v>
      </c>
      <c r="C2250" s="23">
        <v>-11051</v>
      </c>
      <c r="D2250" s="24" t="s">
        <v>46</v>
      </c>
      <c r="E2250" s="24" t="s">
        <v>61</v>
      </c>
      <c r="F2250" s="63" t="s">
        <v>0</v>
      </c>
    </row>
    <row r="2251" spans="1:6" x14ac:dyDescent="0.25">
      <c r="A2251" s="62">
        <v>44816</v>
      </c>
      <c r="B2251" s="62" t="s">
        <v>1997</v>
      </c>
      <c r="C2251" s="23">
        <v>-6450</v>
      </c>
      <c r="D2251" s="24" t="s">
        <v>46</v>
      </c>
      <c r="E2251" s="24" t="s">
        <v>61</v>
      </c>
      <c r="F2251" s="63" t="s">
        <v>0</v>
      </c>
    </row>
    <row r="2252" spans="1:6" x14ac:dyDescent="0.25">
      <c r="A2252" s="62">
        <v>44816</v>
      </c>
      <c r="B2252" s="62" t="s">
        <v>1998</v>
      </c>
      <c r="C2252" s="23">
        <v>-810</v>
      </c>
      <c r="D2252" s="24" t="s">
        <v>52</v>
      </c>
      <c r="E2252" s="24" t="s">
        <v>53</v>
      </c>
      <c r="F2252" s="63" t="s">
        <v>0</v>
      </c>
    </row>
    <row r="2253" spans="1:6" x14ac:dyDescent="0.25">
      <c r="A2253" s="62">
        <v>44816</v>
      </c>
      <c r="B2253" s="62" t="s">
        <v>1999</v>
      </c>
      <c r="C2253" s="23">
        <v>-14250</v>
      </c>
      <c r="D2253" s="24" t="s">
        <v>46</v>
      </c>
      <c r="E2253" s="24" t="s">
        <v>47</v>
      </c>
      <c r="F2253" s="63" t="s">
        <v>0</v>
      </c>
    </row>
    <row r="2254" spans="1:6" x14ac:dyDescent="0.25">
      <c r="A2254" s="62">
        <v>44814</v>
      </c>
      <c r="B2254" s="62" t="s">
        <v>2000</v>
      </c>
      <c r="C2254" s="23">
        <v>-211450.26</v>
      </c>
      <c r="D2254" s="24" t="s">
        <v>46</v>
      </c>
      <c r="E2254" s="24" t="s">
        <v>10</v>
      </c>
      <c r="F2254" s="63" t="s">
        <v>0</v>
      </c>
    </row>
    <row r="2255" spans="1:6" x14ac:dyDescent="0.25">
      <c r="A2255" s="62">
        <v>44814</v>
      </c>
      <c r="B2255" s="62" t="s">
        <v>2001</v>
      </c>
      <c r="C2255" s="23">
        <v>-50354.53</v>
      </c>
      <c r="D2255" s="24" t="s">
        <v>46</v>
      </c>
      <c r="E2255" s="24" t="s">
        <v>10</v>
      </c>
      <c r="F2255" s="63" t="s">
        <v>0</v>
      </c>
    </row>
    <row r="2256" spans="1:6" x14ac:dyDescent="0.25">
      <c r="A2256" s="62">
        <v>44814</v>
      </c>
      <c r="B2256" s="62" t="s">
        <v>2000</v>
      </c>
      <c r="C2256" s="23">
        <v>211450.26</v>
      </c>
      <c r="D2256" s="24" t="s">
        <v>46</v>
      </c>
      <c r="E2256" s="24" t="s">
        <v>10</v>
      </c>
      <c r="F2256" s="63" t="s">
        <v>10</v>
      </c>
    </row>
    <row r="2257" spans="1:6" x14ac:dyDescent="0.25">
      <c r="A2257" s="62">
        <v>44813</v>
      </c>
      <c r="B2257" s="62" t="s">
        <v>765</v>
      </c>
      <c r="C2257" s="23">
        <v>-6990</v>
      </c>
      <c r="D2257" s="24" t="s">
        <v>52</v>
      </c>
      <c r="E2257" s="24" t="s">
        <v>53</v>
      </c>
      <c r="F2257" s="63" t="s">
        <v>4</v>
      </c>
    </row>
    <row r="2258" spans="1:6" x14ac:dyDescent="0.25">
      <c r="A2258" s="62">
        <v>44813</v>
      </c>
      <c r="B2258" s="62" t="s">
        <v>2002</v>
      </c>
      <c r="C2258" s="23">
        <v>-34282</v>
      </c>
      <c r="D2258" s="24" t="s">
        <v>49</v>
      </c>
      <c r="E2258" s="24" t="s">
        <v>56</v>
      </c>
      <c r="F2258" s="63" t="s">
        <v>0</v>
      </c>
    </row>
    <row r="2259" spans="1:6" x14ac:dyDescent="0.25">
      <c r="A2259" s="62">
        <v>44813</v>
      </c>
      <c r="B2259" s="62" t="s">
        <v>1651</v>
      </c>
      <c r="C2259" s="23">
        <v>922389</v>
      </c>
      <c r="D2259" s="24" t="s">
        <v>58</v>
      </c>
      <c r="E2259" s="24" t="s">
        <v>58</v>
      </c>
      <c r="F2259" s="63" t="s">
        <v>0</v>
      </c>
    </row>
    <row r="2260" spans="1:6" x14ac:dyDescent="0.25">
      <c r="A2260" s="62">
        <v>44812</v>
      </c>
      <c r="B2260" s="62" t="s">
        <v>2003</v>
      </c>
      <c r="C2260" s="23">
        <v>-293</v>
      </c>
      <c r="D2260" s="24" t="s">
        <v>72</v>
      </c>
      <c r="E2260" s="24" t="s">
        <v>197</v>
      </c>
      <c r="F2260" s="63" t="s">
        <v>0</v>
      </c>
    </row>
    <row r="2261" spans="1:6" x14ac:dyDescent="0.25">
      <c r="A2261" s="62">
        <v>44811</v>
      </c>
      <c r="B2261" s="62" t="s">
        <v>1733</v>
      </c>
      <c r="C2261" s="23">
        <v>-3340</v>
      </c>
      <c r="D2261" s="24" t="s">
        <v>52</v>
      </c>
      <c r="E2261" s="24" t="s">
        <v>53</v>
      </c>
      <c r="F2261" s="63" t="s">
        <v>4</v>
      </c>
    </row>
    <row r="2262" spans="1:6" x14ac:dyDescent="0.25">
      <c r="A2262" s="62">
        <v>44811</v>
      </c>
      <c r="B2262" s="62" t="s">
        <v>2004</v>
      </c>
      <c r="C2262" s="23">
        <v>-655</v>
      </c>
      <c r="D2262" s="24" t="s">
        <v>52</v>
      </c>
      <c r="E2262" s="24" t="s">
        <v>53</v>
      </c>
      <c r="F2262" s="63" t="s">
        <v>0</v>
      </c>
    </row>
    <row r="2263" spans="1:6" x14ac:dyDescent="0.25">
      <c r="A2263" s="62">
        <v>44811</v>
      </c>
      <c r="B2263" s="62" t="s">
        <v>2005</v>
      </c>
      <c r="C2263" s="23">
        <v>-14051</v>
      </c>
      <c r="D2263" s="24" t="s">
        <v>49</v>
      </c>
      <c r="E2263" s="24" t="s">
        <v>56</v>
      </c>
      <c r="F2263" s="63" t="s">
        <v>0</v>
      </c>
    </row>
    <row r="2264" spans="1:6" x14ac:dyDescent="0.25">
      <c r="A2264" s="62">
        <v>44810</v>
      </c>
      <c r="B2264" s="62" t="s">
        <v>171</v>
      </c>
      <c r="C2264" s="23">
        <v>1672</v>
      </c>
      <c r="D2264" s="24" t="s">
        <v>167</v>
      </c>
      <c r="E2264" s="24" t="s">
        <v>168</v>
      </c>
      <c r="F2264" s="63" t="s">
        <v>0</v>
      </c>
    </row>
    <row r="2265" spans="1:6" x14ac:dyDescent="0.25">
      <c r="A2265" s="62">
        <v>44810</v>
      </c>
      <c r="B2265" s="62" t="s">
        <v>2006</v>
      </c>
      <c r="C2265" s="23">
        <v>-4752</v>
      </c>
      <c r="D2265" s="24" t="s">
        <v>90</v>
      </c>
      <c r="E2265" s="24" t="s">
        <v>59</v>
      </c>
      <c r="F2265" s="63" t="s">
        <v>0</v>
      </c>
    </row>
    <row r="2266" spans="1:6" x14ac:dyDescent="0.25">
      <c r="A2266" s="62">
        <v>44810</v>
      </c>
      <c r="B2266" s="62" t="s">
        <v>1810</v>
      </c>
      <c r="C2266" s="23">
        <v>-1300</v>
      </c>
      <c r="D2266" s="24" t="s">
        <v>52</v>
      </c>
      <c r="E2266" s="24" t="s">
        <v>134</v>
      </c>
      <c r="F2266" s="63" t="s">
        <v>0</v>
      </c>
    </row>
    <row r="2267" spans="1:6" x14ac:dyDescent="0.25">
      <c r="A2267" s="62">
        <v>44809</v>
      </c>
      <c r="B2267" s="62" t="s">
        <v>2007</v>
      </c>
      <c r="C2267" s="23">
        <v>-75000</v>
      </c>
      <c r="D2267" s="24" t="s">
        <v>90</v>
      </c>
      <c r="E2267" s="24" t="s">
        <v>111</v>
      </c>
      <c r="F2267" s="63" t="s">
        <v>0</v>
      </c>
    </row>
    <row r="2268" spans="1:6" x14ac:dyDescent="0.25">
      <c r="A2268" s="62">
        <v>44809</v>
      </c>
      <c r="B2268" s="62" t="s">
        <v>2008</v>
      </c>
      <c r="C2268" s="23">
        <v>-9861</v>
      </c>
      <c r="D2268" s="24" t="s">
        <v>49</v>
      </c>
      <c r="E2268" s="24" t="s">
        <v>56</v>
      </c>
      <c r="F2268" s="63" t="s">
        <v>0</v>
      </c>
    </row>
    <row r="2269" spans="1:6" x14ac:dyDescent="0.25">
      <c r="A2269" s="62">
        <v>44809</v>
      </c>
      <c r="B2269" s="62" t="s">
        <v>2009</v>
      </c>
      <c r="C2269" s="23">
        <v>-1978</v>
      </c>
      <c r="D2269" s="24" t="s">
        <v>49</v>
      </c>
      <c r="E2269" s="24" t="s">
        <v>56</v>
      </c>
      <c r="F2269" s="63" t="s">
        <v>0</v>
      </c>
    </row>
    <row r="2270" spans="1:6" x14ac:dyDescent="0.25">
      <c r="A2270" s="62">
        <v>44809</v>
      </c>
      <c r="B2270" s="62" t="s">
        <v>2010</v>
      </c>
      <c r="C2270" s="23">
        <v>-6398</v>
      </c>
      <c r="D2270" s="24" t="s">
        <v>49</v>
      </c>
      <c r="E2270" s="24" t="s">
        <v>56</v>
      </c>
      <c r="F2270" s="63" t="s">
        <v>0</v>
      </c>
    </row>
    <row r="2271" spans="1:6" x14ac:dyDescent="0.25">
      <c r="A2271" s="62">
        <v>44809</v>
      </c>
      <c r="B2271" s="62" t="s">
        <v>2011</v>
      </c>
      <c r="C2271" s="23">
        <v>-1600</v>
      </c>
      <c r="D2271" s="24" t="s">
        <v>52</v>
      </c>
      <c r="E2271" s="24" t="s">
        <v>134</v>
      </c>
      <c r="F2271" s="63" t="s">
        <v>0</v>
      </c>
    </row>
    <row r="2272" spans="1:6" x14ac:dyDescent="0.25">
      <c r="A2272" s="62">
        <v>44809</v>
      </c>
      <c r="B2272" s="62" t="s">
        <v>2012</v>
      </c>
      <c r="C2272" s="23">
        <v>-2178</v>
      </c>
      <c r="D2272" s="24" t="s">
        <v>49</v>
      </c>
      <c r="E2272" s="24" t="s">
        <v>56</v>
      </c>
      <c r="F2272" s="63" t="s">
        <v>0</v>
      </c>
    </row>
    <row r="2273" spans="1:6" x14ac:dyDescent="0.25">
      <c r="A2273" s="62">
        <v>44809</v>
      </c>
      <c r="B2273" s="62" t="s">
        <v>2013</v>
      </c>
      <c r="C2273" s="23">
        <v>-10000</v>
      </c>
      <c r="D2273" s="24" t="s">
        <v>49</v>
      </c>
      <c r="E2273" s="24" t="s">
        <v>164</v>
      </c>
      <c r="F2273" s="63" t="s">
        <v>0</v>
      </c>
    </row>
    <row r="2274" spans="1:6" x14ac:dyDescent="0.25">
      <c r="A2274" s="62">
        <v>44809</v>
      </c>
      <c r="B2274" s="62" t="s">
        <v>2014</v>
      </c>
      <c r="C2274" s="23">
        <v>-6605</v>
      </c>
      <c r="D2274" s="24" t="s">
        <v>49</v>
      </c>
      <c r="E2274" s="24" t="s">
        <v>56</v>
      </c>
      <c r="F2274" s="63" t="s">
        <v>0</v>
      </c>
    </row>
    <row r="2275" spans="1:6" x14ac:dyDescent="0.25">
      <c r="A2275" s="62">
        <v>44809</v>
      </c>
      <c r="B2275" s="62" t="s">
        <v>2015</v>
      </c>
      <c r="C2275" s="23">
        <v>-11174</v>
      </c>
      <c r="D2275" s="24" t="s">
        <v>49</v>
      </c>
      <c r="E2275" s="24" t="s">
        <v>56</v>
      </c>
      <c r="F2275" s="63" t="s">
        <v>0</v>
      </c>
    </row>
    <row r="2276" spans="1:6" x14ac:dyDescent="0.25">
      <c r="A2276" s="62">
        <v>44809</v>
      </c>
      <c r="B2276" s="62" t="s">
        <v>2016</v>
      </c>
      <c r="C2276" s="23">
        <v>-7080</v>
      </c>
      <c r="D2276" s="24" t="s">
        <v>46</v>
      </c>
      <c r="E2276" s="24" t="s">
        <v>63</v>
      </c>
      <c r="F2276" s="63" t="s">
        <v>0</v>
      </c>
    </row>
    <row r="2277" spans="1:6" x14ac:dyDescent="0.25">
      <c r="A2277" s="62">
        <v>44809</v>
      </c>
      <c r="B2277" s="62" t="s">
        <v>2017</v>
      </c>
      <c r="C2277" s="23">
        <v>-170</v>
      </c>
      <c r="D2277" s="24" t="s">
        <v>52</v>
      </c>
      <c r="E2277" s="24" t="s">
        <v>134</v>
      </c>
      <c r="F2277" s="63" t="s">
        <v>0</v>
      </c>
    </row>
    <row r="2278" spans="1:6" x14ac:dyDescent="0.25">
      <c r="A2278" s="62">
        <v>44806</v>
      </c>
      <c r="B2278" s="62" t="s">
        <v>2018</v>
      </c>
      <c r="C2278" s="23">
        <v>-3500</v>
      </c>
      <c r="D2278" s="24" t="s">
        <v>52</v>
      </c>
      <c r="E2278" s="24" t="s">
        <v>53</v>
      </c>
      <c r="F2278" s="63" t="s">
        <v>4</v>
      </c>
    </row>
    <row r="2279" spans="1:6" x14ac:dyDescent="0.25">
      <c r="A2279" s="62">
        <v>44806</v>
      </c>
      <c r="B2279" s="62" t="s">
        <v>172</v>
      </c>
      <c r="C2279" s="23">
        <v>266000</v>
      </c>
      <c r="D2279" s="24" t="s">
        <v>58</v>
      </c>
      <c r="E2279" s="24" t="s">
        <v>58</v>
      </c>
      <c r="F2279" s="63" t="s">
        <v>0</v>
      </c>
    </row>
    <row r="2280" spans="1:6" x14ac:dyDescent="0.25">
      <c r="A2280" s="62">
        <v>44806</v>
      </c>
      <c r="B2280" s="62" t="s">
        <v>1810</v>
      </c>
      <c r="C2280" s="23">
        <v>-1300</v>
      </c>
      <c r="D2280" s="24" t="s">
        <v>52</v>
      </c>
      <c r="E2280" s="24" t="s">
        <v>134</v>
      </c>
      <c r="F2280" s="63" t="s">
        <v>0</v>
      </c>
    </row>
    <row r="2281" spans="1:6" x14ac:dyDescent="0.25">
      <c r="A2281" s="62">
        <v>44805</v>
      </c>
      <c r="B2281" s="62" t="s">
        <v>765</v>
      </c>
      <c r="C2281" s="23">
        <v>-6170</v>
      </c>
      <c r="D2281" s="24" t="s">
        <v>52</v>
      </c>
      <c r="E2281" s="24" t="s">
        <v>53</v>
      </c>
      <c r="F2281" s="63" t="s">
        <v>4</v>
      </c>
    </row>
    <row r="2282" spans="1:6" x14ac:dyDescent="0.25">
      <c r="A2282" s="62">
        <v>44805</v>
      </c>
      <c r="B2282" s="62" t="s">
        <v>2019</v>
      </c>
      <c r="C2282" s="23">
        <v>-2967</v>
      </c>
      <c r="D2282" s="24" t="s">
        <v>49</v>
      </c>
      <c r="E2282" s="24" t="s">
        <v>56</v>
      </c>
      <c r="F2282" s="63" t="s">
        <v>0</v>
      </c>
    </row>
    <row r="2283" spans="1:6" x14ac:dyDescent="0.25">
      <c r="A2283" s="62">
        <v>44805</v>
      </c>
      <c r="B2283" s="62" t="s">
        <v>2020</v>
      </c>
      <c r="C2283" s="23">
        <v>-3296</v>
      </c>
      <c r="D2283" s="24" t="s">
        <v>49</v>
      </c>
      <c r="E2283" s="24" t="s">
        <v>56</v>
      </c>
      <c r="F2283" s="63" t="s">
        <v>0</v>
      </c>
    </row>
    <row r="2284" spans="1:6" x14ac:dyDescent="0.25">
      <c r="A2284" s="62">
        <v>44805</v>
      </c>
      <c r="B2284" s="62" t="s">
        <v>2021</v>
      </c>
      <c r="C2284" s="23">
        <v>-9700</v>
      </c>
      <c r="D2284" s="24" t="s">
        <v>49</v>
      </c>
      <c r="E2284" s="24" t="s">
        <v>164</v>
      </c>
      <c r="F2284" s="63" t="s">
        <v>0</v>
      </c>
    </row>
    <row r="2285" spans="1:6" x14ac:dyDescent="0.25">
      <c r="A2285" s="62">
        <v>44805</v>
      </c>
      <c r="B2285" s="62" t="s">
        <v>2022</v>
      </c>
      <c r="C2285" s="23">
        <v>-32000</v>
      </c>
      <c r="D2285" s="24" t="s">
        <v>90</v>
      </c>
      <c r="E2285" s="24" t="s">
        <v>111</v>
      </c>
      <c r="F2285" s="63" t="s">
        <v>0</v>
      </c>
    </row>
    <row r="2286" spans="1:6" x14ac:dyDescent="0.25">
      <c r="A2286" s="62">
        <v>44804</v>
      </c>
      <c r="B2286" s="62" t="s">
        <v>2023</v>
      </c>
      <c r="C2286" s="23">
        <v>-368</v>
      </c>
      <c r="D2286" s="24" t="s">
        <v>72</v>
      </c>
      <c r="E2286" s="24" t="s">
        <v>73</v>
      </c>
      <c r="F2286" s="63" t="s">
        <v>0</v>
      </c>
    </row>
    <row r="2287" spans="1:6" x14ac:dyDescent="0.25">
      <c r="A2287" s="62">
        <v>44804</v>
      </c>
      <c r="B2287" s="62" t="s">
        <v>43</v>
      </c>
      <c r="C2287" s="23">
        <v>-1941</v>
      </c>
      <c r="D2287" s="24" t="s">
        <v>167</v>
      </c>
      <c r="E2287" s="24" t="s">
        <v>168</v>
      </c>
      <c r="F2287" s="63" t="s">
        <v>0</v>
      </c>
    </row>
    <row r="2288" spans="1:6" x14ac:dyDescent="0.25">
      <c r="A2288" s="62">
        <v>44804</v>
      </c>
      <c r="B2288" s="62" t="s">
        <v>2024</v>
      </c>
      <c r="C2288" s="23">
        <v>-10985</v>
      </c>
      <c r="D2288" s="24" t="s">
        <v>49</v>
      </c>
      <c r="E2288" s="24" t="s">
        <v>906</v>
      </c>
      <c r="F2288" s="63" t="s">
        <v>0</v>
      </c>
    </row>
    <row r="2289" spans="1:6" x14ac:dyDescent="0.25">
      <c r="A2289" s="62">
        <v>44803</v>
      </c>
      <c r="B2289" s="62" t="s">
        <v>2025</v>
      </c>
      <c r="C2289" s="23">
        <v>-23950</v>
      </c>
      <c r="D2289" s="24" t="s">
        <v>72</v>
      </c>
      <c r="E2289" s="24" t="s">
        <v>109</v>
      </c>
      <c r="F2289" s="63" t="s">
        <v>0</v>
      </c>
    </row>
    <row r="2290" spans="1:6" x14ac:dyDescent="0.25">
      <c r="A2290" s="62">
        <v>44803</v>
      </c>
      <c r="B2290" s="62" t="s">
        <v>2026</v>
      </c>
      <c r="C2290" s="23">
        <v>-4444</v>
      </c>
      <c r="D2290" s="24" t="s">
        <v>52</v>
      </c>
      <c r="E2290" s="24" t="s">
        <v>53</v>
      </c>
      <c r="F2290" s="63" t="s">
        <v>0</v>
      </c>
    </row>
    <row r="2291" spans="1:6" x14ac:dyDescent="0.25">
      <c r="A2291" s="62">
        <v>44803</v>
      </c>
      <c r="B2291" s="62" t="s">
        <v>2027</v>
      </c>
      <c r="C2291" s="23">
        <v>-4650</v>
      </c>
      <c r="D2291" s="24" t="s">
        <v>52</v>
      </c>
      <c r="E2291" s="24" t="s">
        <v>1865</v>
      </c>
      <c r="F2291" s="63" t="s">
        <v>0</v>
      </c>
    </row>
    <row r="2292" spans="1:6" x14ac:dyDescent="0.25">
      <c r="A2292" s="62">
        <v>44803</v>
      </c>
      <c r="B2292" s="62" t="s">
        <v>2028</v>
      </c>
      <c r="C2292" s="23">
        <v>-1950</v>
      </c>
      <c r="D2292" s="24" t="s">
        <v>52</v>
      </c>
      <c r="E2292" s="24" t="s">
        <v>53</v>
      </c>
      <c r="F2292" s="63" t="s">
        <v>0</v>
      </c>
    </row>
    <row r="2293" spans="1:6" x14ac:dyDescent="0.25">
      <c r="A2293" s="62">
        <v>44803</v>
      </c>
      <c r="B2293" s="62" t="s">
        <v>2029</v>
      </c>
      <c r="C2293" s="23">
        <v>-1440</v>
      </c>
      <c r="D2293" s="24" t="s">
        <v>52</v>
      </c>
      <c r="E2293" s="24" t="s">
        <v>1865</v>
      </c>
      <c r="F2293" s="63" t="s">
        <v>0</v>
      </c>
    </row>
    <row r="2294" spans="1:6" x14ac:dyDescent="0.25">
      <c r="A2294" s="62">
        <v>44803</v>
      </c>
      <c r="B2294" s="62" t="s">
        <v>2030</v>
      </c>
      <c r="C2294" s="23">
        <v>-7805</v>
      </c>
      <c r="D2294" s="24" t="s">
        <v>49</v>
      </c>
      <c r="E2294" s="24" t="s">
        <v>56</v>
      </c>
      <c r="F2294" s="63" t="s">
        <v>0</v>
      </c>
    </row>
    <row r="2295" spans="1:6" x14ac:dyDescent="0.25">
      <c r="A2295" s="62">
        <v>44802</v>
      </c>
      <c r="B2295" s="62" t="s">
        <v>2031</v>
      </c>
      <c r="C2295" s="23">
        <v>-1503</v>
      </c>
      <c r="D2295" s="24" t="s">
        <v>49</v>
      </c>
      <c r="E2295" s="24" t="s">
        <v>56</v>
      </c>
      <c r="F2295" s="63" t="s">
        <v>0</v>
      </c>
    </row>
    <row r="2296" spans="1:6" x14ac:dyDescent="0.25">
      <c r="A2296" s="62">
        <v>44802</v>
      </c>
      <c r="B2296" s="62" t="s">
        <v>2032</v>
      </c>
      <c r="C2296" s="23">
        <v>-29093</v>
      </c>
      <c r="D2296" s="24" t="s">
        <v>49</v>
      </c>
      <c r="E2296" s="24" t="s">
        <v>56</v>
      </c>
      <c r="F2296" s="63" t="s">
        <v>0</v>
      </c>
    </row>
    <row r="2297" spans="1:6" x14ac:dyDescent="0.25">
      <c r="A2297" s="62">
        <v>44802</v>
      </c>
      <c r="B2297" s="62" t="s">
        <v>2033</v>
      </c>
      <c r="C2297" s="23">
        <v>-25900</v>
      </c>
      <c r="D2297" s="24" t="s">
        <v>49</v>
      </c>
      <c r="E2297" s="24" t="s">
        <v>56</v>
      </c>
      <c r="F2297" s="63" t="s">
        <v>0</v>
      </c>
    </row>
    <row r="2298" spans="1:6" x14ac:dyDescent="0.25">
      <c r="A2298" s="62">
        <v>44802</v>
      </c>
      <c r="B2298" s="62" t="s">
        <v>2034</v>
      </c>
      <c r="C2298" s="23">
        <v>-28339</v>
      </c>
      <c r="D2298" s="24" t="s">
        <v>52</v>
      </c>
      <c r="E2298" s="24" t="s">
        <v>1865</v>
      </c>
      <c r="F2298" s="63" t="s">
        <v>0</v>
      </c>
    </row>
    <row r="2299" spans="1:6" x14ac:dyDescent="0.25">
      <c r="A2299" s="62">
        <v>44802</v>
      </c>
      <c r="B2299" s="62" t="s">
        <v>2035</v>
      </c>
      <c r="C2299" s="23">
        <v>-50250</v>
      </c>
      <c r="D2299" s="24" t="s">
        <v>46</v>
      </c>
      <c r="E2299" s="24" t="s">
        <v>428</v>
      </c>
      <c r="F2299" s="63" t="s">
        <v>0</v>
      </c>
    </row>
    <row r="2300" spans="1:6" x14ac:dyDescent="0.25">
      <c r="A2300" s="62">
        <v>44802</v>
      </c>
      <c r="B2300" s="62" t="s">
        <v>2036</v>
      </c>
      <c r="C2300" s="23">
        <v>-1400</v>
      </c>
      <c r="D2300" s="24" t="s">
        <v>72</v>
      </c>
      <c r="E2300" s="24" t="s">
        <v>73</v>
      </c>
      <c r="F2300" s="63" t="s">
        <v>0</v>
      </c>
    </row>
    <row r="2301" spans="1:6" x14ac:dyDescent="0.25">
      <c r="A2301" s="62">
        <v>44802</v>
      </c>
      <c r="B2301" s="62" t="s">
        <v>2037</v>
      </c>
      <c r="C2301" s="23">
        <v>-3490</v>
      </c>
      <c r="D2301" s="24" t="s">
        <v>46</v>
      </c>
      <c r="E2301" s="24" t="s">
        <v>63</v>
      </c>
      <c r="F2301" s="63" t="s">
        <v>0</v>
      </c>
    </row>
    <row r="2302" spans="1:6" x14ac:dyDescent="0.25">
      <c r="A2302" s="62">
        <v>44802</v>
      </c>
      <c r="B2302" s="62" t="s">
        <v>2038</v>
      </c>
      <c r="C2302" s="23">
        <v>-338</v>
      </c>
      <c r="D2302" s="24" t="s">
        <v>49</v>
      </c>
      <c r="E2302" s="24" t="s">
        <v>56</v>
      </c>
      <c r="F2302" s="63" t="s">
        <v>0</v>
      </c>
    </row>
    <row r="2303" spans="1:6" x14ac:dyDescent="0.25">
      <c r="A2303" s="62">
        <v>44802</v>
      </c>
      <c r="B2303" s="62" t="s">
        <v>2039</v>
      </c>
      <c r="C2303" s="23">
        <v>-8370</v>
      </c>
      <c r="D2303" s="24" t="s">
        <v>90</v>
      </c>
      <c r="E2303" s="24" t="s">
        <v>59</v>
      </c>
      <c r="F2303" s="63" t="s">
        <v>0</v>
      </c>
    </row>
    <row r="2304" spans="1:6" x14ac:dyDescent="0.25">
      <c r="A2304" s="62">
        <v>44799</v>
      </c>
      <c r="B2304" s="62" t="s">
        <v>2040</v>
      </c>
      <c r="C2304" s="23">
        <v>-792</v>
      </c>
      <c r="D2304" s="24" t="s">
        <v>49</v>
      </c>
      <c r="E2304" s="24" t="s">
        <v>56</v>
      </c>
      <c r="F2304" s="63" t="s">
        <v>0</v>
      </c>
    </row>
    <row r="2305" spans="1:6" x14ac:dyDescent="0.25">
      <c r="A2305" s="62">
        <v>44799</v>
      </c>
      <c r="B2305" s="62" t="s">
        <v>2041</v>
      </c>
      <c r="C2305" s="23">
        <v>-974</v>
      </c>
      <c r="D2305" s="24" t="s">
        <v>49</v>
      </c>
      <c r="E2305" s="24" t="s">
        <v>56</v>
      </c>
      <c r="F2305" s="63" t="s">
        <v>0</v>
      </c>
    </row>
    <row r="2306" spans="1:6" x14ac:dyDescent="0.25">
      <c r="A2306" s="62">
        <v>44798</v>
      </c>
      <c r="B2306" s="62" t="s">
        <v>2042</v>
      </c>
      <c r="C2306" s="23">
        <v>-8245</v>
      </c>
      <c r="D2306" s="24" t="s">
        <v>90</v>
      </c>
      <c r="E2306" s="24" t="s">
        <v>93</v>
      </c>
      <c r="F2306" s="63" t="s">
        <v>0</v>
      </c>
    </row>
    <row r="2307" spans="1:6" x14ac:dyDescent="0.25">
      <c r="A2307" s="62">
        <v>44796</v>
      </c>
      <c r="B2307" s="62" t="s">
        <v>2043</v>
      </c>
      <c r="C2307" s="23">
        <v>-7648</v>
      </c>
      <c r="D2307" s="24" t="s">
        <v>49</v>
      </c>
      <c r="E2307" s="24" t="s">
        <v>56</v>
      </c>
      <c r="F2307" s="63" t="s">
        <v>0</v>
      </c>
    </row>
    <row r="2308" spans="1:6" x14ac:dyDescent="0.25">
      <c r="A2308" s="62">
        <v>44796</v>
      </c>
      <c r="B2308" s="62" t="s">
        <v>2044</v>
      </c>
      <c r="C2308" s="23">
        <v>-3418</v>
      </c>
      <c r="D2308" s="24" t="s">
        <v>49</v>
      </c>
      <c r="E2308" s="24" t="s">
        <v>56</v>
      </c>
      <c r="F2308" s="63" t="s">
        <v>0</v>
      </c>
    </row>
    <row r="2309" spans="1:6" x14ac:dyDescent="0.25">
      <c r="A2309" s="62">
        <v>44795</v>
      </c>
      <c r="B2309" s="62" t="s">
        <v>139</v>
      </c>
      <c r="C2309" s="23">
        <v>13636</v>
      </c>
      <c r="D2309" s="24" t="s">
        <v>58</v>
      </c>
      <c r="E2309" s="24" t="s">
        <v>58</v>
      </c>
      <c r="F2309" s="63" t="s">
        <v>4</v>
      </c>
    </row>
    <row r="2310" spans="1:6" x14ac:dyDescent="0.25">
      <c r="A2310" s="62">
        <v>44795</v>
      </c>
      <c r="B2310" s="62" t="s">
        <v>139</v>
      </c>
      <c r="C2310" s="23">
        <v>7670</v>
      </c>
      <c r="D2310" s="24" t="s">
        <v>58</v>
      </c>
      <c r="E2310" s="24" t="s">
        <v>58</v>
      </c>
      <c r="F2310" s="63" t="s">
        <v>4</v>
      </c>
    </row>
    <row r="2311" spans="1:6" x14ac:dyDescent="0.25">
      <c r="A2311" s="62">
        <v>44795</v>
      </c>
      <c r="B2311" s="62" t="s">
        <v>2045</v>
      </c>
      <c r="C2311" s="23">
        <v>-1544</v>
      </c>
      <c r="D2311" s="24" t="s">
        <v>49</v>
      </c>
      <c r="E2311" s="24" t="s">
        <v>56</v>
      </c>
      <c r="F2311" s="63" t="s">
        <v>0</v>
      </c>
    </row>
    <row r="2312" spans="1:6" x14ac:dyDescent="0.25">
      <c r="A2312" s="62">
        <v>44795</v>
      </c>
      <c r="B2312" s="62" t="s">
        <v>2046</v>
      </c>
      <c r="C2312" s="23">
        <v>-30265</v>
      </c>
      <c r="D2312" s="24" t="s">
        <v>49</v>
      </c>
      <c r="E2312" s="24" t="s">
        <v>56</v>
      </c>
      <c r="F2312" s="63" t="s">
        <v>0</v>
      </c>
    </row>
    <row r="2313" spans="1:6" x14ac:dyDescent="0.25">
      <c r="A2313" s="62">
        <v>44795</v>
      </c>
      <c r="B2313" s="62" t="s">
        <v>2047</v>
      </c>
      <c r="C2313" s="23">
        <v>-4868</v>
      </c>
      <c r="D2313" s="24" t="s">
        <v>49</v>
      </c>
      <c r="E2313" s="24" t="s">
        <v>56</v>
      </c>
      <c r="F2313" s="63" t="s">
        <v>0</v>
      </c>
    </row>
    <row r="2314" spans="1:6" x14ac:dyDescent="0.25">
      <c r="A2314" s="62">
        <v>44795</v>
      </c>
      <c r="B2314" s="62" t="s">
        <v>2048</v>
      </c>
      <c r="C2314" s="23">
        <v>-7743</v>
      </c>
      <c r="D2314" s="24" t="s">
        <v>49</v>
      </c>
      <c r="E2314" s="24" t="s">
        <v>56</v>
      </c>
      <c r="F2314" s="63" t="s">
        <v>0</v>
      </c>
    </row>
    <row r="2315" spans="1:6" x14ac:dyDescent="0.25">
      <c r="A2315" s="62">
        <v>44795</v>
      </c>
      <c r="B2315" s="62" t="s">
        <v>2049</v>
      </c>
      <c r="C2315" s="23">
        <v>-15609</v>
      </c>
      <c r="D2315" s="24" t="s">
        <v>72</v>
      </c>
      <c r="E2315" s="24" t="s">
        <v>109</v>
      </c>
      <c r="F2315" s="63" t="s">
        <v>0</v>
      </c>
    </row>
    <row r="2316" spans="1:6" x14ac:dyDescent="0.25">
      <c r="A2316" s="62">
        <v>44795</v>
      </c>
      <c r="B2316" s="62" t="s">
        <v>2050</v>
      </c>
      <c r="C2316" s="23">
        <v>-792</v>
      </c>
      <c r="D2316" s="24" t="s">
        <v>49</v>
      </c>
      <c r="E2316" s="24" t="s">
        <v>56</v>
      </c>
      <c r="F2316" s="63" t="s">
        <v>0</v>
      </c>
    </row>
    <row r="2317" spans="1:6" x14ac:dyDescent="0.25">
      <c r="A2317" s="62">
        <v>44795</v>
      </c>
      <c r="B2317" s="62" t="s">
        <v>2051</v>
      </c>
      <c r="C2317" s="23">
        <v>-1299</v>
      </c>
      <c r="D2317" s="24" t="s">
        <v>49</v>
      </c>
      <c r="E2317" s="24" t="s">
        <v>56</v>
      </c>
      <c r="F2317" s="63" t="s">
        <v>0</v>
      </c>
    </row>
    <row r="2318" spans="1:6" x14ac:dyDescent="0.25">
      <c r="A2318" s="62">
        <v>44795</v>
      </c>
      <c r="B2318" s="62" t="s">
        <v>2052</v>
      </c>
      <c r="C2318" s="23">
        <v>-5000</v>
      </c>
      <c r="D2318" s="24" t="s">
        <v>49</v>
      </c>
      <c r="E2318" s="24" t="s">
        <v>67</v>
      </c>
      <c r="F2318" s="63" t="s">
        <v>0</v>
      </c>
    </row>
    <row r="2319" spans="1:6" x14ac:dyDescent="0.25">
      <c r="A2319" s="62">
        <v>44795</v>
      </c>
      <c r="B2319" s="62" t="s">
        <v>2053</v>
      </c>
      <c r="C2319" s="23">
        <v>-10000</v>
      </c>
      <c r="D2319" s="24" t="s">
        <v>49</v>
      </c>
      <c r="E2319" s="24" t="s">
        <v>67</v>
      </c>
      <c r="F2319" s="63" t="s">
        <v>0</v>
      </c>
    </row>
    <row r="2320" spans="1:6" x14ac:dyDescent="0.25">
      <c r="A2320" s="62">
        <v>44792</v>
      </c>
      <c r="B2320" s="62" t="s">
        <v>2054</v>
      </c>
      <c r="C2320" s="23">
        <v>-1161</v>
      </c>
      <c r="D2320" s="24" t="s">
        <v>49</v>
      </c>
      <c r="E2320" s="24" t="s">
        <v>56</v>
      </c>
      <c r="F2320" s="63" t="s">
        <v>0</v>
      </c>
    </row>
    <row r="2321" spans="1:6" x14ac:dyDescent="0.25">
      <c r="A2321" s="62">
        <v>44791</v>
      </c>
      <c r="B2321" s="62" t="s">
        <v>2055</v>
      </c>
      <c r="C2321" s="23">
        <v>-1038</v>
      </c>
      <c r="D2321" s="24" t="s">
        <v>49</v>
      </c>
      <c r="E2321" s="24" t="s">
        <v>56</v>
      </c>
      <c r="F2321" s="63" t="s">
        <v>0</v>
      </c>
    </row>
    <row r="2322" spans="1:6" x14ac:dyDescent="0.25">
      <c r="A2322" s="62">
        <v>44791</v>
      </c>
      <c r="B2322" s="62" t="s">
        <v>2056</v>
      </c>
      <c r="C2322" s="23">
        <v>-1888</v>
      </c>
      <c r="D2322" s="24" t="s">
        <v>49</v>
      </c>
      <c r="E2322" s="24" t="s">
        <v>56</v>
      </c>
      <c r="F2322" s="63" t="s">
        <v>0</v>
      </c>
    </row>
    <row r="2323" spans="1:6" x14ac:dyDescent="0.25">
      <c r="A2323" s="62">
        <v>44790</v>
      </c>
      <c r="B2323" s="62" t="s">
        <v>2004</v>
      </c>
      <c r="C2323" s="23">
        <v>-655</v>
      </c>
      <c r="D2323" s="24" t="s">
        <v>52</v>
      </c>
      <c r="E2323" s="24" t="s">
        <v>53</v>
      </c>
      <c r="F2323" s="63" t="s">
        <v>0</v>
      </c>
    </row>
    <row r="2324" spans="1:6" x14ac:dyDescent="0.25">
      <c r="A2324" s="62">
        <v>44790</v>
      </c>
      <c r="B2324" s="62" t="s">
        <v>2057</v>
      </c>
      <c r="C2324" s="23">
        <v>-2200</v>
      </c>
      <c r="D2324" s="24" t="s">
        <v>52</v>
      </c>
      <c r="E2324" s="24" t="s">
        <v>53</v>
      </c>
      <c r="F2324" s="63" t="s">
        <v>0</v>
      </c>
    </row>
    <row r="2325" spans="1:6" x14ac:dyDescent="0.25">
      <c r="A2325" s="62">
        <v>44790</v>
      </c>
      <c r="B2325" s="62" t="s">
        <v>2058</v>
      </c>
      <c r="C2325" s="23">
        <v>-5000</v>
      </c>
      <c r="D2325" s="24" t="s">
        <v>90</v>
      </c>
      <c r="E2325" s="24" t="s">
        <v>91</v>
      </c>
      <c r="F2325" s="63" t="s">
        <v>0</v>
      </c>
    </row>
    <row r="2326" spans="1:6" x14ac:dyDescent="0.25">
      <c r="A2326" s="62">
        <v>44789</v>
      </c>
      <c r="B2326" s="62" t="s">
        <v>2059</v>
      </c>
      <c r="C2326" s="23">
        <v>-12545</v>
      </c>
      <c r="D2326" s="24" t="s">
        <v>49</v>
      </c>
      <c r="E2326" s="24" t="s">
        <v>56</v>
      </c>
      <c r="F2326" s="63" t="s">
        <v>0</v>
      </c>
    </row>
    <row r="2327" spans="1:6" x14ac:dyDescent="0.25">
      <c r="A2327" s="62">
        <v>44789</v>
      </c>
      <c r="B2327" s="62" t="s">
        <v>2060</v>
      </c>
      <c r="C2327" s="23">
        <v>-570</v>
      </c>
      <c r="D2327" s="24" t="s">
        <v>49</v>
      </c>
      <c r="E2327" s="24" t="s">
        <v>56</v>
      </c>
      <c r="F2327" s="63" t="s">
        <v>0</v>
      </c>
    </row>
    <row r="2328" spans="1:6" x14ac:dyDescent="0.25">
      <c r="A2328" s="62">
        <v>44789</v>
      </c>
      <c r="B2328" s="62" t="s">
        <v>2061</v>
      </c>
      <c r="C2328" s="23">
        <v>-10522</v>
      </c>
      <c r="D2328" s="24" t="s">
        <v>72</v>
      </c>
      <c r="E2328" s="24" t="s">
        <v>109</v>
      </c>
      <c r="F2328" s="63" t="s">
        <v>0</v>
      </c>
    </row>
    <row r="2329" spans="1:6" x14ac:dyDescent="0.25">
      <c r="A2329" s="62">
        <v>44789</v>
      </c>
      <c r="B2329" s="62" t="s">
        <v>2062</v>
      </c>
      <c r="C2329" s="23">
        <v>-2800</v>
      </c>
      <c r="D2329" s="24" t="s">
        <v>83</v>
      </c>
      <c r="E2329" s="24" t="s">
        <v>84</v>
      </c>
      <c r="F2329" s="63" t="s">
        <v>0</v>
      </c>
    </row>
    <row r="2330" spans="1:6" x14ac:dyDescent="0.25">
      <c r="A2330" s="62">
        <v>44788</v>
      </c>
      <c r="B2330" s="62" t="s">
        <v>2063</v>
      </c>
      <c r="C2330" s="23">
        <v>-569</v>
      </c>
      <c r="D2330" s="24" t="s">
        <v>49</v>
      </c>
      <c r="E2330" s="24" t="s">
        <v>56</v>
      </c>
      <c r="F2330" s="63" t="s">
        <v>0</v>
      </c>
    </row>
    <row r="2331" spans="1:6" x14ac:dyDescent="0.25">
      <c r="A2331" s="62">
        <v>44788</v>
      </c>
      <c r="B2331" s="62" t="s">
        <v>2064</v>
      </c>
      <c r="C2331" s="23">
        <v>-9949</v>
      </c>
      <c r="D2331" s="24" t="s">
        <v>49</v>
      </c>
      <c r="E2331" s="24" t="s">
        <v>56</v>
      </c>
      <c r="F2331" s="63" t="s">
        <v>0</v>
      </c>
    </row>
    <row r="2332" spans="1:6" x14ac:dyDescent="0.25">
      <c r="A2332" s="62">
        <v>44788</v>
      </c>
      <c r="B2332" s="62" t="s">
        <v>2065</v>
      </c>
      <c r="C2332" s="23">
        <v>-12663</v>
      </c>
      <c r="D2332" s="24" t="s">
        <v>72</v>
      </c>
      <c r="E2332" s="24" t="s">
        <v>109</v>
      </c>
      <c r="F2332" s="63" t="s">
        <v>0</v>
      </c>
    </row>
    <row r="2333" spans="1:6" x14ac:dyDescent="0.25">
      <c r="A2333" s="62">
        <v>44788</v>
      </c>
      <c r="B2333" s="62" t="s">
        <v>2066</v>
      </c>
      <c r="C2333" s="23">
        <v>-2667</v>
      </c>
      <c r="D2333" s="24" t="s">
        <v>52</v>
      </c>
      <c r="E2333" s="24" t="s">
        <v>134</v>
      </c>
      <c r="F2333" s="63" t="s">
        <v>0</v>
      </c>
    </row>
    <row r="2334" spans="1:6" x14ac:dyDescent="0.25">
      <c r="A2334" s="62">
        <v>44788</v>
      </c>
      <c r="B2334" s="62" t="s">
        <v>704</v>
      </c>
      <c r="C2334" s="23">
        <v>-6944</v>
      </c>
      <c r="D2334" s="24" t="s">
        <v>46</v>
      </c>
      <c r="E2334" s="24" t="s">
        <v>150</v>
      </c>
      <c r="F2334" s="63" t="s">
        <v>0</v>
      </c>
    </row>
    <row r="2335" spans="1:6" x14ac:dyDescent="0.25">
      <c r="A2335" s="62">
        <v>44788</v>
      </c>
      <c r="B2335" s="62" t="s">
        <v>2067</v>
      </c>
      <c r="C2335" s="23">
        <v>-4335</v>
      </c>
      <c r="D2335" s="24" t="s">
        <v>49</v>
      </c>
      <c r="E2335" s="24" t="s">
        <v>164</v>
      </c>
      <c r="F2335" s="63" t="s">
        <v>0</v>
      </c>
    </row>
    <row r="2336" spans="1:6" x14ac:dyDescent="0.25">
      <c r="A2336" s="62">
        <v>44788</v>
      </c>
      <c r="B2336" s="62" t="s">
        <v>2068</v>
      </c>
      <c r="C2336" s="23">
        <v>-590</v>
      </c>
      <c r="D2336" s="24" t="s">
        <v>52</v>
      </c>
      <c r="E2336" s="24" t="s">
        <v>134</v>
      </c>
      <c r="F2336" s="63" t="s">
        <v>0</v>
      </c>
    </row>
    <row r="2337" spans="1:6" x14ac:dyDescent="0.25">
      <c r="A2337" s="62">
        <v>44788</v>
      </c>
      <c r="B2337" s="62" t="s">
        <v>2069</v>
      </c>
      <c r="C2337" s="23">
        <v>-5546</v>
      </c>
      <c r="D2337" s="24" t="s">
        <v>46</v>
      </c>
      <c r="E2337" s="24" t="s">
        <v>80</v>
      </c>
      <c r="F2337" s="63" t="s">
        <v>0</v>
      </c>
    </row>
    <row r="2338" spans="1:6" x14ac:dyDescent="0.25">
      <c r="A2338" s="62">
        <v>44788</v>
      </c>
      <c r="B2338" s="62" t="s">
        <v>2070</v>
      </c>
      <c r="C2338" s="23">
        <v>-691</v>
      </c>
      <c r="D2338" s="24" t="s">
        <v>49</v>
      </c>
      <c r="E2338" s="24" t="s">
        <v>56</v>
      </c>
      <c r="F2338" s="63" t="s">
        <v>0</v>
      </c>
    </row>
    <row r="2339" spans="1:6" x14ac:dyDescent="0.25">
      <c r="A2339" s="62">
        <v>44788</v>
      </c>
      <c r="B2339" s="62" t="s">
        <v>2071</v>
      </c>
      <c r="C2339" s="23">
        <v>-1699</v>
      </c>
      <c r="D2339" s="24" t="s">
        <v>90</v>
      </c>
      <c r="E2339" s="24" t="s">
        <v>59</v>
      </c>
      <c r="F2339" s="63" t="s">
        <v>0</v>
      </c>
    </row>
    <row r="2340" spans="1:6" x14ac:dyDescent="0.25">
      <c r="A2340" s="62">
        <v>44788</v>
      </c>
      <c r="B2340" s="62" t="s">
        <v>2072</v>
      </c>
      <c r="C2340" s="23">
        <v>-27000</v>
      </c>
      <c r="D2340" s="24" t="s">
        <v>49</v>
      </c>
      <c r="E2340" s="24" t="s">
        <v>67</v>
      </c>
      <c r="F2340" s="63" t="s">
        <v>0</v>
      </c>
    </row>
    <row r="2341" spans="1:6" x14ac:dyDescent="0.25">
      <c r="A2341" s="62">
        <v>44787</v>
      </c>
      <c r="B2341" s="62" t="s">
        <v>2073</v>
      </c>
      <c r="C2341" s="23">
        <v>-6340</v>
      </c>
      <c r="D2341" s="24" t="s">
        <v>52</v>
      </c>
      <c r="E2341" s="24" t="s">
        <v>53</v>
      </c>
      <c r="F2341" s="63" t="s">
        <v>4</v>
      </c>
    </row>
    <row r="2342" spans="1:6" x14ac:dyDescent="0.25">
      <c r="A2342" s="62">
        <v>44785</v>
      </c>
      <c r="B2342" s="62" t="s">
        <v>2074</v>
      </c>
      <c r="C2342" s="23">
        <v>-1137</v>
      </c>
      <c r="D2342" s="24" t="s">
        <v>46</v>
      </c>
      <c r="E2342" s="24" t="s">
        <v>61</v>
      </c>
      <c r="F2342" s="63" t="s">
        <v>0</v>
      </c>
    </row>
    <row r="2343" spans="1:6" x14ac:dyDescent="0.25">
      <c r="A2343" s="62">
        <v>44785</v>
      </c>
      <c r="B2343" s="62" t="s">
        <v>2075</v>
      </c>
      <c r="C2343" s="23">
        <v>-4567</v>
      </c>
      <c r="D2343" s="24" t="s">
        <v>46</v>
      </c>
      <c r="E2343" s="24" t="s">
        <v>512</v>
      </c>
      <c r="F2343" s="63" t="s">
        <v>0</v>
      </c>
    </row>
    <row r="2344" spans="1:6" x14ac:dyDescent="0.25">
      <c r="A2344" s="62">
        <v>44784</v>
      </c>
      <c r="B2344" s="62" t="s">
        <v>2076</v>
      </c>
      <c r="C2344" s="23">
        <v>-19342</v>
      </c>
      <c r="D2344" s="24" t="s">
        <v>72</v>
      </c>
      <c r="E2344" s="24" t="s">
        <v>109</v>
      </c>
      <c r="F2344" s="63" t="s">
        <v>0</v>
      </c>
    </row>
    <row r="2345" spans="1:6" x14ac:dyDescent="0.25">
      <c r="A2345" s="62">
        <v>44784</v>
      </c>
      <c r="B2345" s="62" t="s">
        <v>2077</v>
      </c>
      <c r="C2345" s="23">
        <v>-1069</v>
      </c>
      <c r="D2345" s="24" t="s">
        <v>49</v>
      </c>
      <c r="E2345" s="24" t="s">
        <v>56</v>
      </c>
      <c r="F2345" s="63" t="s">
        <v>0</v>
      </c>
    </row>
    <row r="2346" spans="1:6" x14ac:dyDescent="0.25">
      <c r="A2346" s="62">
        <v>44784</v>
      </c>
      <c r="B2346" s="62" t="s">
        <v>2078</v>
      </c>
      <c r="C2346" s="23">
        <v>-15617</v>
      </c>
      <c r="D2346" s="24" t="s">
        <v>49</v>
      </c>
      <c r="E2346" s="24" t="s">
        <v>56</v>
      </c>
      <c r="F2346" s="63" t="s">
        <v>0</v>
      </c>
    </row>
    <row r="2347" spans="1:6" x14ac:dyDescent="0.25">
      <c r="A2347" s="62">
        <v>44784</v>
      </c>
      <c r="B2347" s="62" t="s">
        <v>1637</v>
      </c>
      <c r="C2347" s="23">
        <v>-2100</v>
      </c>
      <c r="D2347" s="24" t="s">
        <v>52</v>
      </c>
      <c r="E2347" s="24" t="s">
        <v>53</v>
      </c>
      <c r="F2347" s="63" t="s">
        <v>0</v>
      </c>
    </row>
    <row r="2348" spans="1:6" x14ac:dyDescent="0.25">
      <c r="A2348" s="62">
        <v>44784</v>
      </c>
      <c r="B2348" s="62" t="s">
        <v>172</v>
      </c>
      <c r="C2348" s="23">
        <v>34447</v>
      </c>
      <c r="D2348" s="24" t="s">
        <v>58</v>
      </c>
      <c r="E2348" s="24" t="s">
        <v>58</v>
      </c>
      <c r="F2348" s="63" t="s">
        <v>0</v>
      </c>
    </row>
    <row r="2349" spans="1:6" x14ac:dyDescent="0.25">
      <c r="A2349" s="62">
        <v>44784</v>
      </c>
      <c r="B2349" s="62" t="s">
        <v>2079</v>
      </c>
      <c r="C2349" s="23">
        <v>-293</v>
      </c>
      <c r="D2349" s="24" t="s">
        <v>72</v>
      </c>
      <c r="E2349" s="24" t="s">
        <v>197</v>
      </c>
      <c r="F2349" s="63" t="s">
        <v>0</v>
      </c>
    </row>
    <row r="2350" spans="1:6" x14ac:dyDescent="0.25">
      <c r="A2350" s="62">
        <v>44784</v>
      </c>
      <c r="B2350" s="62" t="s">
        <v>2080</v>
      </c>
      <c r="C2350" s="23">
        <v>-569</v>
      </c>
      <c r="D2350" s="24" t="s">
        <v>49</v>
      </c>
      <c r="E2350" s="24" t="s">
        <v>56</v>
      </c>
      <c r="F2350" s="63" t="s">
        <v>0</v>
      </c>
    </row>
    <row r="2351" spans="1:6" x14ac:dyDescent="0.25">
      <c r="A2351" s="62">
        <v>44783</v>
      </c>
      <c r="B2351" s="62" t="s">
        <v>2081</v>
      </c>
      <c r="C2351" s="23">
        <v>-211021.42</v>
      </c>
      <c r="D2351" s="24" t="s">
        <v>46</v>
      </c>
      <c r="E2351" s="24" t="s">
        <v>10</v>
      </c>
      <c r="F2351" s="63" t="s">
        <v>0</v>
      </c>
    </row>
    <row r="2352" spans="1:6" x14ac:dyDescent="0.25">
      <c r="A2352" s="62">
        <v>44783</v>
      </c>
      <c r="B2352" s="62" t="s">
        <v>2082</v>
      </c>
      <c r="C2352" s="23">
        <v>-50783.37</v>
      </c>
      <c r="D2352" s="24" t="s">
        <v>46</v>
      </c>
      <c r="E2352" s="24" t="s">
        <v>10</v>
      </c>
      <c r="F2352" s="63" t="s">
        <v>0</v>
      </c>
    </row>
    <row r="2353" spans="1:6" x14ac:dyDescent="0.25">
      <c r="A2353" s="62">
        <v>44783</v>
      </c>
      <c r="B2353" s="62" t="s">
        <v>2083</v>
      </c>
      <c r="C2353" s="23">
        <v>-25000</v>
      </c>
      <c r="D2353" s="24" t="s">
        <v>90</v>
      </c>
      <c r="E2353" s="24" t="s">
        <v>111</v>
      </c>
      <c r="F2353" s="63" t="s">
        <v>0</v>
      </c>
    </row>
    <row r="2354" spans="1:6" x14ac:dyDescent="0.25">
      <c r="A2354" s="62">
        <v>44783</v>
      </c>
      <c r="B2354" s="62" t="s">
        <v>1651</v>
      </c>
      <c r="C2354" s="23">
        <v>764511</v>
      </c>
      <c r="D2354" s="24" t="s">
        <v>58</v>
      </c>
      <c r="E2354" s="24" t="s">
        <v>58</v>
      </c>
      <c r="F2354" s="63" t="s">
        <v>0</v>
      </c>
    </row>
    <row r="2355" spans="1:6" x14ac:dyDescent="0.25">
      <c r="A2355" s="62">
        <v>44783</v>
      </c>
      <c r="B2355" s="62" t="s">
        <v>2084</v>
      </c>
      <c r="C2355" s="23">
        <v>-16870</v>
      </c>
      <c r="D2355" s="24" t="s">
        <v>90</v>
      </c>
      <c r="E2355" s="24" t="s">
        <v>106</v>
      </c>
      <c r="F2355" s="63" t="s">
        <v>0</v>
      </c>
    </row>
    <row r="2356" spans="1:6" x14ac:dyDescent="0.25">
      <c r="A2356" s="62">
        <v>44783</v>
      </c>
      <c r="B2356" s="62" t="s">
        <v>2085</v>
      </c>
      <c r="C2356" s="23">
        <v>-36980</v>
      </c>
      <c r="D2356" s="24" t="s">
        <v>49</v>
      </c>
      <c r="E2356" s="24" t="s">
        <v>67</v>
      </c>
      <c r="F2356" s="63" t="s">
        <v>0</v>
      </c>
    </row>
    <row r="2357" spans="1:6" x14ac:dyDescent="0.25">
      <c r="A2357" s="62">
        <v>44783</v>
      </c>
      <c r="B2357" s="62" t="s">
        <v>2081</v>
      </c>
      <c r="C2357" s="23">
        <v>211021.42</v>
      </c>
      <c r="D2357" s="24" t="s">
        <v>46</v>
      </c>
      <c r="E2357" s="24" t="s">
        <v>10</v>
      </c>
      <c r="F2357" s="63" t="s">
        <v>10</v>
      </c>
    </row>
    <row r="2358" spans="1:6" x14ac:dyDescent="0.25">
      <c r="A2358" s="62">
        <v>44782</v>
      </c>
      <c r="B2358" s="62" t="s">
        <v>2086</v>
      </c>
      <c r="C2358" s="23">
        <v>-1440</v>
      </c>
      <c r="D2358" s="24" t="s">
        <v>52</v>
      </c>
      <c r="E2358" s="24" t="s">
        <v>134</v>
      </c>
      <c r="F2358" s="63" t="s">
        <v>0</v>
      </c>
    </row>
    <row r="2359" spans="1:6" x14ac:dyDescent="0.25">
      <c r="A2359" s="62">
        <v>44782</v>
      </c>
      <c r="B2359" s="62" t="s">
        <v>1637</v>
      </c>
      <c r="C2359" s="23">
        <v>-2100</v>
      </c>
      <c r="D2359" s="24" t="s">
        <v>52</v>
      </c>
      <c r="E2359" s="24" t="s">
        <v>53</v>
      </c>
      <c r="F2359" s="63" t="s">
        <v>0</v>
      </c>
    </row>
    <row r="2360" spans="1:6" x14ac:dyDescent="0.25">
      <c r="A2360" s="62">
        <v>44781</v>
      </c>
      <c r="B2360" s="62" t="s">
        <v>2087</v>
      </c>
      <c r="C2360" s="23">
        <v>-4000</v>
      </c>
      <c r="D2360" s="24" t="s">
        <v>49</v>
      </c>
      <c r="E2360" s="24" t="s">
        <v>56</v>
      </c>
      <c r="F2360" s="63" t="s">
        <v>0</v>
      </c>
    </row>
    <row r="2361" spans="1:6" x14ac:dyDescent="0.25">
      <c r="A2361" s="62">
        <v>44781</v>
      </c>
      <c r="B2361" s="62" t="s">
        <v>2088</v>
      </c>
      <c r="C2361" s="23">
        <v>-884</v>
      </c>
      <c r="D2361" s="24" t="s">
        <v>167</v>
      </c>
      <c r="E2361" s="24" t="s">
        <v>168</v>
      </c>
      <c r="F2361" s="63" t="s">
        <v>0</v>
      </c>
    </row>
    <row r="2362" spans="1:6" x14ac:dyDescent="0.25">
      <c r="A2362" s="62">
        <v>44781</v>
      </c>
      <c r="B2362" s="62" t="s">
        <v>2089</v>
      </c>
      <c r="C2362" s="23">
        <v>-2030</v>
      </c>
      <c r="D2362" s="24" t="s">
        <v>52</v>
      </c>
      <c r="E2362" s="24" t="s">
        <v>53</v>
      </c>
      <c r="F2362" s="63" t="s">
        <v>0</v>
      </c>
    </row>
    <row r="2363" spans="1:6" x14ac:dyDescent="0.25">
      <c r="A2363" s="62">
        <v>44781</v>
      </c>
      <c r="B2363" s="62" t="s">
        <v>2090</v>
      </c>
      <c r="C2363" s="23">
        <v>-1629</v>
      </c>
      <c r="D2363" s="24" t="s">
        <v>72</v>
      </c>
      <c r="E2363" s="24" t="s">
        <v>73</v>
      </c>
      <c r="F2363" s="63" t="s">
        <v>0</v>
      </c>
    </row>
    <row r="2364" spans="1:6" x14ac:dyDescent="0.25">
      <c r="A2364" s="62">
        <v>44781</v>
      </c>
      <c r="B2364" s="62" t="s">
        <v>2088</v>
      </c>
      <c r="C2364" s="23">
        <v>-39000</v>
      </c>
      <c r="D2364" s="24" t="s">
        <v>83</v>
      </c>
      <c r="E2364" s="24" t="s">
        <v>660</v>
      </c>
      <c r="F2364" s="63" t="s">
        <v>0</v>
      </c>
    </row>
    <row r="2365" spans="1:6" x14ac:dyDescent="0.25">
      <c r="A2365" s="62">
        <v>44781</v>
      </c>
      <c r="B2365" s="62" t="s">
        <v>2091</v>
      </c>
      <c r="C2365" s="23">
        <v>-20103</v>
      </c>
      <c r="D2365" s="24" t="s">
        <v>72</v>
      </c>
      <c r="E2365" s="24" t="s">
        <v>109</v>
      </c>
      <c r="F2365" s="63" t="s">
        <v>0</v>
      </c>
    </row>
    <row r="2366" spans="1:6" x14ac:dyDescent="0.25">
      <c r="A2366" s="62">
        <v>44781</v>
      </c>
      <c r="B2366" s="62" t="s">
        <v>2092</v>
      </c>
      <c r="C2366" s="23">
        <v>-2050</v>
      </c>
      <c r="D2366" s="24" t="s">
        <v>83</v>
      </c>
      <c r="E2366" s="24" t="s">
        <v>660</v>
      </c>
      <c r="F2366" s="63" t="s">
        <v>0</v>
      </c>
    </row>
    <row r="2367" spans="1:6" x14ac:dyDescent="0.25">
      <c r="A2367" s="62">
        <v>44781</v>
      </c>
      <c r="B2367" s="62" t="s">
        <v>2093</v>
      </c>
      <c r="C2367" s="23">
        <v>-3000</v>
      </c>
      <c r="D2367" s="24" t="s">
        <v>83</v>
      </c>
      <c r="E2367" s="24" t="s">
        <v>660</v>
      </c>
      <c r="F2367" s="63" t="s">
        <v>0</v>
      </c>
    </row>
    <row r="2368" spans="1:6" x14ac:dyDescent="0.25">
      <c r="A2368" s="62">
        <v>44781</v>
      </c>
      <c r="B2368" s="62" t="s">
        <v>2094</v>
      </c>
      <c r="C2368" s="23">
        <v>-16150</v>
      </c>
      <c r="D2368" s="24" t="s">
        <v>83</v>
      </c>
      <c r="E2368" s="24" t="s">
        <v>660</v>
      </c>
      <c r="F2368" s="63" t="s">
        <v>0</v>
      </c>
    </row>
    <row r="2369" spans="1:6" x14ac:dyDescent="0.25">
      <c r="A2369" s="62">
        <v>44781</v>
      </c>
      <c r="B2369" s="62" t="s">
        <v>2095</v>
      </c>
      <c r="C2369" s="23">
        <v>-586</v>
      </c>
      <c r="D2369" s="24" t="s">
        <v>72</v>
      </c>
      <c r="E2369" s="24" t="s">
        <v>197</v>
      </c>
      <c r="F2369" s="63" t="s">
        <v>0</v>
      </c>
    </row>
    <row r="2370" spans="1:6" x14ac:dyDescent="0.25">
      <c r="A2370" s="62">
        <v>44781</v>
      </c>
      <c r="B2370" s="62" t="s">
        <v>2096</v>
      </c>
      <c r="C2370" s="23">
        <v>-1078</v>
      </c>
      <c r="D2370" s="24" t="s">
        <v>49</v>
      </c>
      <c r="E2370" s="24" t="s">
        <v>56</v>
      </c>
      <c r="F2370" s="63" t="s">
        <v>0</v>
      </c>
    </row>
    <row r="2371" spans="1:6" x14ac:dyDescent="0.25">
      <c r="A2371" s="62">
        <v>44781</v>
      </c>
      <c r="B2371" s="62" t="s">
        <v>2097</v>
      </c>
      <c r="C2371" s="23">
        <v>-1955</v>
      </c>
      <c r="D2371" s="24" t="s">
        <v>49</v>
      </c>
      <c r="E2371" s="24" t="s">
        <v>56</v>
      </c>
      <c r="F2371" s="63" t="s">
        <v>0</v>
      </c>
    </row>
    <row r="2372" spans="1:6" x14ac:dyDescent="0.25">
      <c r="A2372" s="62">
        <v>44781</v>
      </c>
      <c r="B2372" s="62" t="s">
        <v>2098</v>
      </c>
      <c r="C2372" s="23">
        <v>-2380</v>
      </c>
      <c r="D2372" s="24" t="s">
        <v>52</v>
      </c>
      <c r="E2372" s="24" t="s">
        <v>53</v>
      </c>
      <c r="F2372" s="63" t="s">
        <v>0</v>
      </c>
    </row>
    <row r="2373" spans="1:6" x14ac:dyDescent="0.25">
      <c r="A2373" s="62">
        <v>44781</v>
      </c>
      <c r="B2373" s="62" t="s">
        <v>2099</v>
      </c>
      <c r="C2373" s="23">
        <v>-3000</v>
      </c>
      <c r="D2373" s="24" t="s">
        <v>72</v>
      </c>
      <c r="E2373" s="24" t="s">
        <v>197</v>
      </c>
      <c r="F2373" s="63" t="s">
        <v>0</v>
      </c>
    </row>
    <row r="2374" spans="1:6" x14ac:dyDescent="0.25">
      <c r="A2374" s="62">
        <v>44781</v>
      </c>
      <c r="B2374" s="62" t="s">
        <v>2100</v>
      </c>
      <c r="C2374" s="23">
        <v>-5237</v>
      </c>
      <c r="D2374" s="24" t="s">
        <v>90</v>
      </c>
      <c r="E2374" s="24" t="s">
        <v>59</v>
      </c>
      <c r="F2374" s="63" t="s">
        <v>0</v>
      </c>
    </row>
    <row r="2375" spans="1:6" x14ac:dyDescent="0.25">
      <c r="A2375" s="62">
        <v>44781</v>
      </c>
      <c r="B2375" s="62" t="s">
        <v>2101</v>
      </c>
      <c r="C2375" s="23">
        <v>-1144</v>
      </c>
      <c r="D2375" s="24" t="s">
        <v>49</v>
      </c>
      <c r="E2375" s="24" t="s">
        <v>56</v>
      </c>
      <c r="F2375" s="63" t="s">
        <v>0</v>
      </c>
    </row>
    <row r="2376" spans="1:6" x14ac:dyDescent="0.25">
      <c r="A2376" s="62">
        <v>44778</v>
      </c>
      <c r="B2376" s="62" t="s">
        <v>2102</v>
      </c>
      <c r="C2376" s="23">
        <v>-35611</v>
      </c>
      <c r="D2376" s="24" t="s">
        <v>46</v>
      </c>
      <c r="E2376" s="24" t="s">
        <v>1317</v>
      </c>
      <c r="F2376" s="63" t="s">
        <v>0</v>
      </c>
    </row>
    <row r="2377" spans="1:6" x14ac:dyDescent="0.25">
      <c r="A2377" s="62">
        <v>44778</v>
      </c>
      <c r="B2377" s="62" t="s">
        <v>2103</v>
      </c>
      <c r="C2377" s="23">
        <v>-5545</v>
      </c>
      <c r="D2377" s="24" t="s">
        <v>46</v>
      </c>
      <c r="E2377" s="24" t="s">
        <v>80</v>
      </c>
      <c r="F2377" s="63" t="s">
        <v>0</v>
      </c>
    </row>
    <row r="2378" spans="1:6" x14ac:dyDescent="0.25">
      <c r="A2378" s="62">
        <v>44778</v>
      </c>
      <c r="B2378" s="62" t="s">
        <v>171</v>
      </c>
      <c r="C2378" s="23">
        <v>1672</v>
      </c>
      <c r="D2378" s="24" t="s">
        <v>167</v>
      </c>
      <c r="E2378" s="24" t="s">
        <v>168</v>
      </c>
      <c r="F2378" s="63" t="s">
        <v>0</v>
      </c>
    </row>
    <row r="2379" spans="1:6" x14ac:dyDescent="0.25">
      <c r="A2379" s="62">
        <v>44778</v>
      </c>
      <c r="B2379" s="62" t="s">
        <v>2104</v>
      </c>
      <c r="C2379" s="23">
        <v>-7840</v>
      </c>
      <c r="D2379" s="24" t="s">
        <v>49</v>
      </c>
      <c r="E2379" s="24" t="s">
        <v>67</v>
      </c>
      <c r="F2379" s="63" t="s">
        <v>0</v>
      </c>
    </row>
    <row r="2380" spans="1:6" x14ac:dyDescent="0.25">
      <c r="A2380" s="62">
        <v>44777</v>
      </c>
      <c r="B2380" s="62" t="s">
        <v>2105</v>
      </c>
      <c r="C2380" s="23">
        <v>-10916</v>
      </c>
      <c r="D2380" s="24" t="s">
        <v>46</v>
      </c>
      <c r="E2380" s="24" t="s">
        <v>145</v>
      </c>
      <c r="F2380" s="63" t="s">
        <v>0</v>
      </c>
    </row>
    <row r="2381" spans="1:6" x14ac:dyDescent="0.25">
      <c r="A2381" s="62">
        <v>44777</v>
      </c>
      <c r="B2381" s="62" t="s">
        <v>2106</v>
      </c>
      <c r="C2381" s="23">
        <v>-799</v>
      </c>
      <c r="D2381" s="24" t="s">
        <v>83</v>
      </c>
      <c r="E2381" s="24" t="s">
        <v>660</v>
      </c>
      <c r="F2381" s="63" t="s">
        <v>0</v>
      </c>
    </row>
    <row r="2382" spans="1:6" x14ac:dyDescent="0.25">
      <c r="A2382" s="62">
        <v>44777</v>
      </c>
      <c r="B2382" s="62" t="s">
        <v>2107</v>
      </c>
      <c r="C2382" s="23">
        <v>-2350</v>
      </c>
      <c r="D2382" s="24" t="s">
        <v>52</v>
      </c>
      <c r="E2382" s="24" t="s">
        <v>53</v>
      </c>
      <c r="F2382" s="63" t="s">
        <v>0</v>
      </c>
    </row>
    <row r="2383" spans="1:6" x14ac:dyDescent="0.25">
      <c r="A2383" s="62">
        <v>44777</v>
      </c>
      <c r="B2383" s="62" t="s">
        <v>1280</v>
      </c>
      <c r="C2383" s="23">
        <v>-504</v>
      </c>
      <c r="D2383" s="24" t="s">
        <v>72</v>
      </c>
      <c r="E2383" s="24" t="s">
        <v>197</v>
      </c>
      <c r="F2383" s="63" t="s">
        <v>0</v>
      </c>
    </row>
    <row r="2384" spans="1:6" x14ac:dyDescent="0.25">
      <c r="A2384" s="62">
        <v>44777</v>
      </c>
      <c r="B2384" s="62" t="s">
        <v>2108</v>
      </c>
      <c r="C2384" s="23">
        <v>-6479</v>
      </c>
      <c r="D2384" s="24" t="s">
        <v>46</v>
      </c>
      <c r="E2384" s="24" t="s">
        <v>63</v>
      </c>
      <c r="F2384" s="63" t="s">
        <v>0</v>
      </c>
    </row>
    <row r="2385" spans="1:6" x14ac:dyDescent="0.25">
      <c r="A2385" s="62">
        <v>44777</v>
      </c>
      <c r="B2385" s="62" t="s">
        <v>2109</v>
      </c>
      <c r="C2385" s="23">
        <v>14480</v>
      </c>
      <c r="D2385" s="24" t="s">
        <v>49</v>
      </c>
      <c r="E2385" s="24" t="s">
        <v>906</v>
      </c>
      <c r="F2385" s="63" t="s">
        <v>0</v>
      </c>
    </row>
    <row r="2386" spans="1:6" x14ac:dyDescent="0.25">
      <c r="A2386" s="62">
        <v>44777</v>
      </c>
      <c r="B2386" s="62" t="s">
        <v>2110</v>
      </c>
      <c r="C2386" s="23">
        <v>-293</v>
      </c>
      <c r="D2386" s="24" t="s">
        <v>72</v>
      </c>
      <c r="E2386" s="24" t="s">
        <v>197</v>
      </c>
      <c r="F2386" s="63" t="s">
        <v>0</v>
      </c>
    </row>
    <row r="2387" spans="1:6" x14ac:dyDescent="0.25">
      <c r="A2387" s="62">
        <v>44777</v>
      </c>
      <c r="B2387" s="62" t="s">
        <v>2111</v>
      </c>
      <c r="C2387" s="23">
        <v>-4650</v>
      </c>
      <c r="D2387" s="24" t="s">
        <v>49</v>
      </c>
      <c r="E2387" s="24" t="s">
        <v>906</v>
      </c>
      <c r="F2387" s="63" t="s">
        <v>0</v>
      </c>
    </row>
    <row r="2388" spans="1:6" x14ac:dyDescent="0.25">
      <c r="A2388" s="62">
        <v>44777</v>
      </c>
      <c r="B2388" s="62" t="s">
        <v>2112</v>
      </c>
      <c r="C2388" s="23">
        <v>-5000</v>
      </c>
      <c r="D2388" s="24" t="s">
        <v>90</v>
      </c>
      <c r="E2388" s="24" t="s">
        <v>91</v>
      </c>
      <c r="F2388" s="63" t="s">
        <v>0</v>
      </c>
    </row>
    <row r="2389" spans="1:6" x14ac:dyDescent="0.25">
      <c r="A2389" s="62">
        <v>44776</v>
      </c>
      <c r="B2389" s="62" t="s">
        <v>2113</v>
      </c>
      <c r="C2389" s="23">
        <v>-3225</v>
      </c>
      <c r="D2389" s="24" t="s">
        <v>52</v>
      </c>
      <c r="E2389" s="24" t="s">
        <v>53</v>
      </c>
      <c r="F2389" s="63" t="s">
        <v>0</v>
      </c>
    </row>
    <row r="2390" spans="1:6" x14ac:dyDescent="0.25">
      <c r="A2390" s="62">
        <v>44776</v>
      </c>
      <c r="B2390" s="62" t="s">
        <v>2114</v>
      </c>
      <c r="C2390" s="23">
        <v>-2085</v>
      </c>
      <c r="D2390" s="24" t="s">
        <v>46</v>
      </c>
      <c r="E2390" s="24" t="s">
        <v>61</v>
      </c>
      <c r="F2390" s="63" t="s">
        <v>0</v>
      </c>
    </row>
    <row r="2391" spans="1:6" x14ac:dyDescent="0.25">
      <c r="A2391" s="62">
        <v>44776</v>
      </c>
      <c r="B2391" s="62" t="s">
        <v>2115</v>
      </c>
      <c r="C2391" s="23">
        <v>-495</v>
      </c>
      <c r="D2391" s="24" t="s">
        <v>49</v>
      </c>
      <c r="E2391" s="24" t="s">
        <v>56</v>
      </c>
      <c r="F2391" s="63" t="s">
        <v>0</v>
      </c>
    </row>
    <row r="2392" spans="1:6" x14ac:dyDescent="0.25">
      <c r="A2392" s="62">
        <v>44776</v>
      </c>
      <c r="B2392" s="62" t="s">
        <v>2116</v>
      </c>
      <c r="C2392" s="23">
        <v>-5790</v>
      </c>
      <c r="D2392" s="24" t="s">
        <v>90</v>
      </c>
      <c r="E2392" s="24" t="s">
        <v>93</v>
      </c>
      <c r="F2392" s="63" t="s">
        <v>0</v>
      </c>
    </row>
    <row r="2393" spans="1:6" x14ac:dyDescent="0.25">
      <c r="A2393" s="62">
        <v>44776</v>
      </c>
      <c r="B2393" s="62" t="s">
        <v>2117</v>
      </c>
      <c r="C2393" s="23">
        <v>-15000</v>
      </c>
      <c r="D2393" s="24" t="s">
        <v>90</v>
      </c>
      <c r="E2393" s="24" t="s">
        <v>111</v>
      </c>
      <c r="F2393" s="63" t="s">
        <v>0</v>
      </c>
    </row>
    <row r="2394" spans="1:6" x14ac:dyDescent="0.25">
      <c r="A2394" s="62">
        <v>44776</v>
      </c>
      <c r="B2394" s="62" t="s">
        <v>2118</v>
      </c>
      <c r="C2394" s="23">
        <v>-24000</v>
      </c>
      <c r="D2394" s="24" t="s">
        <v>90</v>
      </c>
      <c r="E2394" s="24" t="s">
        <v>91</v>
      </c>
      <c r="F2394" s="63" t="s">
        <v>0</v>
      </c>
    </row>
    <row r="2395" spans="1:6" x14ac:dyDescent="0.25">
      <c r="A2395" s="62">
        <v>44775</v>
      </c>
      <c r="B2395" s="62" t="s">
        <v>2119</v>
      </c>
      <c r="C2395" s="23">
        <v>-2320</v>
      </c>
      <c r="D2395" s="24" t="s">
        <v>52</v>
      </c>
      <c r="E2395" s="24" t="s">
        <v>53</v>
      </c>
      <c r="F2395" s="63" t="s">
        <v>0</v>
      </c>
    </row>
    <row r="2396" spans="1:6" x14ac:dyDescent="0.25">
      <c r="A2396" s="62">
        <v>44775</v>
      </c>
      <c r="B2396" s="62" t="s">
        <v>2120</v>
      </c>
      <c r="C2396" s="23">
        <v>-1900</v>
      </c>
      <c r="D2396" s="24" t="s">
        <v>52</v>
      </c>
      <c r="E2396" s="24" t="s">
        <v>53</v>
      </c>
      <c r="F2396" s="63" t="s">
        <v>0</v>
      </c>
    </row>
    <row r="2397" spans="1:6" x14ac:dyDescent="0.25">
      <c r="A2397" s="62">
        <v>44775</v>
      </c>
      <c r="B2397" s="62" t="s">
        <v>1331</v>
      </c>
      <c r="C2397" s="23">
        <v>-584</v>
      </c>
      <c r="D2397" s="24" t="s">
        <v>72</v>
      </c>
      <c r="E2397" s="24" t="s">
        <v>197</v>
      </c>
      <c r="F2397" s="63" t="s">
        <v>0</v>
      </c>
    </row>
    <row r="2398" spans="1:6" x14ac:dyDescent="0.25">
      <c r="A2398" s="62">
        <v>44775</v>
      </c>
      <c r="B2398" s="62" t="s">
        <v>1281</v>
      </c>
      <c r="C2398" s="23">
        <v>-350</v>
      </c>
      <c r="D2398" s="24" t="s">
        <v>72</v>
      </c>
      <c r="E2398" s="24" t="s">
        <v>197</v>
      </c>
      <c r="F2398" s="63" t="s">
        <v>0</v>
      </c>
    </row>
    <row r="2399" spans="1:6" x14ac:dyDescent="0.25">
      <c r="A2399" s="62">
        <v>44775</v>
      </c>
      <c r="B2399" s="62" t="s">
        <v>2121</v>
      </c>
      <c r="C2399" s="23">
        <v>-850</v>
      </c>
      <c r="D2399" s="24" t="s">
        <v>52</v>
      </c>
      <c r="E2399" s="24" t="s">
        <v>53</v>
      </c>
      <c r="F2399" s="63" t="s">
        <v>0</v>
      </c>
    </row>
    <row r="2400" spans="1:6" x14ac:dyDescent="0.25">
      <c r="A2400" s="62">
        <v>44775</v>
      </c>
      <c r="B2400" s="62" t="s">
        <v>172</v>
      </c>
      <c r="C2400" s="23">
        <v>299250</v>
      </c>
      <c r="D2400" s="24" t="s">
        <v>58</v>
      </c>
      <c r="E2400" s="24" t="s">
        <v>58</v>
      </c>
      <c r="F2400" s="63" t="s">
        <v>0</v>
      </c>
    </row>
    <row r="2401" spans="1:6" x14ac:dyDescent="0.25">
      <c r="A2401" s="62">
        <v>44774</v>
      </c>
      <c r="B2401" s="62" t="s">
        <v>2122</v>
      </c>
      <c r="C2401" s="23">
        <v>180000</v>
      </c>
      <c r="D2401" s="24" t="s">
        <v>206</v>
      </c>
      <c r="E2401" s="24" t="s">
        <v>2123</v>
      </c>
      <c r="F2401" s="63" t="s">
        <v>7</v>
      </c>
    </row>
    <row r="2402" spans="1:6" x14ac:dyDescent="0.25">
      <c r="A2402" s="62">
        <v>44774</v>
      </c>
      <c r="B2402" s="62" t="s">
        <v>2124</v>
      </c>
      <c r="C2402" s="23">
        <v>-12462</v>
      </c>
      <c r="D2402" s="24" t="s">
        <v>49</v>
      </c>
      <c r="E2402" s="24" t="s">
        <v>56</v>
      </c>
      <c r="F2402" s="63" t="s">
        <v>0</v>
      </c>
    </row>
    <row r="2403" spans="1:6" x14ac:dyDescent="0.25">
      <c r="A2403" s="62">
        <v>44774</v>
      </c>
      <c r="B2403" s="62" t="s">
        <v>2125</v>
      </c>
      <c r="C2403" s="23">
        <v>-9109</v>
      </c>
      <c r="D2403" s="24" t="s">
        <v>49</v>
      </c>
      <c r="E2403" s="24" t="s">
        <v>56</v>
      </c>
      <c r="F2403" s="63" t="s">
        <v>0</v>
      </c>
    </row>
    <row r="2404" spans="1:6" x14ac:dyDescent="0.25">
      <c r="A2404" s="62">
        <v>44774</v>
      </c>
      <c r="B2404" s="62" t="s">
        <v>2126</v>
      </c>
      <c r="C2404" s="23">
        <v>-7853</v>
      </c>
      <c r="D2404" s="24" t="s">
        <v>49</v>
      </c>
      <c r="E2404" s="24" t="s">
        <v>56</v>
      </c>
      <c r="F2404" s="63" t="s">
        <v>0</v>
      </c>
    </row>
    <row r="2405" spans="1:6" x14ac:dyDescent="0.25">
      <c r="A2405" s="62">
        <v>44774</v>
      </c>
      <c r="B2405" s="62" t="s">
        <v>2127</v>
      </c>
      <c r="C2405" s="23">
        <v>-83332.86</v>
      </c>
      <c r="D2405" s="24" t="s">
        <v>167</v>
      </c>
      <c r="E2405" s="24" t="s">
        <v>555</v>
      </c>
      <c r="F2405" s="63" t="s">
        <v>10</v>
      </c>
    </row>
    <row r="2406" spans="1:6" x14ac:dyDescent="0.25">
      <c r="A2406" s="62">
        <v>44774</v>
      </c>
      <c r="B2406" s="62" t="s">
        <v>2127</v>
      </c>
      <c r="C2406" s="23">
        <v>83332.86</v>
      </c>
      <c r="D2406" s="24" t="s">
        <v>167</v>
      </c>
      <c r="E2406" s="24" t="s">
        <v>555</v>
      </c>
      <c r="F2406" s="63" t="s">
        <v>0</v>
      </c>
    </row>
    <row r="2407" spans="1:6" x14ac:dyDescent="0.25">
      <c r="A2407" s="62">
        <v>44774</v>
      </c>
      <c r="B2407" s="62" t="s">
        <v>2128</v>
      </c>
      <c r="C2407" s="23">
        <v>8333.34</v>
      </c>
      <c r="D2407" s="24" t="s">
        <v>167</v>
      </c>
      <c r="E2407" s="24" t="s">
        <v>168</v>
      </c>
      <c r="F2407" s="63" t="s">
        <v>0</v>
      </c>
    </row>
    <row r="2408" spans="1:6" x14ac:dyDescent="0.25">
      <c r="A2408" s="62">
        <v>44774</v>
      </c>
      <c r="B2408" s="62" t="s">
        <v>2129</v>
      </c>
      <c r="C2408" s="23">
        <v>-3498</v>
      </c>
      <c r="D2408" s="24" t="s">
        <v>90</v>
      </c>
      <c r="E2408" s="24" t="s">
        <v>106</v>
      </c>
      <c r="F2408" s="63" t="s">
        <v>0</v>
      </c>
    </row>
    <row r="2409" spans="1:6" x14ac:dyDescent="0.25">
      <c r="A2409" s="62">
        <v>44773</v>
      </c>
      <c r="B2409" s="62" t="s">
        <v>1810</v>
      </c>
      <c r="C2409" s="23">
        <v>-1300</v>
      </c>
      <c r="D2409" s="24" t="s">
        <v>52</v>
      </c>
      <c r="E2409" s="24" t="s">
        <v>134</v>
      </c>
      <c r="F2409" s="63" t="s">
        <v>0</v>
      </c>
    </row>
    <row r="2410" spans="1:6" x14ac:dyDescent="0.25">
      <c r="A2410" s="62">
        <v>44773</v>
      </c>
      <c r="B2410" s="62" t="s">
        <v>43</v>
      </c>
      <c r="C2410" s="23">
        <v>-1941</v>
      </c>
      <c r="D2410" s="24" t="s">
        <v>167</v>
      </c>
      <c r="E2410" s="24" t="s">
        <v>168</v>
      </c>
      <c r="F2410" s="63" t="s">
        <v>0</v>
      </c>
    </row>
    <row r="2411" spans="1:6" x14ac:dyDescent="0.25">
      <c r="A2411" s="62">
        <v>44771</v>
      </c>
      <c r="B2411" s="62" t="s">
        <v>2130</v>
      </c>
      <c r="C2411" s="23">
        <v>-40800</v>
      </c>
      <c r="D2411" s="24" t="s">
        <v>90</v>
      </c>
      <c r="E2411" s="24" t="s">
        <v>111</v>
      </c>
      <c r="F2411" s="63" t="s">
        <v>0</v>
      </c>
    </row>
    <row r="2412" spans="1:6" x14ac:dyDescent="0.25">
      <c r="A2412" s="62">
        <v>44770</v>
      </c>
      <c r="B2412" s="62" t="s">
        <v>2131</v>
      </c>
      <c r="C2412" s="23">
        <v>41666.43</v>
      </c>
      <c r="D2412" s="24" t="s">
        <v>167</v>
      </c>
      <c r="E2412" s="24" t="s">
        <v>555</v>
      </c>
      <c r="F2412" s="63" t="s">
        <v>10</v>
      </c>
    </row>
    <row r="2413" spans="1:6" x14ac:dyDescent="0.25">
      <c r="A2413" s="62">
        <v>44770</v>
      </c>
      <c r="B2413" s="62" t="s">
        <v>2131</v>
      </c>
      <c r="C2413" s="23">
        <v>-41666.43</v>
      </c>
      <c r="D2413" s="24" t="s">
        <v>167</v>
      </c>
      <c r="E2413" s="24" t="s">
        <v>555</v>
      </c>
      <c r="F2413" s="63" t="s">
        <v>0</v>
      </c>
    </row>
    <row r="2414" spans="1:6" x14ac:dyDescent="0.25">
      <c r="A2414" s="62">
        <v>44770</v>
      </c>
      <c r="B2414" s="62" t="s">
        <v>1123</v>
      </c>
      <c r="C2414" s="23">
        <v>-2300</v>
      </c>
      <c r="D2414" s="24" t="s">
        <v>52</v>
      </c>
      <c r="E2414" s="24" t="s">
        <v>53</v>
      </c>
      <c r="F2414" s="63" t="s">
        <v>0</v>
      </c>
    </row>
    <row r="2415" spans="1:6" x14ac:dyDescent="0.25">
      <c r="A2415" s="62">
        <v>44770</v>
      </c>
      <c r="B2415" s="62" t="s">
        <v>2132</v>
      </c>
      <c r="C2415" s="23">
        <v>-1950</v>
      </c>
      <c r="D2415" s="24" t="s">
        <v>52</v>
      </c>
      <c r="E2415" s="24" t="s">
        <v>53</v>
      </c>
      <c r="F2415" s="63" t="s">
        <v>0</v>
      </c>
    </row>
    <row r="2416" spans="1:6" x14ac:dyDescent="0.25">
      <c r="A2416" s="62">
        <v>44770</v>
      </c>
      <c r="B2416" s="62" t="s">
        <v>2133</v>
      </c>
      <c r="C2416" s="23">
        <v>-3490</v>
      </c>
      <c r="D2416" s="24" t="s">
        <v>46</v>
      </c>
      <c r="E2416" s="24" t="s">
        <v>63</v>
      </c>
      <c r="F2416" s="63" t="s">
        <v>0</v>
      </c>
    </row>
    <row r="2417" spans="1:6" x14ac:dyDescent="0.25">
      <c r="A2417" s="62">
        <v>44769</v>
      </c>
      <c r="B2417" s="62" t="s">
        <v>2134</v>
      </c>
      <c r="C2417" s="23">
        <v>-825</v>
      </c>
      <c r="D2417" s="24" t="s">
        <v>72</v>
      </c>
      <c r="E2417" s="24" t="s">
        <v>73</v>
      </c>
      <c r="F2417" s="63" t="s">
        <v>0</v>
      </c>
    </row>
    <row r="2418" spans="1:6" x14ac:dyDescent="0.25">
      <c r="A2418" s="62">
        <v>44769</v>
      </c>
      <c r="B2418" s="62" t="s">
        <v>2135</v>
      </c>
      <c r="C2418" s="23">
        <v>-194</v>
      </c>
      <c r="D2418" s="24" t="s">
        <v>72</v>
      </c>
      <c r="E2418" s="24" t="s">
        <v>73</v>
      </c>
      <c r="F2418" s="63" t="s">
        <v>0</v>
      </c>
    </row>
    <row r="2419" spans="1:6" x14ac:dyDescent="0.25">
      <c r="A2419" s="62">
        <v>44769</v>
      </c>
      <c r="B2419" s="62" t="s">
        <v>1810</v>
      </c>
      <c r="C2419" s="23">
        <v>-1300</v>
      </c>
      <c r="D2419" s="24" t="s">
        <v>52</v>
      </c>
      <c r="E2419" s="24" t="s">
        <v>134</v>
      </c>
      <c r="F2419" s="63" t="s">
        <v>0</v>
      </c>
    </row>
    <row r="2420" spans="1:6" x14ac:dyDescent="0.25">
      <c r="A2420" s="62">
        <v>44769</v>
      </c>
      <c r="B2420" s="62" t="s">
        <v>2136</v>
      </c>
      <c r="C2420" s="23">
        <v>-16366</v>
      </c>
      <c r="D2420" s="24" t="s">
        <v>90</v>
      </c>
      <c r="E2420" s="24" t="s">
        <v>59</v>
      </c>
      <c r="F2420" s="63" t="s">
        <v>0</v>
      </c>
    </row>
    <row r="2421" spans="1:6" x14ac:dyDescent="0.25">
      <c r="A2421" s="62">
        <v>44769</v>
      </c>
      <c r="B2421" s="62" t="s">
        <v>2137</v>
      </c>
      <c r="C2421" s="23">
        <v>-75000</v>
      </c>
      <c r="D2421" s="24" t="s">
        <v>206</v>
      </c>
      <c r="E2421" s="24" t="s">
        <v>830</v>
      </c>
      <c r="F2421" s="63" t="s">
        <v>7</v>
      </c>
    </row>
    <row r="2422" spans="1:6" x14ac:dyDescent="0.25">
      <c r="A2422" s="62">
        <v>44769</v>
      </c>
      <c r="B2422" s="62" t="s">
        <v>2138</v>
      </c>
      <c r="C2422" s="23">
        <v>50000</v>
      </c>
      <c r="D2422" s="24" t="s">
        <v>206</v>
      </c>
      <c r="E2422" s="24" t="s">
        <v>830</v>
      </c>
      <c r="F2422" s="63" t="s">
        <v>7</v>
      </c>
    </row>
    <row r="2423" spans="1:6" x14ac:dyDescent="0.25">
      <c r="A2423" s="62">
        <v>44769</v>
      </c>
      <c r="B2423" s="62" t="s">
        <v>2138</v>
      </c>
      <c r="C2423" s="23">
        <v>-50000</v>
      </c>
      <c r="D2423" s="24" t="s">
        <v>206</v>
      </c>
      <c r="E2423" s="24" t="s">
        <v>830</v>
      </c>
      <c r="F2423" s="63" t="s">
        <v>0</v>
      </c>
    </row>
    <row r="2424" spans="1:6" x14ac:dyDescent="0.25">
      <c r="A2424" s="62">
        <v>44768</v>
      </c>
      <c r="B2424" s="62" t="s">
        <v>2139</v>
      </c>
      <c r="C2424" s="23">
        <v>-884</v>
      </c>
      <c r="D2424" s="24" t="s">
        <v>83</v>
      </c>
      <c r="E2424" s="24" t="s">
        <v>84</v>
      </c>
      <c r="F2424" s="63" t="s">
        <v>0</v>
      </c>
    </row>
    <row r="2425" spans="1:6" x14ac:dyDescent="0.25">
      <c r="A2425" s="62">
        <v>44768</v>
      </c>
      <c r="B2425" s="62" t="s">
        <v>2139</v>
      </c>
      <c r="C2425" s="23">
        <v>-29000</v>
      </c>
      <c r="D2425" s="24" t="s">
        <v>83</v>
      </c>
      <c r="E2425" s="24" t="s">
        <v>84</v>
      </c>
      <c r="F2425" s="63" t="s">
        <v>0</v>
      </c>
    </row>
    <row r="2426" spans="1:6" x14ac:dyDescent="0.25">
      <c r="A2426" s="62">
        <v>44767</v>
      </c>
      <c r="B2426" s="62" t="s">
        <v>2140</v>
      </c>
      <c r="C2426" s="23">
        <v>-94990</v>
      </c>
      <c r="D2426" s="24" t="s">
        <v>46</v>
      </c>
      <c r="E2426" s="24" t="s">
        <v>428</v>
      </c>
      <c r="F2426" s="63" t="s">
        <v>0</v>
      </c>
    </row>
    <row r="2427" spans="1:6" x14ac:dyDescent="0.25">
      <c r="A2427" s="62">
        <v>44767</v>
      </c>
      <c r="B2427" s="62" t="s">
        <v>2141</v>
      </c>
      <c r="C2427" s="23">
        <v>-9571</v>
      </c>
      <c r="D2427" s="24" t="s">
        <v>49</v>
      </c>
      <c r="E2427" s="24" t="s">
        <v>56</v>
      </c>
      <c r="F2427" s="63" t="s">
        <v>0</v>
      </c>
    </row>
    <row r="2428" spans="1:6" x14ac:dyDescent="0.25">
      <c r="A2428" s="62">
        <v>44767</v>
      </c>
      <c r="B2428" s="62" t="s">
        <v>2142</v>
      </c>
      <c r="C2428" s="23">
        <v>-12296</v>
      </c>
      <c r="D2428" s="24" t="s">
        <v>49</v>
      </c>
      <c r="E2428" s="24" t="s">
        <v>56</v>
      </c>
      <c r="F2428" s="63" t="s">
        <v>0</v>
      </c>
    </row>
    <row r="2429" spans="1:6" x14ac:dyDescent="0.25">
      <c r="A2429" s="62">
        <v>44767</v>
      </c>
      <c r="B2429" s="62" t="s">
        <v>2143</v>
      </c>
      <c r="C2429" s="23">
        <v>-9507</v>
      </c>
      <c r="D2429" s="24" t="s">
        <v>49</v>
      </c>
      <c r="E2429" s="24" t="s">
        <v>56</v>
      </c>
      <c r="F2429" s="63" t="s">
        <v>0</v>
      </c>
    </row>
    <row r="2430" spans="1:6" x14ac:dyDescent="0.25">
      <c r="A2430" s="62">
        <v>44767</v>
      </c>
      <c r="B2430" s="62" t="s">
        <v>2144</v>
      </c>
      <c r="C2430" s="23">
        <v>-8656</v>
      </c>
      <c r="D2430" s="24" t="s">
        <v>49</v>
      </c>
      <c r="E2430" s="24" t="s">
        <v>56</v>
      </c>
      <c r="F2430" s="63" t="s">
        <v>0</v>
      </c>
    </row>
    <row r="2431" spans="1:6" x14ac:dyDescent="0.25">
      <c r="A2431" s="62">
        <v>44767</v>
      </c>
      <c r="B2431" s="62" t="s">
        <v>2145</v>
      </c>
      <c r="C2431" s="23">
        <v>-298</v>
      </c>
      <c r="D2431" s="24" t="s">
        <v>72</v>
      </c>
      <c r="E2431" s="24" t="s">
        <v>73</v>
      </c>
      <c r="F2431" s="63" t="s">
        <v>0</v>
      </c>
    </row>
    <row r="2432" spans="1:6" x14ac:dyDescent="0.25">
      <c r="A2432" s="62">
        <v>44767</v>
      </c>
      <c r="B2432" s="62" t="s">
        <v>2146</v>
      </c>
      <c r="C2432" s="23">
        <v>-18524</v>
      </c>
      <c r="D2432" s="24" t="s">
        <v>72</v>
      </c>
      <c r="E2432" s="24" t="s">
        <v>109</v>
      </c>
      <c r="F2432" s="63" t="s">
        <v>0</v>
      </c>
    </row>
    <row r="2433" spans="1:6" x14ac:dyDescent="0.25">
      <c r="A2433" s="62">
        <v>44767</v>
      </c>
      <c r="B2433" s="62" t="s">
        <v>2147</v>
      </c>
      <c r="C2433" s="23">
        <v>-2020</v>
      </c>
      <c r="D2433" s="24" t="s">
        <v>52</v>
      </c>
      <c r="E2433" s="24" t="s">
        <v>134</v>
      </c>
      <c r="F2433" s="63" t="s">
        <v>0</v>
      </c>
    </row>
    <row r="2434" spans="1:6" x14ac:dyDescent="0.25">
      <c r="A2434" s="62">
        <v>44767</v>
      </c>
      <c r="B2434" s="62" t="s">
        <v>2148</v>
      </c>
      <c r="C2434" s="23">
        <v>-4166.67</v>
      </c>
      <c r="D2434" s="24" t="s">
        <v>167</v>
      </c>
      <c r="E2434" s="24" t="s">
        <v>555</v>
      </c>
      <c r="F2434" s="63" t="s">
        <v>0</v>
      </c>
    </row>
    <row r="2435" spans="1:6" x14ac:dyDescent="0.25">
      <c r="A2435" s="62">
        <v>44767</v>
      </c>
      <c r="B2435" s="62" t="s">
        <v>2149</v>
      </c>
      <c r="C2435" s="23">
        <v>41666.43</v>
      </c>
      <c r="D2435" s="24" t="s">
        <v>167</v>
      </c>
      <c r="E2435" s="24" t="s">
        <v>555</v>
      </c>
      <c r="F2435" s="63" t="s">
        <v>10</v>
      </c>
    </row>
    <row r="2436" spans="1:6" x14ac:dyDescent="0.25">
      <c r="A2436" s="62">
        <v>44767</v>
      </c>
      <c r="B2436" s="62" t="s">
        <v>2149</v>
      </c>
      <c r="C2436" s="23">
        <v>-41666.43</v>
      </c>
      <c r="D2436" s="24" t="s">
        <v>167</v>
      </c>
      <c r="E2436" s="24" t="s">
        <v>555</v>
      </c>
      <c r="F2436" s="63" t="s">
        <v>0</v>
      </c>
    </row>
    <row r="2437" spans="1:6" x14ac:dyDescent="0.25">
      <c r="A2437" s="62">
        <v>44765</v>
      </c>
      <c r="B2437" s="62" t="s">
        <v>2150</v>
      </c>
      <c r="C2437" s="23">
        <v>-9800</v>
      </c>
      <c r="D2437" s="24" t="s">
        <v>83</v>
      </c>
      <c r="E2437" s="24" t="s">
        <v>2151</v>
      </c>
      <c r="F2437" s="63" t="s">
        <v>4</v>
      </c>
    </row>
    <row r="2438" spans="1:6" x14ac:dyDescent="0.25">
      <c r="A2438" s="62">
        <v>44765</v>
      </c>
      <c r="B2438" s="62" t="s">
        <v>2152</v>
      </c>
      <c r="C2438" s="23">
        <v>-2690</v>
      </c>
      <c r="D2438" s="24" t="s">
        <v>52</v>
      </c>
      <c r="E2438" s="24" t="s">
        <v>53</v>
      </c>
      <c r="F2438" s="63" t="s">
        <v>4</v>
      </c>
    </row>
    <row r="2439" spans="1:6" x14ac:dyDescent="0.25">
      <c r="A2439" s="62">
        <v>44764</v>
      </c>
      <c r="B2439" s="62" t="s">
        <v>2153</v>
      </c>
      <c r="C2439" s="23">
        <v>-2000</v>
      </c>
      <c r="D2439" s="24" t="s">
        <v>83</v>
      </c>
      <c r="E2439" s="24" t="s">
        <v>2151</v>
      </c>
      <c r="F2439" s="63" t="s">
        <v>4</v>
      </c>
    </row>
    <row r="2440" spans="1:6" x14ac:dyDescent="0.25">
      <c r="A2440" s="62">
        <v>44764</v>
      </c>
      <c r="B2440" s="62" t="s">
        <v>2154</v>
      </c>
      <c r="C2440" s="23">
        <v>-8400</v>
      </c>
      <c r="D2440" s="24" t="s">
        <v>52</v>
      </c>
      <c r="E2440" s="24" t="s">
        <v>1865</v>
      </c>
      <c r="F2440" s="63" t="s">
        <v>0</v>
      </c>
    </row>
    <row r="2441" spans="1:6" x14ac:dyDescent="0.25">
      <c r="A2441" s="62">
        <v>44764</v>
      </c>
      <c r="B2441" s="62" t="s">
        <v>2155</v>
      </c>
      <c r="C2441" s="23">
        <v>-1600</v>
      </c>
      <c r="D2441" s="24" t="s">
        <v>83</v>
      </c>
      <c r="E2441" s="24" t="s">
        <v>2151</v>
      </c>
      <c r="F2441" s="63" t="s">
        <v>0</v>
      </c>
    </row>
    <row r="2442" spans="1:6" x14ac:dyDescent="0.25">
      <c r="A2442" s="62">
        <v>44764</v>
      </c>
      <c r="B2442" s="62" t="s">
        <v>2156</v>
      </c>
      <c r="C2442" s="23">
        <v>-3137</v>
      </c>
      <c r="D2442" s="24" t="s">
        <v>49</v>
      </c>
      <c r="E2442" s="24" t="s">
        <v>56</v>
      </c>
      <c r="F2442" s="63" t="s">
        <v>0</v>
      </c>
    </row>
    <row r="2443" spans="1:6" x14ac:dyDescent="0.25">
      <c r="A2443" s="62">
        <v>44763</v>
      </c>
      <c r="B2443" s="62" t="s">
        <v>139</v>
      </c>
      <c r="C2443" s="23">
        <v>13636</v>
      </c>
      <c r="D2443" s="24" t="s">
        <v>58</v>
      </c>
      <c r="E2443" s="24" t="s">
        <v>58</v>
      </c>
      <c r="F2443" s="63" t="s">
        <v>4</v>
      </c>
    </row>
    <row r="2444" spans="1:6" x14ac:dyDescent="0.25">
      <c r="A2444" s="62">
        <v>44763</v>
      </c>
      <c r="B2444" s="62" t="s">
        <v>139</v>
      </c>
      <c r="C2444" s="23">
        <v>7670</v>
      </c>
      <c r="D2444" s="24" t="s">
        <v>58</v>
      </c>
      <c r="E2444" s="24" t="s">
        <v>58</v>
      </c>
      <c r="F2444" s="63" t="s">
        <v>4</v>
      </c>
    </row>
    <row r="2445" spans="1:6" x14ac:dyDescent="0.25">
      <c r="A2445" s="62">
        <v>44763</v>
      </c>
      <c r="B2445" s="62" t="s">
        <v>2153</v>
      </c>
      <c r="C2445" s="23">
        <v>-2000</v>
      </c>
      <c r="D2445" s="24" t="s">
        <v>83</v>
      </c>
      <c r="E2445" s="24" t="s">
        <v>2151</v>
      </c>
      <c r="F2445" s="63" t="s">
        <v>4</v>
      </c>
    </row>
    <row r="2446" spans="1:6" x14ac:dyDescent="0.25">
      <c r="A2446" s="62">
        <v>44763</v>
      </c>
      <c r="B2446" s="62" t="s">
        <v>2157</v>
      </c>
      <c r="C2446" s="23">
        <v>-7378</v>
      </c>
      <c r="D2446" s="24" t="s">
        <v>52</v>
      </c>
      <c r="E2446" s="24" t="s">
        <v>134</v>
      </c>
      <c r="F2446" s="63" t="s">
        <v>0</v>
      </c>
    </row>
    <row r="2447" spans="1:6" x14ac:dyDescent="0.25">
      <c r="A2447" s="62">
        <v>44763</v>
      </c>
      <c r="B2447" s="62" t="s">
        <v>2158</v>
      </c>
      <c r="C2447" s="23">
        <v>-5725</v>
      </c>
      <c r="D2447" s="24" t="s">
        <v>72</v>
      </c>
      <c r="E2447" s="24" t="s">
        <v>506</v>
      </c>
      <c r="F2447" s="63" t="s">
        <v>0</v>
      </c>
    </row>
    <row r="2448" spans="1:6" x14ac:dyDescent="0.25">
      <c r="A2448" s="62">
        <v>44763</v>
      </c>
      <c r="B2448" s="62" t="s">
        <v>2159</v>
      </c>
      <c r="C2448" s="23">
        <v>-15000</v>
      </c>
      <c r="D2448" s="24" t="s">
        <v>52</v>
      </c>
      <c r="E2448" s="24" t="s">
        <v>1865</v>
      </c>
      <c r="F2448" s="63" t="s">
        <v>0</v>
      </c>
    </row>
    <row r="2449" spans="1:6" x14ac:dyDescent="0.25">
      <c r="A2449" s="62">
        <v>44762</v>
      </c>
      <c r="B2449" s="62" t="s">
        <v>2160</v>
      </c>
      <c r="C2449" s="23">
        <v>-3500</v>
      </c>
      <c r="D2449" s="24" t="s">
        <v>52</v>
      </c>
      <c r="E2449" s="24" t="s">
        <v>53</v>
      </c>
      <c r="F2449" s="63" t="s">
        <v>4</v>
      </c>
    </row>
    <row r="2450" spans="1:6" x14ac:dyDescent="0.25">
      <c r="A2450" s="62">
        <v>44762</v>
      </c>
      <c r="B2450" s="62" t="s">
        <v>2161</v>
      </c>
      <c r="C2450" s="23">
        <v>-2000</v>
      </c>
      <c r="D2450" s="24" t="s">
        <v>83</v>
      </c>
      <c r="E2450" s="24" t="s">
        <v>2151</v>
      </c>
      <c r="F2450" s="63" t="s">
        <v>4</v>
      </c>
    </row>
    <row r="2451" spans="1:6" x14ac:dyDescent="0.25">
      <c r="A2451" s="62">
        <v>44762</v>
      </c>
      <c r="B2451" s="62" t="s">
        <v>2162</v>
      </c>
      <c r="C2451" s="23">
        <v>-1071</v>
      </c>
      <c r="D2451" s="24" t="s">
        <v>49</v>
      </c>
      <c r="E2451" s="24" t="s">
        <v>56</v>
      </c>
      <c r="F2451" s="63" t="s">
        <v>0</v>
      </c>
    </row>
    <row r="2452" spans="1:6" x14ac:dyDescent="0.25">
      <c r="A2452" s="62">
        <v>44762</v>
      </c>
      <c r="B2452" s="62" t="s">
        <v>2163</v>
      </c>
      <c r="C2452" s="23">
        <v>-12465</v>
      </c>
      <c r="D2452" s="24" t="s">
        <v>52</v>
      </c>
      <c r="E2452" s="24" t="s">
        <v>1865</v>
      </c>
      <c r="F2452" s="63" t="s">
        <v>0</v>
      </c>
    </row>
    <row r="2453" spans="1:6" x14ac:dyDescent="0.25">
      <c r="A2453" s="62">
        <v>44762</v>
      </c>
      <c r="B2453" s="62" t="s">
        <v>2164</v>
      </c>
      <c r="C2453" s="23">
        <v>-1956</v>
      </c>
      <c r="D2453" s="24" t="s">
        <v>49</v>
      </c>
      <c r="E2453" s="24" t="s">
        <v>56</v>
      </c>
      <c r="F2453" s="63" t="s">
        <v>0</v>
      </c>
    </row>
    <row r="2454" spans="1:6" x14ac:dyDescent="0.25">
      <c r="A2454" s="62">
        <v>44762</v>
      </c>
      <c r="B2454" s="62" t="s">
        <v>2165</v>
      </c>
      <c r="C2454" s="23">
        <v>-5590</v>
      </c>
      <c r="D2454" s="24" t="s">
        <v>49</v>
      </c>
      <c r="E2454" s="24" t="s">
        <v>56</v>
      </c>
      <c r="F2454" s="63" t="s">
        <v>0</v>
      </c>
    </row>
    <row r="2455" spans="1:6" x14ac:dyDescent="0.25">
      <c r="A2455" s="62">
        <v>44762</v>
      </c>
      <c r="B2455" s="62" t="s">
        <v>2166</v>
      </c>
      <c r="C2455" s="23">
        <v>-4198</v>
      </c>
      <c r="D2455" s="24" t="s">
        <v>49</v>
      </c>
      <c r="E2455" s="24" t="s">
        <v>56</v>
      </c>
      <c r="F2455" s="63" t="s">
        <v>0</v>
      </c>
    </row>
    <row r="2456" spans="1:6" x14ac:dyDescent="0.25">
      <c r="A2456" s="62">
        <v>44762</v>
      </c>
      <c r="B2456" s="62" t="s">
        <v>2167</v>
      </c>
      <c r="C2456" s="23">
        <v>-449</v>
      </c>
      <c r="D2456" s="24" t="s">
        <v>49</v>
      </c>
      <c r="E2456" s="24" t="s">
        <v>56</v>
      </c>
      <c r="F2456" s="63" t="s">
        <v>0</v>
      </c>
    </row>
    <row r="2457" spans="1:6" x14ac:dyDescent="0.25">
      <c r="A2457" s="62">
        <v>44762</v>
      </c>
      <c r="B2457" s="62" t="s">
        <v>1429</v>
      </c>
      <c r="C2457" s="23">
        <v>3413</v>
      </c>
      <c r="D2457" s="24" t="s">
        <v>206</v>
      </c>
      <c r="E2457" s="24" t="s">
        <v>206</v>
      </c>
      <c r="F2457" s="63" t="s">
        <v>0</v>
      </c>
    </row>
    <row r="2458" spans="1:6" x14ac:dyDescent="0.25">
      <c r="A2458" s="62">
        <v>44762</v>
      </c>
      <c r="B2458" s="62" t="s">
        <v>2168</v>
      </c>
      <c r="C2458" s="23">
        <v>-34489</v>
      </c>
      <c r="D2458" s="24" t="s">
        <v>90</v>
      </c>
      <c r="E2458" s="24" t="s">
        <v>111</v>
      </c>
      <c r="F2458" s="63" t="s">
        <v>0</v>
      </c>
    </row>
    <row r="2459" spans="1:6" x14ac:dyDescent="0.25">
      <c r="A2459" s="62">
        <v>44760</v>
      </c>
      <c r="B2459" s="62" t="s">
        <v>2169</v>
      </c>
      <c r="C2459" s="23">
        <v>-11751</v>
      </c>
      <c r="D2459" s="24" t="s">
        <v>49</v>
      </c>
      <c r="E2459" s="24" t="s">
        <v>56</v>
      </c>
      <c r="F2459" s="63" t="s">
        <v>0</v>
      </c>
    </row>
    <row r="2460" spans="1:6" x14ac:dyDescent="0.25">
      <c r="A2460" s="62">
        <v>44760</v>
      </c>
      <c r="B2460" s="62" t="s">
        <v>2170</v>
      </c>
      <c r="C2460" s="23">
        <v>-28828</v>
      </c>
      <c r="D2460" s="24" t="s">
        <v>49</v>
      </c>
      <c r="E2460" s="24" t="s">
        <v>56</v>
      </c>
      <c r="F2460" s="63" t="s">
        <v>0</v>
      </c>
    </row>
    <row r="2461" spans="1:6" x14ac:dyDescent="0.25">
      <c r="A2461" s="62">
        <v>44760</v>
      </c>
      <c r="B2461" s="62" t="s">
        <v>2171</v>
      </c>
      <c r="C2461" s="23">
        <v>-1700</v>
      </c>
      <c r="D2461" s="24" t="s">
        <v>52</v>
      </c>
      <c r="E2461" s="24" t="s">
        <v>134</v>
      </c>
      <c r="F2461" s="63" t="s">
        <v>0</v>
      </c>
    </row>
    <row r="2462" spans="1:6" x14ac:dyDescent="0.25">
      <c r="A2462" s="62">
        <v>44760</v>
      </c>
      <c r="B2462" s="62" t="s">
        <v>2172</v>
      </c>
      <c r="C2462" s="23">
        <v>-19656</v>
      </c>
      <c r="D2462" s="24" t="s">
        <v>72</v>
      </c>
      <c r="E2462" s="24" t="s">
        <v>109</v>
      </c>
      <c r="F2462" s="63" t="s">
        <v>0</v>
      </c>
    </row>
    <row r="2463" spans="1:6" x14ac:dyDescent="0.25">
      <c r="A2463" s="62">
        <v>44760</v>
      </c>
      <c r="B2463" s="62" t="s">
        <v>2173</v>
      </c>
      <c r="C2463" s="23">
        <v>-586</v>
      </c>
      <c r="D2463" s="24" t="s">
        <v>72</v>
      </c>
      <c r="E2463" s="24" t="s">
        <v>197</v>
      </c>
      <c r="F2463" s="63" t="s">
        <v>0</v>
      </c>
    </row>
    <row r="2464" spans="1:6" x14ac:dyDescent="0.25">
      <c r="A2464" s="62">
        <v>44760</v>
      </c>
      <c r="B2464" s="62" t="s">
        <v>2174</v>
      </c>
      <c r="C2464" s="23">
        <v>-5844</v>
      </c>
      <c r="D2464" s="24" t="s">
        <v>49</v>
      </c>
      <c r="E2464" s="24" t="s">
        <v>56</v>
      </c>
      <c r="F2464" s="63" t="s">
        <v>0</v>
      </c>
    </row>
    <row r="2465" spans="1:6" x14ac:dyDescent="0.25">
      <c r="A2465" s="62">
        <v>44760</v>
      </c>
      <c r="B2465" s="62" t="s">
        <v>2175</v>
      </c>
      <c r="C2465" s="23">
        <v>-21831</v>
      </c>
      <c r="D2465" s="24" t="s">
        <v>90</v>
      </c>
      <c r="E2465" s="24" t="s">
        <v>59</v>
      </c>
      <c r="F2465" s="63" t="s">
        <v>0</v>
      </c>
    </row>
    <row r="2466" spans="1:6" x14ac:dyDescent="0.25">
      <c r="A2466" s="62">
        <v>44757</v>
      </c>
      <c r="B2466" s="62" t="s">
        <v>2176</v>
      </c>
      <c r="C2466" s="23">
        <v>-10881</v>
      </c>
      <c r="D2466" s="24" t="s">
        <v>46</v>
      </c>
      <c r="E2466" s="24" t="s">
        <v>145</v>
      </c>
      <c r="F2466" s="63" t="s">
        <v>0</v>
      </c>
    </row>
    <row r="2467" spans="1:6" x14ac:dyDescent="0.25">
      <c r="A2467" s="62">
        <v>44757</v>
      </c>
      <c r="B2467" s="62" t="s">
        <v>2177</v>
      </c>
      <c r="C2467" s="23">
        <v>-849</v>
      </c>
      <c r="D2467" s="24" t="s">
        <v>49</v>
      </c>
      <c r="E2467" s="24" t="s">
        <v>56</v>
      </c>
      <c r="F2467" s="63" t="s">
        <v>0</v>
      </c>
    </row>
    <row r="2468" spans="1:6" x14ac:dyDescent="0.25">
      <c r="A2468" s="62">
        <v>44757</v>
      </c>
      <c r="B2468" s="62" t="s">
        <v>704</v>
      </c>
      <c r="C2468" s="23">
        <v>-6944</v>
      </c>
      <c r="D2468" s="24" t="s">
        <v>46</v>
      </c>
      <c r="E2468" s="24" t="s">
        <v>150</v>
      </c>
      <c r="F2468" s="63" t="s">
        <v>0</v>
      </c>
    </row>
    <row r="2469" spans="1:6" x14ac:dyDescent="0.25">
      <c r="A2469" s="62">
        <v>44757</v>
      </c>
      <c r="B2469" s="62" t="s">
        <v>2178</v>
      </c>
      <c r="C2469" s="23">
        <v>-1315</v>
      </c>
      <c r="D2469" s="24" t="s">
        <v>49</v>
      </c>
      <c r="E2469" s="24" t="s">
        <v>56</v>
      </c>
      <c r="F2469" s="63" t="s">
        <v>0</v>
      </c>
    </row>
    <row r="2470" spans="1:6" x14ac:dyDescent="0.25">
      <c r="A2470" s="62">
        <v>44756</v>
      </c>
      <c r="B2470" s="62" t="s">
        <v>2179</v>
      </c>
      <c r="C2470" s="23">
        <v>-200</v>
      </c>
      <c r="D2470" s="24" t="s">
        <v>72</v>
      </c>
      <c r="E2470" s="24" t="s">
        <v>73</v>
      </c>
      <c r="F2470" s="63" t="s">
        <v>0</v>
      </c>
    </row>
    <row r="2471" spans="1:6" x14ac:dyDescent="0.25">
      <c r="A2471" s="62">
        <v>44756</v>
      </c>
      <c r="B2471" s="62" t="s">
        <v>2180</v>
      </c>
      <c r="C2471" s="23">
        <v>-649</v>
      </c>
      <c r="D2471" s="24" t="s">
        <v>49</v>
      </c>
      <c r="E2471" s="24" t="s">
        <v>56</v>
      </c>
      <c r="F2471" s="63" t="s">
        <v>0</v>
      </c>
    </row>
    <row r="2472" spans="1:6" x14ac:dyDescent="0.25">
      <c r="A2472" s="62">
        <v>44756</v>
      </c>
      <c r="B2472" s="62" t="s">
        <v>2181</v>
      </c>
      <c r="C2472" s="23">
        <v>-5000</v>
      </c>
      <c r="D2472" s="24" t="s">
        <v>90</v>
      </c>
      <c r="E2472" s="24" t="s">
        <v>91</v>
      </c>
      <c r="F2472" s="63" t="s">
        <v>0</v>
      </c>
    </row>
    <row r="2473" spans="1:6" x14ac:dyDescent="0.25">
      <c r="A2473" s="62">
        <v>44755</v>
      </c>
      <c r="B2473" s="62" t="s">
        <v>2182</v>
      </c>
      <c r="C2473" s="23">
        <v>-10960</v>
      </c>
      <c r="D2473" s="24" t="s">
        <v>52</v>
      </c>
      <c r="E2473" s="24" t="s">
        <v>53</v>
      </c>
      <c r="F2473" s="63" t="s">
        <v>4</v>
      </c>
    </row>
    <row r="2474" spans="1:6" x14ac:dyDescent="0.25">
      <c r="A2474" s="62">
        <v>44755</v>
      </c>
      <c r="B2474" s="62" t="s">
        <v>2183</v>
      </c>
      <c r="C2474" s="23">
        <v>-1200</v>
      </c>
      <c r="D2474" s="24" t="s">
        <v>52</v>
      </c>
      <c r="E2474" s="24" t="s">
        <v>134</v>
      </c>
      <c r="F2474" s="63" t="s">
        <v>0</v>
      </c>
    </row>
    <row r="2475" spans="1:6" x14ac:dyDescent="0.25">
      <c r="A2475" s="62">
        <v>44755</v>
      </c>
      <c r="B2475" s="62" t="s">
        <v>2184</v>
      </c>
      <c r="C2475" s="23">
        <v>-899</v>
      </c>
      <c r="D2475" s="24" t="s">
        <v>49</v>
      </c>
      <c r="E2475" s="24" t="s">
        <v>56</v>
      </c>
      <c r="F2475" s="63" t="s">
        <v>0</v>
      </c>
    </row>
    <row r="2476" spans="1:6" x14ac:dyDescent="0.25">
      <c r="A2476" s="62">
        <v>44755</v>
      </c>
      <c r="B2476" s="62" t="s">
        <v>2185</v>
      </c>
      <c r="C2476" s="23">
        <v>-2565</v>
      </c>
      <c r="D2476" s="24" t="s">
        <v>49</v>
      </c>
      <c r="E2476" s="24" t="s">
        <v>56</v>
      </c>
      <c r="F2476" s="63" t="s">
        <v>0</v>
      </c>
    </row>
    <row r="2477" spans="1:6" x14ac:dyDescent="0.25">
      <c r="A2477" s="62">
        <v>44755</v>
      </c>
      <c r="B2477" s="62" t="s">
        <v>2186</v>
      </c>
      <c r="C2477" s="23">
        <v>-137768.22</v>
      </c>
      <c r="D2477" s="24" t="s">
        <v>83</v>
      </c>
      <c r="E2477" s="24" t="s">
        <v>2151</v>
      </c>
      <c r="F2477" s="63" t="s">
        <v>0</v>
      </c>
    </row>
    <row r="2478" spans="1:6" x14ac:dyDescent="0.25">
      <c r="A2478" s="62">
        <v>44754</v>
      </c>
      <c r="B2478" s="62" t="s">
        <v>746</v>
      </c>
      <c r="C2478" s="23">
        <v>-2100</v>
      </c>
      <c r="D2478" s="24" t="s">
        <v>52</v>
      </c>
      <c r="E2478" s="24" t="s">
        <v>53</v>
      </c>
      <c r="F2478" s="63" t="s">
        <v>4</v>
      </c>
    </row>
    <row r="2479" spans="1:6" x14ac:dyDescent="0.25">
      <c r="A2479" s="62">
        <v>44754</v>
      </c>
      <c r="B2479" s="62" t="s">
        <v>2187</v>
      </c>
      <c r="C2479" s="23">
        <v>-1398</v>
      </c>
      <c r="D2479" s="24" t="s">
        <v>49</v>
      </c>
      <c r="E2479" s="24" t="s">
        <v>56</v>
      </c>
      <c r="F2479" s="63" t="s">
        <v>0</v>
      </c>
    </row>
    <row r="2480" spans="1:6" x14ac:dyDescent="0.25">
      <c r="A2480" s="62">
        <v>44754</v>
      </c>
      <c r="B2480" s="62" t="s">
        <v>2188</v>
      </c>
      <c r="C2480" s="23">
        <v>-17000</v>
      </c>
      <c r="D2480" s="24" t="s">
        <v>206</v>
      </c>
      <c r="E2480" s="24" t="s">
        <v>234</v>
      </c>
      <c r="F2480" s="63" t="s">
        <v>0</v>
      </c>
    </row>
    <row r="2481" spans="1:6" x14ac:dyDescent="0.25">
      <c r="A2481" s="62">
        <v>44754</v>
      </c>
      <c r="B2481" s="62" t="s">
        <v>2189</v>
      </c>
      <c r="C2481" s="23">
        <v>-23340</v>
      </c>
      <c r="D2481" s="24" t="s">
        <v>49</v>
      </c>
      <c r="E2481" s="24" t="s">
        <v>906</v>
      </c>
      <c r="F2481" s="63" t="s">
        <v>0</v>
      </c>
    </row>
    <row r="2482" spans="1:6" x14ac:dyDescent="0.25">
      <c r="A2482" s="62">
        <v>44753</v>
      </c>
      <c r="B2482" s="62" t="s">
        <v>2190</v>
      </c>
      <c r="C2482" s="23">
        <v>-9955</v>
      </c>
      <c r="D2482" s="24" t="s">
        <v>52</v>
      </c>
      <c r="E2482" s="24" t="s">
        <v>1865</v>
      </c>
      <c r="F2482" s="63" t="s">
        <v>4</v>
      </c>
    </row>
    <row r="2483" spans="1:6" x14ac:dyDescent="0.25">
      <c r="A2483" s="62">
        <v>44753</v>
      </c>
      <c r="B2483" s="62" t="s">
        <v>2191</v>
      </c>
      <c r="C2483" s="23">
        <v>-2288</v>
      </c>
      <c r="D2483" s="24" t="s">
        <v>49</v>
      </c>
      <c r="E2483" s="24" t="s">
        <v>56</v>
      </c>
      <c r="F2483" s="63" t="s">
        <v>0</v>
      </c>
    </row>
    <row r="2484" spans="1:6" x14ac:dyDescent="0.25">
      <c r="A2484" s="62">
        <v>44753</v>
      </c>
      <c r="B2484" s="62" t="s">
        <v>2192</v>
      </c>
      <c r="C2484" s="23">
        <v>-7980</v>
      </c>
      <c r="D2484" s="24" t="s">
        <v>49</v>
      </c>
      <c r="E2484" s="24" t="s">
        <v>906</v>
      </c>
      <c r="F2484" s="63" t="s">
        <v>0</v>
      </c>
    </row>
    <row r="2485" spans="1:6" x14ac:dyDescent="0.25">
      <c r="A2485" s="62">
        <v>44753</v>
      </c>
      <c r="B2485" s="62" t="s">
        <v>2193</v>
      </c>
      <c r="C2485" s="23">
        <v>-7151</v>
      </c>
      <c r="D2485" s="24" t="s">
        <v>49</v>
      </c>
      <c r="E2485" s="24" t="s">
        <v>56</v>
      </c>
      <c r="F2485" s="63" t="s">
        <v>0</v>
      </c>
    </row>
    <row r="2486" spans="1:6" x14ac:dyDescent="0.25">
      <c r="A2486" s="62">
        <v>44753</v>
      </c>
      <c r="B2486" s="62" t="s">
        <v>2194</v>
      </c>
      <c r="C2486" s="23">
        <v>-2699</v>
      </c>
      <c r="D2486" s="24" t="s">
        <v>90</v>
      </c>
      <c r="E2486" s="24" t="s">
        <v>59</v>
      </c>
      <c r="F2486" s="63" t="s">
        <v>0</v>
      </c>
    </row>
    <row r="2487" spans="1:6" x14ac:dyDescent="0.25">
      <c r="A2487" s="62">
        <v>44753</v>
      </c>
      <c r="B2487" s="62" t="s">
        <v>2195</v>
      </c>
      <c r="C2487" s="23">
        <v>-778</v>
      </c>
      <c r="D2487" s="24" t="s">
        <v>49</v>
      </c>
      <c r="E2487" s="24" t="s">
        <v>56</v>
      </c>
      <c r="F2487" s="63" t="s">
        <v>0</v>
      </c>
    </row>
    <row r="2488" spans="1:6" x14ac:dyDescent="0.25">
      <c r="A2488" s="62">
        <v>44753</v>
      </c>
      <c r="B2488" s="62" t="s">
        <v>2196</v>
      </c>
      <c r="C2488" s="23">
        <v>-18991</v>
      </c>
      <c r="D2488" s="24" t="s">
        <v>46</v>
      </c>
      <c r="E2488" s="24" t="s">
        <v>61</v>
      </c>
      <c r="F2488" s="63" t="s">
        <v>0</v>
      </c>
    </row>
    <row r="2489" spans="1:6" x14ac:dyDescent="0.25">
      <c r="A2489" s="62">
        <v>44753</v>
      </c>
      <c r="B2489" s="62" t="s">
        <v>2197</v>
      </c>
      <c r="C2489" s="23">
        <v>-2848</v>
      </c>
      <c r="D2489" s="24" t="s">
        <v>46</v>
      </c>
      <c r="E2489" s="24" t="s">
        <v>61</v>
      </c>
      <c r="F2489" s="63" t="s">
        <v>0</v>
      </c>
    </row>
    <row r="2490" spans="1:6" x14ac:dyDescent="0.25">
      <c r="A2490" s="62">
        <v>44753</v>
      </c>
      <c r="B2490" s="62" t="s">
        <v>2198</v>
      </c>
      <c r="C2490" s="23">
        <v>-907</v>
      </c>
      <c r="D2490" s="24" t="s">
        <v>49</v>
      </c>
      <c r="E2490" s="24" t="s">
        <v>56</v>
      </c>
      <c r="F2490" s="63" t="s">
        <v>0</v>
      </c>
    </row>
    <row r="2491" spans="1:6" x14ac:dyDescent="0.25">
      <c r="A2491" s="62">
        <v>44753</v>
      </c>
      <c r="B2491" s="62" t="s">
        <v>2199</v>
      </c>
      <c r="C2491" s="23">
        <v>1000000</v>
      </c>
      <c r="D2491" s="24" t="s">
        <v>167</v>
      </c>
      <c r="E2491" s="24" t="s">
        <v>2200</v>
      </c>
      <c r="F2491" s="63" t="s">
        <v>2</v>
      </c>
    </row>
    <row r="2492" spans="1:6" x14ac:dyDescent="0.25">
      <c r="A2492" s="62">
        <v>44753</v>
      </c>
      <c r="B2492" s="62" t="s">
        <v>2199</v>
      </c>
      <c r="C2492" s="23">
        <v>-1000000</v>
      </c>
      <c r="D2492" s="24" t="s">
        <v>167</v>
      </c>
      <c r="E2492" s="24" t="s">
        <v>2200</v>
      </c>
      <c r="F2492" s="63" t="s">
        <v>0</v>
      </c>
    </row>
    <row r="2493" spans="1:6" x14ac:dyDescent="0.25">
      <c r="A2493" s="62">
        <v>44753</v>
      </c>
      <c r="B2493" s="62" t="s">
        <v>2201</v>
      </c>
      <c r="C2493" s="23">
        <v>-489</v>
      </c>
      <c r="D2493" s="24" t="s">
        <v>52</v>
      </c>
      <c r="E2493" s="24" t="s">
        <v>53</v>
      </c>
      <c r="F2493" s="63" t="s">
        <v>0</v>
      </c>
    </row>
    <row r="2494" spans="1:6" x14ac:dyDescent="0.25">
      <c r="A2494" s="62">
        <v>44753</v>
      </c>
      <c r="B2494" s="62" t="s">
        <v>2202</v>
      </c>
      <c r="C2494" s="23">
        <v>-504</v>
      </c>
      <c r="D2494" s="24" t="s">
        <v>72</v>
      </c>
      <c r="E2494" s="24" t="s">
        <v>197</v>
      </c>
      <c r="F2494" s="63" t="s">
        <v>0</v>
      </c>
    </row>
    <row r="2495" spans="1:6" x14ac:dyDescent="0.25">
      <c r="A2495" s="62">
        <v>44753</v>
      </c>
      <c r="B2495" s="62" t="s">
        <v>2203</v>
      </c>
      <c r="C2495" s="23">
        <v>-966</v>
      </c>
      <c r="D2495" s="24" t="s">
        <v>49</v>
      </c>
      <c r="E2495" s="24" t="s">
        <v>56</v>
      </c>
      <c r="F2495" s="63" t="s">
        <v>0</v>
      </c>
    </row>
    <row r="2496" spans="1:6" x14ac:dyDescent="0.25">
      <c r="A2496" s="62">
        <v>44753</v>
      </c>
      <c r="B2496" s="62" t="s">
        <v>2204</v>
      </c>
      <c r="C2496" s="23">
        <v>-1334</v>
      </c>
      <c r="D2496" s="24" t="s">
        <v>49</v>
      </c>
      <c r="E2496" s="24" t="s">
        <v>56</v>
      </c>
      <c r="F2496" s="63" t="s">
        <v>0</v>
      </c>
    </row>
    <row r="2497" spans="1:6" x14ac:dyDescent="0.25">
      <c r="A2497" s="62">
        <v>44753</v>
      </c>
      <c r="B2497" s="62" t="s">
        <v>2205</v>
      </c>
      <c r="C2497" s="23">
        <v>-2792</v>
      </c>
      <c r="D2497" s="24" t="s">
        <v>49</v>
      </c>
      <c r="E2497" s="24" t="s">
        <v>56</v>
      </c>
      <c r="F2497" s="63" t="s">
        <v>0</v>
      </c>
    </row>
    <row r="2498" spans="1:6" x14ac:dyDescent="0.25">
      <c r="A2498" s="62">
        <v>44753</v>
      </c>
      <c r="B2498" s="62" t="s">
        <v>2206</v>
      </c>
      <c r="C2498" s="23">
        <v>-3545</v>
      </c>
      <c r="D2498" s="24" t="s">
        <v>49</v>
      </c>
      <c r="E2498" s="24" t="s">
        <v>56</v>
      </c>
      <c r="F2498" s="63" t="s">
        <v>0</v>
      </c>
    </row>
    <row r="2499" spans="1:6" x14ac:dyDescent="0.25">
      <c r="A2499" s="62">
        <v>44753</v>
      </c>
      <c r="B2499" s="62" t="s">
        <v>2207</v>
      </c>
      <c r="C2499" s="23">
        <v>-5798</v>
      </c>
      <c r="D2499" s="24" t="s">
        <v>49</v>
      </c>
      <c r="E2499" s="24" t="s">
        <v>56</v>
      </c>
      <c r="F2499" s="63" t="s">
        <v>0</v>
      </c>
    </row>
    <row r="2500" spans="1:6" x14ac:dyDescent="0.25">
      <c r="A2500" s="62">
        <v>44753</v>
      </c>
      <c r="B2500" s="62" t="s">
        <v>2208</v>
      </c>
      <c r="C2500" s="23">
        <v>-11000</v>
      </c>
      <c r="D2500" s="24" t="s">
        <v>46</v>
      </c>
      <c r="E2500" s="24" t="s">
        <v>47</v>
      </c>
      <c r="F2500" s="63" t="s">
        <v>0</v>
      </c>
    </row>
    <row r="2501" spans="1:6" x14ac:dyDescent="0.25">
      <c r="A2501" s="62">
        <v>44752</v>
      </c>
      <c r="B2501" s="62" t="s">
        <v>2209</v>
      </c>
      <c r="C2501" s="23">
        <v>-212242.18</v>
      </c>
      <c r="D2501" s="24" t="s">
        <v>46</v>
      </c>
      <c r="E2501" s="24" t="s">
        <v>10</v>
      </c>
      <c r="F2501" s="63" t="s">
        <v>0</v>
      </c>
    </row>
    <row r="2502" spans="1:6" x14ac:dyDescent="0.25">
      <c r="A2502" s="62">
        <v>44752</v>
      </c>
      <c r="B2502" s="62" t="s">
        <v>2210</v>
      </c>
      <c r="C2502" s="23">
        <v>-49562.61</v>
      </c>
      <c r="D2502" s="24" t="s">
        <v>46</v>
      </c>
      <c r="E2502" s="24" t="s">
        <v>10</v>
      </c>
      <c r="F2502" s="63" t="s">
        <v>0</v>
      </c>
    </row>
    <row r="2503" spans="1:6" x14ac:dyDescent="0.25">
      <c r="A2503" s="62">
        <v>44752</v>
      </c>
      <c r="B2503" s="62" t="s">
        <v>2209</v>
      </c>
      <c r="C2503" s="23">
        <v>212242.18</v>
      </c>
      <c r="D2503" s="24" t="s">
        <v>46</v>
      </c>
      <c r="E2503" s="24" t="s">
        <v>10</v>
      </c>
      <c r="F2503" s="63" t="s">
        <v>10</v>
      </c>
    </row>
    <row r="2504" spans="1:6" x14ac:dyDescent="0.25">
      <c r="A2504" s="62">
        <v>44750</v>
      </c>
      <c r="B2504" s="62" t="s">
        <v>1651</v>
      </c>
      <c r="C2504" s="23">
        <v>1599697</v>
      </c>
      <c r="D2504" s="24" t="s">
        <v>58</v>
      </c>
      <c r="E2504" s="24" t="s">
        <v>58</v>
      </c>
      <c r="F2504" s="63" t="s">
        <v>0</v>
      </c>
    </row>
    <row r="2505" spans="1:6" x14ac:dyDescent="0.25">
      <c r="A2505" s="62">
        <v>44750</v>
      </c>
      <c r="B2505" s="62" t="s">
        <v>2211</v>
      </c>
      <c r="C2505" s="23">
        <v>-19300</v>
      </c>
      <c r="D2505" s="24" t="s">
        <v>49</v>
      </c>
      <c r="E2505" s="24" t="s">
        <v>213</v>
      </c>
      <c r="F2505" s="63" t="s">
        <v>0</v>
      </c>
    </row>
    <row r="2506" spans="1:6" x14ac:dyDescent="0.25">
      <c r="A2506" s="62">
        <v>44749</v>
      </c>
      <c r="B2506" s="62" t="s">
        <v>2212</v>
      </c>
      <c r="C2506" s="23">
        <v>-3960</v>
      </c>
      <c r="D2506" s="24" t="s">
        <v>49</v>
      </c>
      <c r="E2506" s="24" t="s">
        <v>56</v>
      </c>
      <c r="F2506" s="63" t="s">
        <v>0</v>
      </c>
    </row>
    <row r="2507" spans="1:6" x14ac:dyDescent="0.25">
      <c r="A2507" s="62">
        <v>44749</v>
      </c>
      <c r="B2507" s="62" t="s">
        <v>2213</v>
      </c>
      <c r="C2507" s="23">
        <v>-1049</v>
      </c>
      <c r="D2507" s="24" t="s">
        <v>49</v>
      </c>
      <c r="E2507" s="24" t="s">
        <v>56</v>
      </c>
      <c r="F2507" s="63" t="s">
        <v>0</v>
      </c>
    </row>
    <row r="2508" spans="1:6" x14ac:dyDescent="0.25">
      <c r="A2508" s="62">
        <v>44749</v>
      </c>
      <c r="B2508" s="62" t="s">
        <v>171</v>
      </c>
      <c r="C2508" s="23">
        <v>1672</v>
      </c>
      <c r="D2508" s="24" t="s">
        <v>167</v>
      </c>
      <c r="E2508" s="24" t="s">
        <v>168</v>
      </c>
      <c r="F2508" s="63" t="s">
        <v>0</v>
      </c>
    </row>
    <row r="2509" spans="1:6" x14ac:dyDescent="0.25">
      <c r="A2509" s="62">
        <v>44749</v>
      </c>
      <c r="B2509" s="62" t="s">
        <v>2214</v>
      </c>
      <c r="C2509" s="23">
        <v>-293</v>
      </c>
      <c r="D2509" s="24" t="s">
        <v>72</v>
      </c>
      <c r="E2509" s="24" t="s">
        <v>197</v>
      </c>
      <c r="F2509" s="63" t="s">
        <v>0</v>
      </c>
    </row>
    <row r="2510" spans="1:6" x14ac:dyDescent="0.25">
      <c r="A2510" s="62">
        <v>44749</v>
      </c>
      <c r="B2510" s="62" t="s">
        <v>2215</v>
      </c>
      <c r="C2510" s="23">
        <v>-845</v>
      </c>
      <c r="D2510" s="24" t="s">
        <v>52</v>
      </c>
      <c r="E2510" s="24" t="s">
        <v>134</v>
      </c>
      <c r="F2510" s="63" t="s">
        <v>0</v>
      </c>
    </row>
    <row r="2511" spans="1:6" x14ac:dyDescent="0.25">
      <c r="A2511" s="62">
        <v>44749</v>
      </c>
      <c r="B2511" s="62" t="s">
        <v>2216</v>
      </c>
      <c r="C2511" s="23">
        <v>-5000</v>
      </c>
      <c r="D2511" s="24" t="s">
        <v>90</v>
      </c>
      <c r="E2511" s="24" t="s">
        <v>91</v>
      </c>
      <c r="F2511" s="63" t="s">
        <v>0</v>
      </c>
    </row>
    <row r="2512" spans="1:6" x14ac:dyDescent="0.25">
      <c r="A2512" s="62">
        <v>44748</v>
      </c>
      <c r="B2512" s="62" t="s">
        <v>2217</v>
      </c>
      <c r="C2512" s="23">
        <v>-21226</v>
      </c>
      <c r="D2512" s="24" t="s">
        <v>72</v>
      </c>
      <c r="E2512" s="24" t="s">
        <v>109</v>
      </c>
      <c r="F2512" s="63" t="s">
        <v>0</v>
      </c>
    </row>
    <row r="2513" spans="1:6" x14ac:dyDescent="0.25">
      <c r="A2513" s="62">
        <v>44747</v>
      </c>
      <c r="B2513" s="62" t="s">
        <v>2218</v>
      </c>
      <c r="C2513" s="23">
        <v>-5933</v>
      </c>
      <c r="D2513" s="24" t="s">
        <v>49</v>
      </c>
      <c r="E2513" s="24" t="s">
        <v>56</v>
      </c>
      <c r="F2513" s="63" t="s">
        <v>0</v>
      </c>
    </row>
    <row r="2514" spans="1:6" x14ac:dyDescent="0.25">
      <c r="A2514" s="62">
        <v>44747</v>
      </c>
      <c r="B2514" s="62" t="s">
        <v>2219</v>
      </c>
      <c r="C2514" s="23">
        <v>-8916</v>
      </c>
      <c r="D2514" s="24" t="s">
        <v>49</v>
      </c>
      <c r="E2514" s="24" t="s">
        <v>56</v>
      </c>
      <c r="F2514" s="63" t="s">
        <v>0</v>
      </c>
    </row>
    <row r="2515" spans="1:6" x14ac:dyDescent="0.25">
      <c r="A2515" s="62">
        <v>44746</v>
      </c>
      <c r="B2515" s="62" t="s">
        <v>2220</v>
      </c>
      <c r="C2515" s="23">
        <v>-5890</v>
      </c>
      <c r="D2515" s="24" t="s">
        <v>49</v>
      </c>
      <c r="E2515" s="24" t="s">
        <v>67</v>
      </c>
      <c r="F2515" s="63" t="s">
        <v>0</v>
      </c>
    </row>
    <row r="2516" spans="1:6" x14ac:dyDescent="0.25">
      <c r="A2516" s="62">
        <v>44746</v>
      </c>
      <c r="B2516" s="62" t="s">
        <v>2221</v>
      </c>
      <c r="C2516" s="23">
        <v>-9370</v>
      </c>
      <c r="D2516" s="24" t="s">
        <v>49</v>
      </c>
      <c r="E2516" s="24" t="s">
        <v>56</v>
      </c>
      <c r="F2516" s="63" t="s">
        <v>0</v>
      </c>
    </row>
    <row r="2517" spans="1:6" x14ac:dyDescent="0.25">
      <c r="A2517" s="62">
        <v>44746</v>
      </c>
      <c r="B2517" s="62" t="s">
        <v>2222</v>
      </c>
      <c r="C2517" s="23">
        <v>-24691</v>
      </c>
      <c r="D2517" s="24" t="s">
        <v>49</v>
      </c>
      <c r="E2517" s="24" t="s">
        <v>56</v>
      </c>
      <c r="F2517" s="63" t="s">
        <v>0</v>
      </c>
    </row>
    <row r="2518" spans="1:6" x14ac:dyDescent="0.25">
      <c r="A2518" s="62">
        <v>44746</v>
      </c>
      <c r="B2518" s="62" t="s">
        <v>172</v>
      </c>
      <c r="C2518" s="23">
        <v>299249</v>
      </c>
      <c r="D2518" s="24" t="s">
        <v>58</v>
      </c>
      <c r="E2518" s="24" t="s">
        <v>58</v>
      </c>
      <c r="F2518" s="63" t="s">
        <v>0</v>
      </c>
    </row>
    <row r="2519" spans="1:6" x14ac:dyDescent="0.25">
      <c r="A2519" s="62">
        <v>44746</v>
      </c>
      <c r="B2519" s="62" t="s">
        <v>2223</v>
      </c>
      <c r="C2519" s="23">
        <v>-1030</v>
      </c>
      <c r="D2519" s="24" t="s">
        <v>52</v>
      </c>
      <c r="E2519" s="24" t="s">
        <v>53</v>
      </c>
      <c r="F2519" s="63" t="s">
        <v>0</v>
      </c>
    </row>
    <row r="2520" spans="1:6" x14ac:dyDescent="0.25">
      <c r="A2520" s="62">
        <v>44746</v>
      </c>
      <c r="B2520" s="62" t="s">
        <v>2224</v>
      </c>
      <c r="C2520" s="23">
        <v>-5000</v>
      </c>
      <c r="D2520" s="24" t="s">
        <v>49</v>
      </c>
      <c r="E2520" s="24" t="s">
        <v>56</v>
      </c>
      <c r="F2520" s="63" t="s">
        <v>0</v>
      </c>
    </row>
    <row r="2521" spans="1:6" x14ac:dyDescent="0.25">
      <c r="A2521" s="62">
        <v>44746</v>
      </c>
      <c r="B2521" s="62" t="s">
        <v>2225</v>
      </c>
      <c r="C2521" s="23">
        <v>-5296</v>
      </c>
      <c r="D2521" s="24" t="s">
        <v>49</v>
      </c>
      <c r="E2521" s="24" t="s">
        <v>56</v>
      </c>
      <c r="F2521" s="63" t="s">
        <v>0</v>
      </c>
    </row>
    <row r="2522" spans="1:6" x14ac:dyDescent="0.25">
      <c r="A2522" s="62">
        <v>44746</v>
      </c>
      <c r="B2522" s="62" t="s">
        <v>2226</v>
      </c>
      <c r="C2522" s="23">
        <v>-7196</v>
      </c>
      <c r="D2522" s="24" t="s">
        <v>49</v>
      </c>
      <c r="E2522" s="24" t="s">
        <v>56</v>
      </c>
      <c r="F2522" s="63" t="s">
        <v>0</v>
      </c>
    </row>
    <row r="2523" spans="1:6" x14ac:dyDescent="0.25">
      <c r="A2523" s="62">
        <v>44746</v>
      </c>
      <c r="B2523" s="62" t="s">
        <v>111</v>
      </c>
      <c r="C2523" s="23">
        <v>-23000</v>
      </c>
      <c r="D2523" s="24" t="s">
        <v>90</v>
      </c>
      <c r="E2523" s="24" t="s">
        <v>111</v>
      </c>
      <c r="F2523" s="63" t="s">
        <v>0</v>
      </c>
    </row>
    <row r="2524" spans="1:6" x14ac:dyDescent="0.25">
      <c r="A2524" s="62">
        <v>44746</v>
      </c>
      <c r="B2524" s="62" t="s">
        <v>2227</v>
      </c>
      <c r="C2524" s="23">
        <v>-93000</v>
      </c>
      <c r="D2524" s="24" t="s">
        <v>72</v>
      </c>
      <c r="E2524" s="24" t="s">
        <v>445</v>
      </c>
      <c r="F2524" s="63" t="s">
        <v>7</v>
      </c>
    </row>
    <row r="2525" spans="1:6" x14ac:dyDescent="0.25">
      <c r="A2525" s="62">
        <v>44743</v>
      </c>
      <c r="B2525" s="62" t="s">
        <v>2228</v>
      </c>
      <c r="C2525" s="23">
        <v>-16686</v>
      </c>
      <c r="D2525" s="24" t="s">
        <v>72</v>
      </c>
      <c r="E2525" s="24" t="s">
        <v>109</v>
      </c>
      <c r="F2525" s="63" t="s">
        <v>0</v>
      </c>
    </row>
    <row r="2526" spans="1:6" x14ac:dyDescent="0.25">
      <c r="A2526" s="62">
        <v>44742</v>
      </c>
      <c r="B2526" s="62" t="s">
        <v>2229</v>
      </c>
      <c r="C2526" s="23">
        <v>100000</v>
      </c>
      <c r="D2526" s="24" t="s">
        <v>206</v>
      </c>
      <c r="E2526" s="24" t="s">
        <v>830</v>
      </c>
      <c r="F2526" s="63" t="s">
        <v>7</v>
      </c>
    </row>
    <row r="2527" spans="1:6" x14ac:dyDescent="0.25">
      <c r="A2527" s="62">
        <v>44742</v>
      </c>
      <c r="B2527" s="62" t="s">
        <v>2229</v>
      </c>
      <c r="C2527" s="23">
        <v>-100000</v>
      </c>
      <c r="D2527" s="24" t="s">
        <v>206</v>
      </c>
      <c r="E2527" s="24" t="s">
        <v>830</v>
      </c>
      <c r="F2527" s="63" t="s">
        <v>0</v>
      </c>
    </row>
    <row r="2528" spans="1:6" x14ac:dyDescent="0.25">
      <c r="A2528" s="62">
        <v>44742</v>
      </c>
      <c r="B2528" s="62" t="s">
        <v>2230</v>
      </c>
      <c r="C2528" s="23">
        <v>-7.36</v>
      </c>
      <c r="D2528" s="24" t="s">
        <v>167</v>
      </c>
      <c r="E2528" s="24" t="s">
        <v>555</v>
      </c>
      <c r="F2528" s="63" t="s">
        <v>0</v>
      </c>
    </row>
    <row r="2529" spans="1:6" x14ac:dyDescent="0.25">
      <c r="A2529" s="62">
        <v>44742</v>
      </c>
      <c r="B2529" s="62" t="s">
        <v>2004</v>
      </c>
      <c r="C2529" s="23">
        <v>-655</v>
      </c>
      <c r="D2529" s="24" t="s">
        <v>52</v>
      </c>
      <c r="E2529" s="24" t="s">
        <v>53</v>
      </c>
      <c r="F2529" s="63" t="s">
        <v>0</v>
      </c>
    </row>
    <row r="2530" spans="1:6" x14ac:dyDescent="0.25">
      <c r="A2530" s="62">
        <v>44742</v>
      </c>
      <c r="B2530" s="62" t="s">
        <v>2069</v>
      </c>
      <c r="C2530" s="23">
        <v>-5546</v>
      </c>
      <c r="D2530" s="24" t="s">
        <v>46</v>
      </c>
      <c r="E2530" s="24" t="s">
        <v>80</v>
      </c>
      <c r="F2530" s="63" t="s">
        <v>0</v>
      </c>
    </row>
    <row r="2531" spans="1:6" x14ac:dyDescent="0.25">
      <c r="A2531" s="62">
        <v>44742</v>
      </c>
      <c r="B2531" s="62" t="s">
        <v>2231</v>
      </c>
      <c r="C2531" s="23">
        <v>-1250</v>
      </c>
      <c r="D2531" s="24" t="s">
        <v>52</v>
      </c>
      <c r="E2531" s="24" t="s">
        <v>53</v>
      </c>
      <c r="F2531" s="63" t="s">
        <v>0</v>
      </c>
    </row>
    <row r="2532" spans="1:6" x14ac:dyDescent="0.25">
      <c r="A2532" s="62">
        <v>44742</v>
      </c>
      <c r="B2532" s="62" t="s">
        <v>2232</v>
      </c>
      <c r="C2532" s="23">
        <v>-6479</v>
      </c>
      <c r="D2532" s="24" t="s">
        <v>46</v>
      </c>
      <c r="E2532" s="24" t="s">
        <v>63</v>
      </c>
      <c r="F2532" s="63" t="s">
        <v>0</v>
      </c>
    </row>
    <row r="2533" spans="1:6" x14ac:dyDescent="0.25">
      <c r="A2533" s="62">
        <v>44742</v>
      </c>
      <c r="B2533" s="62" t="s">
        <v>2230</v>
      </c>
      <c r="C2533" s="23">
        <v>49.09</v>
      </c>
      <c r="D2533" s="24" t="s">
        <v>167</v>
      </c>
      <c r="E2533" s="24" t="s">
        <v>168</v>
      </c>
      <c r="F2533" s="63" t="s">
        <v>0</v>
      </c>
    </row>
    <row r="2534" spans="1:6" x14ac:dyDescent="0.25">
      <c r="A2534" s="62">
        <v>44742</v>
      </c>
      <c r="B2534" s="62" t="s">
        <v>2233</v>
      </c>
      <c r="C2534" s="23">
        <v>55.08</v>
      </c>
      <c r="D2534" s="24" t="s">
        <v>167</v>
      </c>
      <c r="E2534" s="24" t="s">
        <v>168</v>
      </c>
      <c r="F2534" s="63" t="s">
        <v>0</v>
      </c>
    </row>
    <row r="2535" spans="1:6" x14ac:dyDescent="0.25">
      <c r="A2535" s="62">
        <v>44742</v>
      </c>
      <c r="B2535" s="62" t="s">
        <v>2234</v>
      </c>
      <c r="C2535" s="23">
        <v>-8.26</v>
      </c>
      <c r="D2535" s="24" t="s">
        <v>167</v>
      </c>
      <c r="E2535" s="24" t="s">
        <v>168</v>
      </c>
      <c r="F2535" s="63" t="s">
        <v>0</v>
      </c>
    </row>
    <row r="2536" spans="1:6" x14ac:dyDescent="0.25">
      <c r="A2536" s="62">
        <v>44742</v>
      </c>
      <c r="B2536" s="62" t="s">
        <v>43</v>
      </c>
      <c r="C2536" s="23">
        <v>-1941</v>
      </c>
      <c r="D2536" s="24" t="s">
        <v>167</v>
      </c>
      <c r="E2536" s="24" t="s">
        <v>168</v>
      </c>
      <c r="F2536" s="63" t="s">
        <v>0</v>
      </c>
    </row>
    <row r="2537" spans="1:6" x14ac:dyDescent="0.25">
      <c r="A2537" s="62">
        <v>44741</v>
      </c>
      <c r="B2537" s="62" t="s">
        <v>2235</v>
      </c>
      <c r="C2537" s="23">
        <v>-1849</v>
      </c>
      <c r="D2537" s="24" t="s">
        <v>49</v>
      </c>
      <c r="E2537" s="24" t="s">
        <v>56</v>
      </c>
      <c r="F2537" s="63" t="s">
        <v>0</v>
      </c>
    </row>
    <row r="2538" spans="1:6" x14ac:dyDescent="0.25">
      <c r="A2538" s="62">
        <v>44741</v>
      </c>
      <c r="B2538" s="62" t="s">
        <v>2236</v>
      </c>
      <c r="C2538" s="23">
        <v>-2573</v>
      </c>
      <c r="D2538" s="24" t="s">
        <v>49</v>
      </c>
      <c r="E2538" s="24" t="s">
        <v>56</v>
      </c>
      <c r="F2538" s="63" t="s">
        <v>0</v>
      </c>
    </row>
    <row r="2539" spans="1:6" x14ac:dyDescent="0.25">
      <c r="A2539" s="62">
        <v>44741</v>
      </c>
      <c r="B2539" s="62" t="s">
        <v>2237</v>
      </c>
      <c r="C2539" s="23">
        <v>-2050</v>
      </c>
      <c r="D2539" s="24" t="s">
        <v>52</v>
      </c>
      <c r="E2539" s="24" t="s">
        <v>53</v>
      </c>
      <c r="F2539" s="63" t="s">
        <v>0</v>
      </c>
    </row>
    <row r="2540" spans="1:6" x14ac:dyDescent="0.25">
      <c r="A2540" s="62">
        <v>44740</v>
      </c>
      <c r="B2540" s="62" t="s">
        <v>2238</v>
      </c>
      <c r="C2540" s="23">
        <v>-884</v>
      </c>
      <c r="D2540" s="24" t="s">
        <v>167</v>
      </c>
      <c r="E2540" s="24" t="s">
        <v>168</v>
      </c>
      <c r="F2540" s="63" t="s">
        <v>0</v>
      </c>
    </row>
    <row r="2541" spans="1:6" x14ac:dyDescent="0.25">
      <c r="A2541" s="62">
        <v>44740</v>
      </c>
      <c r="B2541" s="62" t="s">
        <v>2239</v>
      </c>
      <c r="C2541" s="23">
        <v>-745</v>
      </c>
      <c r="D2541" s="24" t="s">
        <v>72</v>
      </c>
      <c r="E2541" s="24" t="s">
        <v>73</v>
      </c>
      <c r="F2541" s="63" t="s">
        <v>0</v>
      </c>
    </row>
    <row r="2542" spans="1:6" x14ac:dyDescent="0.25">
      <c r="A2542" s="62">
        <v>44740</v>
      </c>
      <c r="B2542" s="62" t="s">
        <v>2240</v>
      </c>
      <c r="C2542" s="23">
        <v>-3441</v>
      </c>
      <c r="D2542" s="24" t="s">
        <v>49</v>
      </c>
      <c r="E2542" s="24" t="s">
        <v>56</v>
      </c>
      <c r="F2542" s="63" t="s">
        <v>0</v>
      </c>
    </row>
    <row r="2543" spans="1:6" x14ac:dyDescent="0.25">
      <c r="A2543" s="62">
        <v>44740</v>
      </c>
      <c r="B2543" s="62" t="s">
        <v>2238</v>
      </c>
      <c r="C2543" s="23">
        <v>29000</v>
      </c>
      <c r="D2543" s="24" t="s">
        <v>206</v>
      </c>
      <c r="E2543" s="24" t="s">
        <v>830</v>
      </c>
      <c r="F2543" s="63" t="s">
        <v>7</v>
      </c>
    </row>
    <row r="2544" spans="1:6" x14ac:dyDescent="0.25">
      <c r="A2544" s="62">
        <v>44740</v>
      </c>
      <c r="B2544" s="62" t="s">
        <v>2238</v>
      </c>
      <c r="C2544" s="23">
        <v>-29000</v>
      </c>
      <c r="D2544" s="24" t="s">
        <v>206</v>
      </c>
      <c r="E2544" s="24" t="s">
        <v>830</v>
      </c>
      <c r="F2544" s="63" t="s">
        <v>0</v>
      </c>
    </row>
    <row r="2545" spans="1:6" x14ac:dyDescent="0.25">
      <c r="A2545" s="62">
        <v>44740</v>
      </c>
      <c r="B2545" s="62" t="s">
        <v>2241</v>
      </c>
      <c r="C2545" s="23">
        <v>-23462</v>
      </c>
      <c r="D2545" s="24" t="s">
        <v>72</v>
      </c>
      <c r="E2545" s="24" t="s">
        <v>109</v>
      </c>
      <c r="F2545" s="63" t="s">
        <v>0</v>
      </c>
    </row>
    <row r="2546" spans="1:6" x14ac:dyDescent="0.25">
      <c r="A2546" s="62">
        <v>44740</v>
      </c>
      <c r="B2546" s="62" t="s">
        <v>2242</v>
      </c>
      <c r="C2546" s="23">
        <v>-3490</v>
      </c>
      <c r="D2546" s="24" t="s">
        <v>46</v>
      </c>
      <c r="E2546" s="24" t="s">
        <v>63</v>
      </c>
      <c r="F2546" s="63" t="s">
        <v>0</v>
      </c>
    </row>
    <row r="2547" spans="1:6" x14ac:dyDescent="0.25">
      <c r="A2547" s="62">
        <v>44740</v>
      </c>
      <c r="B2547" s="62" t="s">
        <v>2243</v>
      </c>
      <c r="C2547" s="23">
        <v>-24391</v>
      </c>
      <c r="D2547" s="24" t="s">
        <v>49</v>
      </c>
      <c r="E2547" s="24" t="s">
        <v>56</v>
      </c>
      <c r="F2547" s="63" t="s">
        <v>0</v>
      </c>
    </row>
    <row r="2548" spans="1:6" x14ac:dyDescent="0.25">
      <c r="A2548" s="62">
        <v>44739</v>
      </c>
      <c r="B2548" s="62" t="s">
        <v>2244</v>
      </c>
      <c r="C2548" s="23">
        <v>-549</v>
      </c>
      <c r="D2548" s="24" t="s">
        <v>49</v>
      </c>
      <c r="E2548" s="24" t="s">
        <v>56</v>
      </c>
      <c r="F2548" s="63" t="s">
        <v>0</v>
      </c>
    </row>
    <row r="2549" spans="1:6" x14ac:dyDescent="0.25">
      <c r="A2549" s="62">
        <v>44739</v>
      </c>
      <c r="B2549" s="62" t="s">
        <v>2245</v>
      </c>
      <c r="C2549" s="23">
        <v>-2223</v>
      </c>
      <c r="D2549" s="24" t="s">
        <v>49</v>
      </c>
      <c r="E2549" s="24" t="s">
        <v>56</v>
      </c>
      <c r="F2549" s="63" t="s">
        <v>0</v>
      </c>
    </row>
    <row r="2550" spans="1:6" x14ac:dyDescent="0.25">
      <c r="A2550" s="62">
        <v>44739</v>
      </c>
      <c r="B2550" s="62" t="s">
        <v>2246</v>
      </c>
      <c r="C2550" s="23">
        <v>-2768</v>
      </c>
      <c r="D2550" s="24" t="s">
        <v>49</v>
      </c>
      <c r="E2550" s="24" t="s">
        <v>56</v>
      </c>
      <c r="F2550" s="63" t="s">
        <v>0</v>
      </c>
    </row>
    <row r="2551" spans="1:6" x14ac:dyDescent="0.25">
      <c r="A2551" s="62">
        <v>44739</v>
      </c>
      <c r="B2551" s="62" t="s">
        <v>2247</v>
      </c>
      <c r="C2551" s="23">
        <v>-3299</v>
      </c>
      <c r="D2551" s="24" t="s">
        <v>49</v>
      </c>
      <c r="E2551" s="24" t="s">
        <v>56</v>
      </c>
      <c r="F2551" s="63" t="s">
        <v>0</v>
      </c>
    </row>
    <row r="2552" spans="1:6" x14ac:dyDescent="0.25">
      <c r="A2552" s="62">
        <v>44739</v>
      </c>
      <c r="B2552" s="62" t="s">
        <v>2248</v>
      </c>
      <c r="C2552" s="23">
        <v>-658</v>
      </c>
      <c r="D2552" s="24" t="s">
        <v>49</v>
      </c>
      <c r="E2552" s="24" t="s">
        <v>56</v>
      </c>
      <c r="F2552" s="63" t="s">
        <v>0</v>
      </c>
    </row>
    <row r="2553" spans="1:6" x14ac:dyDescent="0.25">
      <c r="A2553" s="62">
        <v>44739</v>
      </c>
      <c r="B2553" s="62" t="s">
        <v>2249</v>
      </c>
      <c r="C2553" s="23">
        <v>-1560</v>
      </c>
      <c r="D2553" s="24" t="s">
        <v>52</v>
      </c>
      <c r="E2553" s="24" t="s">
        <v>134</v>
      </c>
      <c r="F2553" s="63" t="s">
        <v>0</v>
      </c>
    </row>
    <row r="2554" spans="1:6" x14ac:dyDescent="0.25">
      <c r="A2554" s="62">
        <v>44739</v>
      </c>
      <c r="B2554" s="62" t="s">
        <v>2250</v>
      </c>
      <c r="C2554" s="23">
        <v>-7000</v>
      </c>
      <c r="D2554" s="24" t="s">
        <v>49</v>
      </c>
      <c r="E2554" s="24" t="s">
        <v>213</v>
      </c>
      <c r="F2554" s="63" t="s">
        <v>0</v>
      </c>
    </row>
    <row r="2555" spans="1:6" x14ac:dyDescent="0.25">
      <c r="A2555" s="62">
        <v>44739</v>
      </c>
      <c r="B2555" s="62" t="s">
        <v>2251</v>
      </c>
      <c r="C2555" s="23">
        <v>-4550</v>
      </c>
      <c r="D2555" s="24" t="s">
        <v>52</v>
      </c>
      <c r="E2555" s="24" t="s">
        <v>134</v>
      </c>
      <c r="F2555" s="63" t="s">
        <v>0</v>
      </c>
    </row>
    <row r="2556" spans="1:6" x14ac:dyDescent="0.25">
      <c r="A2556" s="62">
        <v>44739</v>
      </c>
      <c r="B2556" s="62" t="s">
        <v>2252</v>
      </c>
      <c r="C2556" s="23">
        <v>-3190</v>
      </c>
      <c r="D2556" s="24" t="s">
        <v>72</v>
      </c>
      <c r="E2556" s="24" t="s">
        <v>126</v>
      </c>
      <c r="F2556" s="63" t="s">
        <v>0</v>
      </c>
    </row>
    <row r="2557" spans="1:6" x14ac:dyDescent="0.25">
      <c r="A2557" s="62">
        <v>44739</v>
      </c>
      <c r="B2557" s="62" t="s">
        <v>2253</v>
      </c>
      <c r="C2557" s="23">
        <v>-999</v>
      </c>
      <c r="D2557" s="24" t="s">
        <v>49</v>
      </c>
      <c r="E2557" s="24" t="s">
        <v>56</v>
      </c>
      <c r="F2557" s="63" t="s">
        <v>0</v>
      </c>
    </row>
    <row r="2558" spans="1:6" x14ac:dyDescent="0.25">
      <c r="A2558" s="62">
        <v>44739</v>
      </c>
      <c r="B2558" s="62" t="s">
        <v>2254</v>
      </c>
      <c r="C2558" s="23">
        <v>-1899</v>
      </c>
      <c r="D2558" s="24" t="s">
        <v>49</v>
      </c>
      <c r="E2558" s="24" t="s">
        <v>56</v>
      </c>
      <c r="F2558" s="63" t="s">
        <v>0</v>
      </c>
    </row>
    <row r="2559" spans="1:6" x14ac:dyDescent="0.25">
      <c r="A2559" s="62">
        <v>44738</v>
      </c>
      <c r="B2559" s="62" t="s">
        <v>2255</v>
      </c>
      <c r="C2559" s="23">
        <v>-9760</v>
      </c>
      <c r="D2559" s="24" t="s">
        <v>52</v>
      </c>
      <c r="E2559" s="24" t="s">
        <v>1865</v>
      </c>
      <c r="F2559" s="63" t="s">
        <v>4</v>
      </c>
    </row>
    <row r="2560" spans="1:6" x14ac:dyDescent="0.25">
      <c r="A2560" s="62">
        <v>44737</v>
      </c>
      <c r="B2560" s="62" t="s">
        <v>714</v>
      </c>
      <c r="C2560" s="23">
        <v>-3340</v>
      </c>
      <c r="D2560" s="24" t="s">
        <v>52</v>
      </c>
      <c r="E2560" s="24" t="s">
        <v>53</v>
      </c>
      <c r="F2560" s="63" t="s">
        <v>4</v>
      </c>
    </row>
    <row r="2561" spans="1:6" x14ac:dyDescent="0.25">
      <c r="A2561" s="62">
        <v>44737</v>
      </c>
      <c r="B2561" s="62" t="s">
        <v>2256</v>
      </c>
      <c r="C2561" s="23">
        <v>4166.67</v>
      </c>
      <c r="D2561" s="24" t="s">
        <v>167</v>
      </c>
      <c r="E2561" s="24" t="s">
        <v>555</v>
      </c>
      <c r="F2561" s="63" t="s">
        <v>10</v>
      </c>
    </row>
    <row r="2562" spans="1:6" x14ac:dyDescent="0.25">
      <c r="A2562" s="62">
        <v>44737</v>
      </c>
      <c r="B2562" s="62" t="s">
        <v>2257</v>
      </c>
      <c r="C2562" s="23">
        <v>41666.43</v>
      </c>
      <c r="D2562" s="24" t="s">
        <v>167</v>
      </c>
      <c r="E2562" s="24" t="s">
        <v>555</v>
      </c>
      <c r="F2562" s="63" t="s">
        <v>10</v>
      </c>
    </row>
    <row r="2563" spans="1:6" x14ac:dyDescent="0.25">
      <c r="A2563" s="62">
        <v>44737</v>
      </c>
      <c r="B2563" s="62" t="s">
        <v>2256</v>
      </c>
      <c r="C2563" s="23">
        <v>-4166.67</v>
      </c>
      <c r="D2563" s="24" t="s">
        <v>167</v>
      </c>
      <c r="E2563" s="24" t="s">
        <v>555</v>
      </c>
      <c r="F2563" s="63" t="s">
        <v>0</v>
      </c>
    </row>
    <row r="2564" spans="1:6" x14ac:dyDescent="0.25">
      <c r="A2564" s="62">
        <v>44737</v>
      </c>
      <c r="B2564" s="62" t="s">
        <v>2257</v>
      </c>
      <c r="C2564" s="23">
        <v>-41666.43</v>
      </c>
      <c r="D2564" s="24" t="s">
        <v>167</v>
      </c>
      <c r="E2564" s="24" t="s">
        <v>555</v>
      </c>
      <c r="F2564" s="63" t="s">
        <v>0</v>
      </c>
    </row>
    <row r="2565" spans="1:6" x14ac:dyDescent="0.25">
      <c r="A2565" s="62">
        <v>44736</v>
      </c>
      <c r="B2565" s="62" t="s">
        <v>2258</v>
      </c>
      <c r="C2565" s="23">
        <v>18370</v>
      </c>
      <c r="D2565" s="24" t="s">
        <v>49</v>
      </c>
      <c r="E2565" s="24" t="s">
        <v>213</v>
      </c>
      <c r="F2565" s="63" t="s">
        <v>0</v>
      </c>
    </row>
    <row r="2566" spans="1:6" x14ac:dyDescent="0.25">
      <c r="A2566" s="62">
        <v>44736</v>
      </c>
      <c r="B2566" s="62" t="s">
        <v>2259</v>
      </c>
      <c r="C2566" s="23">
        <v>-4070</v>
      </c>
      <c r="D2566" s="24" t="s">
        <v>49</v>
      </c>
      <c r="E2566" s="24" t="s">
        <v>56</v>
      </c>
      <c r="F2566" s="63" t="s">
        <v>0</v>
      </c>
    </row>
    <row r="2567" spans="1:6" x14ac:dyDescent="0.25">
      <c r="A2567" s="62">
        <v>44735</v>
      </c>
      <c r="B2567" s="62" t="s">
        <v>2260</v>
      </c>
      <c r="C2567" s="23">
        <v>-820</v>
      </c>
      <c r="D2567" s="24" t="s">
        <v>52</v>
      </c>
      <c r="E2567" s="24" t="s">
        <v>53</v>
      </c>
      <c r="F2567" s="63" t="s">
        <v>0</v>
      </c>
    </row>
    <row r="2568" spans="1:6" x14ac:dyDescent="0.25">
      <c r="A2568" s="62">
        <v>44735</v>
      </c>
      <c r="B2568" s="62" t="s">
        <v>2261</v>
      </c>
      <c r="C2568" s="23">
        <v>-15000</v>
      </c>
      <c r="D2568" s="24" t="s">
        <v>90</v>
      </c>
      <c r="E2568" s="24" t="s">
        <v>91</v>
      </c>
      <c r="F2568" s="63" t="s">
        <v>0</v>
      </c>
    </row>
    <row r="2569" spans="1:6" x14ac:dyDescent="0.25">
      <c r="A2569" s="62">
        <v>44735</v>
      </c>
      <c r="B2569" s="62" t="s">
        <v>2262</v>
      </c>
      <c r="C2569" s="23">
        <v>-23980</v>
      </c>
      <c r="D2569" s="24" t="s">
        <v>49</v>
      </c>
      <c r="E2569" s="24" t="s">
        <v>213</v>
      </c>
      <c r="F2569" s="63" t="s">
        <v>0</v>
      </c>
    </row>
    <row r="2570" spans="1:6" x14ac:dyDescent="0.25">
      <c r="A2570" s="62">
        <v>44734</v>
      </c>
      <c r="B2570" s="62" t="s">
        <v>2263</v>
      </c>
      <c r="C2570" s="23">
        <v>-534</v>
      </c>
      <c r="D2570" s="24" t="s">
        <v>49</v>
      </c>
      <c r="E2570" s="24" t="s">
        <v>56</v>
      </c>
      <c r="F2570" s="63" t="s">
        <v>0</v>
      </c>
    </row>
    <row r="2571" spans="1:6" x14ac:dyDescent="0.25">
      <c r="A2571" s="62">
        <v>44734</v>
      </c>
      <c r="B2571" s="62" t="s">
        <v>2264</v>
      </c>
      <c r="C2571" s="23">
        <v>-299</v>
      </c>
      <c r="D2571" s="24" t="s">
        <v>49</v>
      </c>
      <c r="E2571" s="24" t="s">
        <v>56</v>
      </c>
      <c r="F2571" s="63" t="s">
        <v>0</v>
      </c>
    </row>
    <row r="2572" spans="1:6" x14ac:dyDescent="0.25">
      <c r="A2572" s="62">
        <v>44734</v>
      </c>
      <c r="B2572" s="62" t="s">
        <v>2265</v>
      </c>
      <c r="C2572" s="23">
        <v>-1850</v>
      </c>
      <c r="D2572" s="24" t="s">
        <v>52</v>
      </c>
      <c r="E2572" s="24" t="s">
        <v>53</v>
      </c>
      <c r="F2572" s="63" t="s">
        <v>0</v>
      </c>
    </row>
    <row r="2573" spans="1:6" x14ac:dyDescent="0.25">
      <c r="A2573" s="62">
        <v>44734</v>
      </c>
      <c r="B2573" s="62" t="s">
        <v>2266</v>
      </c>
      <c r="C2573" s="23">
        <v>-440</v>
      </c>
      <c r="D2573" s="24" t="s">
        <v>72</v>
      </c>
      <c r="E2573" s="24" t="s">
        <v>73</v>
      </c>
      <c r="F2573" s="63" t="s">
        <v>0</v>
      </c>
    </row>
    <row r="2574" spans="1:6" x14ac:dyDescent="0.25">
      <c r="A2574" s="62">
        <v>44734</v>
      </c>
      <c r="B2574" s="62" t="s">
        <v>2267</v>
      </c>
      <c r="C2574" s="23">
        <v>-3790</v>
      </c>
      <c r="D2574" s="24" t="s">
        <v>90</v>
      </c>
      <c r="E2574" s="24" t="s">
        <v>174</v>
      </c>
      <c r="F2574" s="63" t="s">
        <v>0</v>
      </c>
    </row>
    <row r="2575" spans="1:6" x14ac:dyDescent="0.25">
      <c r="A2575" s="62">
        <v>44734</v>
      </c>
      <c r="B2575" s="62" t="s">
        <v>2268</v>
      </c>
      <c r="C2575" s="23">
        <v>-4090</v>
      </c>
      <c r="D2575" s="24" t="s">
        <v>90</v>
      </c>
      <c r="E2575" s="24" t="s">
        <v>185</v>
      </c>
      <c r="F2575" s="63" t="s">
        <v>0</v>
      </c>
    </row>
    <row r="2576" spans="1:6" x14ac:dyDescent="0.25">
      <c r="A2576" s="62">
        <v>44733</v>
      </c>
      <c r="B2576" s="62" t="s">
        <v>139</v>
      </c>
      <c r="C2576" s="23">
        <v>13636</v>
      </c>
      <c r="D2576" s="24" t="s">
        <v>58</v>
      </c>
      <c r="E2576" s="24" t="s">
        <v>58</v>
      </c>
      <c r="F2576" s="63" t="s">
        <v>4</v>
      </c>
    </row>
    <row r="2577" spans="1:6" x14ac:dyDescent="0.25">
      <c r="A2577" s="62">
        <v>44733</v>
      </c>
      <c r="B2577" s="62" t="s">
        <v>139</v>
      </c>
      <c r="C2577" s="23">
        <v>7670</v>
      </c>
      <c r="D2577" s="24" t="s">
        <v>58</v>
      </c>
      <c r="E2577" s="24" t="s">
        <v>58</v>
      </c>
      <c r="F2577" s="63" t="s">
        <v>4</v>
      </c>
    </row>
    <row r="2578" spans="1:6" x14ac:dyDescent="0.25">
      <c r="A2578" s="62">
        <v>44733</v>
      </c>
      <c r="B2578" s="62" t="s">
        <v>2269</v>
      </c>
      <c r="C2578" s="23">
        <v>-390</v>
      </c>
      <c r="D2578" s="24" t="s">
        <v>49</v>
      </c>
      <c r="E2578" s="24" t="s">
        <v>56</v>
      </c>
      <c r="F2578" s="63" t="s">
        <v>0</v>
      </c>
    </row>
    <row r="2579" spans="1:6" x14ac:dyDescent="0.25">
      <c r="A2579" s="62">
        <v>44733</v>
      </c>
      <c r="B2579" s="62" t="s">
        <v>2270</v>
      </c>
      <c r="C2579" s="23">
        <v>-33000</v>
      </c>
      <c r="D2579" s="24" t="s">
        <v>90</v>
      </c>
      <c r="E2579" s="24" t="s">
        <v>111</v>
      </c>
      <c r="F2579" s="63" t="s">
        <v>0</v>
      </c>
    </row>
    <row r="2580" spans="1:6" x14ac:dyDescent="0.25">
      <c r="A2580" s="62">
        <v>44733</v>
      </c>
      <c r="B2580" s="62" t="s">
        <v>2271</v>
      </c>
      <c r="C2580" s="23">
        <v>-4160</v>
      </c>
      <c r="D2580" s="24" t="s">
        <v>52</v>
      </c>
      <c r="E2580" s="24" t="s">
        <v>53</v>
      </c>
      <c r="F2580" s="63" t="s">
        <v>0</v>
      </c>
    </row>
    <row r="2581" spans="1:6" x14ac:dyDescent="0.25">
      <c r="A2581" s="62">
        <v>44733</v>
      </c>
      <c r="B2581" s="62" t="s">
        <v>2272</v>
      </c>
      <c r="C2581" s="23">
        <v>-1490</v>
      </c>
      <c r="D2581" s="24" t="s">
        <v>52</v>
      </c>
      <c r="E2581" s="24" t="s">
        <v>53</v>
      </c>
      <c r="F2581" s="63" t="s">
        <v>0</v>
      </c>
    </row>
    <row r="2582" spans="1:6" x14ac:dyDescent="0.25">
      <c r="A2582" s="62">
        <v>44733</v>
      </c>
      <c r="B2582" s="62" t="s">
        <v>2273</v>
      </c>
      <c r="C2582" s="23">
        <v>-15390</v>
      </c>
      <c r="D2582" s="24" t="s">
        <v>49</v>
      </c>
      <c r="E2582" s="24" t="s">
        <v>213</v>
      </c>
      <c r="F2582" s="63" t="s">
        <v>0</v>
      </c>
    </row>
    <row r="2583" spans="1:6" x14ac:dyDescent="0.25">
      <c r="A2583" s="62">
        <v>44733</v>
      </c>
      <c r="B2583" s="62" t="s">
        <v>2274</v>
      </c>
      <c r="C2583" s="23">
        <v>358</v>
      </c>
      <c r="D2583" s="24" t="s">
        <v>167</v>
      </c>
      <c r="E2583" s="24" t="s">
        <v>168</v>
      </c>
      <c r="F2583" s="63" t="s">
        <v>0</v>
      </c>
    </row>
    <row r="2584" spans="1:6" x14ac:dyDescent="0.25">
      <c r="A2584" s="62">
        <v>44733</v>
      </c>
      <c r="B2584" s="62" t="s">
        <v>2275</v>
      </c>
      <c r="C2584" s="23">
        <v>-7309</v>
      </c>
      <c r="D2584" s="24" t="s">
        <v>90</v>
      </c>
      <c r="E2584" s="24" t="s">
        <v>59</v>
      </c>
      <c r="F2584" s="63" t="s">
        <v>0</v>
      </c>
    </row>
    <row r="2585" spans="1:6" x14ac:dyDescent="0.25">
      <c r="A2585" s="62">
        <v>44733</v>
      </c>
      <c r="B2585" s="62" t="s">
        <v>2276</v>
      </c>
      <c r="C2585" s="23">
        <v>-14533</v>
      </c>
      <c r="D2585" s="24" t="s">
        <v>90</v>
      </c>
      <c r="E2585" s="24" t="s">
        <v>93</v>
      </c>
      <c r="F2585" s="63" t="s">
        <v>0</v>
      </c>
    </row>
    <row r="2586" spans="1:6" x14ac:dyDescent="0.25">
      <c r="A2586" s="62">
        <v>44732</v>
      </c>
      <c r="B2586" s="62" t="s">
        <v>2277</v>
      </c>
      <c r="C2586" s="23">
        <v>-20458</v>
      </c>
      <c r="D2586" s="24" t="s">
        <v>72</v>
      </c>
      <c r="E2586" s="24" t="s">
        <v>109</v>
      </c>
      <c r="F2586" s="63" t="s">
        <v>0</v>
      </c>
    </row>
    <row r="2587" spans="1:6" x14ac:dyDescent="0.25">
      <c r="A2587" s="62">
        <v>44732</v>
      </c>
      <c r="B2587" s="62" t="s">
        <v>704</v>
      </c>
      <c r="C2587" s="23">
        <v>-6944</v>
      </c>
      <c r="D2587" s="24" t="s">
        <v>46</v>
      </c>
      <c r="E2587" s="24" t="s">
        <v>150</v>
      </c>
      <c r="F2587" s="63" t="s">
        <v>0</v>
      </c>
    </row>
    <row r="2588" spans="1:6" x14ac:dyDescent="0.25">
      <c r="A2588" s="62">
        <v>44732</v>
      </c>
      <c r="B2588" s="62" t="s">
        <v>2278</v>
      </c>
      <c r="C2588" s="23">
        <v>-252</v>
      </c>
      <c r="D2588" s="24" t="s">
        <v>72</v>
      </c>
      <c r="E2588" s="24" t="s">
        <v>197</v>
      </c>
      <c r="F2588" s="63" t="s">
        <v>0</v>
      </c>
    </row>
    <row r="2589" spans="1:6" x14ac:dyDescent="0.25">
      <c r="A2589" s="62">
        <v>44732</v>
      </c>
      <c r="B2589" s="62" t="s">
        <v>2279</v>
      </c>
      <c r="C2589" s="23">
        <v>-504</v>
      </c>
      <c r="D2589" s="24" t="s">
        <v>72</v>
      </c>
      <c r="E2589" s="24" t="s">
        <v>197</v>
      </c>
      <c r="F2589" s="63" t="s">
        <v>0</v>
      </c>
    </row>
    <row r="2590" spans="1:6" x14ac:dyDescent="0.25">
      <c r="A2590" s="62">
        <v>44732</v>
      </c>
      <c r="B2590" s="62" t="s">
        <v>2280</v>
      </c>
      <c r="C2590" s="23">
        <v>-890</v>
      </c>
      <c r="D2590" s="24" t="s">
        <v>49</v>
      </c>
      <c r="E2590" s="24" t="s">
        <v>56</v>
      </c>
      <c r="F2590" s="63" t="s">
        <v>0</v>
      </c>
    </row>
    <row r="2591" spans="1:6" x14ac:dyDescent="0.25">
      <c r="A2591" s="62">
        <v>44732</v>
      </c>
      <c r="B2591" s="62" t="s">
        <v>2281</v>
      </c>
      <c r="C2591" s="23">
        <v>-1705</v>
      </c>
      <c r="D2591" s="24" t="s">
        <v>49</v>
      </c>
      <c r="E2591" s="24" t="s">
        <v>56</v>
      </c>
      <c r="F2591" s="63" t="s">
        <v>0</v>
      </c>
    </row>
    <row r="2592" spans="1:6" x14ac:dyDescent="0.25">
      <c r="A2592" s="62">
        <v>44732</v>
      </c>
      <c r="B2592" s="62" t="s">
        <v>2282</v>
      </c>
      <c r="C2592" s="23">
        <v>-6640</v>
      </c>
      <c r="D2592" s="24" t="s">
        <v>49</v>
      </c>
      <c r="E2592" s="24" t="s">
        <v>164</v>
      </c>
      <c r="F2592" s="63" t="s">
        <v>0</v>
      </c>
    </row>
    <row r="2593" spans="1:6" x14ac:dyDescent="0.25">
      <c r="A2593" s="62">
        <v>44732</v>
      </c>
      <c r="B2593" s="62" t="s">
        <v>2283</v>
      </c>
      <c r="C2593" s="23">
        <v>-13539</v>
      </c>
      <c r="D2593" s="24" t="s">
        <v>90</v>
      </c>
      <c r="E2593" s="24" t="s">
        <v>185</v>
      </c>
      <c r="F2593" s="63" t="s">
        <v>0</v>
      </c>
    </row>
    <row r="2594" spans="1:6" x14ac:dyDescent="0.25">
      <c r="A2594" s="62">
        <v>44732</v>
      </c>
      <c r="B2594" s="62" t="s">
        <v>2284</v>
      </c>
      <c r="C2594" s="23">
        <v>-19570</v>
      </c>
      <c r="D2594" s="24" t="s">
        <v>90</v>
      </c>
      <c r="E2594" s="24" t="s">
        <v>59</v>
      </c>
      <c r="F2594" s="63" t="s">
        <v>0</v>
      </c>
    </row>
    <row r="2595" spans="1:6" x14ac:dyDescent="0.25">
      <c r="A2595" s="62">
        <v>44729</v>
      </c>
      <c r="B2595" s="62" t="s">
        <v>2285</v>
      </c>
      <c r="C2595" s="23">
        <v>-640</v>
      </c>
      <c r="D2595" s="24" t="s">
        <v>52</v>
      </c>
      <c r="E2595" s="24" t="s">
        <v>134</v>
      </c>
      <c r="F2595" s="63" t="s">
        <v>0</v>
      </c>
    </row>
    <row r="2596" spans="1:6" x14ac:dyDescent="0.25">
      <c r="A2596" s="62">
        <v>44729</v>
      </c>
      <c r="B2596" s="62" t="s">
        <v>2286</v>
      </c>
      <c r="C2596" s="23">
        <v>-2180</v>
      </c>
      <c r="D2596" s="24" t="s">
        <v>52</v>
      </c>
      <c r="E2596" s="24" t="s">
        <v>53</v>
      </c>
      <c r="F2596" s="63" t="s">
        <v>0</v>
      </c>
    </row>
    <row r="2597" spans="1:6" x14ac:dyDescent="0.25">
      <c r="A2597" s="62">
        <v>44728</v>
      </c>
      <c r="B2597" s="62" t="s">
        <v>2287</v>
      </c>
      <c r="C2597" s="23">
        <v>-12441</v>
      </c>
      <c r="D2597" s="24" t="s">
        <v>49</v>
      </c>
      <c r="E2597" s="24" t="s">
        <v>56</v>
      </c>
      <c r="F2597" s="63" t="s">
        <v>0</v>
      </c>
    </row>
    <row r="2598" spans="1:6" x14ac:dyDescent="0.25">
      <c r="A2598" s="62">
        <v>44728</v>
      </c>
      <c r="B2598" s="62" t="s">
        <v>2288</v>
      </c>
      <c r="C2598" s="23">
        <v>-594</v>
      </c>
      <c r="D2598" s="24" t="s">
        <v>49</v>
      </c>
      <c r="E2598" s="24" t="s">
        <v>56</v>
      </c>
      <c r="F2598" s="63" t="s">
        <v>0</v>
      </c>
    </row>
    <row r="2599" spans="1:6" x14ac:dyDescent="0.25">
      <c r="A2599" s="62">
        <v>44728</v>
      </c>
      <c r="B2599" s="62" t="s">
        <v>2289</v>
      </c>
      <c r="C2599" s="23">
        <v>-1729</v>
      </c>
      <c r="D2599" s="24" t="s">
        <v>49</v>
      </c>
      <c r="E2599" s="24" t="s">
        <v>56</v>
      </c>
      <c r="F2599" s="63" t="s">
        <v>0</v>
      </c>
    </row>
    <row r="2600" spans="1:6" x14ac:dyDescent="0.25">
      <c r="A2600" s="62">
        <v>44728</v>
      </c>
      <c r="B2600" s="62" t="s">
        <v>2290</v>
      </c>
      <c r="C2600" s="23">
        <v>-2026</v>
      </c>
      <c r="D2600" s="24" t="s">
        <v>49</v>
      </c>
      <c r="E2600" s="24" t="s">
        <v>56</v>
      </c>
      <c r="F2600" s="63" t="s">
        <v>0</v>
      </c>
    </row>
    <row r="2601" spans="1:6" x14ac:dyDescent="0.25">
      <c r="A2601" s="62">
        <v>44728</v>
      </c>
      <c r="B2601" s="62" t="s">
        <v>2291</v>
      </c>
      <c r="C2601" s="23">
        <v>-6500</v>
      </c>
      <c r="D2601" s="24" t="s">
        <v>83</v>
      </c>
      <c r="E2601" s="24" t="s">
        <v>660</v>
      </c>
      <c r="F2601" s="63" t="s">
        <v>0</v>
      </c>
    </row>
    <row r="2602" spans="1:6" x14ac:dyDescent="0.25">
      <c r="A2602" s="62">
        <v>44728</v>
      </c>
      <c r="B2602" s="62" t="s">
        <v>2292</v>
      </c>
      <c r="C2602" s="23">
        <v>-293</v>
      </c>
      <c r="D2602" s="24" t="s">
        <v>72</v>
      </c>
      <c r="E2602" s="24" t="s">
        <v>197</v>
      </c>
      <c r="F2602" s="63" t="s">
        <v>0</v>
      </c>
    </row>
    <row r="2603" spans="1:6" x14ac:dyDescent="0.25">
      <c r="A2603" s="62">
        <v>44728</v>
      </c>
      <c r="B2603" s="62" t="s">
        <v>2293</v>
      </c>
      <c r="C2603" s="23">
        <v>-349</v>
      </c>
      <c r="D2603" s="24" t="s">
        <v>52</v>
      </c>
      <c r="E2603" s="24" t="s">
        <v>53</v>
      </c>
      <c r="F2603" s="63" t="s">
        <v>0</v>
      </c>
    </row>
    <row r="2604" spans="1:6" x14ac:dyDescent="0.25">
      <c r="A2604" s="62">
        <v>44728</v>
      </c>
      <c r="B2604" s="62" t="s">
        <v>2294</v>
      </c>
      <c r="C2604" s="23">
        <v>-16000</v>
      </c>
      <c r="D2604" s="24" t="s">
        <v>49</v>
      </c>
      <c r="E2604" s="24" t="s">
        <v>213</v>
      </c>
      <c r="F2604" s="63" t="s">
        <v>0</v>
      </c>
    </row>
    <row r="2605" spans="1:6" x14ac:dyDescent="0.25">
      <c r="A2605" s="62">
        <v>44727</v>
      </c>
      <c r="B2605" s="62" t="s">
        <v>1018</v>
      </c>
      <c r="C2605" s="23">
        <v>-1750</v>
      </c>
      <c r="D2605" s="24" t="s">
        <v>52</v>
      </c>
      <c r="E2605" s="24" t="s">
        <v>53</v>
      </c>
      <c r="F2605" s="63" t="s">
        <v>4</v>
      </c>
    </row>
    <row r="2606" spans="1:6" x14ac:dyDescent="0.25">
      <c r="A2606" s="62">
        <v>44727</v>
      </c>
      <c r="B2606" s="62" t="s">
        <v>2295</v>
      </c>
      <c r="C2606" s="23">
        <v>-6680</v>
      </c>
      <c r="D2606" s="24" t="s">
        <v>52</v>
      </c>
      <c r="E2606" s="24" t="s">
        <v>53</v>
      </c>
      <c r="F2606" s="63" t="s">
        <v>0</v>
      </c>
    </row>
    <row r="2607" spans="1:6" x14ac:dyDescent="0.25">
      <c r="A2607" s="62">
        <v>44727</v>
      </c>
      <c r="B2607" s="62" t="s">
        <v>2296</v>
      </c>
      <c r="C2607" s="23">
        <v>-1100</v>
      </c>
      <c r="D2607" s="24" t="s">
        <v>52</v>
      </c>
      <c r="E2607" s="24" t="s">
        <v>134</v>
      </c>
      <c r="F2607" s="63" t="s">
        <v>0</v>
      </c>
    </row>
    <row r="2608" spans="1:6" x14ac:dyDescent="0.25">
      <c r="A2608" s="62">
        <v>44727</v>
      </c>
      <c r="B2608" s="62" t="s">
        <v>2297</v>
      </c>
      <c r="C2608" s="23">
        <v>-5000</v>
      </c>
      <c r="D2608" s="24" t="s">
        <v>49</v>
      </c>
      <c r="E2608" s="24" t="s">
        <v>1165</v>
      </c>
      <c r="F2608" s="63" t="s">
        <v>0</v>
      </c>
    </row>
    <row r="2609" spans="1:6" x14ac:dyDescent="0.25">
      <c r="A2609" s="62">
        <v>44727</v>
      </c>
      <c r="B2609" s="62" t="s">
        <v>2298</v>
      </c>
      <c r="C2609" s="23">
        <v>-249</v>
      </c>
      <c r="D2609" s="24" t="s">
        <v>49</v>
      </c>
      <c r="E2609" s="24" t="s">
        <v>56</v>
      </c>
      <c r="F2609" s="63" t="s">
        <v>0</v>
      </c>
    </row>
    <row r="2610" spans="1:6" x14ac:dyDescent="0.25">
      <c r="A2610" s="62">
        <v>44727</v>
      </c>
      <c r="B2610" s="62" t="s">
        <v>2299</v>
      </c>
      <c r="C2610" s="23">
        <v>-420</v>
      </c>
      <c r="D2610" s="24" t="s">
        <v>52</v>
      </c>
      <c r="E2610" s="24" t="s">
        <v>53</v>
      </c>
      <c r="F2610" s="63" t="s">
        <v>0</v>
      </c>
    </row>
    <row r="2611" spans="1:6" x14ac:dyDescent="0.25">
      <c r="A2611" s="62">
        <v>44727</v>
      </c>
      <c r="B2611" s="62" t="s">
        <v>2300</v>
      </c>
      <c r="C2611" s="23">
        <v>-586</v>
      </c>
      <c r="D2611" s="24" t="s">
        <v>72</v>
      </c>
      <c r="E2611" s="24" t="s">
        <v>197</v>
      </c>
      <c r="F2611" s="63" t="s">
        <v>0</v>
      </c>
    </row>
    <row r="2612" spans="1:6" x14ac:dyDescent="0.25">
      <c r="A2612" s="62">
        <v>44726</v>
      </c>
      <c r="B2612" s="62" t="s">
        <v>2301</v>
      </c>
      <c r="C2612" s="23">
        <v>-1921</v>
      </c>
      <c r="D2612" s="24" t="s">
        <v>49</v>
      </c>
      <c r="E2612" s="24" t="s">
        <v>56</v>
      </c>
      <c r="F2612" s="63" t="s">
        <v>0</v>
      </c>
    </row>
    <row r="2613" spans="1:6" x14ac:dyDescent="0.25">
      <c r="A2613" s="62">
        <v>44725</v>
      </c>
      <c r="B2613" s="62" t="s">
        <v>2302</v>
      </c>
      <c r="C2613" s="23">
        <v>-11596</v>
      </c>
      <c r="D2613" s="24" t="s">
        <v>49</v>
      </c>
      <c r="E2613" s="24" t="s">
        <v>56</v>
      </c>
      <c r="F2613" s="63" t="s">
        <v>0</v>
      </c>
    </row>
    <row r="2614" spans="1:6" x14ac:dyDescent="0.25">
      <c r="A2614" s="62">
        <v>44725</v>
      </c>
      <c r="B2614" s="62" t="s">
        <v>2303</v>
      </c>
      <c r="C2614" s="23">
        <v>-1000</v>
      </c>
      <c r="D2614" s="24" t="s">
        <v>52</v>
      </c>
      <c r="E2614" s="24" t="s">
        <v>53</v>
      </c>
      <c r="F2614" s="63" t="s">
        <v>0</v>
      </c>
    </row>
    <row r="2615" spans="1:6" x14ac:dyDescent="0.25">
      <c r="A2615" s="62">
        <v>44725</v>
      </c>
      <c r="B2615" s="62" t="s">
        <v>2304</v>
      </c>
      <c r="C2615" s="23">
        <v>-856</v>
      </c>
      <c r="D2615" s="24" t="s">
        <v>49</v>
      </c>
      <c r="E2615" s="24" t="s">
        <v>56</v>
      </c>
      <c r="F2615" s="63" t="s">
        <v>0</v>
      </c>
    </row>
    <row r="2616" spans="1:6" x14ac:dyDescent="0.25">
      <c r="A2616" s="62">
        <v>44725</v>
      </c>
      <c r="B2616" s="62" t="s">
        <v>2305</v>
      </c>
      <c r="C2616" s="23">
        <v>-2468</v>
      </c>
      <c r="D2616" s="24" t="s">
        <v>49</v>
      </c>
      <c r="E2616" s="24" t="s">
        <v>56</v>
      </c>
      <c r="F2616" s="63" t="s">
        <v>0</v>
      </c>
    </row>
    <row r="2617" spans="1:6" x14ac:dyDescent="0.25">
      <c r="A2617" s="62">
        <v>44725</v>
      </c>
      <c r="B2617" s="62" t="s">
        <v>2306</v>
      </c>
      <c r="C2617" s="23">
        <v>-3719</v>
      </c>
      <c r="D2617" s="24" t="s">
        <v>46</v>
      </c>
      <c r="E2617" s="24" t="s">
        <v>61</v>
      </c>
      <c r="F2617" s="63" t="s">
        <v>0</v>
      </c>
    </row>
    <row r="2618" spans="1:6" x14ac:dyDescent="0.25">
      <c r="A2618" s="62">
        <v>44725</v>
      </c>
      <c r="B2618" s="62" t="s">
        <v>2307</v>
      </c>
      <c r="C2618" s="23">
        <v>-8396</v>
      </c>
      <c r="D2618" s="24" t="s">
        <v>49</v>
      </c>
      <c r="E2618" s="24" t="s">
        <v>56</v>
      </c>
      <c r="F2618" s="63" t="s">
        <v>0</v>
      </c>
    </row>
    <row r="2619" spans="1:6" x14ac:dyDescent="0.25">
      <c r="A2619" s="62">
        <v>44725</v>
      </c>
      <c r="B2619" s="62" t="s">
        <v>2308</v>
      </c>
      <c r="C2619" s="23">
        <v>-8911</v>
      </c>
      <c r="D2619" s="24" t="s">
        <v>49</v>
      </c>
      <c r="E2619" s="24" t="s">
        <v>56</v>
      </c>
      <c r="F2619" s="63" t="s">
        <v>0</v>
      </c>
    </row>
    <row r="2620" spans="1:6" x14ac:dyDescent="0.25">
      <c r="A2620" s="62">
        <v>44725</v>
      </c>
      <c r="B2620" s="62" t="s">
        <v>2309</v>
      </c>
      <c r="C2620" s="23">
        <v>-135</v>
      </c>
      <c r="D2620" s="24" t="s">
        <v>72</v>
      </c>
      <c r="E2620" s="24" t="s">
        <v>73</v>
      </c>
      <c r="F2620" s="63" t="s">
        <v>0</v>
      </c>
    </row>
    <row r="2621" spans="1:6" x14ac:dyDescent="0.25">
      <c r="A2621" s="62">
        <v>44725</v>
      </c>
      <c r="B2621" s="62" t="s">
        <v>2310</v>
      </c>
      <c r="C2621" s="23">
        <v>-1990</v>
      </c>
      <c r="D2621" s="24" t="s">
        <v>52</v>
      </c>
      <c r="E2621" s="24" t="s">
        <v>134</v>
      </c>
      <c r="F2621" s="63" t="s">
        <v>0</v>
      </c>
    </row>
    <row r="2622" spans="1:6" x14ac:dyDescent="0.25">
      <c r="A2622" s="62">
        <v>44725</v>
      </c>
      <c r="B2622" s="62" t="s">
        <v>2296</v>
      </c>
      <c r="C2622" s="23">
        <v>-1100</v>
      </c>
      <c r="D2622" s="24" t="s">
        <v>52</v>
      </c>
      <c r="E2622" s="24" t="s">
        <v>134</v>
      </c>
      <c r="F2622" s="63" t="s">
        <v>0</v>
      </c>
    </row>
    <row r="2623" spans="1:6" x14ac:dyDescent="0.25">
      <c r="A2623" s="62">
        <v>44725</v>
      </c>
      <c r="B2623" s="62" t="s">
        <v>2311</v>
      </c>
      <c r="C2623" s="23">
        <v>-875</v>
      </c>
      <c r="D2623" s="24" t="s">
        <v>52</v>
      </c>
      <c r="E2623" s="24" t="s">
        <v>53</v>
      </c>
      <c r="F2623" s="63" t="s">
        <v>0</v>
      </c>
    </row>
    <row r="2624" spans="1:6" x14ac:dyDescent="0.25">
      <c r="A2624" s="62">
        <v>44725</v>
      </c>
      <c r="B2624" s="62" t="s">
        <v>2312</v>
      </c>
      <c r="C2624" s="23">
        <v>-878</v>
      </c>
      <c r="D2624" s="24" t="s">
        <v>49</v>
      </c>
      <c r="E2624" s="24" t="s">
        <v>56</v>
      </c>
      <c r="F2624" s="63" t="s">
        <v>0</v>
      </c>
    </row>
    <row r="2625" spans="1:6" x14ac:dyDescent="0.25">
      <c r="A2625" s="62">
        <v>44725</v>
      </c>
      <c r="B2625" s="62" t="s">
        <v>2313</v>
      </c>
      <c r="C2625" s="23">
        <v>-2100</v>
      </c>
      <c r="D2625" s="24" t="s">
        <v>52</v>
      </c>
      <c r="E2625" s="24" t="s">
        <v>134</v>
      </c>
      <c r="F2625" s="63" t="s">
        <v>0</v>
      </c>
    </row>
    <row r="2626" spans="1:6" x14ac:dyDescent="0.25">
      <c r="A2626" s="62">
        <v>44725</v>
      </c>
      <c r="B2626" s="62" t="s">
        <v>2314</v>
      </c>
      <c r="C2626" s="23">
        <v>-5850</v>
      </c>
      <c r="D2626" s="24" t="s">
        <v>49</v>
      </c>
      <c r="E2626" s="24" t="s">
        <v>56</v>
      </c>
      <c r="F2626" s="63" t="s">
        <v>0</v>
      </c>
    </row>
    <row r="2627" spans="1:6" x14ac:dyDescent="0.25">
      <c r="A2627" s="62">
        <v>44725</v>
      </c>
      <c r="B2627" s="62" t="s">
        <v>2315</v>
      </c>
      <c r="C2627" s="23">
        <v>-7900</v>
      </c>
      <c r="D2627" s="24" t="s">
        <v>90</v>
      </c>
      <c r="E2627" s="24" t="s">
        <v>111</v>
      </c>
      <c r="F2627" s="63" t="s">
        <v>0</v>
      </c>
    </row>
    <row r="2628" spans="1:6" x14ac:dyDescent="0.25">
      <c r="A2628" s="62">
        <v>44722</v>
      </c>
      <c r="B2628" s="62" t="s">
        <v>2316</v>
      </c>
      <c r="C2628" s="23">
        <v>-210163</v>
      </c>
      <c r="D2628" s="24" t="s">
        <v>46</v>
      </c>
      <c r="E2628" s="24" t="s">
        <v>10</v>
      </c>
      <c r="F2628" s="63" t="s">
        <v>0</v>
      </c>
    </row>
    <row r="2629" spans="1:6" x14ac:dyDescent="0.25">
      <c r="A2629" s="62">
        <v>44722</v>
      </c>
      <c r="B2629" s="62" t="s">
        <v>2317</v>
      </c>
      <c r="C2629" s="23">
        <v>-51641.79</v>
      </c>
      <c r="D2629" s="24" t="s">
        <v>46</v>
      </c>
      <c r="E2629" s="24" t="s">
        <v>10</v>
      </c>
      <c r="F2629" s="63" t="s">
        <v>0</v>
      </c>
    </row>
    <row r="2630" spans="1:6" x14ac:dyDescent="0.25">
      <c r="A2630" s="62">
        <v>44722</v>
      </c>
      <c r="B2630" s="62" t="s">
        <v>2318</v>
      </c>
      <c r="C2630" s="23">
        <v>-5546</v>
      </c>
      <c r="D2630" s="24" t="s">
        <v>46</v>
      </c>
      <c r="E2630" s="24" t="s">
        <v>80</v>
      </c>
      <c r="F2630" s="63" t="s">
        <v>0</v>
      </c>
    </row>
    <row r="2631" spans="1:6" x14ac:dyDescent="0.25">
      <c r="A2631" s="62">
        <v>44722</v>
      </c>
      <c r="B2631" s="62" t="s">
        <v>2319</v>
      </c>
      <c r="C2631" s="23">
        <v>-28117</v>
      </c>
      <c r="D2631" s="24" t="s">
        <v>72</v>
      </c>
      <c r="E2631" s="24" t="s">
        <v>109</v>
      </c>
      <c r="F2631" s="63" t="s">
        <v>0</v>
      </c>
    </row>
    <row r="2632" spans="1:6" x14ac:dyDescent="0.25">
      <c r="A2632" s="62">
        <v>44722</v>
      </c>
      <c r="B2632" s="62" t="s">
        <v>2320</v>
      </c>
      <c r="C2632" s="23">
        <v>-1985</v>
      </c>
      <c r="D2632" s="24" t="s">
        <v>49</v>
      </c>
      <c r="E2632" s="24" t="s">
        <v>56</v>
      </c>
      <c r="F2632" s="63" t="s">
        <v>0</v>
      </c>
    </row>
    <row r="2633" spans="1:6" x14ac:dyDescent="0.25">
      <c r="A2633" s="62">
        <v>44722</v>
      </c>
      <c r="B2633" s="62" t="s">
        <v>1651</v>
      </c>
      <c r="C2633" s="23">
        <v>739257</v>
      </c>
      <c r="D2633" s="24" t="s">
        <v>58</v>
      </c>
      <c r="E2633" s="24" t="s">
        <v>58</v>
      </c>
      <c r="F2633" s="63" t="s">
        <v>0</v>
      </c>
    </row>
    <row r="2634" spans="1:6" x14ac:dyDescent="0.25">
      <c r="A2634" s="62">
        <v>44722</v>
      </c>
      <c r="B2634" s="62" t="s">
        <v>2321</v>
      </c>
      <c r="C2634" s="23">
        <v>-770</v>
      </c>
      <c r="D2634" s="24" t="s">
        <v>49</v>
      </c>
      <c r="E2634" s="24" t="s">
        <v>56</v>
      </c>
      <c r="F2634" s="63" t="s">
        <v>0</v>
      </c>
    </row>
    <row r="2635" spans="1:6" x14ac:dyDescent="0.25">
      <c r="A2635" s="62">
        <v>44722</v>
      </c>
      <c r="B2635" s="62" t="s">
        <v>2322</v>
      </c>
      <c r="C2635" s="23">
        <v>-996</v>
      </c>
      <c r="D2635" s="24" t="s">
        <v>49</v>
      </c>
      <c r="E2635" s="24" t="s">
        <v>56</v>
      </c>
      <c r="F2635" s="63" t="s">
        <v>0</v>
      </c>
    </row>
    <row r="2636" spans="1:6" x14ac:dyDescent="0.25">
      <c r="A2636" s="62">
        <v>44722</v>
      </c>
      <c r="B2636" s="62" t="s">
        <v>2323</v>
      </c>
      <c r="C2636" s="23">
        <v>-2617</v>
      </c>
      <c r="D2636" s="24" t="s">
        <v>90</v>
      </c>
      <c r="E2636" s="24" t="s">
        <v>59</v>
      </c>
      <c r="F2636" s="63" t="s">
        <v>0</v>
      </c>
    </row>
    <row r="2637" spans="1:6" x14ac:dyDescent="0.25">
      <c r="A2637" s="62">
        <v>44722</v>
      </c>
      <c r="B2637" s="62" t="s">
        <v>2324</v>
      </c>
      <c r="C2637" s="23">
        <v>-4135</v>
      </c>
      <c r="D2637" s="24" t="s">
        <v>52</v>
      </c>
      <c r="E2637" s="24" t="s">
        <v>53</v>
      </c>
      <c r="F2637" s="63" t="s">
        <v>0</v>
      </c>
    </row>
    <row r="2638" spans="1:6" x14ac:dyDescent="0.25">
      <c r="A2638" s="62">
        <v>44722</v>
      </c>
      <c r="B2638" s="62" t="s">
        <v>2316</v>
      </c>
      <c r="C2638" s="23">
        <v>210163</v>
      </c>
      <c r="D2638" s="24" t="s">
        <v>46</v>
      </c>
      <c r="E2638" s="24" t="s">
        <v>10</v>
      </c>
      <c r="F2638" s="63" t="s">
        <v>10</v>
      </c>
    </row>
    <row r="2639" spans="1:6" x14ac:dyDescent="0.25">
      <c r="A2639" s="62">
        <v>44720</v>
      </c>
      <c r="B2639" s="62" t="s">
        <v>2325</v>
      </c>
      <c r="C2639" s="23">
        <v>-10912</v>
      </c>
      <c r="D2639" s="24" t="s">
        <v>46</v>
      </c>
      <c r="E2639" s="24" t="s">
        <v>145</v>
      </c>
      <c r="F2639" s="63" t="s">
        <v>0</v>
      </c>
    </row>
    <row r="2640" spans="1:6" x14ac:dyDescent="0.25">
      <c r="A2640" s="62">
        <v>44719</v>
      </c>
      <c r="B2640" s="62" t="s">
        <v>2326</v>
      </c>
      <c r="C2640" s="23">
        <v>-17011</v>
      </c>
      <c r="D2640" s="24" t="s">
        <v>49</v>
      </c>
      <c r="E2640" s="24" t="s">
        <v>56</v>
      </c>
      <c r="F2640" s="63" t="s">
        <v>0</v>
      </c>
    </row>
    <row r="2641" spans="1:6" x14ac:dyDescent="0.25">
      <c r="A2641" s="62">
        <v>44719</v>
      </c>
      <c r="B2641" s="62" t="s">
        <v>2327</v>
      </c>
      <c r="C2641" s="23">
        <v>-2199</v>
      </c>
      <c r="D2641" s="24" t="s">
        <v>49</v>
      </c>
      <c r="E2641" s="24" t="s">
        <v>56</v>
      </c>
      <c r="F2641" s="63" t="s">
        <v>0</v>
      </c>
    </row>
    <row r="2642" spans="1:6" x14ac:dyDescent="0.25">
      <c r="A2642" s="62">
        <v>44719</v>
      </c>
      <c r="B2642" s="62" t="s">
        <v>2328</v>
      </c>
      <c r="C2642" s="23">
        <v>-318</v>
      </c>
      <c r="D2642" s="24" t="s">
        <v>49</v>
      </c>
      <c r="E2642" s="24" t="s">
        <v>56</v>
      </c>
      <c r="F2642" s="63" t="s">
        <v>0</v>
      </c>
    </row>
    <row r="2643" spans="1:6" x14ac:dyDescent="0.25">
      <c r="A2643" s="62">
        <v>44719</v>
      </c>
      <c r="B2643" s="62" t="s">
        <v>2329</v>
      </c>
      <c r="C2643" s="23">
        <v>-1265</v>
      </c>
      <c r="D2643" s="24" t="s">
        <v>49</v>
      </c>
      <c r="E2643" s="24" t="s">
        <v>56</v>
      </c>
      <c r="F2643" s="63" t="s">
        <v>0</v>
      </c>
    </row>
    <row r="2644" spans="1:6" x14ac:dyDescent="0.25">
      <c r="A2644" s="62">
        <v>44719</v>
      </c>
      <c r="B2644" s="62" t="s">
        <v>2330</v>
      </c>
      <c r="C2644" s="23">
        <v>-19422</v>
      </c>
      <c r="D2644" s="24" t="s">
        <v>72</v>
      </c>
      <c r="E2644" s="24" t="s">
        <v>109</v>
      </c>
      <c r="F2644" s="63" t="s">
        <v>0</v>
      </c>
    </row>
    <row r="2645" spans="1:6" x14ac:dyDescent="0.25">
      <c r="A2645" s="62">
        <v>44719</v>
      </c>
      <c r="B2645" s="62" t="s">
        <v>2331</v>
      </c>
      <c r="C2645" s="23">
        <v>-7710</v>
      </c>
      <c r="D2645" s="24" t="s">
        <v>49</v>
      </c>
      <c r="E2645" s="24" t="s">
        <v>56</v>
      </c>
      <c r="F2645" s="63" t="s">
        <v>0</v>
      </c>
    </row>
    <row r="2646" spans="1:6" x14ac:dyDescent="0.25">
      <c r="A2646" s="62">
        <v>44719</v>
      </c>
      <c r="B2646" s="62" t="s">
        <v>2332</v>
      </c>
      <c r="C2646" s="23">
        <v>-1480</v>
      </c>
      <c r="D2646" s="24" t="s">
        <v>52</v>
      </c>
      <c r="E2646" s="24" t="s">
        <v>53</v>
      </c>
      <c r="F2646" s="63" t="s">
        <v>0</v>
      </c>
    </row>
    <row r="2647" spans="1:6" x14ac:dyDescent="0.25">
      <c r="A2647" s="62">
        <v>44719</v>
      </c>
      <c r="B2647" s="62" t="s">
        <v>2333</v>
      </c>
      <c r="C2647" s="23">
        <v>-22990</v>
      </c>
      <c r="D2647" s="24" t="s">
        <v>49</v>
      </c>
      <c r="E2647" s="24" t="s">
        <v>232</v>
      </c>
      <c r="F2647" s="63" t="s">
        <v>0</v>
      </c>
    </row>
    <row r="2648" spans="1:6" x14ac:dyDescent="0.25">
      <c r="A2648" s="62">
        <v>44719</v>
      </c>
      <c r="B2648" s="62" t="s">
        <v>2334</v>
      </c>
      <c r="C2648" s="23">
        <v>-3544</v>
      </c>
      <c r="D2648" s="24" t="s">
        <v>46</v>
      </c>
      <c r="E2648" s="24" t="s">
        <v>61</v>
      </c>
      <c r="F2648" s="63" t="s">
        <v>0</v>
      </c>
    </row>
    <row r="2649" spans="1:6" x14ac:dyDescent="0.25">
      <c r="A2649" s="62">
        <v>44719</v>
      </c>
      <c r="B2649" s="62" t="s">
        <v>2158</v>
      </c>
      <c r="C2649" s="23">
        <v>-5725</v>
      </c>
      <c r="D2649" s="24" t="s">
        <v>72</v>
      </c>
      <c r="E2649" s="24" t="s">
        <v>197</v>
      </c>
      <c r="F2649" s="63" t="s">
        <v>0</v>
      </c>
    </row>
    <row r="2650" spans="1:6" x14ac:dyDescent="0.25">
      <c r="A2650" s="62">
        <v>44719</v>
      </c>
      <c r="B2650" s="62" t="s">
        <v>1281</v>
      </c>
      <c r="C2650" s="23">
        <v>-350</v>
      </c>
      <c r="D2650" s="24" t="s">
        <v>72</v>
      </c>
      <c r="E2650" s="24" t="s">
        <v>197</v>
      </c>
      <c r="F2650" s="63" t="s">
        <v>0</v>
      </c>
    </row>
    <row r="2651" spans="1:6" x14ac:dyDescent="0.25">
      <c r="A2651" s="62">
        <v>44719</v>
      </c>
      <c r="B2651" s="62" t="s">
        <v>2335</v>
      </c>
      <c r="C2651" s="23">
        <v>-594</v>
      </c>
      <c r="D2651" s="24" t="s">
        <v>49</v>
      </c>
      <c r="E2651" s="24" t="s">
        <v>56</v>
      </c>
      <c r="F2651" s="63" t="s">
        <v>0</v>
      </c>
    </row>
    <row r="2652" spans="1:6" x14ac:dyDescent="0.25">
      <c r="A2652" s="62">
        <v>44719</v>
      </c>
      <c r="B2652" s="62" t="s">
        <v>2336</v>
      </c>
      <c r="C2652" s="23">
        <v>-419</v>
      </c>
      <c r="D2652" s="24" t="s">
        <v>72</v>
      </c>
      <c r="E2652" s="24" t="s">
        <v>197</v>
      </c>
      <c r="F2652" s="63" t="s">
        <v>0</v>
      </c>
    </row>
    <row r="2653" spans="1:6" x14ac:dyDescent="0.25">
      <c r="A2653" s="62">
        <v>44719</v>
      </c>
      <c r="B2653" s="62" t="s">
        <v>1745</v>
      </c>
      <c r="C2653" s="23">
        <v>-224</v>
      </c>
      <c r="D2653" s="24" t="s">
        <v>72</v>
      </c>
      <c r="E2653" s="24" t="s">
        <v>197</v>
      </c>
      <c r="F2653" s="63" t="s">
        <v>0</v>
      </c>
    </row>
    <row r="2654" spans="1:6" x14ac:dyDescent="0.25">
      <c r="A2654" s="62">
        <v>44719</v>
      </c>
      <c r="B2654" s="62" t="s">
        <v>1745</v>
      </c>
      <c r="C2654" s="23">
        <v>-224</v>
      </c>
      <c r="D2654" s="24" t="s">
        <v>72</v>
      </c>
      <c r="E2654" s="24" t="s">
        <v>197</v>
      </c>
      <c r="F2654" s="63" t="s">
        <v>0</v>
      </c>
    </row>
    <row r="2655" spans="1:6" x14ac:dyDescent="0.25">
      <c r="A2655" s="62">
        <v>44719</v>
      </c>
      <c r="B2655" s="62" t="s">
        <v>1280</v>
      </c>
      <c r="C2655" s="23">
        <v>-504</v>
      </c>
      <c r="D2655" s="24" t="s">
        <v>72</v>
      </c>
      <c r="E2655" s="24" t="s">
        <v>197</v>
      </c>
      <c r="F2655" s="63" t="s">
        <v>0</v>
      </c>
    </row>
    <row r="2656" spans="1:6" x14ac:dyDescent="0.25">
      <c r="A2656" s="62">
        <v>44719</v>
      </c>
      <c r="B2656" s="62" t="s">
        <v>1280</v>
      </c>
      <c r="C2656" s="23">
        <v>-504</v>
      </c>
      <c r="D2656" s="24" t="s">
        <v>72</v>
      </c>
      <c r="E2656" s="24" t="s">
        <v>197</v>
      </c>
      <c r="F2656" s="63" t="s">
        <v>0</v>
      </c>
    </row>
    <row r="2657" spans="1:6" x14ac:dyDescent="0.25">
      <c r="A2657" s="62">
        <v>44719</v>
      </c>
      <c r="B2657" s="62" t="s">
        <v>2337</v>
      </c>
      <c r="C2657" s="23">
        <v>-869</v>
      </c>
      <c r="D2657" s="24" t="s">
        <v>52</v>
      </c>
      <c r="E2657" s="24" t="s">
        <v>134</v>
      </c>
      <c r="F2657" s="63" t="s">
        <v>0</v>
      </c>
    </row>
    <row r="2658" spans="1:6" x14ac:dyDescent="0.25">
      <c r="A2658" s="62">
        <v>44719</v>
      </c>
      <c r="B2658" s="62" t="s">
        <v>2338</v>
      </c>
      <c r="C2658" s="23">
        <v>-6044</v>
      </c>
      <c r="D2658" s="24" t="s">
        <v>49</v>
      </c>
      <c r="E2658" s="24" t="s">
        <v>1165</v>
      </c>
      <c r="F2658" s="63" t="s">
        <v>0</v>
      </c>
    </row>
    <row r="2659" spans="1:6" x14ac:dyDescent="0.25">
      <c r="A2659" s="62">
        <v>44719</v>
      </c>
      <c r="B2659" s="62" t="s">
        <v>2339</v>
      </c>
      <c r="C2659" s="23">
        <v>-5525</v>
      </c>
      <c r="D2659" s="24" t="s">
        <v>49</v>
      </c>
      <c r="E2659" s="24" t="s">
        <v>56</v>
      </c>
      <c r="F2659" s="63" t="s">
        <v>0</v>
      </c>
    </row>
    <row r="2660" spans="1:6" x14ac:dyDescent="0.25">
      <c r="A2660" s="62">
        <v>44719</v>
      </c>
      <c r="B2660" s="62" t="s">
        <v>2340</v>
      </c>
      <c r="C2660" s="23">
        <v>-30850</v>
      </c>
      <c r="D2660" s="24" t="s">
        <v>49</v>
      </c>
      <c r="E2660" s="24" t="s">
        <v>213</v>
      </c>
      <c r="F2660" s="63" t="s">
        <v>0</v>
      </c>
    </row>
    <row r="2661" spans="1:6" x14ac:dyDescent="0.25">
      <c r="A2661" s="62">
        <v>44716</v>
      </c>
      <c r="B2661" s="62" t="s">
        <v>171</v>
      </c>
      <c r="C2661" s="23">
        <v>1672</v>
      </c>
      <c r="D2661" s="24" t="s">
        <v>167</v>
      </c>
      <c r="E2661" s="24" t="s">
        <v>168</v>
      </c>
      <c r="F2661" s="63" t="s">
        <v>0</v>
      </c>
    </row>
    <row r="2662" spans="1:6" x14ac:dyDescent="0.25">
      <c r="A2662" s="62">
        <v>44715</v>
      </c>
      <c r="B2662" s="62" t="s">
        <v>2286</v>
      </c>
      <c r="C2662" s="23">
        <v>-2180</v>
      </c>
      <c r="D2662" s="24" t="s">
        <v>52</v>
      </c>
      <c r="E2662" s="24" t="s">
        <v>53</v>
      </c>
      <c r="F2662" s="63" t="s">
        <v>0</v>
      </c>
    </row>
    <row r="2663" spans="1:6" x14ac:dyDescent="0.25">
      <c r="A2663" s="62">
        <v>44715</v>
      </c>
      <c r="B2663" s="62" t="s">
        <v>2341</v>
      </c>
      <c r="C2663" s="23">
        <v>-23879</v>
      </c>
      <c r="D2663" s="24" t="s">
        <v>72</v>
      </c>
      <c r="E2663" s="24" t="s">
        <v>728</v>
      </c>
      <c r="F2663" s="63" t="s">
        <v>0</v>
      </c>
    </row>
    <row r="2664" spans="1:6" x14ac:dyDescent="0.25">
      <c r="A2664" s="62">
        <v>44715</v>
      </c>
      <c r="B2664" s="62" t="s">
        <v>2342</v>
      </c>
      <c r="C2664" s="23">
        <v>-5000</v>
      </c>
      <c r="D2664" s="24" t="s">
        <v>90</v>
      </c>
      <c r="E2664" s="24" t="s">
        <v>91</v>
      </c>
      <c r="F2664" s="63" t="s">
        <v>0</v>
      </c>
    </row>
    <row r="2665" spans="1:6" x14ac:dyDescent="0.25">
      <c r="A2665" s="62">
        <v>44714</v>
      </c>
      <c r="B2665" s="62" t="s">
        <v>2343</v>
      </c>
      <c r="C2665" s="23">
        <v>-950</v>
      </c>
      <c r="D2665" s="24" t="s">
        <v>52</v>
      </c>
      <c r="E2665" s="24" t="s">
        <v>53</v>
      </c>
      <c r="F2665" s="63" t="s">
        <v>0</v>
      </c>
    </row>
    <row r="2666" spans="1:6" x14ac:dyDescent="0.25">
      <c r="A2666" s="62">
        <v>44714</v>
      </c>
      <c r="B2666" s="62" t="s">
        <v>2344</v>
      </c>
      <c r="C2666" s="23">
        <v>-1750</v>
      </c>
      <c r="D2666" s="24" t="s">
        <v>52</v>
      </c>
      <c r="E2666" s="24" t="s">
        <v>53</v>
      </c>
      <c r="F2666" s="63" t="s">
        <v>0</v>
      </c>
    </row>
    <row r="2667" spans="1:6" x14ac:dyDescent="0.25">
      <c r="A2667" s="62">
        <v>44714</v>
      </c>
      <c r="B2667" s="62" t="s">
        <v>2345</v>
      </c>
      <c r="C2667" s="23">
        <v>-565</v>
      </c>
      <c r="D2667" s="24" t="s">
        <v>52</v>
      </c>
      <c r="E2667" s="24" t="s">
        <v>53</v>
      </c>
      <c r="F2667" s="63" t="s">
        <v>0</v>
      </c>
    </row>
    <row r="2668" spans="1:6" x14ac:dyDescent="0.25">
      <c r="A2668" s="62">
        <v>44714</v>
      </c>
      <c r="B2668" s="62" t="s">
        <v>172</v>
      </c>
      <c r="C2668" s="23">
        <v>300834</v>
      </c>
      <c r="D2668" s="24" t="s">
        <v>58</v>
      </c>
      <c r="E2668" s="24" t="s">
        <v>58</v>
      </c>
      <c r="F2668" s="63" t="s">
        <v>0</v>
      </c>
    </row>
    <row r="2669" spans="1:6" x14ac:dyDescent="0.25">
      <c r="A2669" s="62">
        <v>44714</v>
      </c>
      <c r="B2669" s="62" t="s">
        <v>2346</v>
      </c>
      <c r="C2669" s="23">
        <v>-289</v>
      </c>
      <c r="D2669" s="24" t="s">
        <v>49</v>
      </c>
      <c r="E2669" s="24" t="s">
        <v>56</v>
      </c>
      <c r="F2669" s="63" t="s">
        <v>0</v>
      </c>
    </row>
    <row r="2670" spans="1:6" x14ac:dyDescent="0.25">
      <c r="A2670" s="62">
        <v>44714</v>
      </c>
      <c r="B2670" s="62" t="s">
        <v>2347</v>
      </c>
      <c r="C2670" s="23">
        <v>-293</v>
      </c>
      <c r="D2670" s="24" t="s">
        <v>72</v>
      </c>
      <c r="E2670" s="24" t="s">
        <v>197</v>
      </c>
      <c r="F2670" s="63" t="s">
        <v>0</v>
      </c>
    </row>
    <row r="2671" spans="1:6" x14ac:dyDescent="0.25">
      <c r="A2671" s="62">
        <v>44714</v>
      </c>
      <c r="B2671" s="62" t="s">
        <v>2347</v>
      </c>
      <c r="C2671" s="23">
        <v>-293</v>
      </c>
      <c r="D2671" s="24" t="s">
        <v>72</v>
      </c>
      <c r="E2671" s="24" t="s">
        <v>197</v>
      </c>
      <c r="F2671" s="63" t="s">
        <v>0</v>
      </c>
    </row>
    <row r="2672" spans="1:6" x14ac:dyDescent="0.25">
      <c r="A2672" s="62">
        <v>44714</v>
      </c>
      <c r="B2672" s="62" t="s">
        <v>2348</v>
      </c>
      <c r="C2672" s="23">
        <v>-475</v>
      </c>
      <c r="D2672" s="24" t="s">
        <v>52</v>
      </c>
      <c r="E2672" s="24" t="s">
        <v>53</v>
      </c>
      <c r="F2672" s="63" t="s">
        <v>0</v>
      </c>
    </row>
    <row r="2673" spans="1:6" x14ac:dyDescent="0.25">
      <c r="A2673" s="62">
        <v>44714</v>
      </c>
      <c r="B2673" s="62" t="s">
        <v>2349</v>
      </c>
      <c r="C2673" s="23">
        <v>-1289</v>
      </c>
      <c r="D2673" s="24" t="s">
        <v>49</v>
      </c>
      <c r="E2673" s="24" t="s">
        <v>56</v>
      </c>
      <c r="F2673" s="63" t="s">
        <v>0</v>
      </c>
    </row>
    <row r="2674" spans="1:6" x14ac:dyDescent="0.25">
      <c r="A2674" s="62">
        <v>44714</v>
      </c>
      <c r="B2674" s="62" t="s">
        <v>166</v>
      </c>
      <c r="C2674" s="23">
        <v>-7156</v>
      </c>
      <c r="D2674" s="24" t="s">
        <v>167</v>
      </c>
      <c r="E2674" s="24" t="s">
        <v>168</v>
      </c>
      <c r="F2674" s="63" t="s">
        <v>0</v>
      </c>
    </row>
    <row r="2675" spans="1:6" x14ac:dyDescent="0.25">
      <c r="A2675" s="62">
        <v>44714</v>
      </c>
      <c r="B2675" s="62" t="s">
        <v>2350</v>
      </c>
      <c r="C2675" s="23">
        <v>-17442</v>
      </c>
      <c r="D2675" s="24" t="s">
        <v>90</v>
      </c>
      <c r="E2675" s="24" t="s">
        <v>59</v>
      </c>
      <c r="F2675" s="63" t="s">
        <v>0</v>
      </c>
    </row>
    <row r="2676" spans="1:6" x14ac:dyDescent="0.25">
      <c r="A2676" s="62">
        <v>44713</v>
      </c>
      <c r="B2676" s="62" t="s">
        <v>1280</v>
      </c>
      <c r="C2676" s="23">
        <v>-504</v>
      </c>
      <c r="D2676" s="24" t="s">
        <v>72</v>
      </c>
      <c r="E2676" s="24" t="s">
        <v>197</v>
      </c>
      <c r="F2676" s="63" t="s">
        <v>0</v>
      </c>
    </row>
    <row r="2677" spans="1:6" x14ac:dyDescent="0.25">
      <c r="A2677" s="62">
        <v>44713</v>
      </c>
      <c r="B2677" s="62" t="s">
        <v>1280</v>
      </c>
      <c r="C2677" s="23">
        <v>-504</v>
      </c>
      <c r="D2677" s="24" t="s">
        <v>72</v>
      </c>
      <c r="E2677" s="24" t="s">
        <v>197</v>
      </c>
      <c r="F2677" s="63" t="s">
        <v>0</v>
      </c>
    </row>
    <row r="2678" spans="1:6" x14ac:dyDescent="0.25">
      <c r="A2678" s="62">
        <v>44713</v>
      </c>
      <c r="B2678" s="62" t="s">
        <v>2351</v>
      </c>
      <c r="C2678" s="23">
        <v>-5310</v>
      </c>
      <c r="D2678" s="24" t="s">
        <v>52</v>
      </c>
      <c r="E2678" s="24" t="s">
        <v>53</v>
      </c>
      <c r="F2678" s="63" t="s">
        <v>0</v>
      </c>
    </row>
    <row r="2679" spans="1:6" x14ac:dyDescent="0.25">
      <c r="A2679" s="62">
        <v>44713</v>
      </c>
      <c r="B2679" s="62" t="s">
        <v>2352</v>
      </c>
      <c r="C2679" s="23">
        <v>-3960</v>
      </c>
      <c r="D2679" s="24" t="s">
        <v>52</v>
      </c>
      <c r="E2679" s="24" t="s">
        <v>53</v>
      </c>
      <c r="F2679" s="63" t="s">
        <v>0</v>
      </c>
    </row>
    <row r="2680" spans="1:6" x14ac:dyDescent="0.25">
      <c r="A2680" s="62">
        <v>44713</v>
      </c>
      <c r="B2680" s="62" t="s">
        <v>2353</v>
      </c>
      <c r="C2680" s="23">
        <v>-799</v>
      </c>
      <c r="D2680" s="24" t="s">
        <v>49</v>
      </c>
      <c r="E2680" s="24" t="s">
        <v>56</v>
      </c>
      <c r="F2680" s="63" t="s">
        <v>0</v>
      </c>
    </row>
    <row r="2681" spans="1:6" x14ac:dyDescent="0.25">
      <c r="A2681" s="62">
        <v>44713</v>
      </c>
      <c r="B2681" s="62" t="s">
        <v>2354</v>
      </c>
      <c r="C2681" s="23">
        <v>-437000</v>
      </c>
      <c r="D2681" s="24" t="s">
        <v>72</v>
      </c>
      <c r="E2681" s="24" t="s">
        <v>445</v>
      </c>
      <c r="F2681" s="63" t="s">
        <v>7</v>
      </c>
    </row>
    <row r="2682" spans="1:6" x14ac:dyDescent="0.25">
      <c r="A2682" s="62">
        <v>44712</v>
      </c>
      <c r="B2682" s="62" t="s">
        <v>43</v>
      </c>
      <c r="C2682" s="23">
        <v>-1941</v>
      </c>
      <c r="D2682" s="24" t="s">
        <v>167</v>
      </c>
      <c r="E2682" s="24" t="s">
        <v>168</v>
      </c>
      <c r="F2682" s="63" t="s">
        <v>0</v>
      </c>
    </row>
    <row r="2683" spans="1:6" x14ac:dyDescent="0.25">
      <c r="A2683" s="62">
        <v>44712</v>
      </c>
      <c r="B2683" s="62" t="s">
        <v>2355</v>
      </c>
      <c r="C2683" s="23">
        <v>-540</v>
      </c>
      <c r="D2683" s="24" t="s">
        <v>46</v>
      </c>
      <c r="E2683" s="24" t="s">
        <v>61</v>
      </c>
      <c r="F2683" s="63" t="s">
        <v>0</v>
      </c>
    </row>
    <row r="2684" spans="1:6" x14ac:dyDescent="0.25">
      <c r="A2684" s="62">
        <v>44711</v>
      </c>
      <c r="B2684" s="62" t="s">
        <v>2356</v>
      </c>
      <c r="C2684" s="23">
        <v>-252</v>
      </c>
      <c r="D2684" s="24" t="s">
        <v>72</v>
      </c>
      <c r="E2684" s="24" t="s">
        <v>197</v>
      </c>
      <c r="F2684" s="63" t="s">
        <v>0</v>
      </c>
    </row>
    <row r="2685" spans="1:6" x14ac:dyDescent="0.25">
      <c r="A2685" s="62">
        <v>44711</v>
      </c>
      <c r="B2685" s="62" t="s">
        <v>2356</v>
      </c>
      <c r="C2685" s="23">
        <v>-252</v>
      </c>
      <c r="D2685" s="24" t="s">
        <v>72</v>
      </c>
      <c r="E2685" s="24" t="s">
        <v>197</v>
      </c>
      <c r="F2685" s="63" t="s">
        <v>0</v>
      </c>
    </row>
    <row r="2686" spans="1:6" x14ac:dyDescent="0.25">
      <c r="A2686" s="62">
        <v>44711</v>
      </c>
      <c r="B2686" s="62" t="s">
        <v>2357</v>
      </c>
      <c r="C2686" s="23">
        <v>-758</v>
      </c>
      <c r="D2686" s="24" t="s">
        <v>49</v>
      </c>
      <c r="E2686" s="24" t="s">
        <v>56</v>
      </c>
      <c r="F2686" s="63" t="s">
        <v>0</v>
      </c>
    </row>
    <row r="2687" spans="1:6" x14ac:dyDescent="0.25">
      <c r="A2687" s="62">
        <v>44711</v>
      </c>
      <c r="B2687" s="62" t="s">
        <v>2358</v>
      </c>
      <c r="C2687" s="23">
        <v>-1350</v>
      </c>
      <c r="D2687" s="24" t="s">
        <v>52</v>
      </c>
      <c r="E2687" s="24" t="s">
        <v>134</v>
      </c>
      <c r="F2687" s="63" t="s">
        <v>0</v>
      </c>
    </row>
    <row r="2688" spans="1:6" x14ac:dyDescent="0.25">
      <c r="A2688" s="62">
        <v>44711</v>
      </c>
      <c r="B2688" s="62" t="s">
        <v>2359</v>
      </c>
      <c r="C2688" s="23">
        <v>-4995</v>
      </c>
      <c r="D2688" s="24" t="s">
        <v>49</v>
      </c>
      <c r="E2688" s="24" t="s">
        <v>213</v>
      </c>
      <c r="F2688" s="63" t="s">
        <v>0</v>
      </c>
    </row>
    <row r="2689" spans="1:6" x14ac:dyDescent="0.25">
      <c r="A2689" s="62">
        <v>44711</v>
      </c>
      <c r="B2689" s="62" t="s">
        <v>2360</v>
      </c>
      <c r="C2689" s="23">
        <v>-6600</v>
      </c>
      <c r="D2689" s="24" t="s">
        <v>52</v>
      </c>
      <c r="E2689" s="24" t="s">
        <v>53</v>
      </c>
      <c r="F2689" s="63" t="s">
        <v>0</v>
      </c>
    </row>
    <row r="2690" spans="1:6" x14ac:dyDescent="0.25">
      <c r="A2690" s="62">
        <v>44711</v>
      </c>
      <c r="B2690" s="62" t="s">
        <v>2361</v>
      </c>
      <c r="C2690" s="23">
        <v>-9995</v>
      </c>
      <c r="D2690" s="24" t="s">
        <v>49</v>
      </c>
      <c r="E2690" s="24" t="s">
        <v>213</v>
      </c>
      <c r="F2690" s="63" t="s">
        <v>0</v>
      </c>
    </row>
    <row r="2691" spans="1:6" x14ac:dyDescent="0.25">
      <c r="A2691" s="62">
        <v>44711</v>
      </c>
      <c r="B2691" s="62" t="s">
        <v>2362</v>
      </c>
      <c r="C2691" s="23">
        <v>-13070</v>
      </c>
      <c r="D2691" s="24" t="s">
        <v>49</v>
      </c>
      <c r="E2691" s="24" t="s">
        <v>213</v>
      </c>
      <c r="F2691" s="63" t="s">
        <v>0</v>
      </c>
    </row>
    <row r="2692" spans="1:6" x14ac:dyDescent="0.25">
      <c r="A2692" s="62">
        <v>44711</v>
      </c>
      <c r="B2692" s="62" t="s">
        <v>2363</v>
      </c>
      <c r="C2692" s="23">
        <v>-25480</v>
      </c>
      <c r="D2692" s="24" t="s">
        <v>49</v>
      </c>
      <c r="E2692" s="24" t="s">
        <v>213</v>
      </c>
      <c r="F2692" s="63" t="s">
        <v>0</v>
      </c>
    </row>
    <row r="2693" spans="1:6" x14ac:dyDescent="0.25">
      <c r="A2693" s="62">
        <v>44711</v>
      </c>
      <c r="B2693" s="62" t="s">
        <v>2364</v>
      </c>
      <c r="C2693" s="23">
        <v>-28827</v>
      </c>
      <c r="D2693" s="24" t="s">
        <v>49</v>
      </c>
      <c r="E2693" s="24" t="s">
        <v>213</v>
      </c>
      <c r="F2693" s="63" t="s">
        <v>0</v>
      </c>
    </row>
    <row r="2694" spans="1:6" x14ac:dyDescent="0.25">
      <c r="A2694" s="62">
        <v>44711</v>
      </c>
      <c r="B2694" s="62" t="s">
        <v>2365</v>
      </c>
      <c r="C2694" s="23">
        <v>-469</v>
      </c>
      <c r="D2694" s="24" t="s">
        <v>49</v>
      </c>
      <c r="E2694" s="24" t="s">
        <v>56</v>
      </c>
      <c r="F2694" s="63" t="s">
        <v>0</v>
      </c>
    </row>
    <row r="2695" spans="1:6" x14ac:dyDescent="0.25">
      <c r="A2695" s="62">
        <v>44711</v>
      </c>
      <c r="B2695" s="62" t="s">
        <v>2366</v>
      </c>
      <c r="C2695" s="23">
        <v>-1378</v>
      </c>
      <c r="D2695" s="24" t="s">
        <v>49</v>
      </c>
      <c r="E2695" s="24" t="s">
        <v>56</v>
      </c>
      <c r="F2695" s="63" t="s">
        <v>0</v>
      </c>
    </row>
    <row r="2696" spans="1:6" x14ac:dyDescent="0.25">
      <c r="A2696" s="62">
        <v>44711</v>
      </c>
      <c r="B2696" s="62" t="s">
        <v>2367</v>
      </c>
      <c r="C2696" s="23">
        <v>-14160</v>
      </c>
      <c r="D2696" s="24" t="s">
        <v>72</v>
      </c>
      <c r="E2696" s="24" t="s">
        <v>109</v>
      </c>
      <c r="F2696" s="63" t="s">
        <v>0</v>
      </c>
    </row>
    <row r="2697" spans="1:6" x14ac:dyDescent="0.25">
      <c r="A2697" s="62">
        <v>44711</v>
      </c>
      <c r="B2697" s="62" t="s">
        <v>2368</v>
      </c>
      <c r="C2697" s="23">
        <v>-3875</v>
      </c>
      <c r="D2697" s="24" t="s">
        <v>52</v>
      </c>
      <c r="E2697" s="24" t="s">
        <v>53</v>
      </c>
      <c r="F2697" s="63" t="s">
        <v>0</v>
      </c>
    </row>
    <row r="2698" spans="1:6" x14ac:dyDescent="0.25">
      <c r="A2698" s="62">
        <v>44711</v>
      </c>
      <c r="B2698" s="62" t="s">
        <v>2369</v>
      </c>
      <c r="C2698" s="23">
        <v>-2977</v>
      </c>
      <c r="D2698" s="24" t="s">
        <v>49</v>
      </c>
      <c r="E2698" s="24" t="s">
        <v>56</v>
      </c>
      <c r="F2698" s="63" t="s">
        <v>0</v>
      </c>
    </row>
    <row r="2699" spans="1:6" x14ac:dyDescent="0.25">
      <c r="A2699" s="62">
        <v>44711</v>
      </c>
      <c r="B2699" s="62" t="s">
        <v>2370</v>
      </c>
      <c r="C2699" s="23">
        <v>-352</v>
      </c>
      <c r="D2699" s="24" t="s">
        <v>49</v>
      </c>
      <c r="E2699" s="24" t="s">
        <v>56</v>
      </c>
      <c r="F2699" s="63" t="s">
        <v>0</v>
      </c>
    </row>
    <row r="2700" spans="1:6" x14ac:dyDescent="0.25">
      <c r="A2700" s="62">
        <v>44711</v>
      </c>
      <c r="B2700" s="62" t="s">
        <v>2371</v>
      </c>
      <c r="C2700" s="23">
        <v>-3840</v>
      </c>
      <c r="D2700" s="24" t="s">
        <v>52</v>
      </c>
      <c r="E2700" s="24" t="s">
        <v>53</v>
      </c>
      <c r="F2700" s="63" t="s">
        <v>0</v>
      </c>
    </row>
    <row r="2701" spans="1:6" x14ac:dyDescent="0.25">
      <c r="A2701" s="62">
        <v>44711</v>
      </c>
      <c r="B2701" s="62" t="s">
        <v>2372</v>
      </c>
      <c r="C2701" s="23">
        <v>-3490</v>
      </c>
      <c r="D2701" s="24" t="s">
        <v>46</v>
      </c>
      <c r="E2701" s="24" t="s">
        <v>63</v>
      </c>
      <c r="F2701" s="63" t="s">
        <v>0</v>
      </c>
    </row>
    <row r="2702" spans="1:6" x14ac:dyDescent="0.25">
      <c r="A2702" s="62">
        <v>44711</v>
      </c>
      <c r="B2702" s="62" t="s">
        <v>2373</v>
      </c>
      <c r="C2702" s="23">
        <v>-216000</v>
      </c>
      <c r="D2702" s="24" t="s">
        <v>206</v>
      </c>
      <c r="E2702" s="24" t="s">
        <v>206</v>
      </c>
      <c r="F2702" s="63" t="s">
        <v>0</v>
      </c>
    </row>
    <row r="2703" spans="1:6" x14ac:dyDescent="0.25">
      <c r="A2703" s="62">
        <v>44708</v>
      </c>
      <c r="B2703" s="62" t="s">
        <v>1635</v>
      </c>
      <c r="C2703" s="23">
        <v>-1999</v>
      </c>
      <c r="D2703" s="24" t="s">
        <v>49</v>
      </c>
      <c r="E2703" s="24" t="s">
        <v>56</v>
      </c>
      <c r="F2703" s="63" t="s">
        <v>0</v>
      </c>
    </row>
    <row r="2704" spans="1:6" x14ac:dyDescent="0.25">
      <c r="A2704" s="62">
        <v>44708</v>
      </c>
      <c r="B2704" s="62" t="s">
        <v>2374</v>
      </c>
      <c r="C2704" s="23">
        <v>-2150</v>
      </c>
      <c r="D2704" s="24" t="s">
        <v>52</v>
      </c>
      <c r="E2704" s="24" t="s">
        <v>53</v>
      </c>
      <c r="F2704" s="63" t="s">
        <v>0</v>
      </c>
    </row>
    <row r="2705" spans="1:6" x14ac:dyDescent="0.25">
      <c r="A2705" s="62">
        <v>44708</v>
      </c>
      <c r="B2705" s="62" t="s">
        <v>2375</v>
      </c>
      <c r="C2705" s="23">
        <v>-318</v>
      </c>
      <c r="D2705" s="24" t="s">
        <v>49</v>
      </c>
      <c r="E2705" s="24" t="s">
        <v>56</v>
      </c>
      <c r="F2705" s="63" t="s">
        <v>0</v>
      </c>
    </row>
    <row r="2706" spans="1:6" x14ac:dyDescent="0.25">
      <c r="A2706" s="62">
        <v>44707</v>
      </c>
      <c r="B2706" s="62" t="s">
        <v>2376</v>
      </c>
      <c r="C2706" s="23">
        <v>9190</v>
      </c>
      <c r="D2706" s="24" t="s">
        <v>49</v>
      </c>
      <c r="E2706" s="24" t="s">
        <v>213</v>
      </c>
      <c r="F2706" s="63" t="s">
        <v>0</v>
      </c>
    </row>
    <row r="2707" spans="1:6" x14ac:dyDescent="0.25">
      <c r="A2707" s="62">
        <v>44707</v>
      </c>
      <c r="B2707" s="62" t="s">
        <v>2377</v>
      </c>
      <c r="C2707" s="23">
        <v>-446</v>
      </c>
      <c r="D2707" s="24" t="s">
        <v>52</v>
      </c>
      <c r="E2707" s="24" t="s">
        <v>53</v>
      </c>
      <c r="F2707" s="63" t="s">
        <v>0</v>
      </c>
    </row>
    <row r="2708" spans="1:6" x14ac:dyDescent="0.25">
      <c r="A2708" s="62">
        <v>44707</v>
      </c>
      <c r="B2708" s="62" t="s">
        <v>2378</v>
      </c>
      <c r="C2708" s="23">
        <v>-586</v>
      </c>
      <c r="D2708" s="24" t="s">
        <v>72</v>
      </c>
      <c r="E2708" s="24" t="s">
        <v>197</v>
      </c>
      <c r="F2708" s="63" t="s">
        <v>0</v>
      </c>
    </row>
    <row r="2709" spans="1:6" x14ac:dyDescent="0.25">
      <c r="A2709" s="62">
        <v>44707</v>
      </c>
      <c r="B2709" s="62" t="s">
        <v>2379</v>
      </c>
      <c r="C2709" s="23">
        <v>-8820</v>
      </c>
      <c r="D2709" s="24" t="s">
        <v>52</v>
      </c>
      <c r="E2709" s="24" t="s">
        <v>53</v>
      </c>
      <c r="F2709" s="63" t="s">
        <v>0</v>
      </c>
    </row>
    <row r="2710" spans="1:6" x14ac:dyDescent="0.25">
      <c r="A2710" s="62">
        <v>44707</v>
      </c>
      <c r="B2710" s="62" t="s">
        <v>2380</v>
      </c>
      <c r="C2710" s="23">
        <v>-860</v>
      </c>
      <c r="D2710" s="24" t="s">
        <v>52</v>
      </c>
      <c r="E2710" s="24" t="s">
        <v>53</v>
      </c>
      <c r="F2710" s="63" t="s">
        <v>0</v>
      </c>
    </row>
    <row r="2711" spans="1:6" x14ac:dyDescent="0.25">
      <c r="A2711" s="62">
        <v>44707</v>
      </c>
      <c r="B2711" s="62" t="s">
        <v>2381</v>
      </c>
      <c r="C2711" s="23">
        <v>-4590</v>
      </c>
      <c r="D2711" s="24" t="s">
        <v>72</v>
      </c>
      <c r="E2711" s="24" t="s">
        <v>126</v>
      </c>
      <c r="F2711" s="63" t="s">
        <v>0</v>
      </c>
    </row>
    <row r="2712" spans="1:6" x14ac:dyDescent="0.25">
      <c r="A2712" s="62">
        <v>44706</v>
      </c>
      <c r="B2712" s="62" t="s">
        <v>2382</v>
      </c>
      <c r="C2712" s="23">
        <v>4166.67</v>
      </c>
      <c r="D2712" s="24" t="s">
        <v>167</v>
      </c>
      <c r="E2712" s="24" t="s">
        <v>555</v>
      </c>
      <c r="F2712" s="63" t="s">
        <v>10</v>
      </c>
    </row>
    <row r="2713" spans="1:6" x14ac:dyDescent="0.25">
      <c r="A2713" s="62">
        <v>44706</v>
      </c>
      <c r="B2713" s="62" t="s">
        <v>2383</v>
      </c>
      <c r="C2713" s="23">
        <v>41666.43</v>
      </c>
      <c r="D2713" s="24" t="s">
        <v>167</v>
      </c>
      <c r="E2713" s="24" t="s">
        <v>555</v>
      </c>
      <c r="F2713" s="63" t="s">
        <v>10</v>
      </c>
    </row>
    <row r="2714" spans="1:6" x14ac:dyDescent="0.25">
      <c r="A2714" s="62">
        <v>44706</v>
      </c>
      <c r="B2714" s="62" t="s">
        <v>2382</v>
      </c>
      <c r="C2714" s="23">
        <v>-4166.67</v>
      </c>
      <c r="D2714" s="24" t="s">
        <v>167</v>
      </c>
      <c r="E2714" s="24" t="s">
        <v>555</v>
      </c>
      <c r="F2714" s="63" t="s">
        <v>0</v>
      </c>
    </row>
    <row r="2715" spans="1:6" x14ac:dyDescent="0.25">
      <c r="A2715" s="62">
        <v>44706</v>
      </c>
      <c r="B2715" s="62" t="s">
        <v>2384</v>
      </c>
      <c r="C2715" s="23">
        <v>-5000</v>
      </c>
      <c r="D2715" s="24" t="s">
        <v>90</v>
      </c>
      <c r="E2715" s="24" t="s">
        <v>91</v>
      </c>
      <c r="F2715" s="63" t="s">
        <v>0</v>
      </c>
    </row>
    <row r="2716" spans="1:6" x14ac:dyDescent="0.25">
      <c r="A2716" s="62">
        <v>44706</v>
      </c>
      <c r="B2716" s="62" t="s">
        <v>2383</v>
      </c>
      <c r="C2716" s="23">
        <v>-41666.43</v>
      </c>
      <c r="D2716" s="24" t="s">
        <v>167</v>
      </c>
      <c r="E2716" s="24" t="s">
        <v>555</v>
      </c>
      <c r="F2716" s="63" t="s">
        <v>0</v>
      </c>
    </row>
    <row r="2717" spans="1:6" x14ac:dyDescent="0.25">
      <c r="A2717" s="62">
        <v>44706</v>
      </c>
      <c r="B2717" s="62" t="s">
        <v>2385</v>
      </c>
      <c r="C2717" s="23">
        <v>-1642</v>
      </c>
      <c r="D2717" s="24" t="s">
        <v>49</v>
      </c>
      <c r="E2717" s="24" t="s">
        <v>56</v>
      </c>
      <c r="F2717" s="63" t="s">
        <v>0</v>
      </c>
    </row>
    <row r="2718" spans="1:6" x14ac:dyDescent="0.25">
      <c r="A2718" s="62">
        <v>44705</v>
      </c>
      <c r="B2718" s="62" t="s">
        <v>2386</v>
      </c>
      <c r="C2718" s="23">
        <v>-24145</v>
      </c>
      <c r="D2718" s="24" t="s">
        <v>49</v>
      </c>
      <c r="E2718" s="24" t="s">
        <v>56</v>
      </c>
      <c r="F2718" s="63" t="s">
        <v>0</v>
      </c>
    </row>
    <row r="2719" spans="1:6" x14ac:dyDescent="0.25">
      <c r="A2719" s="62">
        <v>44704</v>
      </c>
      <c r="B2719" s="62" t="s">
        <v>139</v>
      </c>
      <c r="C2719" s="23">
        <v>13636</v>
      </c>
      <c r="D2719" s="24" t="s">
        <v>58</v>
      </c>
      <c r="E2719" s="24" t="s">
        <v>58</v>
      </c>
      <c r="F2719" s="63" t="s">
        <v>4</v>
      </c>
    </row>
    <row r="2720" spans="1:6" x14ac:dyDescent="0.25">
      <c r="A2720" s="62">
        <v>44704</v>
      </c>
      <c r="B2720" s="62" t="s">
        <v>139</v>
      </c>
      <c r="C2720" s="23">
        <v>7670</v>
      </c>
      <c r="D2720" s="24" t="s">
        <v>58</v>
      </c>
      <c r="E2720" s="24" t="s">
        <v>58</v>
      </c>
      <c r="F2720" s="63" t="s">
        <v>4</v>
      </c>
    </row>
    <row r="2721" spans="1:6" x14ac:dyDescent="0.25">
      <c r="A2721" s="62">
        <v>44704</v>
      </c>
      <c r="B2721" s="62" t="s">
        <v>2387</v>
      </c>
      <c r="C2721" s="23">
        <v>-11635</v>
      </c>
      <c r="D2721" s="24" t="s">
        <v>90</v>
      </c>
      <c r="E2721" s="24" t="s">
        <v>93</v>
      </c>
      <c r="F2721" s="63" t="s">
        <v>0</v>
      </c>
    </row>
    <row r="2722" spans="1:6" x14ac:dyDescent="0.25">
      <c r="A2722" s="62">
        <v>44704</v>
      </c>
      <c r="B2722" s="62" t="s">
        <v>2388</v>
      </c>
      <c r="C2722" s="23">
        <v>-2560</v>
      </c>
      <c r="D2722" s="24" t="s">
        <v>52</v>
      </c>
      <c r="E2722" s="24" t="s">
        <v>53</v>
      </c>
      <c r="F2722" s="63" t="s">
        <v>0</v>
      </c>
    </row>
    <row r="2723" spans="1:6" x14ac:dyDescent="0.25">
      <c r="A2723" s="62">
        <v>44704</v>
      </c>
      <c r="B2723" s="62" t="s">
        <v>2389</v>
      </c>
      <c r="C2723" s="23">
        <v>-2190</v>
      </c>
      <c r="D2723" s="24" t="s">
        <v>52</v>
      </c>
      <c r="E2723" s="24" t="s">
        <v>53</v>
      </c>
      <c r="F2723" s="63" t="s">
        <v>0</v>
      </c>
    </row>
    <row r="2724" spans="1:6" x14ac:dyDescent="0.25">
      <c r="A2724" s="62">
        <v>44704</v>
      </c>
      <c r="B2724" s="62" t="s">
        <v>2390</v>
      </c>
      <c r="C2724" s="23">
        <v>-774</v>
      </c>
      <c r="D2724" s="24" t="s">
        <v>49</v>
      </c>
      <c r="E2724" s="24" t="s">
        <v>56</v>
      </c>
      <c r="F2724" s="63" t="s">
        <v>0</v>
      </c>
    </row>
    <row r="2725" spans="1:6" x14ac:dyDescent="0.25">
      <c r="A2725" s="62">
        <v>44704</v>
      </c>
      <c r="B2725" s="62" t="s">
        <v>2391</v>
      </c>
      <c r="C2725" s="23">
        <v>-20924</v>
      </c>
      <c r="D2725" s="24" t="s">
        <v>72</v>
      </c>
      <c r="E2725" s="24" t="s">
        <v>109</v>
      </c>
      <c r="F2725" s="63" t="s">
        <v>0</v>
      </c>
    </row>
    <row r="2726" spans="1:6" x14ac:dyDescent="0.25">
      <c r="A2726" s="62">
        <v>44700</v>
      </c>
      <c r="B2726" s="62" t="s">
        <v>2392</v>
      </c>
      <c r="C2726" s="23">
        <v>-1652</v>
      </c>
      <c r="D2726" s="24" t="s">
        <v>49</v>
      </c>
      <c r="E2726" s="24" t="s">
        <v>56</v>
      </c>
      <c r="F2726" s="63" t="s">
        <v>0</v>
      </c>
    </row>
    <row r="2727" spans="1:6" x14ac:dyDescent="0.25">
      <c r="A2727" s="62">
        <v>44700</v>
      </c>
      <c r="B2727" s="62" t="s">
        <v>2393</v>
      </c>
      <c r="C2727" s="23">
        <v>-4784</v>
      </c>
      <c r="D2727" s="24" t="s">
        <v>52</v>
      </c>
      <c r="E2727" s="24" t="s">
        <v>53</v>
      </c>
      <c r="F2727" s="63" t="s">
        <v>0</v>
      </c>
    </row>
    <row r="2728" spans="1:6" x14ac:dyDescent="0.25">
      <c r="A2728" s="62">
        <v>44700</v>
      </c>
      <c r="B2728" s="62" t="s">
        <v>2260</v>
      </c>
      <c r="C2728" s="23">
        <v>-820</v>
      </c>
      <c r="D2728" s="24" t="s">
        <v>52</v>
      </c>
      <c r="E2728" s="24" t="s">
        <v>53</v>
      </c>
      <c r="F2728" s="63" t="s">
        <v>0</v>
      </c>
    </row>
    <row r="2729" spans="1:6" x14ac:dyDescent="0.25">
      <c r="A2729" s="62">
        <v>44700</v>
      </c>
      <c r="B2729" s="62" t="s">
        <v>2265</v>
      </c>
      <c r="C2729" s="23">
        <v>-1850</v>
      </c>
      <c r="D2729" s="24" t="s">
        <v>52</v>
      </c>
      <c r="E2729" s="24" t="s">
        <v>53</v>
      </c>
      <c r="F2729" s="63" t="s">
        <v>0</v>
      </c>
    </row>
    <row r="2730" spans="1:6" x14ac:dyDescent="0.25">
      <c r="A2730" s="62">
        <v>44699</v>
      </c>
      <c r="B2730" s="62" t="s">
        <v>2394</v>
      </c>
      <c r="C2730" s="23">
        <v>-2400</v>
      </c>
      <c r="D2730" s="24" t="s">
        <v>52</v>
      </c>
      <c r="E2730" s="24" t="s">
        <v>134</v>
      </c>
      <c r="F2730" s="63" t="s">
        <v>0</v>
      </c>
    </row>
    <row r="2731" spans="1:6" x14ac:dyDescent="0.25">
      <c r="A2731" s="62">
        <v>44699</v>
      </c>
      <c r="B2731" s="62" t="s">
        <v>2395</v>
      </c>
      <c r="C2731" s="23">
        <v>-7755</v>
      </c>
      <c r="D2731" s="24" t="s">
        <v>49</v>
      </c>
      <c r="E2731" s="24" t="s">
        <v>56</v>
      </c>
      <c r="F2731" s="63" t="s">
        <v>0</v>
      </c>
    </row>
    <row r="2732" spans="1:6" x14ac:dyDescent="0.25">
      <c r="A2732" s="62">
        <v>44698</v>
      </c>
      <c r="B2732" s="62" t="s">
        <v>2396</v>
      </c>
      <c r="C2732" s="23">
        <v>-5000</v>
      </c>
      <c r="D2732" s="24" t="s">
        <v>49</v>
      </c>
      <c r="E2732" s="24" t="s">
        <v>1165</v>
      </c>
      <c r="F2732" s="63" t="s">
        <v>0</v>
      </c>
    </row>
    <row r="2733" spans="1:6" x14ac:dyDescent="0.25">
      <c r="A2733" s="62">
        <v>44697</v>
      </c>
      <c r="B2733" s="62" t="s">
        <v>2397</v>
      </c>
      <c r="C2733" s="23">
        <v>-9296</v>
      </c>
      <c r="D2733" s="24" t="s">
        <v>46</v>
      </c>
      <c r="E2733" s="24" t="s">
        <v>61</v>
      </c>
      <c r="F2733" s="63" t="s">
        <v>0</v>
      </c>
    </row>
    <row r="2734" spans="1:6" x14ac:dyDescent="0.25">
      <c r="A2734" s="62">
        <v>44697</v>
      </c>
      <c r="B2734" s="62" t="s">
        <v>2398</v>
      </c>
      <c r="C2734" s="23">
        <v>-3650</v>
      </c>
      <c r="D2734" s="24" t="s">
        <v>52</v>
      </c>
      <c r="E2734" s="24" t="s">
        <v>53</v>
      </c>
      <c r="F2734" s="63" t="s">
        <v>0</v>
      </c>
    </row>
    <row r="2735" spans="1:6" x14ac:dyDescent="0.25">
      <c r="A2735" s="62">
        <v>44697</v>
      </c>
      <c r="B2735" s="62" t="s">
        <v>2399</v>
      </c>
      <c r="C2735" s="23">
        <v>-2276</v>
      </c>
      <c r="D2735" s="24" t="s">
        <v>49</v>
      </c>
      <c r="E2735" s="24" t="s">
        <v>56</v>
      </c>
      <c r="F2735" s="63" t="s">
        <v>0</v>
      </c>
    </row>
    <row r="2736" spans="1:6" x14ac:dyDescent="0.25">
      <c r="A2736" s="62">
        <v>44697</v>
      </c>
      <c r="B2736" s="62" t="s">
        <v>2400</v>
      </c>
      <c r="C2736" s="23">
        <v>-3861</v>
      </c>
      <c r="D2736" s="24" t="s">
        <v>49</v>
      </c>
      <c r="E2736" s="24" t="s">
        <v>56</v>
      </c>
      <c r="F2736" s="63" t="s">
        <v>0</v>
      </c>
    </row>
    <row r="2737" spans="1:6" x14ac:dyDescent="0.25">
      <c r="A2737" s="62">
        <v>44697</v>
      </c>
      <c r="B2737" s="62" t="s">
        <v>2401</v>
      </c>
      <c r="C2737" s="23">
        <v>-25481</v>
      </c>
      <c r="D2737" s="24" t="s">
        <v>49</v>
      </c>
      <c r="E2737" s="24" t="s">
        <v>56</v>
      </c>
      <c r="F2737" s="63" t="s">
        <v>0</v>
      </c>
    </row>
    <row r="2738" spans="1:6" x14ac:dyDescent="0.25">
      <c r="A2738" s="62">
        <v>44694</v>
      </c>
      <c r="B2738" s="62" t="s">
        <v>2402</v>
      </c>
      <c r="C2738" s="23">
        <v>-1090</v>
      </c>
      <c r="D2738" s="24" t="s">
        <v>52</v>
      </c>
      <c r="E2738" s="24" t="s">
        <v>53</v>
      </c>
      <c r="F2738" s="63" t="s">
        <v>0</v>
      </c>
    </row>
    <row r="2739" spans="1:6" x14ac:dyDescent="0.25">
      <c r="A2739" s="62">
        <v>44694</v>
      </c>
      <c r="B2739" s="62" t="s">
        <v>2403</v>
      </c>
      <c r="C2739" s="23">
        <v>-4621</v>
      </c>
      <c r="D2739" s="24" t="s">
        <v>49</v>
      </c>
      <c r="E2739" s="24" t="s">
        <v>164</v>
      </c>
      <c r="F2739" s="63" t="s">
        <v>0</v>
      </c>
    </row>
    <row r="2740" spans="1:6" x14ac:dyDescent="0.25">
      <c r="A2740" s="62">
        <v>44694</v>
      </c>
      <c r="B2740" s="62" t="s">
        <v>2404</v>
      </c>
      <c r="C2740" s="23">
        <v>-6798</v>
      </c>
      <c r="D2740" s="24" t="s">
        <v>49</v>
      </c>
      <c r="E2740" s="24" t="s">
        <v>213</v>
      </c>
      <c r="F2740" s="63" t="s">
        <v>0</v>
      </c>
    </row>
    <row r="2741" spans="1:6" x14ac:dyDescent="0.25">
      <c r="A2741" s="62">
        <v>44694</v>
      </c>
      <c r="B2741" s="62" t="s">
        <v>2405</v>
      </c>
      <c r="C2741" s="23">
        <v>-13270</v>
      </c>
      <c r="D2741" s="24" t="s">
        <v>49</v>
      </c>
      <c r="E2741" s="24" t="s">
        <v>213</v>
      </c>
      <c r="F2741" s="63" t="s">
        <v>0</v>
      </c>
    </row>
    <row r="2742" spans="1:6" x14ac:dyDescent="0.25">
      <c r="A2742" s="62">
        <v>44694</v>
      </c>
      <c r="B2742" s="62" t="s">
        <v>2406</v>
      </c>
      <c r="C2742" s="23">
        <v>-40520</v>
      </c>
      <c r="D2742" s="24" t="s">
        <v>49</v>
      </c>
      <c r="E2742" s="24" t="s">
        <v>213</v>
      </c>
      <c r="F2742" s="63" t="s">
        <v>0</v>
      </c>
    </row>
    <row r="2743" spans="1:6" x14ac:dyDescent="0.25">
      <c r="A2743" s="62">
        <v>44694</v>
      </c>
      <c r="B2743" s="62" t="s">
        <v>2407</v>
      </c>
      <c r="C2743" s="23">
        <v>-750</v>
      </c>
      <c r="D2743" s="24" t="s">
        <v>52</v>
      </c>
      <c r="E2743" s="24" t="s">
        <v>134</v>
      </c>
      <c r="F2743" s="63" t="s">
        <v>0</v>
      </c>
    </row>
    <row r="2744" spans="1:6" x14ac:dyDescent="0.25">
      <c r="A2744" s="62">
        <v>44694</v>
      </c>
      <c r="B2744" s="62" t="s">
        <v>2408</v>
      </c>
      <c r="C2744" s="23">
        <v>-20631</v>
      </c>
      <c r="D2744" s="24" t="s">
        <v>72</v>
      </c>
      <c r="E2744" s="24" t="s">
        <v>109</v>
      </c>
      <c r="F2744" s="63" t="s">
        <v>0</v>
      </c>
    </row>
    <row r="2745" spans="1:6" x14ac:dyDescent="0.25">
      <c r="A2745" s="62">
        <v>44694</v>
      </c>
      <c r="B2745" s="62" t="s">
        <v>2409</v>
      </c>
      <c r="C2745" s="23">
        <v>-912</v>
      </c>
      <c r="D2745" s="24" t="s">
        <v>49</v>
      </c>
      <c r="E2745" s="24" t="s">
        <v>56</v>
      </c>
      <c r="F2745" s="63" t="s">
        <v>0</v>
      </c>
    </row>
    <row r="2746" spans="1:6" x14ac:dyDescent="0.25">
      <c r="A2746" s="62">
        <v>44693</v>
      </c>
      <c r="B2746" s="62" t="s">
        <v>765</v>
      </c>
      <c r="C2746" s="23">
        <v>-3230</v>
      </c>
      <c r="D2746" s="24" t="s">
        <v>52</v>
      </c>
      <c r="E2746" s="24" t="s">
        <v>53</v>
      </c>
      <c r="F2746" s="63" t="s">
        <v>4</v>
      </c>
    </row>
    <row r="2747" spans="1:6" x14ac:dyDescent="0.25">
      <c r="A2747" s="62">
        <v>44693</v>
      </c>
      <c r="B2747" s="62" t="s">
        <v>2410</v>
      </c>
      <c r="C2747" s="23">
        <v>-2734</v>
      </c>
      <c r="D2747" s="24" t="s">
        <v>49</v>
      </c>
      <c r="E2747" s="24" t="s">
        <v>56</v>
      </c>
      <c r="F2747" s="63" t="s">
        <v>0</v>
      </c>
    </row>
    <row r="2748" spans="1:6" x14ac:dyDescent="0.25">
      <c r="A2748" s="62">
        <v>44693</v>
      </c>
      <c r="B2748" s="62" t="s">
        <v>704</v>
      </c>
      <c r="C2748" s="23">
        <v>-6944</v>
      </c>
      <c r="D2748" s="24" t="s">
        <v>46</v>
      </c>
      <c r="E2748" s="24" t="s">
        <v>150</v>
      </c>
      <c r="F2748" s="63" t="s">
        <v>0</v>
      </c>
    </row>
    <row r="2749" spans="1:6" x14ac:dyDescent="0.25">
      <c r="A2749" s="62">
        <v>44693</v>
      </c>
      <c r="B2749" s="62" t="s">
        <v>2411</v>
      </c>
      <c r="C2749" s="23">
        <v>-7500</v>
      </c>
      <c r="D2749" s="24" t="s">
        <v>206</v>
      </c>
      <c r="E2749" s="24" t="s">
        <v>206</v>
      </c>
      <c r="F2749" s="63" t="s">
        <v>0</v>
      </c>
    </row>
    <row r="2750" spans="1:6" x14ac:dyDescent="0.25">
      <c r="A2750" s="62">
        <v>44693</v>
      </c>
      <c r="B2750" s="62" t="s">
        <v>2412</v>
      </c>
      <c r="C2750" s="23">
        <v>-675</v>
      </c>
      <c r="D2750" s="24" t="s">
        <v>49</v>
      </c>
      <c r="E2750" s="24" t="s">
        <v>56</v>
      </c>
      <c r="F2750" s="63" t="s">
        <v>0</v>
      </c>
    </row>
    <row r="2751" spans="1:6" x14ac:dyDescent="0.25">
      <c r="A2751" s="62">
        <v>44692</v>
      </c>
      <c r="B2751" s="62" t="s">
        <v>2413</v>
      </c>
      <c r="C2751" s="23">
        <v>-10882</v>
      </c>
      <c r="D2751" s="24" t="s">
        <v>46</v>
      </c>
      <c r="E2751" s="24" t="s">
        <v>145</v>
      </c>
      <c r="F2751" s="63" t="s">
        <v>0</v>
      </c>
    </row>
    <row r="2752" spans="1:6" x14ac:dyDescent="0.25">
      <c r="A2752" s="62">
        <v>44692</v>
      </c>
      <c r="B2752" s="62" t="s">
        <v>2414</v>
      </c>
      <c r="C2752" s="23">
        <v>-4025</v>
      </c>
      <c r="D2752" s="24" t="s">
        <v>49</v>
      </c>
      <c r="E2752" s="24" t="s">
        <v>56</v>
      </c>
      <c r="F2752" s="63" t="s">
        <v>0</v>
      </c>
    </row>
    <row r="2753" spans="1:6" x14ac:dyDescent="0.25">
      <c r="A2753" s="62">
        <v>44692</v>
      </c>
      <c r="B2753" s="62" t="s">
        <v>2415</v>
      </c>
      <c r="C2753" s="23">
        <v>-2270</v>
      </c>
      <c r="D2753" s="24" t="s">
        <v>52</v>
      </c>
      <c r="E2753" s="24" t="s">
        <v>53</v>
      </c>
      <c r="F2753" s="63" t="s">
        <v>0</v>
      </c>
    </row>
    <row r="2754" spans="1:6" x14ac:dyDescent="0.25">
      <c r="A2754" s="62">
        <v>44691</v>
      </c>
      <c r="B2754" s="62" t="s">
        <v>2416</v>
      </c>
      <c r="C2754" s="23">
        <v>-211413.08</v>
      </c>
      <c r="D2754" s="24" t="s">
        <v>46</v>
      </c>
      <c r="E2754" s="24" t="s">
        <v>10</v>
      </c>
      <c r="F2754" s="63" t="s">
        <v>0</v>
      </c>
    </row>
    <row r="2755" spans="1:6" x14ac:dyDescent="0.25">
      <c r="A2755" s="62">
        <v>44691</v>
      </c>
      <c r="B2755" s="62" t="s">
        <v>2417</v>
      </c>
      <c r="C2755" s="23">
        <v>-50391.71</v>
      </c>
      <c r="D2755" s="24" t="s">
        <v>46</v>
      </c>
      <c r="E2755" s="24" t="s">
        <v>10</v>
      </c>
      <c r="F2755" s="63" t="s">
        <v>0</v>
      </c>
    </row>
    <row r="2756" spans="1:6" x14ac:dyDescent="0.25">
      <c r="A2756" s="62">
        <v>44691</v>
      </c>
      <c r="B2756" s="62" t="s">
        <v>2296</v>
      </c>
      <c r="C2756" s="23">
        <v>-1100</v>
      </c>
      <c r="D2756" s="24" t="s">
        <v>52</v>
      </c>
      <c r="E2756" s="24" t="s">
        <v>134</v>
      </c>
      <c r="F2756" s="63" t="s">
        <v>0</v>
      </c>
    </row>
    <row r="2757" spans="1:6" x14ac:dyDescent="0.25">
      <c r="A2757" s="62">
        <v>44691</v>
      </c>
      <c r="B2757" s="62" t="s">
        <v>2418</v>
      </c>
      <c r="C2757" s="23">
        <v>-1215</v>
      </c>
      <c r="D2757" s="24" t="s">
        <v>52</v>
      </c>
      <c r="E2757" s="24" t="s">
        <v>134</v>
      </c>
      <c r="F2757" s="63" t="s">
        <v>0</v>
      </c>
    </row>
    <row r="2758" spans="1:6" x14ac:dyDescent="0.25">
      <c r="A2758" s="62">
        <v>44691</v>
      </c>
      <c r="B2758" s="62" t="s">
        <v>1651</v>
      </c>
      <c r="C2758" s="23">
        <v>692194</v>
      </c>
      <c r="D2758" s="24" t="s">
        <v>58</v>
      </c>
      <c r="E2758" s="24" t="s">
        <v>58</v>
      </c>
      <c r="F2758" s="63" t="s">
        <v>0</v>
      </c>
    </row>
    <row r="2759" spans="1:6" x14ac:dyDescent="0.25">
      <c r="A2759" s="62">
        <v>44691</v>
      </c>
      <c r="B2759" s="62" t="s">
        <v>2416</v>
      </c>
      <c r="C2759" s="23">
        <v>211413.08</v>
      </c>
      <c r="D2759" s="24" t="s">
        <v>46</v>
      </c>
      <c r="E2759" s="24" t="s">
        <v>10</v>
      </c>
      <c r="F2759" s="63" t="s">
        <v>10</v>
      </c>
    </row>
    <row r="2760" spans="1:6" x14ac:dyDescent="0.25">
      <c r="A2760" s="62">
        <v>44690</v>
      </c>
      <c r="B2760" s="62" t="s">
        <v>2419</v>
      </c>
      <c r="C2760" s="23">
        <v>-3650</v>
      </c>
      <c r="D2760" s="24" t="s">
        <v>52</v>
      </c>
      <c r="E2760" s="24" t="s">
        <v>53</v>
      </c>
      <c r="F2760" s="63" t="s">
        <v>0</v>
      </c>
    </row>
    <row r="2761" spans="1:6" x14ac:dyDescent="0.25">
      <c r="A2761" s="62">
        <v>44690</v>
      </c>
      <c r="B2761" s="62" t="s">
        <v>2420</v>
      </c>
      <c r="C2761" s="23">
        <v>10019273</v>
      </c>
      <c r="D2761" s="24" t="s">
        <v>167</v>
      </c>
      <c r="E2761" s="24" t="s">
        <v>183</v>
      </c>
      <c r="F2761" s="63" t="s">
        <v>3</v>
      </c>
    </row>
    <row r="2762" spans="1:6" x14ac:dyDescent="0.25">
      <c r="A2762" s="62">
        <v>44690</v>
      </c>
      <c r="B2762" s="62" t="s">
        <v>2420</v>
      </c>
      <c r="C2762" s="23">
        <v>-10019273</v>
      </c>
      <c r="D2762" s="24" t="s">
        <v>167</v>
      </c>
      <c r="E2762" s="24" t="s">
        <v>183</v>
      </c>
      <c r="F2762" s="63" t="s">
        <v>0</v>
      </c>
    </row>
    <row r="2763" spans="1:6" x14ac:dyDescent="0.25">
      <c r="A2763" s="62">
        <v>44690</v>
      </c>
      <c r="B2763" s="62" t="s">
        <v>2421</v>
      </c>
      <c r="C2763" s="23">
        <v>-3810</v>
      </c>
      <c r="D2763" s="24" t="s">
        <v>52</v>
      </c>
      <c r="E2763" s="24" t="s">
        <v>53</v>
      </c>
      <c r="F2763" s="63" t="s">
        <v>0</v>
      </c>
    </row>
    <row r="2764" spans="1:6" x14ac:dyDescent="0.25">
      <c r="A2764" s="62">
        <v>44690</v>
      </c>
      <c r="B2764" s="62" t="s">
        <v>2422</v>
      </c>
      <c r="C2764" s="23">
        <v>-18376</v>
      </c>
      <c r="D2764" s="24" t="s">
        <v>49</v>
      </c>
      <c r="E2764" s="24" t="s">
        <v>56</v>
      </c>
      <c r="F2764" s="63" t="s">
        <v>0</v>
      </c>
    </row>
    <row r="2765" spans="1:6" x14ac:dyDescent="0.25">
      <c r="A2765" s="62">
        <v>44690</v>
      </c>
      <c r="B2765" s="62" t="s">
        <v>2423</v>
      </c>
      <c r="C2765" s="23">
        <v>-17714</v>
      </c>
      <c r="D2765" s="24" t="s">
        <v>46</v>
      </c>
      <c r="E2765" s="24" t="s">
        <v>61</v>
      </c>
      <c r="F2765" s="63" t="s">
        <v>0</v>
      </c>
    </row>
    <row r="2766" spans="1:6" x14ac:dyDescent="0.25">
      <c r="A2766" s="62">
        <v>44687</v>
      </c>
      <c r="B2766" s="62" t="s">
        <v>1018</v>
      </c>
      <c r="C2766" s="23">
        <v>-3090</v>
      </c>
      <c r="D2766" s="24" t="s">
        <v>52</v>
      </c>
      <c r="E2766" s="24" t="s">
        <v>53</v>
      </c>
      <c r="F2766" s="63" t="s">
        <v>4</v>
      </c>
    </row>
    <row r="2767" spans="1:6" x14ac:dyDescent="0.25">
      <c r="A2767" s="62">
        <v>44687</v>
      </c>
      <c r="B2767" s="62" t="s">
        <v>171</v>
      </c>
      <c r="C2767" s="23">
        <v>1550</v>
      </c>
      <c r="D2767" s="24" t="s">
        <v>167</v>
      </c>
      <c r="E2767" s="24" t="s">
        <v>168</v>
      </c>
      <c r="F2767" s="63" t="s">
        <v>0</v>
      </c>
    </row>
    <row r="2768" spans="1:6" x14ac:dyDescent="0.25">
      <c r="A2768" s="62">
        <v>44687</v>
      </c>
      <c r="B2768" s="62" t="s">
        <v>2424</v>
      </c>
      <c r="C2768" s="23">
        <v>-1772</v>
      </c>
      <c r="D2768" s="24" t="s">
        <v>52</v>
      </c>
      <c r="E2768" s="24" t="s">
        <v>134</v>
      </c>
      <c r="F2768" s="63" t="s">
        <v>0</v>
      </c>
    </row>
    <row r="2769" spans="1:6" x14ac:dyDescent="0.25">
      <c r="A2769" s="62">
        <v>44687</v>
      </c>
      <c r="B2769" s="62" t="s">
        <v>2425</v>
      </c>
      <c r="C2769" s="23">
        <v>-1948</v>
      </c>
      <c r="D2769" s="24" t="s">
        <v>49</v>
      </c>
      <c r="E2769" s="24" t="s">
        <v>56</v>
      </c>
      <c r="F2769" s="63" t="s">
        <v>0</v>
      </c>
    </row>
    <row r="2770" spans="1:6" x14ac:dyDescent="0.25">
      <c r="A2770" s="62">
        <v>44687</v>
      </c>
      <c r="B2770" s="62" t="s">
        <v>2426</v>
      </c>
      <c r="C2770" s="23">
        <v>-10650</v>
      </c>
      <c r="D2770" s="24" t="s">
        <v>90</v>
      </c>
      <c r="E2770" s="24" t="s">
        <v>111</v>
      </c>
      <c r="F2770" s="63" t="s">
        <v>0</v>
      </c>
    </row>
    <row r="2771" spans="1:6" x14ac:dyDescent="0.25">
      <c r="A2771" s="62">
        <v>44687</v>
      </c>
      <c r="B2771" s="62" t="s">
        <v>2427</v>
      </c>
      <c r="C2771" s="23">
        <v>-48000</v>
      </c>
      <c r="D2771" s="24" t="s">
        <v>90</v>
      </c>
      <c r="E2771" s="24" t="s">
        <v>111</v>
      </c>
      <c r="F2771" s="63" t="s">
        <v>0</v>
      </c>
    </row>
    <row r="2772" spans="1:6" x14ac:dyDescent="0.25">
      <c r="A2772" s="62">
        <v>44687</v>
      </c>
      <c r="B2772" s="62" t="s">
        <v>2428</v>
      </c>
      <c r="C2772" s="23">
        <v>-1150</v>
      </c>
      <c r="D2772" s="24" t="s">
        <v>52</v>
      </c>
      <c r="E2772" s="24" t="s">
        <v>53</v>
      </c>
      <c r="F2772" s="63" t="s">
        <v>0</v>
      </c>
    </row>
    <row r="2773" spans="1:6" x14ac:dyDescent="0.25">
      <c r="A2773" s="62">
        <v>44686</v>
      </c>
      <c r="B2773" s="62" t="s">
        <v>2429</v>
      </c>
      <c r="C2773" s="23">
        <v>-3830</v>
      </c>
      <c r="D2773" s="24" t="s">
        <v>52</v>
      </c>
      <c r="E2773" s="24" t="s">
        <v>53</v>
      </c>
      <c r="F2773" s="63" t="s">
        <v>0</v>
      </c>
    </row>
    <row r="2774" spans="1:6" x14ac:dyDescent="0.25">
      <c r="A2774" s="62">
        <v>44686</v>
      </c>
      <c r="B2774" s="62" t="s">
        <v>2430</v>
      </c>
      <c r="C2774" s="23">
        <v>-3498</v>
      </c>
      <c r="D2774" s="24" t="s">
        <v>49</v>
      </c>
      <c r="E2774" s="24" t="s">
        <v>56</v>
      </c>
      <c r="F2774" s="63" t="s">
        <v>0</v>
      </c>
    </row>
    <row r="2775" spans="1:6" x14ac:dyDescent="0.25">
      <c r="A2775" s="62">
        <v>44686</v>
      </c>
      <c r="B2775" s="62" t="s">
        <v>2431</v>
      </c>
      <c r="C2775" s="23">
        <v>-7366</v>
      </c>
      <c r="D2775" s="24" t="s">
        <v>46</v>
      </c>
      <c r="E2775" s="24" t="s">
        <v>61</v>
      </c>
      <c r="F2775" s="63" t="s">
        <v>0</v>
      </c>
    </row>
    <row r="2776" spans="1:6" x14ac:dyDescent="0.25">
      <c r="A2776" s="62">
        <v>44686</v>
      </c>
      <c r="B2776" s="62" t="s">
        <v>2432</v>
      </c>
      <c r="C2776" s="23">
        <v>-7650</v>
      </c>
      <c r="D2776" s="24" t="s">
        <v>46</v>
      </c>
      <c r="E2776" s="24" t="s">
        <v>61</v>
      </c>
      <c r="F2776" s="63" t="s">
        <v>0</v>
      </c>
    </row>
    <row r="2777" spans="1:6" x14ac:dyDescent="0.25">
      <c r="A2777" s="62">
        <v>44685</v>
      </c>
      <c r="B2777" s="62" t="s">
        <v>1241</v>
      </c>
      <c r="C2777" s="23">
        <v>-4810</v>
      </c>
      <c r="D2777" s="24" t="s">
        <v>52</v>
      </c>
      <c r="E2777" s="24" t="s">
        <v>53</v>
      </c>
      <c r="F2777" s="63" t="s">
        <v>4</v>
      </c>
    </row>
    <row r="2778" spans="1:6" x14ac:dyDescent="0.25">
      <c r="A2778" s="62">
        <v>44685</v>
      </c>
      <c r="B2778" s="62" t="s">
        <v>2433</v>
      </c>
      <c r="C2778" s="23">
        <v>-1031</v>
      </c>
      <c r="D2778" s="24" t="s">
        <v>49</v>
      </c>
      <c r="E2778" s="24" t="s">
        <v>56</v>
      </c>
      <c r="F2778" s="63" t="s">
        <v>0</v>
      </c>
    </row>
    <row r="2779" spans="1:6" x14ac:dyDescent="0.25">
      <c r="A2779" s="62">
        <v>44685</v>
      </c>
      <c r="B2779" s="62" t="s">
        <v>2434</v>
      </c>
      <c r="C2779" s="23">
        <v>-9180</v>
      </c>
      <c r="D2779" s="24" t="s">
        <v>90</v>
      </c>
      <c r="E2779" s="24" t="s">
        <v>93</v>
      </c>
      <c r="F2779" s="63" t="s">
        <v>0</v>
      </c>
    </row>
    <row r="2780" spans="1:6" x14ac:dyDescent="0.25">
      <c r="A2780" s="62">
        <v>44684</v>
      </c>
      <c r="B2780" s="62" t="s">
        <v>172</v>
      </c>
      <c r="C2780" s="23">
        <v>297804</v>
      </c>
      <c r="D2780" s="24" t="s">
        <v>58</v>
      </c>
      <c r="E2780" s="24" t="s">
        <v>58</v>
      </c>
      <c r="F2780" s="63" t="s">
        <v>0</v>
      </c>
    </row>
    <row r="2781" spans="1:6" x14ac:dyDescent="0.25">
      <c r="A2781" s="62">
        <v>44683</v>
      </c>
      <c r="B2781" s="62" t="s">
        <v>2435</v>
      </c>
      <c r="C2781" s="23">
        <v>-1382</v>
      </c>
      <c r="D2781" s="24" t="s">
        <v>49</v>
      </c>
      <c r="E2781" s="24" t="s">
        <v>56</v>
      </c>
      <c r="F2781" s="63" t="s">
        <v>0</v>
      </c>
    </row>
    <row r="2782" spans="1:6" x14ac:dyDescent="0.25">
      <c r="A2782" s="62">
        <v>44683</v>
      </c>
      <c r="B2782" s="62" t="s">
        <v>2436</v>
      </c>
      <c r="C2782" s="23">
        <v>-378</v>
      </c>
      <c r="D2782" s="24" t="s">
        <v>49</v>
      </c>
      <c r="E2782" s="24" t="s">
        <v>56</v>
      </c>
      <c r="F2782" s="63" t="s">
        <v>0</v>
      </c>
    </row>
    <row r="2783" spans="1:6" x14ac:dyDescent="0.25">
      <c r="A2783" s="62">
        <v>44683</v>
      </c>
      <c r="B2783" s="62" t="s">
        <v>2437</v>
      </c>
      <c r="C2783" s="23">
        <v>-700</v>
      </c>
      <c r="D2783" s="24" t="s">
        <v>72</v>
      </c>
      <c r="E2783" s="24" t="s">
        <v>73</v>
      </c>
      <c r="F2783" s="63" t="s">
        <v>0</v>
      </c>
    </row>
    <row r="2784" spans="1:6" x14ac:dyDescent="0.25">
      <c r="A2784" s="62">
        <v>44683</v>
      </c>
      <c r="B2784" s="62" t="s">
        <v>2438</v>
      </c>
      <c r="C2784" s="23">
        <v>-10560</v>
      </c>
      <c r="D2784" s="24" t="s">
        <v>49</v>
      </c>
      <c r="E2784" s="24" t="s">
        <v>56</v>
      </c>
      <c r="F2784" s="63" t="s">
        <v>0</v>
      </c>
    </row>
    <row r="2785" spans="1:6" x14ac:dyDescent="0.25">
      <c r="A2785" s="62">
        <v>44683</v>
      </c>
      <c r="B2785" s="62" t="s">
        <v>2439</v>
      </c>
      <c r="C2785" s="23">
        <v>-7397</v>
      </c>
      <c r="D2785" s="24" t="s">
        <v>46</v>
      </c>
      <c r="E2785" s="24" t="s">
        <v>61</v>
      </c>
      <c r="F2785" s="63" t="s">
        <v>0</v>
      </c>
    </row>
    <row r="2786" spans="1:6" x14ac:dyDescent="0.25">
      <c r="A2786" s="62">
        <v>44683</v>
      </c>
      <c r="B2786" s="62" t="s">
        <v>2440</v>
      </c>
      <c r="C2786" s="23">
        <v>-1400</v>
      </c>
      <c r="D2786" s="24" t="s">
        <v>52</v>
      </c>
      <c r="E2786" s="24" t="s">
        <v>134</v>
      </c>
      <c r="F2786" s="63" t="s">
        <v>0</v>
      </c>
    </row>
    <row r="2787" spans="1:6" x14ac:dyDescent="0.25">
      <c r="A2787" s="62">
        <v>44683</v>
      </c>
      <c r="B2787" s="62" t="s">
        <v>2441</v>
      </c>
      <c r="C2787" s="23">
        <v>-1896</v>
      </c>
      <c r="D2787" s="24" t="s">
        <v>49</v>
      </c>
      <c r="E2787" s="24" t="s">
        <v>56</v>
      </c>
      <c r="F2787" s="63" t="s">
        <v>0</v>
      </c>
    </row>
    <row r="2788" spans="1:6" x14ac:dyDescent="0.25">
      <c r="A2788" s="62">
        <v>44682</v>
      </c>
      <c r="B2788" s="62" t="s">
        <v>921</v>
      </c>
      <c r="C2788" s="23">
        <v>-6620</v>
      </c>
      <c r="D2788" s="24" t="s">
        <v>52</v>
      </c>
      <c r="E2788" s="24" t="s">
        <v>53</v>
      </c>
      <c r="F2788" s="63" t="s">
        <v>4</v>
      </c>
    </row>
    <row r="2789" spans="1:6" x14ac:dyDescent="0.25">
      <c r="A2789" s="62">
        <v>44681</v>
      </c>
      <c r="B2789" s="62" t="s">
        <v>43</v>
      </c>
      <c r="C2789" s="23">
        <v>-1799</v>
      </c>
      <c r="D2789" s="24" t="s">
        <v>167</v>
      </c>
      <c r="E2789" s="24" t="s">
        <v>168</v>
      </c>
      <c r="F2789" s="63" t="s">
        <v>0</v>
      </c>
    </row>
    <row r="2790" spans="1:6" x14ac:dyDescent="0.25">
      <c r="A2790" s="62">
        <v>44680</v>
      </c>
      <c r="B2790" s="62" t="s">
        <v>2442</v>
      </c>
      <c r="C2790" s="23">
        <v>-1050</v>
      </c>
      <c r="D2790" s="24" t="s">
        <v>52</v>
      </c>
      <c r="E2790" s="24" t="s">
        <v>53</v>
      </c>
      <c r="F2790" s="63" t="s">
        <v>4</v>
      </c>
    </row>
    <row r="2791" spans="1:6" x14ac:dyDescent="0.25">
      <c r="A2791" s="62">
        <v>44680</v>
      </c>
      <c r="B2791" s="62" t="s">
        <v>2443</v>
      </c>
      <c r="C2791" s="23">
        <v>-9455</v>
      </c>
      <c r="D2791" s="24" t="s">
        <v>52</v>
      </c>
      <c r="E2791" s="24" t="s">
        <v>1865</v>
      </c>
      <c r="F2791" s="63" t="s">
        <v>0</v>
      </c>
    </row>
    <row r="2792" spans="1:6" x14ac:dyDescent="0.25">
      <c r="A2792" s="62">
        <v>44680</v>
      </c>
      <c r="B2792" s="62" t="s">
        <v>2444</v>
      </c>
      <c r="C2792" s="23">
        <v>-19162</v>
      </c>
      <c r="D2792" s="24" t="s">
        <v>72</v>
      </c>
      <c r="E2792" s="24" t="s">
        <v>109</v>
      </c>
      <c r="F2792" s="63" t="s">
        <v>0</v>
      </c>
    </row>
    <row r="2793" spans="1:6" x14ac:dyDescent="0.25">
      <c r="A2793" s="62">
        <v>44680</v>
      </c>
      <c r="B2793" s="62" t="s">
        <v>2445</v>
      </c>
      <c r="C2793" s="23">
        <v>-1240</v>
      </c>
      <c r="D2793" s="24" t="s">
        <v>52</v>
      </c>
      <c r="E2793" s="24" t="s">
        <v>134</v>
      </c>
      <c r="F2793" s="63" t="s">
        <v>0</v>
      </c>
    </row>
    <row r="2794" spans="1:6" x14ac:dyDescent="0.25">
      <c r="A2794" s="62">
        <v>44680</v>
      </c>
      <c r="B2794" s="62" t="s">
        <v>2446</v>
      </c>
      <c r="C2794" s="23">
        <v>-11893</v>
      </c>
      <c r="D2794" s="24" t="s">
        <v>46</v>
      </c>
      <c r="E2794" s="24" t="s">
        <v>61</v>
      </c>
      <c r="F2794" s="63" t="s">
        <v>0</v>
      </c>
    </row>
    <row r="2795" spans="1:6" x14ac:dyDescent="0.25">
      <c r="A2795" s="62">
        <v>44679</v>
      </c>
      <c r="B2795" s="62" t="s">
        <v>2447</v>
      </c>
      <c r="C2795" s="23">
        <v>-3490</v>
      </c>
      <c r="D2795" s="24" t="s">
        <v>46</v>
      </c>
      <c r="E2795" s="24" t="s">
        <v>63</v>
      </c>
      <c r="F2795" s="63" t="s">
        <v>0</v>
      </c>
    </row>
    <row r="2796" spans="1:6" x14ac:dyDescent="0.25">
      <c r="A2796" s="62">
        <v>44678</v>
      </c>
      <c r="B2796" s="62" t="s">
        <v>2448</v>
      </c>
      <c r="C2796" s="23">
        <v>-899</v>
      </c>
      <c r="D2796" s="24" t="s">
        <v>49</v>
      </c>
      <c r="E2796" s="24" t="s">
        <v>56</v>
      </c>
      <c r="F2796" s="63" t="s">
        <v>0</v>
      </c>
    </row>
    <row r="2797" spans="1:6" x14ac:dyDescent="0.25">
      <c r="A2797" s="62">
        <v>44678</v>
      </c>
      <c r="B2797" s="62" t="s">
        <v>2449</v>
      </c>
      <c r="C2797" s="23">
        <v>-10000</v>
      </c>
      <c r="D2797" s="24" t="s">
        <v>49</v>
      </c>
      <c r="E2797" s="24" t="s">
        <v>67</v>
      </c>
      <c r="F2797" s="63" t="s">
        <v>0</v>
      </c>
    </row>
    <row r="2798" spans="1:6" x14ac:dyDescent="0.25">
      <c r="A2798" s="62">
        <v>44678</v>
      </c>
      <c r="B2798" s="62" t="s">
        <v>2450</v>
      </c>
      <c r="C2798" s="23">
        <v>-170</v>
      </c>
      <c r="D2798" s="24" t="s">
        <v>52</v>
      </c>
      <c r="E2798" s="24" t="s">
        <v>53</v>
      </c>
      <c r="F2798" s="63" t="s">
        <v>0</v>
      </c>
    </row>
    <row r="2799" spans="1:6" x14ac:dyDescent="0.25">
      <c r="A2799" s="62">
        <v>44678</v>
      </c>
      <c r="B2799" s="62" t="s">
        <v>2451</v>
      </c>
      <c r="C2799" s="23">
        <v>-3554</v>
      </c>
      <c r="D2799" s="24" t="s">
        <v>49</v>
      </c>
      <c r="E2799" s="24" t="s">
        <v>56</v>
      </c>
      <c r="F2799" s="63" t="s">
        <v>0</v>
      </c>
    </row>
    <row r="2800" spans="1:6" x14ac:dyDescent="0.25">
      <c r="A2800" s="62">
        <v>44677</v>
      </c>
      <c r="B2800" s="62" t="s">
        <v>2452</v>
      </c>
      <c r="C2800" s="23">
        <v>-6490</v>
      </c>
      <c r="D2800" s="24" t="s">
        <v>52</v>
      </c>
      <c r="E2800" s="24" t="s">
        <v>53</v>
      </c>
      <c r="F2800" s="63" t="s">
        <v>4</v>
      </c>
    </row>
    <row r="2801" spans="1:6" x14ac:dyDescent="0.25">
      <c r="A2801" s="62">
        <v>44677</v>
      </c>
      <c r="B2801" s="62" t="s">
        <v>2453</v>
      </c>
      <c r="C2801" s="23">
        <v>-23167</v>
      </c>
      <c r="D2801" s="24" t="s">
        <v>49</v>
      </c>
      <c r="E2801" s="24" t="s">
        <v>56</v>
      </c>
      <c r="F2801" s="63" t="s">
        <v>0</v>
      </c>
    </row>
    <row r="2802" spans="1:6" x14ac:dyDescent="0.25">
      <c r="A2802" s="62">
        <v>44677</v>
      </c>
      <c r="B2802" s="62" t="s">
        <v>2454</v>
      </c>
      <c r="C2802" s="23">
        <v>-10340</v>
      </c>
      <c r="D2802" s="24" t="s">
        <v>49</v>
      </c>
      <c r="E2802" s="24" t="s">
        <v>56</v>
      </c>
      <c r="F2802" s="63" t="s">
        <v>0</v>
      </c>
    </row>
    <row r="2803" spans="1:6" x14ac:dyDescent="0.25">
      <c r="A2803" s="62">
        <v>44677</v>
      </c>
      <c r="B2803" s="62" t="s">
        <v>1083</v>
      </c>
      <c r="C2803" s="23">
        <v>-694</v>
      </c>
      <c r="D2803" s="24" t="s">
        <v>49</v>
      </c>
      <c r="E2803" s="24" t="s">
        <v>56</v>
      </c>
      <c r="F2803" s="63" t="s">
        <v>0</v>
      </c>
    </row>
    <row r="2804" spans="1:6" x14ac:dyDescent="0.25">
      <c r="A2804" s="62">
        <v>44676</v>
      </c>
      <c r="B2804" s="62" t="s">
        <v>2455</v>
      </c>
      <c r="C2804" s="23">
        <v>-3640</v>
      </c>
      <c r="D2804" s="24" t="s">
        <v>52</v>
      </c>
      <c r="E2804" s="24" t="s">
        <v>53</v>
      </c>
      <c r="F2804" s="63" t="s">
        <v>0</v>
      </c>
    </row>
    <row r="2805" spans="1:6" x14ac:dyDescent="0.25">
      <c r="A2805" s="62">
        <v>44676</v>
      </c>
      <c r="B2805" s="62" t="s">
        <v>2456</v>
      </c>
      <c r="C2805" s="23">
        <v>-6850</v>
      </c>
      <c r="D2805" s="24" t="s">
        <v>52</v>
      </c>
      <c r="E2805" s="24" t="s">
        <v>53</v>
      </c>
      <c r="F2805" s="63" t="s">
        <v>0</v>
      </c>
    </row>
    <row r="2806" spans="1:6" x14ac:dyDescent="0.25">
      <c r="A2806" s="62">
        <v>44676</v>
      </c>
      <c r="B2806" s="62" t="s">
        <v>2457</v>
      </c>
      <c r="C2806" s="23">
        <v>-534</v>
      </c>
      <c r="D2806" s="24" t="s">
        <v>49</v>
      </c>
      <c r="E2806" s="24" t="s">
        <v>56</v>
      </c>
      <c r="F2806" s="63" t="s">
        <v>0</v>
      </c>
    </row>
    <row r="2807" spans="1:6" x14ac:dyDescent="0.25">
      <c r="A2807" s="62">
        <v>44676</v>
      </c>
      <c r="B2807" s="62" t="s">
        <v>2458</v>
      </c>
      <c r="C2807" s="23">
        <v>10000000</v>
      </c>
      <c r="D2807" s="24" t="s">
        <v>167</v>
      </c>
      <c r="E2807" s="24" t="s">
        <v>555</v>
      </c>
      <c r="F2807" s="63" t="s">
        <v>0</v>
      </c>
    </row>
    <row r="2808" spans="1:6" x14ac:dyDescent="0.25">
      <c r="A2808" s="62">
        <v>44676</v>
      </c>
      <c r="B2808" s="62" t="s">
        <v>2458</v>
      </c>
      <c r="C2808" s="23">
        <v>-10000000</v>
      </c>
      <c r="D2808" s="24" t="s">
        <v>167</v>
      </c>
      <c r="E2808" s="24" t="s">
        <v>555</v>
      </c>
      <c r="F2808" s="63" t="s">
        <v>10</v>
      </c>
    </row>
    <row r="2809" spans="1:6" x14ac:dyDescent="0.25">
      <c r="A2809" s="62">
        <v>44676</v>
      </c>
      <c r="B2809" s="62" t="s">
        <v>2459</v>
      </c>
      <c r="C2809" s="23">
        <v>-810</v>
      </c>
      <c r="D2809" s="24" t="s">
        <v>83</v>
      </c>
      <c r="E2809" s="24" t="s">
        <v>660</v>
      </c>
      <c r="F2809" s="63" t="s">
        <v>0</v>
      </c>
    </row>
    <row r="2810" spans="1:6" x14ac:dyDescent="0.25">
      <c r="A2810" s="62">
        <v>44676</v>
      </c>
      <c r="B2810" s="62" t="s">
        <v>2460</v>
      </c>
      <c r="C2810" s="23">
        <v>-144770</v>
      </c>
      <c r="D2810" s="24" t="s">
        <v>46</v>
      </c>
      <c r="E2810" s="24" t="s">
        <v>61</v>
      </c>
      <c r="F2810" s="63" t="s">
        <v>0</v>
      </c>
    </row>
    <row r="2811" spans="1:6" x14ac:dyDescent="0.25">
      <c r="A2811" s="62">
        <v>44676</v>
      </c>
      <c r="B2811" s="62" t="s">
        <v>2461</v>
      </c>
      <c r="C2811" s="23">
        <v>-14060</v>
      </c>
      <c r="D2811" s="24" t="s">
        <v>46</v>
      </c>
      <c r="E2811" s="24" t="s">
        <v>61</v>
      </c>
      <c r="F2811" s="63" t="s">
        <v>0</v>
      </c>
    </row>
    <row r="2812" spans="1:6" x14ac:dyDescent="0.25">
      <c r="A2812" s="62">
        <v>44676</v>
      </c>
      <c r="B2812" s="62" t="s">
        <v>2462</v>
      </c>
      <c r="C2812" s="23">
        <v>-4230</v>
      </c>
      <c r="D2812" s="24" t="s">
        <v>52</v>
      </c>
      <c r="E2812" s="24" t="s">
        <v>53</v>
      </c>
      <c r="F2812" s="63" t="s">
        <v>0</v>
      </c>
    </row>
    <row r="2813" spans="1:6" x14ac:dyDescent="0.25">
      <c r="A2813" s="62">
        <v>44673</v>
      </c>
      <c r="B2813" s="62" t="s">
        <v>2463</v>
      </c>
      <c r="C2813" s="23">
        <v>-5680</v>
      </c>
      <c r="D2813" s="24" t="s">
        <v>52</v>
      </c>
      <c r="E2813" s="24" t="s">
        <v>53</v>
      </c>
      <c r="F2813" s="63" t="s">
        <v>0</v>
      </c>
    </row>
    <row r="2814" spans="1:6" x14ac:dyDescent="0.25">
      <c r="A2814" s="62">
        <v>44673</v>
      </c>
      <c r="B2814" s="62" t="s">
        <v>2464</v>
      </c>
      <c r="C2814" s="23">
        <v>-1123</v>
      </c>
      <c r="D2814" s="24" t="s">
        <v>49</v>
      </c>
      <c r="E2814" s="24" t="s">
        <v>56</v>
      </c>
      <c r="F2814" s="63" t="s">
        <v>0</v>
      </c>
    </row>
    <row r="2815" spans="1:6" x14ac:dyDescent="0.25">
      <c r="A2815" s="62">
        <v>44672</v>
      </c>
      <c r="B2815" s="62" t="s">
        <v>139</v>
      </c>
      <c r="C2815" s="23">
        <v>13636</v>
      </c>
      <c r="D2815" s="24" t="s">
        <v>58</v>
      </c>
      <c r="E2815" s="24" t="s">
        <v>58</v>
      </c>
      <c r="F2815" s="63" t="s">
        <v>4</v>
      </c>
    </row>
    <row r="2816" spans="1:6" x14ac:dyDescent="0.25">
      <c r="A2816" s="62">
        <v>44672</v>
      </c>
      <c r="B2816" s="62" t="s">
        <v>139</v>
      </c>
      <c r="C2816" s="23">
        <v>7670</v>
      </c>
      <c r="D2816" s="24" t="s">
        <v>58</v>
      </c>
      <c r="E2816" s="24" t="s">
        <v>58</v>
      </c>
      <c r="F2816" s="63" t="s">
        <v>4</v>
      </c>
    </row>
    <row r="2817" spans="1:6" x14ac:dyDescent="0.25">
      <c r="A2817" s="62">
        <v>44672</v>
      </c>
      <c r="B2817" s="62" t="s">
        <v>2465</v>
      </c>
      <c r="C2817" s="23">
        <v>-20117</v>
      </c>
      <c r="D2817" s="24" t="s">
        <v>72</v>
      </c>
      <c r="E2817" s="24" t="s">
        <v>109</v>
      </c>
      <c r="F2817" s="63" t="s">
        <v>0</v>
      </c>
    </row>
    <row r="2818" spans="1:6" x14ac:dyDescent="0.25">
      <c r="A2818" s="62">
        <v>44671</v>
      </c>
      <c r="B2818" s="62" t="s">
        <v>2466</v>
      </c>
      <c r="C2818" s="23">
        <v>-1365</v>
      </c>
      <c r="D2818" s="24" t="s">
        <v>46</v>
      </c>
      <c r="E2818" s="24" t="s">
        <v>61</v>
      </c>
      <c r="F2818" s="63" t="s">
        <v>0</v>
      </c>
    </row>
    <row r="2819" spans="1:6" x14ac:dyDescent="0.25">
      <c r="A2819" s="62">
        <v>44670</v>
      </c>
      <c r="B2819" s="62" t="s">
        <v>2467</v>
      </c>
      <c r="C2819" s="23">
        <v>-14900</v>
      </c>
      <c r="D2819" s="24" t="s">
        <v>90</v>
      </c>
      <c r="E2819" s="24" t="s">
        <v>111</v>
      </c>
      <c r="F2819" s="63" t="s">
        <v>0</v>
      </c>
    </row>
    <row r="2820" spans="1:6" x14ac:dyDescent="0.25">
      <c r="A2820" s="62">
        <v>44670</v>
      </c>
      <c r="B2820" s="62" t="s">
        <v>2468</v>
      </c>
      <c r="C2820" s="23">
        <v>-7129</v>
      </c>
      <c r="D2820" s="24" t="s">
        <v>49</v>
      </c>
      <c r="E2820" s="24" t="s">
        <v>56</v>
      </c>
      <c r="F2820" s="63" t="s">
        <v>0</v>
      </c>
    </row>
    <row r="2821" spans="1:6" x14ac:dyDescent="0.25">
      <c r="A2821" s="62">
        <v>44670</v>
      </c>
      <c r="B2821" s="62" t="s">
        <v>704</v>
      </c>
      <c r="C2821" s="23">
        <v>-6944</v>
      </c>
      <c r="D2821" s="24" t="s">
        <v>46</v>
      </c>
      <c r="E2821" s="24" t="s">
        <v>150</v>
      </c>
      <c r="F2821" s="63" t="s">
        <v>0</v>
      </c>
    </row>
    <row r="2822" spans="1:6" x14ac:dyDescent="0.25">
      <c r="A2822" s="62">
        <v>44670</v>
      </c>
      <c r="B2822" s="62" t="s">
        <v>2469</v>
      </c>
      <c r="C2822" s="23">
        <v>-15271</v>
      </c>
      <c r="D2822" s="24" t="s">
        <v>49</v>
      </c>
      <c r="E2822" s="24" t="s">
        <v>56</v>
      </c>
      <c r="F2822" s="63" t="s">
        <v>0</v>
      </c>
    </row>
    <row r="2823" spans="1:6" x14ac:dyDescent="0.25">
      <c r="A2823" s="62">
        <v>44670</v>
      </c>
      <c r="B2823" s="62" t="s">
        <v>2470</v>
      </c>
      <c r="C2823" s="23">
        <v>-37877</v>
      </c>
      <c r="D2823" s="24" t="s">
        <v>46</v>
      </c>
      <c r="E2823" s="24" t="s">
        <v>61</v>
      </c>
      <c r="F2823" s="63" t="s">
        <v>0</v>
      </c>
    </row>
    <row r="2824" spans="1:6" x14ac:dyDescent="0.25">
      <c r="A2824" s="62">
        <v>44670</v>
      </c>
      <c r="B2824" s="62" t="s">
        <v>2471</v>
      </c>
      <c r="C2824" s="23">
        <v>-6479</v>
      </c>
      <c r="D2824" s="24" t="s">
        <v>46</v>
      </c>
      <c r="E2824" s="24" t="s">
        <v>63</v>
      </c>
      <c r="F2824" s="63" t="s">
        <v>0</v>
      </c>
    </row>
    <row r="2825" spans="1:6" x14ac:dyDescent="0.25">
      <c r="A2825" s="62">
        <v>44665</v>
      </c>
      <c r="B2825" s="62" t="s">
        <v>2472</v>
      </c>
      <c r="C2825" s="23">
        <v>5002</v>
      </c>
      <c r="D2825" s="24" t="s">
        <v>58</v>
      </c>
      <c r="E2825" s="24" t="s">
        <v>58</v>
      </c>
      <c r="F2825" s="63" t="s">
        <v>0</v>
      </c>
    </row>
    <row r="2826" spans="1:6" x14ac:dyDescent="0.25">
      <c r="A2826" s="62">
        <v>44664</v>
      </c>
      <c r="B2826" s="62" t="s">
        <v>2473</v>
      </c>
      <c r="C2826" s="23">
        <v>-5260</v>
      </c>
      <c r="D2826" s="24" t="s">
        <v>49</v>
      </c>
      <c r="E2826" s="24" t="s">
        <v>56</v>
      </c>
      <c r="F2826" s="63" t="s">
        <v>0</v>
      </c>
    </row>
    <row r="2827" spans="1:6" x14ac:dyDescent="0.25">
      <c r="A2827" s="62">
        <v>44663</v>
      </c>
      <c r="B2827" s="62" t="s">
        <v>2474</v>
      </c>
      <c r="C2827" s="23">
        <v>-2880</v>
      </c>
      <c r="D2827" s="24" t="s">
        <v>52</v>
      </c>
      <c r="E2827" s="24" t="s">
        <v>53</v>
      </c>
      <c r="F2827" s="63" t="s">
        <v>0</v>
      </c>
    </row>
    <row r="2828" spans="1:6" x14ac:dyDescent="0.25">
      <c r="A2828" s="62">
        <v>44663</v>
      </c>
      <c r="B2828" s="62" t="s">
        <v>2475</v>
      </c>
      <c r="C2828" s="23">
        <v>-1540</v>
      </c>
      <c r="D2828" s="24" t="s">
        <v>52</v>
      </c>
      <c r="E2828" s="24" t="s">
        <v>53</v>
      </c>
      <c r="F2828" s="63" t="s">
        <v>0</v>
      </c>
    </row>
    <row r="2829" spans="1:6" x14ac:dyDescent="0.25">
      <c r="A2829" s="62">
        <v>44663</v>
      </c>
      <c r="B2829" s="62" t="s">
        <v>2476</v>
      </c>
      <c r="C2829" s="23">
        <v>-10079</v>
      </c>
      <c r="D2829" s="24" t="s">
        <v>46</v>
      </c>
      <c r="E2829" s="24" t="s">
        <v>61</v>
      </c>
      <c r="F2829" s="63" t="s">
        <v>0</v>
      </c>
    </row>
    <row r="2830" spans="1:6" x14ac:dyDescent="0.25">
      <c r="A2830" s="62">
        <v>44662</v>
      </c>
      <c r="B2830" s="62" t="s">
        <v>2477</v>
      </c>
      <c r="C2830" s="23">
        <v>-399</v>
      </c>
      <c r="D2830" s="24" t="s">
        <v>49</v>
      </c>
      <c r="E2830" s="24" t="s">
        <v>56</v>
      </c>
      <c r="F2830" s="63" t="s">
        <v>0</v>
      </c>
    </row>
    <row r="2831" spans="1:6" x14ac:dyDescent="0.25">
      <c r="A2831" s="62">
        <v>44662</v>
      </c>
      <c r="B2831" s="62" t="s">
        <v>2478</v>
      </c>
      <c r="C2831" s="23">
        <v>-18507</v>
      </c>
      <c r="D2831" s="24" t="s">
        <v>72</v>
      </c>
      <c r="E2831" s="24" t="s">
        <v>109</v>
      </c>
      <c r="F2831" s="63" t="s">
        <v>0</v>
      </c>
    </row>
    <row r="2832" spans="1:6" x14ac:dyDescent="0.25">
      <c r="A2832" s="62">
        <v>44662</v>
      </c>
      <c r="B2832" s="62" t="s">
        <v>2479</v>
      </c>
      <c r="C2832" s="23">
        <v>-898</v>
      </c>
      <c r="D2832" s="24" t="s">
        <v>49</v>
      </c>
      <c r="E2832" s="24" t="s">
        <v>56</v>
      </c>
      <c r="F2832" s="63" t="s">
        <v>0</v>
      </c>
    </row>
    <row r="2833" spans="1:6" x14ac:dyDescent="0.25">
      <c r="A2833" s="62">
        <v>44662</v>
      </c>
      <c r="B2833" s="62" t="s">
        <v>2480</v>
      </c>
      <c r="C2833" s="23">
        <v>-11008</v>
      </c>
      <c r="D2833" s="24" t="s">
        <v>46</v>
      </c>
      <c r="E2833" s="24" t="s">
        <v>145</v>
      </c>
      <c r="F2833" s="63" t="s">
        <v>0</v>
      </c>
    </row>
    <row r="2834" spans="1:6" x14ac:dyDescent="0.25">
      <c r="A2834" s="62">
        <v>44661</v>
      </c>
      <c r="B2834" s="62" t="s">
        <v>2481</v>
      </c>
      <c r="C2834" s="23">
        <v>-209308</v>
      </c>
      <c r="D2834" s="24" t="s">
        <v>46</v>
      </c>
      <c r="E2834" s="24" t="s">
        <v>10</v>
      </c>
      <c r="F2834" s="63" t="s">
        <v>0</v>
      </c>
    </row>
    <row r="2835" spans="1:6" x14ac:dyDescent="0.25">
      <c r="A2835" s="62">
        <v>44661</v>
      </c>
      <c r="B2835" s="62" t="s">
        <v>2482</v>
      </c>
      <c r="C2835" s="23">
        <v>-52496.79</v>
      </c>
      <c r="D2835" s="24" t="s">
        <v>46</v>
      </c>
      <c r="E2835" s="24" t="s">
        <v>10</v>
      </c>
      <c r="F2835" s="63" t="s">
        <v>0</v>
      </c>
    </row>
    <row r="2836" spans="1:6" x14ac:dyDescent="0.25">
      <c r="A2836" s="62">
        <v>44661</v>
      </c>
      <c r="B2836" s="62" t="s">
        <v>2481</v>
      </c>
      <c r="C2836" s="23">
        <v>209308</v>
      </c>
      <c r="D2836" s="24" t="s">
        <v>46</v>
      </c>
      <c r="E2836" s="24" t="s">
        <v>10</v>
      </c>
      <c r="F2836" s="63" t="s">
        <v>10</v>
      </c>
    </row>
    <row r="2837" spans="1:6" x14ac:dyDescent="0.25">
      <c r="A2837" s="62">
        <v>44659</v>
      </c>
      <c r="B2837" s="62" t="s">
        <v>2483</v>
      </c>
      <c r="C2837" s="23">
        <v>-1380</v>
      </c>
      <c r="D2837" s="24" t="s">
        <v>52</v>
      </c>
      <c r="E2837" s="24" t="s">
        <v>53</v>
      </c>
      <c r="F2837" s="63" t="s">
        <v>4</v>
      </c>
    </row>
    <row r="2838" spans="1:6" x14ac:dyDescent="0.25">
      <c r="A2838" s="62">
        <v>44659</v>
      </c>
      <c r="B2838" s="62" t="s">
        <v>2484</v>
      </c>
      <c r="C2838" s="23">
        <v>-6060</v>
      </c>
      <c r="D2838" s="24" t="s">
        <v>52</v>
      </c>
      <c r="E2838" s="24" t="s">
        <v>53</v>
      </c>
      <c r="F2838" s="63" t="s">
        <v>0</v>
      </c>
    </row>
    <row r="2839" spans="1:6" x14ac:dyDescent="0.25">
      <c r="A2839" s="62">
        <v>44659</v>
      </c>
      <c r="B2839" s="62" t="s">
        <v>2485</v>
      </c>
      <c r="C2839" s="23">
        <v>-1150</v>
      </c>
      <c r="D2839" s="24" t="s">
        <v>52</v>
      </c>
      <c r="E2839" s="24" t="s">
        <v>53</v>
      </c>
      <c r="F2839" s="63" t="s">
        <v>0</v>
      </c>
    </row>
    <row r="2840" spans="1:6" x14ac:dyDescent="0.25">
      <c r="A2840" s="62">
        <v>44659</v>
      </c>
      <c r="B2840" s="62" t="s">
        <v>2486</v>
      </c>
      <c r="C2840" s="23">
        <v>-1040</v>
      </c>
      <c r="D2840" s="24" t="s">
        <v>52</v>
      </c>
      <c r="E2840" s="24" t="s">
        <v>134</v>
      </c>
      <c r="F2840" s="63" t="s">
        <v>0</v>
      </c>
    </row>
    <row r="2841" spans="1:6" x14ac:dyDescent="0.25">
      <c r="A2841" s="62">
        <v>44659</v>
      </c>
      <c r="B2841" s="62" t="s">
        <v>2487</v>
      </c>
      <c r="C2841" s="23">
        <v>-5000</v>
      </c>
      <c r="D2841" s="24" t="s">
        <v>49</v>
      </c>
      <c r="E2841" s="24" t="s">
        <v>1165</v>
      </c>
      <c r="F2841" s="63" t="s">
        <v>0</v>
      </c>
    </row>
    <row r="2842" spans="1:6" x14ac:dyDescent="0.25">
      <c r="A2842" s="62">
        <v>44659</v>
      </c>
      <c r="B2842" s="62" t="s">
        <v>2488</v>
      </c>
      <c r="C2842" s="23">
        <v>-229</v>
      </c>
      <c r="D2842" s="24" t="s">
        <v>49</v>
      </c>
      <c r="E2842" s="24" t="s">
        <v>56</v>
      </c>
      <c r="F2842" s="63" t="s">
        <v>0</v>
      </c>
    </row>
    <row r="2843" spans="1:6" x14ac:dyDescent="0.25">
      <c r="A2843" s="62">
        <v>44659</v>
      </c>
      <c r="B2843" s="62" t="s">
        <v>1651</v>
      </c>
      <c r="C2843" s="23">
        <v>732328</v>
      </c>
      <c r="D2843" s="24" t="s">
        <v>58</v>
      </c>
      <c r="E2843" s="24" t="s">
        <v>58</v>
      </c>
      <c r="F2843" s="63" t="s">
        <v>0</v>
      </c>
    </row>
    <row r="2844" spans="1:6" x14ac:dyDescent="0.25">
      <c r="A2844" s="62">
        <v>44658</v>
      </c>
      <c r="B2844" s="62" t="s">
        <v>171</v>
      </c>
      <c r="C2844" s="23">
        <v>1550</v>
      </c>
      <c r="D2844" s="24" t="s">
        <v>167</v>
      </c>
      <c r="E2844" s="24" t="s">
        <v>168</v>
      </c>
      <c r="F2844" s="63" t="s">
        <v>0</v>
      </c>
    </row>
    <row r="2845" spans="1:6" x14ac:dyDescent="0.25">
      <c r="A2845" s="62">
        <v>44658</v>
      </c>
      <c r="B2845" s="62" t="s">
        <v>2489</v>
      </c>
      <c r="C2845" s="23">
        <v>-7311</v>
      </c>
      <c r="D2845" s="24" t="s">
        <v>49</v>
      </c>
      <c r="E2845" s="24" t="s">
        <v>56</v>
      </c>
      <c r="F2845" s="63" t="s">
        <v>0</v>
      </c>
    </row>
    <row r="2846" spans="1:6" x14ac:dyDescent="0.25">
      <c r="A2846" s="62">
        <v>44658</v>
      </c>
      <c r="B2846" s="62" t="s">
        <v>2490</v>
      </c>
      <c r="C2846" s="23">
        <v>-4040</v>
      </c>
      <c r="D2846" s="24" t="s">
        <v>49</v>
      </c>
      <c r="E2846" s="24" t="s">
        <v>56</v>
      </c>
      <c r="F2846" s="63" t="s">
        <v>0</v>
      </c>
    </row>
    <row r="2847" spans="1:6" x14ac:dyDescent="0.25">
      <c r="A2847" s="62">
        <v>44657</v>
      </c>
      <c r="B2847" s="62" t="s">
        <v>2491</v>
      </c>
      <c r="C2847" s="23">
        <v>-598</v>
      </c>
      <c r="D2847" s="24" t="s">
        <v>49</v>
      </c>
      <c r="E2847" s="24" t="s">
        <v>56</v>
      </c>
      <c r="F2847" s="63" t="s">
        <v>0</v>
      </c>
    </row>
    <row r="2848" spans="1:6" x14ac:dyDescent="0.25">
      <c r="A2848" s="62">
        <v>44656</v>
      </c>
      <c r="B2848" s="62" t="s">
        <v>2492</v>
      </c>
      <c r="C2848" s="23">
        <v>-843</v>
      </c>
      <c r="D2848" s="24" t="s">
        <v>49</v>
      </c>
      <c r="E2848" s="24" t="s">
        <v>56</v>
      </c>
      <c r="F2848" s="63" t="s">
        <v>0</v>
      </c>
    </row>
    <row r="2849" spans="1:6" x14ac:dyDescent="0.25">
      <c r="A2849" s="62">
        <v>44656</v>
      </c>
      <c r="B2849" s="62" t="s">
        <v>2493</v>
      </c>
      <c r="C2849" s="23">
        <v>-999</v>
      </c>
      <c r="D2849" s="24" t="s">
        <v>49</v>
      </c>
      <c r="E2849" s="24" t="s">
        <v>56</v>
      </c>
      <c r="F2849" s="63" t="s">
        <v>0</v>
      </c>
    </row>
    <row r="2850" spans="1:6" x14ac:dyDescent="0.25">
      <c r="A2850" s="62">
        <v>44655</v>
      </c>
      <c r="B2850" s="62" t="s">
        <v>172</v>
      </c>
      <c r="C2850" s="23">
        <v>302575</v>
      </c>
      <c r="D2850" s="24" t="s">
        <v>58</v>
      </c>
      <c r="E2850" s="24" t="s">
        <v>58</v>
      </c>
      <c r="F2850" s="63" t="s">
        <v>0</v>
      </c>
    </row>
    <row r="2851" spans="1:6" x14ac:dyDescent="0.25">
      <c r="A2851" s="62">
        <v>44655</v>
      </c>
      <c r="B2851" s="62" t="s">
        <v>2494</v>
      </c>
      <c r="C2851" s="23">
        <v>-10230</v>
      </c>
      <c r="D2851" s="24" t="s">
        <v>52</v>
      </c>
      <c r="E2851" s="24" t="s">
        <v>1865</v>
      </c>
      <c r="F2851" s="63" t="s">
        <v>0</v>
      </c>
    </row>
    <row r="2852" spans="1:6" x14ac:dyDescent="0.25">
      <c r="A2852" s="62">
        <v>44655</v>
      </c>
      <c r="B2852" s="62" t="s">
        <v>2495</v>
      </c>
      <c r="C2852" s="23">
        <v>-8349</v>
      </c>
      <c r="D2852" s="24" t="s">
        <v>49</v>
      </c>
      <c r="E2852" s="24" t="s">
        <v>56</v>
      </c>
      <c r="F2852" s="63" t="s">
        <v>0</v>
      </c>
    </row>
    <row r="2853" spans="1:6" x14ac:dyDescent="0.25">
      <c r="A2853" s="62">
        <v>44655</v>
      </c>
      <c r="B2853" s="62" t="s">
        <v>2496</v>
      </c>
      <c r="C2853" s="23">
        <v>-1805</v>
      </c>
      <c r="D2853" s="24" t="s">
        <v>49</v>
      </c>
      <c r="E2853" s="24" t="s">
        <v>56</v>
      </c>
      <c r="F2853" s="63" t="s">
        <v>0</v>
      </c>
    </row>
    <row r="2854" spans="1:6" x14ac:dyDescent="0.25">
      <c r="A2854" s="62">
        <v>44652</v>
      </c>
      <c r="B2854" s="62" t="s">
        <v>2497</v>
      </c>
      <c r="C2854" s="23">
        <v>-8880</v>
      </c>
      <c r="D2854" s="24" t="s">
        <v>90</v>
      </c>
      <c r="E2854" s="24" t="s">
        <v>93</v>
      </c>
      <c r="F2854" s="63" t="s">
        <v>0</v>
      </c>
    </row>
    <row r="2855" spans="1:6" x14ac:dyDescent="0.25">
      <c r="A2855" s="62">
        <v>44651</v>
      </c>
      <c r="B2855" s="62" t="s">
        <v>309</v>
      </c>
      <c r="C2855" s="23">
        <v>-3.3</v>
      </c>
      <c r="D2855" s="24" t="s">
        <v>167</v>
      </c>
      <c r="E2855" s="24" t="s">
        <v>32</v>
      </c>
      <c r="F2855" s="63" t="s">
        <v>0</v>
      </c>
    </row>
    <row r="2856" spans="1:6" x14ac:dyDescent="0.25">
      <c r="A2856" s="62">
        <v>44651</v>
      </c>
      <c r="B2856" s="62" t="s">
        <v>32</v>
      </c>
      <c r="C2856" s="23">
        <v>21.97</v>
      </c>
      <c r="D2856" s="24" t="s">
        <v>167</v>
      </c>
      <c r="E2856" s="24" t="s">
        <v>32</v>
      </c>
      <c r="F2856" s="63" t="s">
        <v>0</v>
      </c>
    </row>
    <row r="2857" spans="1:6" x14ac:dyDescent="0.25">
      <c r="A2857" s="62">
        <v>44651</v>
      </c>
      <c r="B2857" s="62" t="s">
        <v>2498</v>
      </c>
      <c r="C2857" s="23">
        <v>27.37</v>
      </c>
      <c r="D2857" s="24" t="s">
        <v>167</v>
      </c>
      <c r="E2857" s="24" t="s">
        <v>32</v>
      </c>
      <c r="F2857" s="63" t="s">
        <v>0</v>
      </c>
    </row>
    <row r="2858" spans="1:6" x14ac:dyDescent="0.25">
      <c r="A2858" s="62">
        <v>44651</v>
      </c>
      <c r="B2858" s="62" t="s">
        <v>2499</v>
      </c>
      <c r="C2858" s="23">
        <v>-4.1100000000000003</v>
      </c>
      <c r="D2858" s="24" t="s">
        <v>167</v>
      </c>
      <c r="E2858" s="24" t="s">
        <v>32</v>
      </c>
      <c r="F2858" s="63" t="s">
        <v>0</v>
      </c>
    </row>
    <row r="2859" spans="1:6" x14ac:dyDescent="0.25">
      <c r="A2859" s="62">
        <v>44651</v>
      </c>
      <c r="B2859" s="62" t="s">
        <v>43</v>
      </c>
      <c r="C2859" s="23">
        <v>-1799</v>
      </c>
      <c r="D2859" s="24" t="s">
        <v>167</v>
      </c>
      <c r="E2859" s="24" t="s">
        <v>168</v>
      </c>
      <c r="F2859" s="63" t="s">
        <v>0</v>
      </c>
    </row>
    <row r="2860" spans="1:6" x14ac:dyDescent="0.25">
      <c r="A2860" s="62">
        <v>44650</v>
      </c>
      <c r="B2860" s="62" t="s">
        <v>2500</v>
      </c>
      <c r="C2860" s="23">
        <v>-1400</v>
      </c>
      <c r="D2860" s="24" t="s">
        <v>52</v>
      </c>
      <c r="E2860" s="24" t="s">
        <v>53</v>
      </c>
      <c r="F2860" s="63" t="s">
        <v>4</v>
      </c>
    </row>
    <row r="2861" spans="1:6" x14ac:dyDescent="0.25">
      <c r="A2861" s="62">
        <v>44650</v>
      </c>
      <c r="B2861" s="62" t="s">
        <v>2501</v>
      </c>
      <c r="C2861" s="23">
        <v>-1807</v>
      </c>
      <c r="D2861" s="24" t="s">
        <v>49</v>
      </c>
      <c r="E2861" s="24" t="s">
        <v>56</v>
      </c>
      <c r="F2861" s="63" t="s">
        <v>0</v>
      </c>
    </row>
    <row r="2862" spans="1:6" x14ac:dyDescent="0.25">
      <c r="A2862" s="62">
        <v>44650</v>
      </c>
      <c r="B2862" s="62" t="s">
        <v>2502</v>
      </c>
      <c r="C2862" s="23">
        <v>-4082</v>
      </c>
      <c r="D2862" s="24" t="s">
        <v>49</v>
      </c>
      <c r="E2862" s="24" t="s">
        <v>56</v>
      </c>
      <c r="F2862" s="63" t="s">
        <v>0</v>
      </c>
    </row>
    <row r="2863" spans="1:6" x14ac:dyDescent="0.25">
      <c r="A2863" s="62">
        <v>44650</v>
      </c>
      <c r="B2863" s="62" t="s">
        <v>2503</v>
      </c>
      <c r="C2863" s="23">
        <v>-500</v>
      </c>
      <c r="D2863" s="24" t="s">
        <v>49</v>
      </c>
      <c r="E2863" s="24" t="s">
        <v>56</v>
      </c>
      <c r="F2863" s="63" t="s">
        <v>0</v>
      </c>
    </row>
    <row r="2864" spans="1:6" x14ac:dyDescent="0.25">
      <c r="A2864" s="62">
        <v>44650</v>
      </c>
      <c r="B2864" s="62" t="s">
        <v>2504</v>
      </c>
      <c r="C2864" s="23">
        <v>-13150</v>
      </c>
      <c r="D2864" s="24" t="s">
        <v>49</v>
      </c>
      <c r="E2864" s="24" t="s">
        <v>56</v>
      </c>
      <c r="F2864" s="63" t="s">
        <v>0</v>
      </c>
    </row>
    <row r="2865" spans="1:6" x14ac:dyDescent="0.25">
      <c r="A2865" s="62">
        <v>44650</v>
      </c>
      <c r="B2865" s="62" t="s">
        <v>2505</v>
      </c>
      <c r="C2865" s="23">
        <v>-690</v>
      </c>
      <c r="D2865" s="24" t="s">
        <v>52</v>
      </c>
      <c r="E2865" s="24" t="s">
        <v>134</v>
      </c>
      <c r="F2865" s="63" t="s">
        <v>0</v>
      </c>
    </row>
    <row r="2866" spans="1:6" x14ac:dyDescent="0.25">
      <c r="A2866" s="62">
        <v>44650</v>
      </c>
      <c r="B2866" s="62" t="s">
        <v>2506</v>
      </c>
      <c r="C2866" s="23">
        <v>-990</v>
      </c>
      <c r="D2866" s="24" t="s">
        <v>52</v>
      </c>
      <c r="E2866" s="24" t="s">
        <v>53</v>
      </c>
      <c r="F2866" s="63" t="s">
        <v>0</v>
      </c>
    </row>
    <row r="2867" spans="1:6" x14ac:dyDescent="0.25">
      <c r="A2867" s="62">
        <v>44650</v>
      </c>
      <c r="B2867" s="62" t="s">
        <v>2507</v>
      </c>
      <c r="C2867" s="23">
        <v>-550</v>
      </c>
      <c r="D2867" s="24" t="s">
        <v>52</v>
      </c>
      <c r="E2867" s="24" t="s">
        <v>134</v>
      </c>
      <c r="F2867" s="63" t="s">
        <v>0</v>
      </c>
    </row>
    <row r="2868" spans="1:6" x14ac:dyDescent="0.25">
      <c r="A2868" s="62">
        <v>44650</v>
      </c>
      <c r="B2868" s="62" t="s">
        <v>2508</v>
      </c>
      <c r="C2868" s="23">
        <v>-6380</v>
      </c>
      <c r="D2868" s="24" t="s">
        <v>90</v>
      </c>
      <c r="E2868" s="24" t="s">
        <v>93</v>
      </c>
      <c r="F2868" s="63" t="s">
        <v>0</v>
      </c>
    </row>
    <row r="2869" spans="1:6" x14ac:dyDescent="0.25">
      <c r="A2869" s="62">
        <v>44649</v>
      </c>
      <c r="B2869" s="62" t="s">
        <v>2509</v>
      </c>
      <c r="C2869" s="23">
        <v>-1298</v>
      </c>
      <c r="D2869" s="24" t="s">
        <v>49</v>
      </c>
      <c r="E2869" s="24" t="s">
        <v>56</v>
      </c>
      <c r="F2869" s="63" t="s">
        <v>0</v>
      </c>
    </row>
    <row r="2870" spans="1:6" x14ac:dyDescent="0.25">
      <c r="A2870" s="62">
        <v>44649</v>
      </c>
      <c r="B2870" s="62" t="s">
        <v>2510</v>
      </c>
      <c r="C2870" s="23">
        <v>-249</v>
      </c>
      <c r="D2870" s="24" t="s">
        <v>49</v>
      </c>
      <c r="E2870" s="24" t="s">
        <v>56</v>
      </c>
      <c r="F2870" s="63" t="s">
        <v>0</v>
      </c>
    </row>
    <row r="2871" spans="1:6" x14ac:dyDescent="0.25">
      <c r="A2871" s="62">
        <v>44648</v>
      </c>
      <c r="B2871" s="62" t="s">
        <v>2511</v>
      </c>
      <c r="C2871" s="23">
        <v>-9781</v>
      </c>
      <c r="D2871" s="24" t="s">
        <v>49</v>
      </c>
      <c r="E2871" s="24" t="s">
        <v>56</v>
      </c>
      <c r="F2871" s="63" t="s">
        <v>0</v>
      </c>
    </row>
    <row r="2872" spans="1:6" x14ac:dyDescent="0.25">
      <c r="A2872" s="62">
        <v>44648</v>
      </c>
      <c r="B2872" s="62" t="s">
        <v>2512</v>
      </c>
      <c r="C2872" s="23">
        <v>-3490</v>
      </c>
      <c r="D2872" s="24" t="s">
        <v>49</v>
      </c>
      <c r="E2872" s="24" t="s">
        <v>56</v>
      </c>
      <c r="F2872" s="63" t="s">
        <v>0</v>
      </c>
    </row>
    <row r="2873" spans="1:6" x14ac:dyDescent="0.25">
      <c r="A2873" s="62">
        <v>44648</v>
      </c>
      <c r="B2873" s="62" t="s">
        <v>2513</v>
      </c>
      <c r="C2873" s="23">
        <v>-20991</v>
      </c>
      <c r="D2873" s="24" t="s">
        <v>72</v>
      </c>
      <c r="E2873" s="24" t="s">
        <v>109</v>
      </c>
      <c r="F2873" s="63" t="s">
        <v>0</v>
      </c>
    </row>
    <row r="2874" spans="1:6" x14ac:dyDescent="0.25">
      <c r="A2874" s="62">
        <v>44648</v>
      </c>
      <c r="B2874" s="62" t="s">
        <v>2050</v>
      </c>
      <c r="C2874" s="23">
        <v>-792</v>
      </c>
      <c r="D2874" s="24" t="s">
        <v>49</v>
      </c>
      <c r="E2874" s="24" t="s">
        <v>56</v>
      </c>
      <c r="F2874" s="63" t="s">
        <v>0</v>
      </c>
    </row>
    <row r="2875" spans="1:6" x14ac:dyDescent="0.25">
      <c r="A2875" s="62">
        <v>44648</v>
      </c>
      <c r="B2875" s="62" t="s">
        <v>2514</v>
      </c>
      <c r="C2875" s="23">
        <v>-5676</v>
      </c>
      <c r="D2875" s="24" t="s">
        <v>49</v>
      </c>
      <c r="E2875" s="24" t="s">
        <v>56</v>
      </c>
      <c r="F2875" s="63" t="s">
        <v>0</v>
      </c>
    </row>
    <row r="2876" spans="1:6" x14ac:dyDescent="0.25">
      <c r="A2876" s="62">
        <v>44648</v>
      </c>
      <c r="B2876" s="62" t="s">
        <v>2515</v>
      </c>
      <c r="C2876" s="23">
        <v>-6935</v>
      </c>
      <c r="D2876" s="24" t="s">
        <v>49</v>
      </c>
      <c r="E2876" s="24" t="s">
        <v>56</v>
      </c>
      <c r="F2876" s="63" t="s">
        <v>0</v>
      </c>
    </row>
    <row r="2877" spans="1:6" x14ac:dyDescent="0.25">
      <c r="A2877" s="62">
        <v>44648</v>
      </c>
      <c r="B2877" s="62" t="s">
        <v>2516</v>
      </c>
      <c r="C2877" s="23">
        <v>-3490</v>
      </c>
      <c r="D2877" s="24" t="s">
        <v>46</v>
      </c>
      <c r="E2877" s="24" t="s">
        <v>63</v>
      </c>
      <c r="F2877" s="63" t="s">
        <v>0</v>
      </c>
    </row>
    <row r="2878" spans="1:6" x14ac:dyDescent="0.25">
      <c r="A2878" s="62">
        <v>44648</v>
      </c>
      <c r="B2878" s="62" t="s">
        <v>172</v>
      </c>
      <c r="C2878" s="23">
        <v>21414</v>
      </c>
      <c r="D2878" s="24" t="s">
        <v>58</v>
      </c>
      <c r="E2878" s="24" t="s">
        <v>58</v>
      </c>
      <c r="F2878" s="63" t="s">
        <v>0</v>
      </c>
    </row>
    <row r="2879" spans="1:6" x14ac:dyDescent="0.25">
      <c r="A2879" s="62">
        <v>44648</v>
      </c>
      <c r="B2879" s="62" t="s">
        <v>2517</v>
      </c>
      <c r="C2879" s="23">
        <v>-4169</v>
      </c>
      <c r="D2879" s="24" t="s">
        <v>52</v>
      </c>
      <c r="E2879" s="24" t="s">
        <v>53</v>
      </c>
      <c r="F2879" s="63" t="s">
        <v>0</v>
      </c>
    </row>
    <row r="2880" spans="1:6" x14ac:dyDescent="0.25">
      <c r="A2880" s="62">
        <v>44647</v>
      </c>
      <c r="B2880" s="62" t="s">
        <v>1143</v>
      </c>
      <c r="C2880" s="23">
        <v>-1790</v>
      </c>
      <c r="D2880" s="24" t="s">
        <v>52</v>
      </c>
      <c r="E2880" s="24" t="s">
        <v>53</v>
      </c>
      <c r="F2880" s="63" t="s">
        <v>4</v>
      </c>
    </row>
    <row r="2881" spans="1:6" x14ac:dyDescent="0.25">
      <c r="A2881" s="62">
        <v>44646</v>
      </c>
      <c r="B2881" s="62" t="s">
        <v>2518</v>
      </c>
      <c r="C2881" s="23">
        <v>-1000</v>
      </c>
      <c r="D2881" s="24" t="s">
        <v>49</v>
      </c>
      <c r="E2881" s="24" t="s">
        <v>67</v>
      </c>
      <c r="F2881" s="63" t="s">
        <v>0</v>
      </c>
    </row>
    <row r="2882" spans="1:6" x14ac:dyDescent="0.25">
      <c r="A2882" s="62">
        <v>44646</v>
      </c>
      <c r="B2882" s="62" t="s">
        <v>2519</v>
      </c>
      <c r="C2882" s="23">
        <v>-7240</v>
      </c>
      <c r="D2882" s="24" t="s">
        <v>90</v>
      </c>
      <c r="E2882" s="24" t="s">
        <v>93</v>
      </c>
      <c r="F2882" s="63" t="s">
        <v>0</v>
      </c>
    </row>
    <row r="2883" spans="1:6" x14ac:dyDescent="0.25">
      <c r="A2883" s="62">
        <v>44645</v>
      </c>
      <c r="B2883" s="62" t="s">
        <v>2018</v>
      </c>
      <c r="C2883" s="23">
        <v>-2940</v>
      </c>
      <c r="D2883" s="24" t="s">
        <v>52</v>
      </c>
      <c r="E2883" s="24" t="s">
        <v>53</v>
      </c>
      <c r="F2883" s="63" t="s">
        <v>4</v>
      </c>
    </row>
    <row r="2884" spans="1:6" x14ac:dyDescent="0.25">
      <c r="A2884" s="62">
        <v>44644</v>
      </c>
      <c r="B2884" s="62" t="s">
        <v>2520</v>
      </c>
      <c r="C2884" s="23">
        <v>-998</v>
      </c>
      <c r="D2884" s="24" t="s">
        <v>49</v>
      </c>
      <c r="E2884" s="24" t="s">
        <v>56</v>
      </c>
      <c r="F2884" s="63" t="s">
        <v>0</v>
      </c>
    </row>
    <row r="2885" spans="1:6" x14ac:dyDescent="0.25">
      <c r="A2885" s="62">
        <v>44644</v>
      </c>
      <c r="B2885" s="62" t="s">
        <v>2521</v>
      </c>
      <c r="C2885" s="23">
        <v>-1115</v>
      </c>
      <c r="D2885" s="24" t="s">
        <v>49</v>
      </c>
      <c r="E2885" s="24" t="s">
        <v>56</v>
      </c>
      <c r="F2885" s="63" t="s">
        <v>0</v>
      </c>
    </row>
    <row r="2886" spans="1:6" x14ac:dyDescent="0.25">
      <c r="A2886" s="62">
        <v>44644</v>
      </c>
      <c r="B2886" s="62" t="s">
        <v>2522</v>
      </c>
      <c r="C2886" s="23">
        <v>-3378</v>
      </c>
      <c r="D2886" s="24" t="s">
        <v>49</v>
      </c>
      <c r="E2886" s="24" t="s">
        <v>56</v>
      </c>
      <c r="F2886" s="63" t="s">
        <v>0</v>
      </c>
    </row>
    <row r="2887" spans="1:6" x14ac:dyDescent="0.25">
      <c r="A2887" s="62">
        <v>44644</v>
      </c>
      <c r="B2887" s="62" t="s">
        <v>2523</v>
      </c>
      <c r="C2887" s="23">
        <v>-6530</v>
      </c>
      <c r="D2887" s="24" t="s">
        <v>52</v>
      </c>
      <c r="E2887" s="24" t="s">
        <v>53</v>
      </c>
      <c r="F2887" s="63" t="s">
        <v>0</v>
      </c>
    </row>
    <row r="2888" spans="1:6" x14ac:dyDescent="0.25">
      <c r="A2888" s="62">
        <v>44643</v>
      </c>
      <c r="B2888" s="62" t="s">
        <v>2524</v>
      </c>
      <c r="C2888" s="23">
        <v>-557</v>
      </c>
      <c r="D2888" s="24" t="s">
        <v>49</v>
      </c>
      <c r="E2888" s="24" t="s">
        <v>56</v>
      </c>
      <c r="F2888" s="63" t="s">
        <v>0</v>
      </c>
    </row>
    <row r="2889" spans="1:6" x14ac:dyDescent="0.25">
      <c r="A2889" s="62">
        <v>44642</v>
      </c>
      <c r="B2889" s="62" t="s">
        <v>766</v>
      </c>
      <c r="C2889" s="23">
        <v>-6330</v>
      </c>
      <c r="D2889" s="24" t="s">
        <v>52</v>
      </c>
      <c r="E2889" s="24" t="s">
        <v>53</v>
      </c>
      <c r="F2889" s="63" t="s">
        <v>4</v>
      </c>
    </row>
    <row r="2890" spans="1:6" x14ac:dyDescent="0.25">
      <c r="A2890" s="62">
        <v>44642</v>
      </c>
      <c r="B2890" s="62" t="s">
        <v>704</v>
      </c>
      <c r="C2890" s="23">
        <v>-6944</v>
      </c>
      <c r="D2890" s="24" t="s">
        <v>46</v>
      </c>
      <c r="E2890" s="24" t="s">
        <v>150</v>
      </c>
      <c r="F2890" s="63" t="s">
        <v>0</v>
      </c>
    </row>
    <row r="2891" spans="1:6" x14ac:dyDescent="0.25">
      <c r="A2891" s="62">
        <v>44642</v>
      </c>
      <c r="B2891" s="62" t="s">
        <v>2525</v>
      </c>
      <c r="C2891" s="23">
        <v>-350</v>
      </c>
      <c r="D2891" s="24" t="s">
        <v>72</v>
      </c>
      <c r="E2891" s="24" t="s">
        <v>197</v>
      </c>
      <c r="F2891" s="63" t="s">
        <v>0</v>
      </c>
    </row>
    <row r="2892" spans="1:6" x14ac:dyDescent="0.25">
      <c r="A2892" s="62">
        <v>44642</v>
      </c>
      <c r="B2892" s="62" t="s">
        <v>2526</v>
      </c>
      <c r="C2892" s="23">
        <v>-4872</v>
      </c>
      <c r="D2892" s="24" t="s">
        <v>46</v>
      </c>
      <c r="E2892" s="24" t="s">
        <v>61</v>
      </c>
      <c r="F2892" s="63" t="s">
        <v>0</v>
      </c>
    </row>
    <row r="2893" spans="1:6" x14ac:dyDescent="0.25">
      <c r="A2893" s="62">
        <v>44642</v>
      </c>
      <c r="B2893" s="62" t="s">
        <v>2318</v>
      </c>
      <c r="C2893" s="23">
        <v>-5546</v>
      </c>
      <c r="D2893" s="24" t="s">
        <v>46</v>
      </c>
      <c r="E2893" s="24" t="s">
        <v>80</v>
      </c>
      <c r="F2893" s="63" t="s">
        <v>0</v>
      </c>
    </row>
    <row r="2894" spans="1:6" x14ac:dyDescent="0.25">
      <c r="A2894" s="62">
        <v>44642</v>
      </c>
      <c r="B2894" s="62" t="s">
        <v>2527</v>
      </c>
      <c r="C2894" s="23">
        <v>-1260</v>
      </c>
      <c r="D2894" s="24" t="s">
        <v>46</v>
      </c>
      <c r="E2894" s="24" t="s">
        <v>61</v>
      </c>
      <c r="F2894" s="63" t="s">
        <v>0</v>
      </c>
    </row>
    <row r="2895" spans="1:6" x14ac:dyDescent="0.25">
      <c r="A2895" s="62">
        <v>44642</v>
      </c>
      <c r="B2895" s="62" t="s">
        <v>2528</v>
      </c>
      <c r="C2895" s="23">
        <v>-11190</v>
      </c>
      <c r="D2895" s="24" t="s">
        <v>46</v>
      </c>
      <c r="E2895" s="24" t="s">
        <v>61</v>
      </c>
      <c r="F2895" s="63" t="s">
        <v>0</v>
      </c>
    </row>
    <row r="2896" spans="1:6" x14ac:dyDescent="0.25">
      <c r="A2896" s="62">
        <v>44641</v>
      </c>
      <c r="B2896" s="62" t="s">
        <v>139</v>
      </c>
      <c r="C2896" s="23">
        <v>7670</v>
      </c>
      <c r="D2896" s="24" t="s">
        <v>58</v>
      </c>
      <c r="E2896" s="24" t="s">
        <v>58</v>
      </c>
      <c r="F2896" s="63" t="s">
        <v>4</v>
      </c>
    </row>
    <row r="2897" spans="1:6" x14ac:dyDescent="0.25">
      <c r="A2897" s="62">
        <v>44641</v>
      </c>
      <c r="B2897" s="62" t="s">
        <v>139</v>
      </c>
      <c r="C2897" s="23">
        <v>13636</v>
      </c>
      <c r="D2897" s="24" t="s">
        <v>58</v>
      </c>
      <c r="E2897" s="24" t="s">
        <v>58</v>
      </c>
      <c r="F2897" s="63" t="s">
        <v>4</v>
      </c>
    </row>
    <row r="2898" spans="1:6" x14ac:dyDescent="0.25">
      <c r="A2898" s="62">
        <v>44641</v>
      </c>
      <c r="B2898" s="62" t="s">
        <v>2529</v>
      </c>
      <c r="C2898" s="23">
        <v>-2100</v>
      </c>
      <c r="D2898" s="24" t="s">
        <v>52</v>
      </c>
      <c r="E2898" s="24" t="s">
        <v>53</v>
      </c>
      <c r="F2898" s="63" t="s">
        <v>0</v>
      </c>
    </row>
    <row r="2899" spans="1:6" x14ac:dyDescent="0.25">
      <c r="A2899" s="62">
        <v>44641</v>
      </c>
      <c r="B2899" s="62" t="s">
        <v>1331</v>
      </c>
      <c r="C2899" s="23">
        <v>-584</v>
      </c>
      <c r="D2899" s="24" t="s">
        <v>72</v>
      </c>
      <c r="E2899" s="24" t="s">
        <v>197</v>
      </c>
      <c r="F2899" s="63" t="s">
        <v>0</v>
      </c>
    </row>
    <row r="2900" spans="1:6" x14ac:dyDescent="0.25">
      <c r="A2900" s="62">
        <v>44641</v>
      </c>
      <c r="B2900" s="62" t="s">
        <v>2530</v>
      </c>
      <c r="C2900" s="23">
        <v>-6458</v>
      </c>
      <c r="D2900" s="24" t="s">
        <v>83</v>
      </c>
      <c r="E2900" s="24" t="s">
        <v>660</v>
      </c>
      <c r="F2900" s="63" t="s">
        <v>0</v>
      </c>
    </row>
    <row r="2901" spans="1:6" x14ac:dyDescent="0.25">
      <c r="A2901" s="62">
        <v>44641</v>
      </c>
      <c r="B2901" s="62" t="s">
        <v>2531</v>
      </c>
      <c r="C2901" s="23">
        <v>-14000</v>
      </c>
      <c r="D2901" s="24" t="s">
        <v>52</v>
      </c>
      <c r="E2901" s="24" t="s">
        <v>1865</v>
      </c>
      <c r="F2901" s="63" t="s">
        <v>0</v>
      </c>
    </row>
    <row r="2902" spans="1:6" x14ac:dyDescent="0.25">
      <c r="A2902" s="62">
        <v>44641</v>
      </c>
      <c r="B2902" s="62" t="s">
        <v>2532</v>
      </c>
      <c r="C2902" s="23">
        <v>-6479</v>
      </c>
      <c r="D2902" s="24" t="s">
        <v>49</v>
      </c>
      <c r="E2902" s="24" t="s">
        <v>1165</v>
      </c>
      <c r="F2902" s="63" t="s">
        <v>0</v>
      </c>
    </row>
    <row r="2903" spans="1:6" x14ac:dyDescent="0.25">
      <c r="A2903" s="62">
        <v>44641</v>
      </c>
      <c r="B2903" s="62" t="s">
        <v>2533</v>
      </c>
      <c r="C2903" s="23">
        <v>-4870</v>
      </c>
      <c r="D2903" s="24" t="s">
        <v>49</v>
      </c>
      <c r="E2903" s="24" t="s">
        <v>56</v>
      </c>
      <c r="F2903" s="63" t="s">
        <v>0</v>
      </c>
    </row>
    <row r="2904" spans="1:6" x14ac:dyDescent="0.25">
      <c r="A2904" s="62">
        <v>44641</v>
      </c>
      <c r="B2904" s="62" t="s">
        <v>2534</v>
      </c>
      <c r="C2904" s="23">
        <v>-5688</v>
      </c>
      <c r="D2904" s="24" t="s">
        <v>90</v>
      </c>
      <c r="E2904" s="24" t="s">
        <v>111</v>
      </c>
      <c r="F2904" s="63" t="s">
        <v>0</v>
      </c>
    </row>
    <row r="2905" spans="1:6" x14ac:dyDescent="0.25">
      <c r="A2905" s="62">
        <v>44638</v>
      </c>
      <c r="B2905" s="62" t="s">
        <v>2535</v>
      </c>
      <c r="C2905" s="23">
        <v>-1999</v>
      </c>
      <c r="D2905" s="24" t="s">
        <v>46</v>
      </c>
      <c r="E2905" s="24" t="s">
        <v>61</v>
      </c>
      <c r="F2905" s="63" t="s">
        <v>0</v>
      </c>
    </row>
    <row r="2906" spans="1:6" x14ac:dyDescent="0.25">
      <c r="A2906" s="62">
        <v>44638</v>
      </c>
      <c r="B2906" s="62" t="s">
        <v>2536</v>
      </c>
      <c r="C2906" s="23">
        <v>-138</v>
      </c>
      <c r="D2906" s="24" t="s">
        <v>90</v>
      </c>
      <c r="E2906" s="24" t="s">
        <v>59</v>
      </c>
      <c r="F2906" s="63" t="s">
        <v>0</v>
      </c>
    </row>
    <row r="2907" spans="1:6" x14ac:dyDescent="0.25">
      <c r="A2907" s="62">
        <v>44637</v>
      </c>
      <c r="B2907" s="62" t="s">
        <v>1733</v>
      </c>
      <c r="C2907" s="23">
        <v>-2070</v>
      </c>
      <c r="D2907" s="24" t="s">
        <v>52</v>
      </c>
      <c r="E2907" s="24" t="s">
        <v>53</v>
      </c>
      <c r="F2907" s="63" t="s">
        <v>4</v>
      </c>
    </row>
    <row r="2908" spans="1:6" x14ac:dyDescent="0.25">
      <c r="A2908" s="62">
        <v>44637</v>
      </c>
      <c r="B2908" s="62" t="s">
        <v>2537</v>
      </c>
      <c r="C2908" s="23">
        <v>-20770</v>
      </c>
      <c r="D2908" s="24" t="s">
        <v>72</v>
      </c>
      <c r="E2908" s="24" t="s">
        <v>109</v>
      </c>
      <c r="F2908" s="63" t="s">
        <v>0</v>
      </c>
    </row>
    <row r="2909" spans="1:6" x14ac:dyDescent="0.25">
      <c r="A2909" s="62">
        <v>44636</v>
      </c>
      <c r="B2909" s="62" t="s">
        <v>2538</v>
      </c>
      <c r="C2909" s="23">
        <v>-22931</v>
      </c>
      <c r="D2909" s="24" t="s">
        <v>49</v>
      </c>
      <c r="E2909" s="24" t="s">
        <v>56</v>
      </c>
      <c r="F2909" s="63" t="s">
        <v>0</v>
      </c>
    </row>
    <row r="2910" spans="1:6" x14ac:dyDescent="0.25">
      <c r="A2910" s="62">
        <v>44636</v>
      </c>
      <c r="B2910" s="62" t="s">
        <v>2539</v>
      </c>
      <c r="C2910" s="23">
        <v>-199</v>
      </c>
      <c r="D2910" s="24" t="s">
        <v>49</v>
      </c>
      <c r="E2910" s="24" t="s">
        <v>56</v>
      </c>
      <c r="F2910" s="63" t="s">
        <v>0</v>
      </c>
    </row>
    <row r="2911" spans="1:6" x14ac:dyDescent="0.25">
      <c r="A2911" s="62">
        <v>44636</v>
      </c>
      <c r="B2911" s="62" t="s">
        <v>2540</v>
      </c>
      <c r="C2911" s="23">
        <v>-14080</v>
      </c>
      <c r="D2911" s="24" t="s">
        <v>46</v>
      </c>
      <c r="E2911" s="24" t="s">
        <v>61</v>
      </c>
      <c r="F2911" s="63" t="s">
        <v>0</v>
      </c>
    </row>
    <row r="2912" spans="1:6" x14ac:dyDescent="0.25">
      <c r="A2912" s="62">
        <v>44636</v>
      </c>
      <c r="B2912" s="62" t="s">
        <v>2541</v>
      </c>
      <c r="C2912" s="23">
        <v>-403</v>
      </c>
      <c r="D2912" s="24" t="s">
        <v>72</v>
      </c>
      <c r="E2912" s="24" t="s">
        <v>73</v>
      </c>
      <c r="F2912" s="63" t="s">
        <v>0</v>
      </c>
    </row>
    <row r="2913" spans="1:6" x14ac:dyDescent="0.25">
      <c r="A2913" s="62">
        <v>44636</v>
      </c>
      <c r="B2913" s="62" t="s">
        <v>2542</v>
      </c>
      <c r="C2913" s="23">
        <v>-1568</v>
      </c>
      <c r="D2913" s="24" t="s">
        <v>49</v>
      </c>
      <c r="E2913" s="24" t="s">
        <v>56</v>
      </c>
      <c r="F2913" s="63" t="s">
        <v>0</v>
      </c>
    </row>
    <row r="2914" spans="1:6" x14ac:dyDescent="0.25">
      <c r="A2914" s="62">
        <v>44636</v>
      </c>
      <c r="B2914" s="62" t="s">
        <v>2543</v>
      </c>
      <c r="C2914" s="23">
        <v>-19084</v>
      </c>
      <c r="D2914" s="24" t="s">
        <v>46</v>
      </c>
      <c r="E2914" s="24" t="s">
        <v>61</v>
      </c>
      <c r="F2914" s="63" t="s">
        <v>0</v>
      </c>
    </row>
    <row r="2915" spans="1:6" x14ac:dyDescent="0.25">
      <c r="A2915" s="62">
        <v>44636</v>
      </c>
      <c r="B2915" s="62" t="s">
        <v>2544</v>
      </c>
      <c r="C2915" s="23">
        <v>-5160</v>
      </c>
      <c r="D2915" s="24" t="s">
        <v>49</v>
      </c>
      <c r="E2915" s="24" t="s">
        <v>213</v>
      </c>
      <c r="F2915" s="63" t="s">
        <v>0</v>
      </c>
    </row>
    <row r="2916" spans="1:6" x14ac:dyDescent="0.25">
      <c r="A2916" s="62">
        <v>44636</v>
      </c>
      <c r="B2916" s="62" t="s">
        <v>2545</v>
      </c>
      <c r="C2916" s="23">
        <v>-22759</v>
      </c>
      <c r="D2916" s="24" t="s">
        <v>46</v>
      </c>
      <c r="E2916" s="24" t="s">
        <v>61</v>
      </c>
      <c r="F2916" s="63" t="s">
        <v>0</v>
      </c>
    </row>
    <row r="2917" spans="1:6" x14ac:dyDescent="0.25">
      <c r="A2917" s="62">
        <v>44636</v>
      </c>
      <c r="B2917" s="62" t="s">
        <v>2546</v>
      </c>
      <c r="C2917" s="23">
        <v>-19777</v>
      </c>
      <c r="D2917" s="24" t="s">
        <v>49</v>
      </c>
      <c r="E2917" s="24" t="s">
        <v>56</v>
      </c>
      <c r="F2917" s="63" t="s">
        <v>0</v>
      </c>
    </row>
    <row r="2918" spans="1:6" x14ac:dyDescent="0.25">
      <c r="A2918" s="62">
        <v>44635</v>
      </c>
      <c r="B2918" s="62" t="s">
        <v>1241</v>
      </c>
      <c r="C2918" s="23">
        <v>-6610</v>
      </c>
      <c r="D2918" s="24" t="s">
        <v>52</v>
      </c>
      <c r="E2918" s="24" t="s">
        <v>53</v>
      </c>
      <c r="F2918" s="63" t="s">
        <v>4</v>
      </c>
    </row>
    <row r="2919" spans="1:6" x14ac:dyDescent="0.25">
      <c r="A2919" s="62">
        <v>44634</v>
      </c>
      <c r="B2919" s="62" t="s">
        <v>2547</v>
      </c>
      <c r="C2919" s="23">
        <v>-16200</v>
      </c>
      <c r="D2919" s="24" t="s">
        <v>90</v>
      </c>
      <c r="E2919" s="24" t="s">
        <v>93</v>
      </c>
      <c r="F2919" s="63" t="s">
        <v>0</v>
      </c>
    </row>
    <row r="2920" spans="1:6" x14ac:dyDescent="0.25">
      <c r="A2920" s="62">
        <v>44631</v>
      </c>
      <c r="B2920" s="62" t="s">
        <v>2018</v>
      </c>
      <c r="C2920" s="23">
        <v>-2300</v>
      </c>
      <c r="D2920" s="24" t="s">
        <v>52</v>
      </c>
      <c r="E2920" s="24" t="s">
        <v>53</v>
      </c>
      <c r="F2920" s="63" t="s">
        <v>4</v>
      </c>
    </row>
    <row r="2921" spans="1:6" x14ac:dyDescent="0.25">
      <c r="A2921" s="62">
        <v>44631</v>
      </c>
      <c r="B2921" s="62" t="s">
        <v>2548</v>
      </c>
      <c r="C2921" s="23">
        <v>-6170</v>
      </c>
      <c r="D2921" s="24" t="s">
        <v>52</v>
      </c>
      <c r="E2921" s="24" t="s">
        <v>53</v>
      </c>
      <c r="F2921" s="63" t="s">
        <v>0</v>
      </c>
    </row>
    <row r="2922" spans="1:6" x14ac:dyDescent="0.25">
      <c r="A2922" s="62">
        <v>44631</v>
      </c>
      <c r="B2922" s="62" t="s">
        <v>2549</v>
      </c>
      <c r="C2922" s="23">
        <v>-949</v>
      </c>
      <c r="D2922" s="24" t="s">
        <v>49</v>
      </c>
      <c r="E2922" s="24" t="s">
        <v>56</v>
      </c>
      <c r="F2922" s="63" t="s">
        <v>0</v>
      </c>
    </row>
    <row r="2923" spans="1:6" x14ac:dyDescent="0.25">
      <c r="A2923" s="62">
        <v>44631</v>
      </c>
      <c r="B2923" s="62" t="s">
        <v>2550</v>
      </c>
      <c r="C2923" s="23">
        <v>-903</v>
      </c>
      <c r="D2923" s="24" t="s">
        <v>49</v>
      </c>
      <c r="E2923" s="24" t="s">
        <v>56</v>
      </c>
      <c r="F2923" s="63" t="s">
        <v>0</v>
      </c>
    </row>
    <row r="2924" spans="1:6" x14ac:dyDescent="0.25">
      <c r="A2924" s="62">
        <v>44631</v>
      </c>
      <c r="B2924" s="62" t="s">
        <v>2551</v>
      </c>
      <c r="C2924" s="23">
        <v>-2150</v>
      </c>
      <c r="D2924" s="24" t="s">
        <v>52</v>
      </c>
      <c r="E2924" s="24" t="s">
        <v>53</v>
      </c>
      <c r="F2924" s="63" t="s">
        <v>0</v>
      </c>
    </row>
    <row r="2925" spans="1:6" x14ac:dyDescent="0.25">
      <c r="A2925" s="62">
        <v>44631</v>
      </c>
      <c r="B2925" s="62" t="s">
        <v>2018</v>
      </c>
      <c r="C2925" s="23">
        <v>-2300</v>
      </c>
      <c r="D2925" s="24" t="s">
        <v>52</v>
      </c>
      <c r="E2925" s="24" t="s">
        <v>53</v>
      </c>
      <c r="F2925" s="63" t="s">
        <v>4</v>
      </c>
    </row>
    <row r="2926" spans="1:6" x14ac:dyDescent="0.25">
      <c r="A2926" s="62">
        <v>44630</v>
      </c>
      <c r="B2926" s="62" t="s">
        <v>2552</v>
      </c>
      <c r="C2926" s="23">
        <v>-213995.53</v>
      </c>
      <c r="D2926" s="24" t="s">
        <v>46</v>
      </c>
      <c r="E2926" s="24" t="s">
        <v>10</v>
      </c>
      <c r="F2926" s="63" t="s">
        <v>0</v>
      </c>
    </row>
    <row r="2927" spans="1:6" x14ac:dyDescent="0.25">
      <c r="A2927" s="62">
        <v>44630</v>
      </c>
      <c r="B2927" s="62" t="s">
        <v>2553</v>
      </c>
      <c r="C2927" s="23">
        <v>-47809.26</v>
      </c>
      <c r="D2927" s="24" t="s">
        <v>46</v>
      </c>
      <c r="E2927" s="24" t="s">
        <v>10</v>
      </c>
      <c r="F2927" s="63" t="s">
        <v>0</v>
      </c>
    </row>
    <row r="2928" spans="1:6" x14ac:dyDescent="0.25">
      <c r="A2928" s="62">
        <v>44630</v>
      </c>
      <c r="B2928" s="62" t="s">
        <v>1651</v>
      </c>
      <c r="C2928" s="23">
        <v>730024</v>
      </c>
      <c r="D2928" s="24" t="s">
        <v>58</v>
      </c>
      <c r="E2928" s="24" t="s">
        <v>58</v>
      </c>
      <c r="F2928" s="63" t="s">
        <v>0</v>
      </c>
    </row>
    <row r="2929" spans="1:6" x14ac:dyDescent="0.25">
      <c r="A2929" s="62">
        <v>44630</v>
      </c>
      <c r="B2929" s="62" t="s">
        <v>2552</v>
      </c>
      <c r="C2929" s="23">
        <v>213995.53</v>
      </c>
      <c r="D2929" s="24" t="s">
        <v>46</v>
      </c>
      <c r="E2929" s="24" t="s">
        <v>10</v>
      </c>
      <c r="F2929" s="63" t="s">
        <v>10</v>
      </c>
    </row>
    <row r="2930" spans="1:6" x14ac:dyDescent="0.25">
      <c r="A2930" s="62">
        <v>44629</v>
      </c>
      <c r="B2930" s="62" t="s">
        <v>1084</v>
      </c>
      <c r="C2930" s="23">
        <v>-1180</v>
      </c>
      <c r="D2930" s="24" t="s">
        <v>52</v>
      </c>
      <c r="E2930" s="24" t="s">
        <v>134</v>
      </c>
      <c r="F2930" s="63" t="s">
        <v>4</v>
      </c>
    </row>
    <row r="2931" spans="1:6" x14ac:dyDescent="0.25">
      <c r="A2931" s="62">
        <v>44629</v>
      </c>
      <c r="B2931" s="62" t="s">
        <v>1353</v>
      </c>
      <c r="C2931" s="23">
        <v>-4140</v>
      </c>
      <c r="D2931" s="24" t="s">
        <v>52</v>
      </c>
      <c r="E2931" s="24" t="s">
        <v>53</v>
      </c>
      <c r="F2931" s="63" t="s">
        <v>4</v>
      </c>
    </row>
    <row r="2932" spans="1:6" x14ac:dyDescent="0.25">
      <c r="A2932" s="62">
        <v>44629</v>
      </c>
      <c r="B2932" s="62" t="s">
        <v>2554</v>
      </c>
      <c r="C2932" s="23">
        <v>-5551</v>
      </c>
      <c r="D2932" s="24" t="s">
        <v>49</v>
      </c>
      <c r="E2932" s="24" t="s">
        <v>56</v>
      </c>
      <c r="F2932" s="63" t="s">
        <v>0</v>
      </c>
    </row>
    <row r="2933" spans="1:6" x14ac:dyDescent="0.25">
      <c r="A2933" s="62">
        <v>44629</v>
      </c>
      <c r="B2933" s="62" t="s">
        <v>2318</v>
      </c>
      <c r="C2933" s="23">
        <v>-5546</v>
      </c>
      <c r="D2933" s="24" t="s">
        <v>46</v>
      </c>
      <c r="E2933" s="24" t="s">
        <v>80</v>
      </c>
      <c r="F2933" s="63" t="s">
        <v>0</v>
      </c>
    </row>
    <row r="2934" spans="1:6" x14ac:dyDescent="0.25">
      <c r="A2934" s="62">
        <v>44629</v>
      </c>
      <c r="B2934" s="62" t="s">
        <v>2555</v>
      </c>
      <c r="C2934" s="23">
        <v>-278</v>
      </c>
      <c r="D2934" s="24" t="s">
        <v>49</v>
      </c>
      <c r="E2934" s="24" t="s">
        <v>56</v>
      </c>
      <c r="F2934" s="63" t="s">
        <v>0</v>
      </c>
    </row>
    <row r="2935" spans="1:6" x14ac:dyDescent="0.25">
      <c r="A2935" s="62">
        <v>44629</v>
      </c>
      <c r="B2935" s="62" t="s">
        <v>2556</v>
      </c>
      <c r="C2935" s="23">
        <v>-3054</v>
      </c>
      <c r="D2935" s="24" t="s">
        <v>49</v>
      </c>
      <c r="E2935" s="24" t="s">
        <v>56</v>
      </c>
      <c r="F2935" s="63" t="s">
        <v>0</v>
      </c>
    </row>
    <row r="2936" spans="1:6" x14ac:dyDescent="0.25">
      <c r="A2936" s="62">
        <v>44629</v>
      </c>
      <c r="B2936" s="62" t="s">
        <v>2557</v>
      </c>
      <c r="C2936" s="23">
        <v>-3098</v>
      </c>
      <c r="D2936" s="24" t="s">
        <v>49</v>
      </c>
      <c r="E2936" s="24" t="s">
        <v>56</v>
      </c>
      <c r="F2936" s="63" t="s">
        <v>0</v>
      </c>
    </row>
    <row r="2937" spans="1:6" x14ac:dyDescent="0.25">
      <c r="A2937" s="62">
        <v>44629</v>
      </c>
      <c r="B2937" s="62" t="s">
        <v>2558</v>
      </c>
      <c r="C2937" s="23">
        <v>-24900</v>
      </c>
      <c r="D2937" s="24" t="s">
        <v>72</v>
      </c>
      <c r="E2937" s="24" t="s">
        <v>109</v>
      </c>
      <c r="F2937" s="63" t="s">
        <v>0</v>
      </c>
    </row>
    <row r="2938" spans="1:6" x14ac:dyDescent="0.25">
      <c r="A2938" s="62">
        <v>44629</v>
      </c>
      <c r="B2938" s="62" t="s">
        <v>1084</v>
      </c>
      <c r="C2938" s="23">
        <v>-1180</v>
      </c>
      <c r="D2938" s="24" t="s">
        <v>52</v>
      </c>
      <c r="E2938" s="24" t="s">
        <v>134</v>
      </c>
      <c r="F2938" s="63" t="s">
        <v>4</v>
      </c>
    </row>
    <row r="2939" spans="1:6" x14ac:dyDescent="0.25">
      <c r="A2939" s="62">
        <v>44629</v>
      </c>
      <c r="B2939" s="62" t="s">
        <v>1353</v>
      </c>
      <c r="C2939" s="23">
        <v>-4140</v>
      </c>
      <c r="D2939" s="24" t="s">
        <v>52</v>
      </c>
      <c r="E2939" s="24" t="s">
        <v>53</v>
      </c>
      <c r="F2939" s="63" t="s">
        <v>4</v>
      </c>
    </row>
    <row r="2940" spans="1:6" x14ac:dyDescent="0.25">
      <c r="A2940" s="62">
        <v>44628</v>
      </c>
      <c r="B2940" s="62" t="s">
        <v>2176</v>
      </c>
      <c r="C2940" s="23">
        <v>-10881</v>
      </c>
      <c r="D2940" s="24" t="s">
        <v>46</v>
      </c>
      <c r="E2940" s="24" t="s">
        <v>145</v>
      </c>
      <c r="F2940" s="63" t="s">
        <v>0</v>
      </c>
    </row>
    <row r="2941" spans="1:6" x14ac:dyDescent="0.25">
      <c r="A2941" s="62">
        <v>44628</v>
      </c>
      <c r="B2941" s="62" t="s">
        <v>2559</v>
      </c>
      <c r="C2941" s="23">
        <v>-293</v>
      </c>
      <c r="D2941" s="24" t="s">
        <v>72</v>
      </c>
      <c r="E2941" s="24" t="s">
        <v>197</v>
      </c>
      <c r="F2941" s="63" t="s">
        <v>0</v>
      </c>
    </row>
    <row r="2942" spans="1:6" x14ac:dyDescent="0.25">
      <c r="A2942" s="62">
        <v>44627</v>
      </c>
      <c r="B2942" s="62" t="s">
        <v>2560</v>
      </c>
      <c r="C2942" s="23">
        <v>-17276</v>
      </c>
      <c r="D2942" s="24" t="s">
        <v>72</v>
      </c>
      <c r="E2942" s="24" t="s">
        <v>109</v>
      </c>
      <c r="F2942" s="63" t="s">
        <v>0</v>
      </c>
    </row>
    <row r="2943" spans="1:6" x14ac:dyDescent="0.25">
      <c r="A2943" s="62">
        <v>44627</v>
      </c>
      <c r="B2943" s="62" t="s">
        <v>1509</v>
      </c>
      <c r="C2943" s="23">
        <v>-29250</v>
      </c>
      <c r="D2943" s="24" t="s">
        <v>72</v>
      </c>
      <c r="E2943" s="24" t="s">
        <v>266</v>
      </c>
      <c r="F2943" s="63" t="s">
        <v>0</v>
      </c>
    </row>
    <row r="2944" spans="1:6" x14ac:dyDescent="0.25">
      <c r="A2944" s="62">
        <v>44627</v>
      </c>
      <c r="B2944" s="62" t="s">
        <v>2561</v>
      </c>
      <c r="C2944" s="23">
        <v>-14250</v>
      </c>
      <c r="D2944" s="24" t="s">
        <v>46</v>
      </c>
      <c r="E2944" s="24" t="s">
        <v>47</v>
      </c>
      <c r="F2944" s="63" t="s">
        <v>0</v>
      </c>
    </row>
    <row r="2945" spans="1:6" x14ac:dyDescent="0.25">
      <c r="A2945" s="62">
        <v>44627</v>
      </c>
      <c r="B2945" s="62" t="s">
        <v>2562</v>
      </c>
      <c r="C2945" s="23">
        <v>-470</v>
      </c>
      <c r="D2945" s="24" t="s">
        <v>49</v>
      </c>
      <c r="E2945" s="24" t="s">
        <v>56</v>
      </c>
      <c r="F2945" s="63" t="s">
        <v>0</v>
      </c>
    </row>
    <row r="2946" spans="1:6" x14ac:dyDescent="0.25">
      <c r="A2946" s="62">
        <v>44627</v>
      </c>
      <c r="B2946" s="62" t="s">
        <v>2563</v>
      </c>
      <c r="C2946" s="23">
        <v>-1380</v>
      </c>
      <c r="D2946" s="24" t="s">
        <v>52</v>
      </c>
      <c r="E2946" s="24" t="s">
        <v>53</v>
      </c>
      <c r="F2946" s="63" t="s">
        <v>0</v>
      </c>
    </row>
    <row r="2947" spans="1:6" x14ac:dyDescent="0.25">
      <c r="A2947" s="62">
        <v>44627</v>
      </c>
      <c r="B2947" s="62" t="s">
        <v>2564</v>
      </c>
      <c r="C2947" s="23">
        <v>-11000</v>
      </c>
      <c r="D2947" s="24" t="s">
        <v>90</v>
      </c>
      <c r="E2947" s="24" t="s">
        <v>106</v>
      </c>
      <c r="F2947" s="63" t="s">
        <v>0</v>
      </c>
    </row>
    <row r="2948" spans="1:6" x14ac:dyDescent="0.25">
      <c r="A2948" s="62">
        <v>44627</v>
      </c>
      <c r="B2948" s="62" t="s">
        <v>2565</v>
      </c>
      <c r="C2948" s="23">
        <v>-50000</v>
      </c>
      <c r="D2948" s="24" t="s">
        <v>90</v>
      </c>
      <c r="E2948" s="24" t="s">
        <v>111</v>
      </c>
      <c r="F2948" s="63" t="s">
        <v>0</v>
      </c>
    </row>
    <row r="2949" spans="1:6" x14ac:dyDescent="0.25">
      <c r="A2949" s="62">
        <v>44626</v>
      </c>
      <c r="B2949" s="62" t="s">
        <v>2566</v>
      </c>
      <c r="C2949" s="23">
        <v>-1300</v>
      </c>
      <c r="D2949" s="24" t="s">
        <v>52</v>
      </c>
      <c r="E2949" s="24" t="s">
        <v>1865</v>
      </c>
      <c r="F2949" s="63" t="s">
        <v>4</v>
      </c>
    </row>
    <row r="2950" spans="1:6" x14ac:dyDescent="0.25">
      <c r="A2950" s="62">
        <v>44626</v>
      </c>
      <c r="B2950" s="62" t="s">
        <v>2566</v>
      </c>
      <c r="C2950" s="23">
        <v>-3630</v>
      </c>
      <c r="D2950" s="24" t="s">
        <v>52</v>
      </c>
      <c r="E2950" s="24" t="s">
        <v>1865</v>
      </c>
      <c r="F2950" s="63" t="s">
        <v>4</v>
      </c>
    </row>
    <row r="2951" spans="1:6" x14ac:dyDescent="0.25">
      <c r="A2951" s="62">
        <v>44626</v>
      </c>
      <c r="B2951" s="62" t="s">
        <v>2566</v>
      </c>
      <c r="C2951" s="23">
        <v>-1300</v>
      </c>
      <c r="D2951" s="24" t="s">
        <v>52</v>
      </c>
      <c r="E2951" s="24" t="s">
        <v>1865</v>
      </c>
      <c r="F2951" s="63" t="s">
        <v>4</v>
      </c>
    </row>
    <row r="2952" spans="1:6" x14ac:dyDescent="0.25">
      <c r="A2952" s="62">
        <v>44626</v>
      </c>
      <c r="B2952" s="62" t="s">
        <v>2566</v>
      </c>
      <c r="C2952" s="23">
        <v>-3630</v>
      </c>
      <c r="D2952" s="24" t="s">
        <v>52</v>
      </c>
      <c r="E2952" s="24" t="s">
        <v>1865</v>
      </c>
      <c r="F2952" s="63" t="s">
        <v>4</v>
      </c>
    </row>
    <row r="2953" spans="1:6" x14ac:dyDescent="0.25">
      <c r="A2953" s="62">
        <v>44625</v>
      </c>
      <c r="B2953" s="62" t="s">
        <v>171</v>
      </c>
      <c r="C2953" s="23">
        <v>1550</v>
      </c>
      <c r="D2953" s="24" t="s">
        <v>167</v>
      </c>
      <c r="E2953" s="24" t="s">
        <v>168</v>
      </c>
      <c r="F2953" s="63" t="s">
        <v>0</v>
      </c>
    </row>
    <row r="2954" spans="1:6" x14ac:dyDescent="0.25">
      <c r="A2954" s="62">
        <v>44624</v>
      </c>
      <c r="B2954" s="62" t="s">
        <v>2567</v>
      </c>
      <c r="C2954" s="23">
        <v>-9156</v>
      </c>
      <c r="D2954" s="24" t="s">
        <v>49</v>
      </c>
      <c r="E2954" s="24" t="s">
        <v>56</v>
      </c>
      <c r="F2954" s="63" t="s">
        <v>0</v>
      </c>
    </row>
    <row r="2955" spans="1:6" x14ac:dyDescent="0.25">
      <c r="A2955" s="62">
        <v>44624</v>
      </c>
      <c r="B2955" s="62" t="s">
        <v>2568</v>
      </c>
      <c r="C2955" s="23">
        <v>-851</v>
      </c>
      <c r="D2955" s="24" t="s">
        <v>46</v>
      </c>
      <c r="E2955" s="24" t="s">
        <v>61</v>
      </c>
      <c r="F2955" s="63" t="s">
        <v>0</v>
      </c>
    </row>
    <row r="2956" spans="1:6" x14ac:dyDescent="0.25">
      <c r="A2956" s="62">
        <v>44624</v>
      </c>
      <c r="B2956" s="62" t="s">
        <v>172</v>
      </c>
      <c r="C2956" s="23">
        <v>21414</v>
      </c>
      <c r="D2956" s="24" t="s">
        <v>58</v>
      </c>
      <c r="E2956" s="24" t="s">
        <v>58</v>
      </c>
      <c r="F2956" s="63" t="s">
        <v>0</v>
      </c>
    </row>
    <row r="2957" spans="1:6" x14ac:dyDescent="0.25">
      <c r="A2957" s="62">
        <v>44624</v>
      </c>
      <c r="B2957" s="62" t="s">
        <v>2569</v>
      </c>
      <c r="C2957" s="23">
        <v>-218</v>
      </c>
      <c r="D2957" s="24" t="s">
        <v>49</v>
      </c>
      <c r="E2957" s="24" t="s">
        <v>56</v>
      </c>
      <c r="F2957" s="63" t="s">
        <v>0</v>
      </c>
    </row>
    <row r="2958" spans="1:6" x14ac:dyDescent="0.25">
      <c r="A2958" s="62">
        <v>44623</v>
      </c>
      <c r="B2958" s="62" t="s">
        <v>1733</v>
      </c>
      <c r="C2958" s="23">
        <v>-1980</v>
      </c>
      <c r="D2958" s="24" t="s">
        <v>52</v>
      </c>
      <c r="E2958" s="24" t="s">
        <v>53</v>
      </c>
      <c r="F2958" s="63" t="s">
        <v>4</v>
      </c>
    </row>
    <row r="2959" spans="1:6" x14ac:dyDescent="0.25">
      <c r="A2959" s="62">
        <v>44623</v>
      </c>
      <c r="B2959" s="62" t="s">
        <v>2570</v>
      </c>
      <c r="C2959" s="23">
        <v>-650</v>
      </c>
      <c r="D2959" s="24" t="s">
        <v>52</v>
      </c>
      <c r="E2959" s="24" t="s">
        <v>134</v>
      </c>
      <c r="F2959" s="63" t="s">
        <v>0</v>
      </c>
    </row>
    <row r="2960" spans="1:6" x14ac:dyDescent="0.25">
      <c r="A2960" s="62">
        <v>44623</v>
      </c>
      <c r="B2960" s="62" t="s">
        <v>2571</v>
      </c>
      <c r="C2960" s="23">
        <v>-568</v>
      </c>
      <c r="D2960" s="24" t="s">
        <v>49</v>
      </c>
      <c r="E2960" s="24" t="s">
        <v>56</v>
      </c>
      <c r="F2960" s="63" t="s">
        <v>0</v>
      </c>
    </row>
    <row r="2961" spans="1:6" x14ac:dyDescent="0.25">
      <c r="A2961" s="62">
        <v>44623</v>
      </c>
      <c r="B2961" s="62" t="s">
        <v>2572</v>
      </c>
      <c r="C2961" s="23">
        <v>-4850</v>
      </c>
      <c r="D2961" s="24" t="s">
        <v>90</v>
      </c>
      <c r="E2961" s="24" t="s">
        <v>59</v>
      </c>
      <c r="F2961" s="63" t="s">
        <v>0</v>
      </c>
    </row>
    <row r="2962" spans="1:6" x14ac:dyDescent="0.25">
      <c r="A2962" s="62">
        <v>44623</v>
      </c>
      <c r="B2962" s="62" t="s">
        <v>1733</v>
      </c>
      <c r="C2962" s="23">
        <v>-1980</v>
      </c>
      <c r="D2962" s="24" t="s">
        <v>52</v>
      </c>
      <c r="E2962" s="24" t="s">
        <v>53</v>
      </c>
      <c r="F2962" s="63" t="s">
        <v>4</v>
      </c>
    </row>
    <row r="2963" spans="1:6" x14ac:dyDescent="0.25">
      <c r="A2963" s="62">
        <v>44622</v>
      </c>
      <c r="B2963" s="62" t="s">
        <v>2573</v>
      </c>
      <c r="C2963" s="23">
        <v>-1945</v>
      </c>
      <c r="D2963" s="24" t="s">
        <v>49</v>
      </c>
      <c r="E2963" s="24" t="s">
        <v>56</v>
      </c>
      <c r="F2963" s="63" t="s">
        <v>0</v>
      </c>
    </row>
    <row r="2964" spans="1:6" x14ac:dyDescent="0.25">
      <c r="A2964" s="62">
        <v>44622</v>
      </c>
      <c r="B2964" s="62" t="s">
        <v>172</v>
      </c>
      <c r="C2964" s="23">
        <v>313501</v>
      </c>
      <c r="D2964" s="24" t="s">
        <v>58</v>
      </c>
      <c r="E2964" s="24" t="s">
        <v>58</v>
      </c>
      <c r="F2964" s="63" t="s">
        <v>0</v>
      </c>
    </row>
    <row r="2965" spans="1:6" x14ac:dyDescent="0.25">
      <c r="A2965" s="62">
        <v>44621</v>
      </c>
      <c r="B2965" s="62" t="s">
        <v>2574</v>
      </c>
      <c r="C2965" s="23">
        <v>-3490</v>
      </c>
      <c r="D2965" s="24" t="s">
        <v>46</v>
      </c>
      <c r="E2965" s="24" t="s">
        <v>63</v>
      </c>
      <c r="F2965" s="63" t="s">
        <v>0</v>
      </c>
    </row>
    <row r="2966" spans="1:6" x14ac:dyDescent="0.25">
      <c r="A2966" s="62">
        <v>44620</v>
      </c>
      <c r="B2966" s="62" t="s">
        <v>2575</v>
      </c>
      <c r="C2966" s="23">
        <v>-249</v>
      </c>
      <c r="D2966" s="24" t="s">
        <v>49</v>
      </c>
      <c r="E2966" s="24" t="s">
        <v>56</v>
      </c>
      <c r="F2966" s="63" t="s">
        <v>0</v>
      </c>
    </row>
    <row r="2967" spans="1:6" x14ac:dyDescent="0.25">
      <c r="A2967" s="62">
        <v>44620</v>
      </c>
      <c r="B2967" s="62" t="s">
        <v>2576</v>
      </c>
      <c r="C2967" s="23">
        <v>-10122</v>
      </c>
      <c r="D2967" s="24" t="s">
        <v>46</v>
      </c>
      <c r="E2967" s="24" t="s">
        <v>47</v>
      </c>
      <c r="F2967" s="63" t="s">
        <v>0</v>
      </c>
    </row>
    <row r="2968" spans="1:6" x14ac:dyDescent="0.25">
      <c r="A2968" s="62">
        <v>44620</v>
      </c>
      <c r="B2968" s="62" t="s">
        <v>2318</v>
      </c>
      <c r="C2968" s="23">
        <v>-5546</v>
      </c>
      <c r="D2968" s="24" t="s">
        <v>46</v>
      </c>
      <c r="E2968" s="24" t="s">
        <v>80</v>
      </c>
      <c r="F2968" s="63" t="s">
        <v>0</v>
      </c>
    </row>
    <row r="2969" spans="1:6" x14ac:dyDescent="0.25">
      <c r="A2969" s="62">
        <v>44620</v>
      </c>
      <c r="B2969" s="62" t="s">
        <v>2577</v>
      </c>
      <c r="C2969" s="23">
        <v>-23442</v>
      </c>
      <c r="D2969" s="24" t="s">
        <v>49</v>
      </c>
      <c r="E2969" s="24" t="s">
        <v>56</v>
      </c>
      <c r="F2969" s="63" t="s">
        <v>0</v>
      </c>
    </row>
    <row r="2970" spans="1:6" x14ac:dyDescent="0.25">
      <c r="A2970" s="62">
        <v>44620</v>
      </c>
      <c r="B2970" s="62" t="s">
        <v>2578</v>
      </c>
      <c r="C2970" s="23">
        <v>-26958</v>
      </c>
      <c r="D2970" s="24" t="s">
        <v>46</v>
      </c>
      <c r="E2970" s="24" t="s">
        <v>47</v>
      </c>
      <c r="F2970" s="63" t="s">
        <v>0</v>
      </c>
    </row>
    <row r="2971" spans="1:6" x14ac:dyDescent="0.25">
      <c r="A2971" s="62">
        <v>44620</v>
      </c>
      <c r="B2971" s="62" t="s">
        <v>2579</v>
      </c>
      <c r="C2971" s="23">
        <v>-699</v>
      </c>
      <c r="D2971" s="24" t="s">
        <v>49</v>
      </c>
      <c r="E2971" s="24" t="s">
        <v>56</v>
      </c>
      <c r="F2971" s="63" t="s">
        <v>0</v>
      </c>
    </row>
    <row r="2972" spans="1:6" x14ac:dyDescent="0.25">
      <c r="A2972" s="62">
        <v>44620</v>
      </c>
      <c r="B2972" s="62" t="s">
        <v>2580</v>
      </c>
      <c r="C2972" s="23">
        <v>-12590</v>
      </c>
      <c r="D2972" s="24" t="s">
        <v>46</v>
      </c>
      <c r="E2972" s="24" t="s">
        <v>47</v>
      </c>
      <c r="F2972" s="63" t="s">
        <v>0</v>
      </c>
    </row>
    <row r="2973" spans="1:6" x14ac:dyDescent="0.25">
      <c r="A2973" s="62">
        <v>44620</v>
      </c>
      <c r="B2973" s="62" t="s">
        <v>2581</v>
      </c>
      <c r="C2973" s="23">
        <v>-6486</v>
      </c>
      <c r="D2973" s="24" t="s">
        <v>46</v>
      </c>
      <c r="E2973" s="24" t="s">
        <v>63</v>
      </c>
      <c r="F2973" s="63" t="s">
        <v>0</v>
      </c>
    </row>
    <row r="2974" spans="1:6" x14ac:dyDescent="0.25">
      <c r="A2974" s="62">
        <v>44620</v>
      </c>
      <c r="B2974" s="62" t="s">
        <v>2582</v>
      </c>
      <c r="C2974" s="23">
        <v>-13485</v>
      </c>
      <c r="D2974" s="24" t="s">
        <v>46</v>
      </c>
      <c r="E2974" s="24" t="s">
        <v>47</v>
      </c>
      <c r="F2974" s="63" t="s">
        <v>0</v>
      </c>
    </row>
    <row r="2975" spans="1:6" x14ac:dyDescent="0.25">
      <c r="A2975" s="62">
        <v>44620</v>
      </c>
      <c r="B2975" s="62" t="s">
        <v>2583</v>
      </c>
      <c r="C2975" s="23">
        <v>-1144</v>
      </c>
      <c r="D2975" s="24" t="s">
        <v>49</v>
      </c>
      <c r="E2975" s="24" t="s">
        <v>56</v>
      </c>
      <c r="F2975" s="63" t="s">
        <v>0</v>
      </c>
    </row>
    <row r="2976" spans="1:6" x14ac:dyDescent="0.25">
      <c r="A2976" s="62">
        <v>44620</v>
      </c>
      <c r="B2976" s="62" t="s">
        <v>43</v>
      </c>
      <c r="C2976" s="23">
        <v>-1799</v>
      </c>
      <c r="D2976" s="24" t="s">
        <v>167</v>
      </c>
      <c r="E2976" s="24" t="s">
        <v>168</v>
      </c>
      <c r="F2976" s="63" t="s">
        <v>0</v>
      </c>
    </row>
    <row r="2977" spans="1:6" x14ac:dyDescent="0.25">
      <c r="A2977" s="62">
        <v>44620</v>
      </c>
      <c r="B2977" s="62" t="s">
        <v>2584</v>
      </c>
      <c r="C2977" s="23">
        <v>-2414</v>
      </c>
      <c r="D2977" s="24" t="s">
        <v>49</v>
      </c>
      <c r="E2977" s="24" t="s">
        <v>56</v>
      </c>
      <c r="F2977" s="63" t="s">
        <v>0</v>
      </c>
    </row>
    <row r="2978" spans="1:6" x14ac:dyDescent="0.25">
      <c r="A2978" s="62">
        <v>44617</v>
      </c>
      <c r="B2978" s="62" t="s">
        <v>2585</v>
      </c>
      <c r="C2978" s="23">
        <v>-19014</v>
      </c>
      <c r="D2978" s="24" t="s">
        <v>72</v>
      </c>
      <c r="E2978" s="24" t="s">
        <v>109</v>
      </c>
      <c r="F2978" s="63" t="s">
        <v>0</v>
      </c>
    </row>
    <row r="2979" spans="1:6" x14ac:dyDescent="0.25">
      <c r="A2979" s="62">
        <v>44617</v>
      </c>
      <c r="B2979" s="62" t="s">
        <v>2586</v>
      </c>
      <c r="C2979" s="23">
        <v>-5265</v>
      </c>
      <c r="D2979" s="24" t="s">
        <v>46</v>
      </c>
      <c r="E2979" s="24" t="s">
        <v>47</v>
      </c>
      <c r="F2979" s="63" t="s">
        <v>0</v>
      </c>
    </row>
    <row r="2980" spans="1:6" x14ac:dyDescent="0.25">
      <c r="A2980" s="62">
        <v>44616</v>
      </c>
      <c r="B2980" s="62" t="s">
        <v>1241</v>
      </c>
      <c r="C2980" s="23">
        <v>-5190</v>
      </c>
      <c r="D2980" s="24" t="s">
        <v>52</v>
      </c>
      <c r="E2980" s="24" t="s">
        <v>53</v>
      </c>
      <c r="F2980" s="63" t="s">
        <v>4</v>
      </c>
    </row>
    <row r="2981" spans="1:6" x14ac:dyDescent="0.25">
      <c r="A2981" s="62">
        <v>44616</v>
      </c>
      <c r="B2981" s="62" t="s">
        <v>1241</v>
      </c>
      <c r="C2981" s="23">
        <v>-5190</v>
      </c>
      <c r="D2981" s="24" t="s">
        <v>52</v>
      </c>
      <c r="E2981" s="24" t="s">
        <v>53</v>
      </c>
      <c r="F2981" s="63" t="s">
        <v>4</v>
      </c>
    </row>
    <row r="2982" spans="1:6" x14ac:dyDescent="0.25">
      <c r="A2982" s="62">
        <v>44616</v>
      </c>
      <c r="B2982" s="62" t="s">
        <v>2587</v>
      </c>
      <c r="C2982" s="23">
        <v>-1613</v>
      </c>
      <c r="D2982" s="24" t="s">
        <v>49</v>
      </c>
      <c r="E2982" s="24" t="s">
        <v>56</v>
      </c>
      <c r="F2982" s="63" t="s">
        <v>0</v>
      </c>
    </row>
    <row r="2983" spans="1:6" x14ac:dyDescent="0.25">
      <c r="A2983" s="62">
        <v>44615</v>
      </c>
      <c r="B2983" s="62" t="s">
        <v>2588</v>
      </c>
      <c r="C2983" s="23">
        <v>-9581</v>
      </c>
      <c r="D2983" s="24" t="s">
        <v>46</v>
      </c>
      <c r="E2983" s="24" t="s">
        <v>61</v>
      </c>
      <c r="F2983" s="63" t="s">
        <v>0</v>
      </c>
    </row>
    <row r="2984" spans="1:6" x14ac:dyDescent="0.25">
      <c r="A2984" s="62">
        <v>44615</v>
      </c>
      <c r="B2984" s="62" t="s">
        <v>2589</v>
      </c>
      <c r="C2984" s="23">
        <v>-295</v>
      </c>
      <c r="D2984" s="24" t="s">
        <v>49</v>
      </c>
      <c r="E2984" s="24" t="s">
        <v>56</v>
      </c>
      <c r="F2984" s="63" t="s">
        <v>0</v>
      </c>
    </row>
    <row r="2985" spans="1:6" x14ac:dyDescent="0.25">
      <c r="A2985" s="62">
        <v>44615</v>
      </c>
      <c r="B2985" s="62" t="s">
        <v>2590</v>
      </c>
      <c r="C2985" s="23">
        <v>-1077</v>
      </c>
      <c r="D2985" s="24" t="s">
        <v>49</v>
      </c>
      <c r="E2985" s="24" t="s">
        <v>232</v>
      </c>
      <c r="F2985" s="63" t="s">
        <v>0</v>
      </c>
    </row>
    <row r="2986" spans="1:6" x14ac:dyDescent="0.25">
      <c r="A2986" s="62">
        <v>44614</v>
      </c>
      <c r="B2986" s="62" t="s">
        <v>2591</v>
      </c>
      <c r="C2986" s="23">
        <v>-2331</v>
      </c>
      <c r="D2986" s="24" t="s">
        <v>49</v>
      </c>
      <c r="E2986" s="24" t="s">
        <v>56</v>
      </c>
      <c r="F2986" s="63" t="s">
        <v>0</v>
      </c>
    </row>
    <row r="2987" spans="1:6" x14ac:dyDescent="0.25">
      <c r="A2987" s="62">
        <v>44614</v>
      </c>
      <c r="B2987" s="62" t="s">
        <v>2592</v>
      </c>
      <c r="C2987" s="23">
        <v>-6440</v>
      </c>
      <c r="D2987" s="24" t="s">
        <v>49</v>
      </c>
      <c r="E2987" s="24" t="s">
        <v>164</v>
      </c>
      <c r="F2987" s="63" t="s">
        <v>0</v>
      </c>
    </row>
    <row r="2988" spans="1:6" x14ac:dyDescent="0.25">
      <c r="A2988" s="62">
        <v>44613</v>
      </c>
      <c r="B2988" s="62" t="s">
        <v>714</v>
      </c>
      <c r="C2988" s="23">
        <v>-4650</v>
      </c>
      <c r="D2988" s="24" t="s">
        <v>52</v>
      </c>
      <c r="E2988" s="24" t="s">
        <v>53</v>
      </c>
      <c r="F2988" s="63" t="s">
        <v>4</v>
      </c>
    </row>
    <row r="2989" spans="1:6" x14ac:dyDescent="0.25">
      <c r="A2989" s="62">
        <v>44613</v>
      </c>
      <c r="B2989" s="62" t="s">
        <v>139</v>
      </c>
      <c r="C2989" s="23">
        <v>13636</v>
      </c>
      <c r="D2989" s="24" t="s">
        <v>58</v>
      </c>
      <c r="E2989" s="24" t="s">
        <v>58</v>
      </c>
      <c r="F2989" s="63" t="s">
        <v>4</v>
      </c>
    </row>
    <row r="2990" spans="1:6" x14ac:dyDescent="0.25">
      <c r="A2990" s="62">
        <v>44613</v>
      </c>
      <c r="B2990" s="62" t="s">
        <v>139</v>
      </c>
      <c r="C2990" s="23">
        <v>7670</v>
      </c>
      <c r="D2990" s="24" t="s">
        <v>58</v>
      </c>
      <c r="E2990" s="24" t="s">
        <v>58</v>
      </c>
      <c r="F2990" s="63" t="s">
        <v>4</v>
      </c>
    </row>
    <row r="2991" spans="1:6" x14ac:dyDescent="0.25">
      <c r="A2991" s="62">
        <v>44613</v>
      </c>
      <c r="B2991" s="62" t="s">
        <v>139</v>
      </c>
      <c r="C2991" s="23">
        <v>13636</v>
      </c>
      <c r="D2991" s="24" t="s">
        <v>58</v>
      </c>
      <c r="E2991" s="24" t="s">
        <v>58</v>
      </c>
      <c r="F2991" s="63" t="s">
        <v>4</v>
      </c>
    </row>
    <row r="2992" spans="1:6" x14ac:dyDescent="0.25">
      <c r="A2992" s="62">
        <v>44613</v>
      </c>
      <c r="B2992" s="62" t="s">
        <v>139</v>
      </c>
      <c r="C2992" s="23">
        <v>7670</v>
      </c>
      <c r="D2992" s="24" t="s">
        <v>58</v>
      </c>
      <c r="E2992" s="24" t="s">
        <v>58</v>
      </c>
      <c r="F2992" s="63" t="s">
        <v>4</v>
      </c>
    </row>
    <row r="2993" spans="1:6" x14ac:dyDescent="0.25">
      <c r="A2993" s="62">
        <v>44613</v>
      </c>
      <c r="B2993" s="62" t="s">
        <v>714</v>
      </c>
      <c r="C2993" s="23">
        <v>-4650</v>
      </c>
      <c r="D2993" s="24" t="s">
        <v>52</v>
      </c>
      <c r="E2993" s="24" t="s">
        <v>53</v>
      </c>
      <c r="F2993" s="63" t="s">
        <v>4</v>
      </c>
    </row>
    <row r="2994" spans="1:6" x14ac:dyDescent="0.25">
      <c r="A2994" s="62">
        <v>44613</v>
      </c>
      <c r="B2994" s="62" t="s">
        <v>2593</v>
      </c>
      <c r="C2994" s="23">
        <v>-1924</v>
      </c>
      <c r="D2994" s="24" t="s">
        <v>49</v>
      </c>
      <c r="E2994" s="24" t="s">
        <v>56</v>
      </c>
      <c r="F2994" s="63" t="s">
        <v>0</v>
      </c>
    </row>
    <row r="2995" spans="1:6" x14ac:dyDescent="0.25">
      <c r="A2995" s="62">
        <v>44613</v>
      </c>
      <c r="B2995" s="62" t="s">
        <v>2594</v>
      </c>
      <c r="C2995" s="23">
        <v>-705</v>
      </c>
      <c r="D2995" s="24" t="s">
        <v>49</v>
      </c>
      <c r="E2995" s="24" t="s">
        <v>56</v>
      </c>
      <c r="F2995" s="63" t="s">
        <v>0</v>
      </c>
    </row>
    <row r="2996" spans="1:6" x14ac:dyDescent="0.25">
      <c r="A2996" s="62">
        <v>44613</v>
      </c>
      <c r="B2996" s="62" t="s">
        <v>2595</v>
      </c>
      <c r="C2996" s="23">
        <v>-12270</v>
      </c>
      <c r="D2996" s="24" t="s">
        <v>49</v>
      </c>
      <c r="E2996" s="24" t="s">
        <v>56</v>
      </c>
      <c r="F2996" s="63" t="s">
        <v>0</v>
      </c>
    </row>
    <row r="2997" spans="1:6" x14ac:dyDescent="0.25">
      <c r="A2997" s="62">
        <v>44613</v>
      </c>
      <c r="B2997" s="62" t="s">
        <v>2596</v>
      </c>
      <c r="C2997" s="23">
        <v>-450</v>
      </c>
      <c r="D2997" s="24" t="s">
        <v>52</v>
      </c>
      <c r="E2997" s="24" t="s">
        <v>134</v>
      </c>
      <c r="F2997" s="63" t="s">
        <v>0</v>
      </c>
    </row>
    <row r="2998" spans="1:6" x14ac:dyDescent="0.25">
      <c r="A2998" s="62">
        <v>44613</v>
      </c>
      <c r="B2998" s="62" t="s">
        <v>2597</v>
      </c>
      <c r="C2998" s="23">
        <v>-3399</v>
      </c>
      <c r="D2998" s="24" t="s">
        <v>52</v>
      </c>
      <c r="E2998" s="24" t="s">
        <v>53</v>
      </c>
      <c r="F2998" s="63" t="s">
        <v>0</v>
      </c>
    </row>
    <row r="2999" spans="1:6" x14ac:dyDescent="0.25">
      <c r="A2999" s="62">
        <v>44613</v>
      </c>
      <c r="B2999" s="62" t="s">
        <v>2598</v>
      </c>
      <c r="C2999" s="23">
        <v>-4327</v>
      </c>
      <c r="D2999" s="24" t="s">
        <v>49</v>
      </c>
      <c r="E2999" s="24" t="s">
        <v>56</v>
      </c>
      <c r="F2999" s="63" t="s">
        <v>0</v>
      </c>
    </row>
    <row r="3000" spans="1:6" x14ac:dyDescent="0.25">
      <c r="A3000" s="62">
        <v>44613</v>
      </c>
      <c r="B3000" s="62" t="s">
        <v>2599</v>
      </c>
      <c r="C3000" s="23">
        <v>-11229</v>
      </c>
      <c r="D3000" s="24" t="s">
        <v>90</v>
      </c>
      <c r="E3000" s="24" t="s">
        <v>93</v>
      </c>
      <c r="F3000" s="63" t="s">
        <v>0</v>
      </c>
    </row>
    <row r="3001" spans="1:6" x14ac:dyDescent="0.25">
      <c r="A3001" s="62">
        <v>44613</v>
      </c>
      <c r="B3001" s="62" t="s">
        <v>2600</v>
      </c>
      <c r="C3001" s="23">
        <v>-70000</v>
      </c>
      <c r="D3001" s="24" t="s">
        <v>90</v>
      </c>
      <c r="E3001" s="24" t="s">
        <v>111</v>
      </c>
      <c r="F3001" s="63" t="s">
        <v>0</v>
      </c>
    </row>
    <row r="3002" spans="1:6" x14ac:dyDescent="0.25">
      <c r="A3002" s="62">
        <v>44610</v>
      </c>
      <c r="B3002" s="62" t="s">
        <v>1733</v>
      </c>
      <c r="C3002" s="23">
        <v>-2070</v>
      </c>
      <c r="D3002" s="24" t="s">
        <v>52</v>
      </c>
      <c r="E3002" s="24" t="s">
        <v>53</v>
      </c>
      <c r="F3002" s="63" t="s">
        <v>4</v>
      </c>
    </row>
    <row r="3003" spans="1:6" x14ac:dyDescent="0.25">
      <c r="A3003" s="62">
        <v>44610</v>
      </c>
      <c r="B3003" s="62" t="s">
        <v>1733</v>
      </c>
      <c r="C3003" s="23">
        <v>-2070</v>
      </c>
      <c r="D3003" s="24" t="s">
        <v>52</v>
      </c>
      <c r="E3003" s="24" t="s">
        <v>53</v>
      </c>
      <c r="F3003" s="63" t="s">
        <v>4</v>
      </c>
    </row>
    <row r="3004" spans="1:6" x14ac:dyDescent="0.25">
      <c r="A3004" s="62">
        <v>44610</v>
      </c>
      <c r="B3004" s="62" t="s">
        <v>713</v>
      </c>
      <c r="C3004" s="23">
        <v>28816</v>
      </c>
      <c r="D3004" s="24" t="s">
        <v>58</v>
      </c>
      <c r="E3004" s="24" t="s">
        <v>58</v>
      </c>
      <c r="F3004" s="63" t="s">
        <v>0</v>
      </c>
    </row>
    <row r="3005" spans="1:6" x14ac:dyDescent="0.25">
      <c r="A3005" s="62">
        <v>44609</v>
      </c>
      <c r="B3005" s="62" t="s">
        <v>704</v>
      </c>
      <c r="C3005" s="23">
        <v>-6944</v>
      </c>
      <c r="D3005" s="24" t="s">
        <v>46</v>
      </c>
      <c r="E3005" s="24" t="s">
        <v>512</v>
      </c>
      <c r="F3005" s="63" t="s">
        <v>0</v>
      </c>
    </row>
    <row r="3006" spans="1:6" x14ac:dyDescent="0.25">
      <c r="A3006" s="62">
        <v>44608</v>
      </c>
      <c r="B3006" s="62" t="s">
        <v>2601</v>
      </c>
      <c r="C3006" s="23">
        <v>-5630</v>
      </c>
      <c r="D3006" s="24" t="s">
        <v>49</v>
      </c>
      <c r="E3006" s="24" t="s">
        <v>56</v>
      </c>
      <c r="F3006" s="63" t="s">
        <v>0</v>
      </c>
    </row>
    <row r="3007" spans="1:6" x14ac:dyDescent="0.25">
      <c r="A3007" s="62">
        <v>44608</v>
      </c>
      <c r="B3007" s="62" t="s">
        <v>2602</v>
      </c>
      <c r="C3007" s="23">
        <v>-5947</v>
      </c>
      <c r="D3007" s="24" t="s">
        <v>90</v>
      </c>
      <c r="E3007" s="24" t="s">
        <v>59</v>
      </c>
      <c r="F3007" s="63" t="s">
        <v>0</v>
      </c>
    </row>
    <row r="3008" spans="1:6" x14ac:dyDescent="0.25">
      <c r="A3008" s="62">
        <v>44607</v>
      </c>
      <c r="B3008" s="62" t="s">
        <v>2603</v>
      </c>
      <c r="C3008" s="23">
        <v>-2158</v>
      </c>
      <c r="D3008" s="24" t="s">
        <v>49</v>
      </c>
      <c r="E3008" s="24" t="s">
        <v>56</v>
      </c>
      <c r="F3008" s="63" t="s">
        <v>0</v>
      </c>
    </row>
    <row r="3009" spans="1:6" x14ac:dyDescent="0.25">
      <c r="A3009" s="62">
        <v>44607</v>
      </c>
      <c r="B3009" s="62" t="s">
        <v>2604</v>
      </c>
      <c r="C3009" s="23">
        <v>-338</v>
      </c>
      <c r="D3009" s="24" t="s">
        <v>49</v>
      </c>
      <c r="E3009" s="24" t="s">
        <v>56</v>
      </c>
      <c r="F3009" s="63" t="s">
        <v>0</v>
      </c>
    </row>
    <row r="3010" spans="1:6" x14ac:dyDescent="0.25">
      <c r="A3010" s="62">
        <v>44606</v>
      </c>
      <c r="B3010" s="62" t="s">
        <v>2605</v>
      </c>
      <c r="C3010" s="23">
        <v>-7100</v>
      </c>
      <c r="D3010" s="24" t="s">
        <v>49</v>
      </c>
      <c r="E3010" s="24" t="s">
        <v>232</v>
      </c>
      <c r="F3010" s="63" t="s">
        <v>0</v>
      </c>
    </row>
    <row r="3011" spans="1:6" x14ac:dyDescent="0.25">
      <c r="A3011" s="62">
        <v>44606</v>
      </c>
      <c r="B3011" s="62" t="s">
        <v>2606</v>
      </c>
      <c r="C3011" s="23">
        <v>-53541</v>
      </c>
      <c r="D3011" s="24" t="s">
        <v>46</v>
      </c>
      <c r="E3011" s="24" t="s">
        <v>47</v>
      </c>
      <c r="F3011" s="63" t="s">
        <v>0</v>
      </c>
    </row>
    <row r="3012" spans="1:6" x14ac:dyDescent="0.25">
      <c r="A3012" s="62">
        <v>44606</v>
      </c>
      <c r="B3012" s="62" t="s">
        <v>2607</v>
      </c>
      <c r="C3012" s="23">
        <v>-19561</v>
      </c>
      <c r="D3012" s="24" t="s">
        <v>72</v>
      </c>
      <c r="E3012" s="24" t="s">
        <v>109</v>
      </c>
      <c r="F3012" s="63" t="s">
        <v>0</v>
      </c>
    </row>
    <row r="3013" spans="1:6" x14ac:dyDescent="0.25">
      <c r="A3013" s="62">
        <v>44606</v>
      </c>
      <c r="B3013" s="62" t="s">
        <v>2608</v>
      </c>
      <c r="C3013" s="23">
        <v>-477</v>
      </c>
      <c r="D3013" s="24" t="s">
        <v>49</v>
      </c>
      <c r="E3013" s="24" t="s">
        <v>56</v>
      </c>
      <c r="F3013" s="63" t="s">
        <v>0</v>
      </c>
    </row>
    <row r="3014" spans="1:6" x14ac:dyDescent="0.25">
      <c r="A3014" s="62">
        <v>44606</v>
      </c>
      <c r="B3014" s="62" t="s">
        <v>2609</v>
      </c>
      <c r="C3014" s="23">
        <v>-567</v>
      </c>
      <c r="D3014" s="24" t="s">
        <v>52</v>
      </c>
      <c r="E3014" s="24" t="s">
        <v>134</v>
      </c>
      <c r="F3014" s="63" t="s">
        <v>0</v>
      </c>
    </row>
    <row r="3015" spans="1:6" x14ac:dyDescent="0.25">
      <c r="A3015" s="62">
        <v>44606</v>
      </c>
      <c r="B3015" s="62" t="s">
        <v>2610</v>
      </c>
      <c r="C3015" s="23">
        <v>-2992</v>
      </c>
      <c r="D3015" s="24" t="s">
        <v>49</v>
      </c>
      <c r="E3015" s="24" t="s">
        <v>56</v>
      </c>
      <c r="F3015" s="63" t="s">
        <v>0</v>
      </c>
    </row>
    <row r="3016" spans="1:6" x14ac:dyDescent="0.25">
      <c r="A3016" s="62">
        <v>44606</v>
      </c>
      <c r="B3016" s="62" t="s">
        <v>2611</v>
      </c>
      <c r="C3016" s="23">
        <v>-5497</v>
      </c>
      <c r="D3016" s="24" t="s">
        <v>90</v>
      </c>
      <c r="E3016" s="24" t="s">
        <v>106</v>
      </c>
      <c r="F3016" s="63" t="s">
        <v>0</v>
      </c>
    </row>
    <row r="3017" spans="1:6" x14ac:dyDescent="0.25">
      <c r="A3017" s="62">
        <v>44606</v>
      </c>
      <c r="B3017" s="62" t="s">
        <v>2612</v>
      </c>
      <c r="C3017" s="23">
        <v>-11318</v>
      </c>
      <c r="D3017" s="24" t="s">
        <v>49</v>
      </c>
      <c r="E3017" s="24" t="s">
        <v>56</v>
      </c>
      <c r="F3017" s="63" t="s">
        <v>0</v>
      </c>
    </row>
    <row r="3018" spans="1:6" x14ac:dyDescent="0.25">
      <c r="A3018" s="62">
        <v>44603</v>
      </c>
      <c r="B3018" s="62" t="s">
        <v>1241</v>
      </c>
      <c r="C3018" s="23">
        <v>-710</v>
      </c>
      <c r="D3018" s="24" t="s">
        <v>52</v>
      </c>
      <c r="E3018" s="24" t="s">
        <v>53</v>
      </c>
      <c r="F3018" s="63" t="s">
        <v>4</v>
      </c>
    </row>
    <row r="3019" spans="1:6" x14ac:dyDescent="0.25">
      <c r="A3019" s="62">
        <v>44603</v>
      </c>
      <c r="B3019" s="62" t="s">
        <v>2500</v>
      </c>
      <c r="C3019" s="23">
        <v>-1400</v>
      </c>
      <c r="D3019" s="24" t="s">
        <v>52</v>
      </c>
      <c r="E3019" s="24" t="s">
        <v>53</v>
      </c>
      <c r="F3019" s="63" t="s">
        <v>4</v>
      </c>
    </row>
    <row r="3020" spans="1:6" x14ac:dyDescent="0.25">
      <c r="A3020" s="62">
        <v>44603</v>
      </c>
      <c r="B3020" s="62" t="s">
        <v>1241</v>
      </c>
      <c r="C3020" s="23">
        <v>-710</v>
      </c>
      <c r="D3020" s="24" t="s">
        <v>52</v>
      </c>
      <c r="E3020" s="24" t="s">
        <v>53</v>
      </c>
      <c r="F3020" s="63" t="s">
        <v>4</v>
      </c>
    </row>
    <row r="3021" spans="1:6" x14ac:dyDescent="0.25">
      <c r="A3021" s="62">
        <v>44603</v>
      </c>
      <c r="B3021" s="62" t="s">
        <v>2500</v>
      </c>
      <c r="C3021" s="23">
        <v>-1400</v>
      </c>
      <c r="D3021" s="24" t="s">
        <v>52</v>
      </c>
      <c r="E3021" s="24" t="s">
        <v>53</v>
      </c>
      <c r="F3021" s="63" t="s">
        <v>4</v>
      </c>
    </row>
    <row r="3022" spans="1:6" x14ac:dyDescent="0.25">
      <c r="A3022" s="62">
        <v>44603</v>
      </c>
      <c r="B3022" s="62" t="s">
        <v>2296</v>
      </c>
      <c r="C3022" s="23">
        <v>-1100</v>
      </c>
      <c r="D3022" s="24" t="s">
        <v>52</v>
      </c>
      <c r="E3022" s="24" t="s">
        <v>134</v>
      </c>
      <c r="F3022" s="63" t="s">
        <v>0</v>
      </c>
    </row>
    <row r="3023" spans="1:6" x14ac:dyDescent="0.25">
      <c r="A3023" s="62">
        <v>44603</v>
      </c>
      <c r="B3023" s="62" t="s">
        <v>2613</v>
      </c>
      <c r="C3023" s="23">
        <v>-1280</v>
      </c>
      <c r="D3023" s="24" t="s">
        <v>52</v>
      </c>
      <c r="E3023" s="24" t="s">
        <v>134</v>
      </c>
      <c r="F3023" s="63" t="s">
        <v>0</v>
      </c>
    </row>
    <row r="3024" spans="1:6" x14ac:dyDescent="0.25">
      <c r="A3024" s="62">
        <v>44603</v>
      </c>
      <c r="B3024" s="62" t="s">
        <v>2614</v>
      </c>
      <c r="C3024" s="23">
        <v>3000</v>
      </c>
      <c r="D3024" s="24" t="s">
        <v>46</v>
      </c>
      <c r="E3024" s="24" t="s">
        <v>47</v>
      </c>
      <c r="F3024" s="63" t="s">
        <v>0</v>
      </c>
    </row>
    <row r="3025" spans="1:6" x14ac:dyDescent="0.25">
      <c r="A3025" s="62">
        <v>44603</v>
      </c>
      <c r="B3025" s="62" t="s">
        <v>2615</v>
      </c>
      <c r="C3025" s="23">
        <v>-8000</v>
      </c>
      <c r="D3025" s="24" t="s">
        <v>90</v>
      </c>
      <c r="E3025" s="24" t="s">
        <v>91</v>
      </c>
      <c r="F3025" s="63" t="s">
        <v>0</v>
      </c>
    </row>
    <row r="3026" spans="1:6" x14ac:dyDescent="0.25">
      <c r="A3026" s="62">
        <v>44602</v>
      </c>
      <c r="B3026" s="62" t="s">
        <v>2616</v>
      </c>
      <c r="C3026" s="23">
        <v>-208449.5</v>
      </c>
      <c r="D3026" s="24" t="s">
        <v>46</v>
      </c>
      <c r="E3026" s="24" t="s">
        <v>10</v>
      </c>
      <c r="F3026" s="63" t="s">
        <v>0</v>
      </c>
    </row>
    <row r="3027" spans="1:6" x14ac:dyDescent="0.25">
      <c r="A3027" s="62">
        <v>44602</v>
      </c>
      <c r="B3027" s="62" t="s">
        <v>2617</v>
      </c>
      <c r="C3027" s="23">
        <v>-53355.29</v>
      </c>
      <c r="D3027" s="24" t="s">
        <v>46</v>
      </c>
      <c r="E3027" s="24" t="s">
        <v>10</v>
      </c>
      <c r="F3027" s="63" t="s">
        <v>0</v>
      </c>
    </row>
    <row r="3028" spans="1:6" x14ac:dyDescent="0.25">
      <c r="A3028" s="62">
        <v>44602</v>
      </c>
      <c r="B3028" s="62" t="s">
        <v>2616</v>
      </c>
      <c r="C3028" s="23">
        <v>208449.5</v>
      </c>
      <c r="D3028" s="24" t="s">
        <v>46</v>
      </c>
      <c r="E3028" s="24" t="s">
        <v>10</v>
      </c>
      <c r="F3028" s="63" t="s">
        <v>10</v>
      </c>
    </row>
    <row r="3029" spans="1:6" x14ac:dyDescent="0.25">
      <c r="A3029" s="62">
        <v>44602</v>
      </c>
      <c r="B3029" s="62" t="s">
        <v>1651</v>
      </c>
      <c r="C3029" s="23">
        <v>667410</v>
      </c>
      <c r="D3029" s="24" t="s">
        <v>58</v>
      </c>
      <c r="E3029" s="24" t="s">
        <v>58</v>
      </c>
      <c r="F3029" s="63" t="s">
        <v>0</v>
      </c>
    </row>
    <row r="3030" spans="1:6" x14ac:dyDescent="0.25">
      <c r="A3030" s="62">
        <v>44601</v>
      </c>
      <c r="B3030" s="62" t="s">
        <v>2618</v>
      </c>
      <c r="C3030" s="23">
        <v>-338</v>
      </c>
      <c r="D3030" s="24" t="s">
        <v>49</v>
      </c>
      <c r="E3030" s="24" t="s">
        <v>56</v>
      </c>
      <c r="F3030" s="63" t="s">
        <v>0</v>
      </c>
    </row>
    <row r="3031" spans="1:6" x14ac:dyDescent="0.25">
      <c r="A3031" s="62">
        <v>44601</v>
      </c>
      <c r="B3031" s="62" t="s">
        <v>2619</v>
      </c>
      <c r="C3031" s="23">
        <v>-24900</v>
      </c>
      <c r="D3031" s="24" t="s">
        <v>72</v>
      </c>
      <c r="E3031" s="24" t="s">
        <v>109</v>
      </c>
      <c r="F3031" s="63" t="s">
        <v>0</v>
      </c>
    </row>
    <row r="3032" spans="1:6" x14ac:dyDescent="0.25">
      <c r="A3032" s="62">
        <v>44600</v>
      </c>
      <c r="B3032" s="62" t="s">
        <v>2620</v>
      </c>
      <c r="C3032" s="23">
        <v>-10996</v>
      </c>
      <c r="D3032" s="24" t="s">
        <v>46</v>
      </c>
      <c r="E3032" s="24" t="s">
        <v>145</v>
      </c>
      <c r="F3032" s="63" t="s">
        <v>0</v>
      </c>
    </row>
    <row r="3033" spans="1:6" x14ac:dyDescent="0.25">
      <c r="A3033" s="62">
        <v>44600</v>
      </c>
      <c r="B3033" s="62" t="s">
        <v>2621</v>
      </c>
      <c r="C3033" s="23">
        <v>-1528</v>
      </c>
      <c r="D3033" s="24" t="s">
        <v>49</v>
      </c>
      <c r="E3033" s="24" t="s">
        <v>56</v>
      </c>
      <c r="F3033" s="63" t="s">
        <v>0</v>
      </c>
    </row>
    <row r="3034" spans="1:6" x14ac:dyDescent="0.25">
      <c r="A3034" s="62">
        <v>44600</v>
      </c>
      <c r="B3034" s="62" t="s">
        <v>2622</v>
      </c>
      <c r="C3034" s="23">
        <v>-5523</v>
      </c>
      <c r="D3034" s="24" t="s">
        <v>49</v>
      </c>
      <c r="E3034" s="24" t="s">
        <v>56</v>
      </c>
      <c r="F3034" s="63" t="s">
        <v>0</v>
      </c>
    </row>
    <row r="3035" spans="1:6" x14ac:dyDescent="0.25">
      <c r="A3035" s="62">
        <v>44599</v>
      </c>
      <c r="B3035" s="62" t="s">
        <v>2623</v>
      </c>
      <c r="C3035" s="23">
        <v>-17728</v>
      </c>
      <c r="D3035" s="24" t="s">
        <v>72</v>
      </c>
      <c r="E3035" s="24" t="s">
        <v>109</v>
      </c>
      <c r="F3035" s="63" t="s">
        <v>0</v>
      </c>
    </row>
    <row r="3036" spans="1:6" x14ac:dyDescent="0.25">
      <c r="A3036" s="62">
        <v>44599</v>
      </c>
      <c r="B3036" s="62" t="s">
        <v>2624</v>
      </c>
      <c r="C3036" s="23">
        <v>-350</v>
      </c>
      <c r="D3036" s="24" t="s">
        <v>52</v>
      </c>
      <c r="E3036" s="24" t="s">
        <v>134</v>
      </c>
      <c r="F3036" s="63" t="s">
        <v>0</v>
      </c>
    </row>
    <row r="3037" spans="1:6" x14ac:dyDescent="0.25">
      <c r="A3037" s="62">
        <v>44599</v>
      </c>
      <c r="B3037" s="62" t="s">
        <v>2625</v>
      </c>
      <c r="C3037" s="23">
        <v>-5509</v>
      </c>
      <c r="D3037" s="24" t="s">
        <v>49</v>
      </c>
      <c r="E3037" s="24" t="s">
        <v>56</v>
      </c>
      <c r="F3037" s="63" t="s">
        <v>0</v>
      </c>
    </row>
    <row r="3038" spans="1:6" x14ac:dyDescent="0.25">
      <c r="A3038" s="62">
        <v>44599</v>
      </c>
      <c r="B3038" s="62" t="s">
        <v>2626</v>
      </c>
      <c r="C3038" s="23">
        <v>-13000</v>
      </c>
      <c r="D3038" s="24" t="s">
        <v>90</v>
      </c>
      <c r="E3038" s="24" t="s">
        <v>111</v>
      </c>
      <c r="F3038" s="63" t="s">
        <v>0</v>
      </c>
    </row>
    <row r="3039" spans="1:6" x14ac:dyDescent="0.25">
      <c r="A3039" s="62">
        <v>44597</v>
      </c>
      <c r="B3039" s="62" t="s">
        <v>171</v>
      </c>
      <c r="C3039" s="23">
        <v>1550</v>
      </c>
      <c r="D3039" s="24" t="s">
        <v>167</v>
      </c>
      <c r="E3039" s="24" t="s">
        <v>168</v>
      </c>
      <c r="F3039" s="63" t="s">
        <v>0</v>
      </c>
    </row>
    <row r="3040" spans="1:6" x14ac:dyDescent="0.25">
      <c r="A3040" s="62">
        <v>44594</v>
      </c>
      <c r="B3040" s="62" t="s">
        <v>945</v>
      </c>
      <c r="C3040" s="23">
        <v>-2600</v>
      </c>
      <c r="D3040" s="24" t="s">
        <v>52</v>
      </c>
      <c r="E3040" s="24" t="s">
        <v>53</v>
      </c>
      <c r="F3040" s="63" t="s">
        <v>4</v>
      </c>
    </row>
    <row r="3041" spans="1:6" x14ac:dyDescent="0.25">
      <c r="A3041" s="62">
        <v>44594</v>
      </c>
      <c r="B3041" s="62" t="s">
        <v>945</v>
      </c>
      <c r="C3041" s="23">
        <v>-2600</v>
      </c>
      <c r="D3041" s="24" t="s">
        <v>52</v>
      </c>
      <c r="E3041" s="24" t="s">
        <v>53</v>
      </c>
      <c r="F3041" s="63" t="s">
        <v>4</v>
      </c>
    </row>
    <row r="3042" spans="1:6" x14ac:dyDescent="0.25">
      <c r="A3042" s="62">
        <v>44594</v>
      </c>
      <c r="B3042" s="62" t="s">
        <v>2627</v>
      </c>
      <c r="C3042" s="23">
        <v>-1228</v>
      </c>
      <c r="D3042" s="24" t="s">
        <v>49</v>
      </c>
      <c r="E3042" s="24" t="s">
        <v>56</v>
      </c>
      <c r="F3042" s="63" t="s">
        <v>0</v>
      </c>
    </row>
    <row r="3043" spans="1:6" x14ac:dyDescent="0.25">
      <c r="A3043" s="62">
        <v>44594</v>
      </c>
      <c r="B3043" s="62" t="s">
        <v>172</v>
      </c>
      <c r="C3043" s="23">
        <v>300696</v>
      </c>
      <c r="D3043" s="24" t="s">
        <v>58</v>
      </c>
      <c r="E3043" s="24" t="s">
        <v>58</v>
      </c>
      <c r="F3043" s="63" t="s">
        <v>0</v>
      </c>
    </row>
    <row r="3044" spans="1:6" x14ac:dyDescent="0.25">
      <c r="A3044" s="62">
        <v>44593</v>
      </c>
      <c r="B3044" s="62" t="s">
        <v>2628</v>
      </c>
      <c r="C3044" s="23">
        <v>-9306</v>
      </c>
      <c r="D3044" s="24" t="s">
        <v>46</v>
      </c>
      <c r="E3044" s="24" t="s">
        <v>47</v>
      </c>
      <c r="F3044" s="63" t="s">
        <v>0</v>
      </c>
    </row>
    <row r="3045" spans="1:6" x14ac:dyDescent="0.25">
      <c r="A3045" s="62">
        <v>44593</v>
      </c>
      <c r="B3045" s="62" t="s">
        <v>1026</v>
      </c>
      <c r="C3045" s="23">
        <v>-4567</v>
      </c>
      <c r="D3045" s="24" t="s">
        <v>46</v>
      </c>
      <c r="E3045" s="24" t="s">
        <v>512</v>
      </c>
      <c r="F3045" s="63" t="s">
        <v>0</v>
      </c>
    </row>
    <row r="3046" spans="1:6" x14ac:dyDescent="0.25">
      <c r="A3046" s="62">
        <v>44592</v>
      </c>
      <c r="B3046" s="62" t="s">
        <v>43</v>
      </c>
      <c r="C3046" s="23">
        <v>-1799</v>
      </c>
      <c r="D3046" s="24" t="s">
        <v>167</v>
      </c>
      <c r="E3046" s="24" t="s">
        <v>168</v>
      </c>
      <c r="F3046" s="63" t="s">
        <v>0</v>
      </c>
    </row>
    <row r="3047" spans="1:6" x14ac:dyDescent="0.25">
      <c r="A3047" s="62">
        <v>44592</v>
      </c>
      <c r="B3047" s="62" t="s">
        <v>2629</v>
      </c>
      <c r="C3047" s="23">
        <v>-10480</v>
      </c>
      <c r="D3047" s="24" t="s">
        <v>46</v>
      </c>
      <c r="E3047" s="24" t="s">
        <v>61</v>
      </c>
      <c r="F3047" s="63" t="s">
        <v>0</v>
      </c>
    </row>
    <row r="3048" spans="1:6" x14ac:dyDescent="0.25">
      <c r="A3048" s="62">
        <v>44592</v>
      </c>
      <c r="B3048" s="62" t="s">
        <v>2630</v>
      </c>
      <c r="C3048" s="23">
        <v>-3705</v>
      </c>
      <c r="D3048" s="24" t="s">
        <v>52</v>
      </c>
      <c r="E3048" s="24" t="s">
        <v>53</v>
      </c>
      <c r="F3048" s="63" t="s">
        <v>0</v>
      </c>
    </row>
    <row r="3049" spans="1:6" x14ac:dyDescent="0.25">
      <c r="A3049" s="62">
        <v>44592</v>
      </c>
      <c r="B3049" s="62" t="s">
        <v>2631</v>
      </c>
      <c r="C3049" s="23">
        <v>-17839</v>
      </c>
      <c r="D3049" s="24" t="s">
        <v>49</v>
      </c>
      <c r="E3049" s="24" t="s">
        <v>56</v>
      </c>
      <c r="F3049" s="63" t="s">
        <v>0</v>
      </c>
    </row>
    <row r="3050" spans="1:6" x14ac:dyDescent="0.25">
      <c r="A3050" s="62">
        <v>44592</v>
      </c>
      <c r="B3050" s="62" t="s">
        <v>2632</v>
      </c>
      <c r="C3050" s="23">
        <v>-14000</v>
      </c>
      <c r="D3050" s="24" t="s">
        <v>49</v>
      </c>
      <c r="E3050" s="24" t="s">
        <v>213</v>
      </c>
      <c r="F3050" s="63" t="s">
        <v>0</v>
      </c>
    </row>
    <row r="3051" spans="1:6" x14ac:dyDescent="0.25">
      <c r="A3051" s="62">
        <v>44592</v>
      </c>
      <c r="B3051" s="62" t="s">
        <v>2633</v>
      </c>
      <c r="C3051" s="23">
        <f>-32510-C3050</f>
        <v>-18510</v>
      </c>
      <c r="D3051" s="24" t="s">
        <v>49</v>
      </c>
      <c r="E3051" s="24" t="s">
        <v>56</v>
      </c>
      <c r="F3051" s="63" t="s">
        <v>0</v>
      </c>
    </row>
    <row r="3052" spans="1:6" x14ac:dyDescent="0.25">
      <c r="A3052" s="62">
        <v>44592</v>
      </c>
      <c r="B3052" s="62" t="s">
        <v>2634</v>
      </c>
      <c r="C3052" s="23">
        <v>-1980</v>
      </c>
      <c r="D3052" s="24" t="s">
        <v>52</v>
      </c>
      <c r="E3052" s="24" t="s">
        <v>53</v>
      </c>
      <c r="F3052" s="63" t="s">
        <v>0</v>
      </c>
    </row>
    <row r="3053" spans="1:6" x14ac:dyDescent="0.25">
      <c r="A3053" s="62">
        <v>44592</v>
      </c>
      <c r="B3053" s="62" t="s">
        <v>2635</v>
      </c>
      <c r="C3053" s="23">
        <v>-850</v>
      </c>
      <c r="D3053" s="24" t="s">
        <v>52</v>
      </c>
      <c r="E3053" s="24" t="s">
        <v>134</v>
      </c>
      <c r="F3053" s="63" t="s">
        <v>0</v>
      </c>
    </row>
    <row r="3054" spans="1:6" x14ac:dyDescent="0.25">
      <c r="A3054" s="62">
        <v>44592</v>
      </c>
      <c r="B3054" s="62" t="s">
        <v>2636</v>
      </c>
      <c r="C3054" s="23">
        <v>-6903</v>
      </c>
      <c r="D3054" s="24" t="s">
        <v>49</v>
      </c>
      <c r="E3054" s="24" t="s">
        <v>56</v>
      </c>
      <c r="F3054" s="63" t="s">
        <v>0</v>
      </c>
    </row>
    <row r="3055" spans="1:6" x14ac:dyDescent="0.25">
      <c r="A3055" s="62">
        <v>44592</v>
      </c>
      <c r="B3055" s="62" t="s">
        <v>2637</v>
      </c>
      <c r="C3055" s="23">
        <v>-4696</v>
      </c>
      <c r="D3055" s="24" t="s">
        <v>46</v>
      </c>
      <c r="E3055" s="24" t="s">
        <v>61</v>
      </c>
      <c r="F3055" s="63" t="s">
        <v>0</v>
      </c>
    </row>
    <row r="3056" spans="1:6" x14ac:dyDescent="0.25">
      <c r="A3056" s="62">
        <v>44592</v>
      </c>
      <c r="B3056" s="62" t="s">
        <v>2638</v>
      </c>
      <c r="C3056" s="23">
        <v>-405</v>
      </c>
      <c r="D3056" s="24" t="s">
        <v>52</v>
      </c>
      <c r="E3056" s="24" t="s">
        <v>53</v>
      </c>
      <c r="F3056" s="63" t="s">
        <v>0</v>
      </c>
    </row>
    <row r="3057" spans="1:6" x14ac:dyDescent="0.25">
      <c r="A3057" s="62">
        <v>44589</v>
      </c>
      <c r="B3057" s="62" t="s">
        <v>2639</v>
      </c>
      <c r="C3057" s="23">
        <v>-8860</v>
      </c>
      <c r="D3057" s="24" t="s">
        <v>90</v>
      </c>
      <c r="E3057" s="24" t="s">
        <v>59</v>
      </c>
      <c r="F3057" s="63" t="s">
        <v>0</v>
      </c>
    </row>
    <row r="3058" spans="1:6" x14ac:dyDescent="0.25">
      <c r="A3058" s="62">
        <v>44589</v>
      </c>
      <c r="B3058" s="62" t="s">
        <v>2640</v>
      </c>
      <c r="C3058" s="23">
        <v>-9306</v>
      </c>
      <c r="D3058" s="24" t="s">
        <v>46</v>
      </c>
      <c r="E3058" s="24" t="s">
        <v>61</v>
      </c>
      <c r="F3058" s="63" t="s">
        <v>0</v>
      </c>
    </row>
    <row r="3059" spans="1:6" x14ac:dyDescent="0.25">
      <c r="A3059" s="62">
        <v>44589</v>
      </c>
      <c r="B3059" s="62" t="s">
        <v>2641</v>
      </c>
      <c r="C3059" s="23">
        <v>-3490</v>
      </c>
      <c r="D3059" s="24" t="s">
        <v>46</v>
      </c>
      <c r="E3059" s="24" t="s">
        <v>63</v>
      </c>
      <c r="F3059" s="63" t="s">
        <v>0</v>
      </c>
    </row>
    <row r="3060" spans="1:6" x14ac:dyDescent="0.25">
      <c r="A3060" s="62">
        <v>44589</v>
      </c>
      <c r="B3060" s="62" t="s">
        <v>2642</v>
      </c>
      <c r="C3060" s="23">
        <v>-1000</v>
      </c>
      <c r="D3060" s="24" t="s">
        <v>52</v>
      </c>
      <c r="E3060" s="24" t="s">
        <v>134</v>
      </c>
      <c r="F3060" s="63" t="s">
        <v>0</v>
      </c>
    </row>
    <row r="3061" spans="1:6" x14ac:dyDescent="0.25">
      <c r="A3061" s="62">
        <v>44588</v>
      </c>
      <c r="B3061" s="62" t="s">
        <v>2643</v>
      </c>
      <c r="C3061" s="23">
        <v>-703</v>
      </c>
      <c r="D3061" s="24" t="s">
        <v>90</v>
      </c>
      <c r="E3061" s="24" t="s">
        <v>59</v>
      </c>
      <c r="F3061" s="63" t="s">
        <v>0</v>
      </c>
    </row>
    <row r="3062" spans="1:6" x14ac:dyDescent="0.25">
      <c r="A3062" s="62">
        <v>44588</v>
      </c>
      <c r="B3062" s="62" t="s">
        <v>2644</v>
      </c>
      <c r="C3062" s="23">
        <v>-857</v>
      </c>
      <c r="D3062" s="24" t="s">
        <v>49</v>
      </c>
      <c r="E3062" s="24" t="s">
        <v>56</v>
      </c>
      <c r="F3062" s="63" t="s">
        <v>0</v>
      </c>
    </row>
    <row r="3063" spans="1:6" x14ac:dyDescent="0.25">
      <c r="A3063" s="62">
        <v>44588</v>
      </c>
      <c r="B3063" s="62" t="s">
        <v>2645</v>
      </c>
      <c r="C3063" s="23">
        <v>-14200</v>
      </c>
      <c r="D3063" s="24" t="s">
        <v>90</v>
      </c>
      <c r="E3063" s="24" t="s">
        <v>91</v>
      </c>
      <c r="F3063" s="63" t="s">
        <v>0</v>
      </c>
    </row>
    <row r="3064" spans="1:6" x14ac:dyDescent="0.25">
      <c r="A3064" s="62">
        <v>44588</v>
      </c>
      <c r="B3064" s="62" t="s">
        <v>2646</v>
      </c>
      <c r="C3064" s="23">
        <v>-25553</v>
      </c>
      <c r="D3064" s="24" t="s">
        <v>72</v>
      </c>
      <c r="E3064" s="24" t="s">
        <v>109</v>
      </c>
      <c r="F3064" s="63" t="s">
        <v>0</v>
      </c>
    </row>
    <row r="3065" spans="1:6" x14ac:dyDescent="0.25">
      <c r="A3065" s="62">
        <v>44588</v>
      </c>
      <c r="B3065" s="62" t="s">
        <v>2647</v>
      </c>
      <c r="C3065" s="23">
        <v>-13888</v>
      </c>
      <c r="D3065" s="24" t="s">
        <v>46</v>
      </c>
      <c r="E3065" s="24" t="s">
        <v>150</v>
      </c>
      <c r="F3065" s="63" t="s">
        <v>0</v>
      </c>
    </row>
    <row r="3066" spans="1:6" x14ac:dyDescent="0.25">
      <c r="A3066" s="62">
        <v>44587</v>
      </c>
      <c r="B3066" s="62" t="s">
        <v>2648</v>
      </c>
      <c r="C3066" s="23">
        <v>-21220</v>
      </c>
      <c r="D3066" s="24" t="s">
        <v>90</v>
      </c>
      <c r="E3066" s="24" t="s">
        <v>106</v>
      </c>
      <c r="F3066" s="63" t="s">
        <v>0</v>
      </c>
    </row>
    <row r="3067" spans="1:6" x14ac:dyDescent="0.25">
      <c r="A3067" s="62">
        <v>44585</v>
      </c>
      <c r="B3067" s="62" t="s">
        <v>2649</v>
      </c>
      <c r="C3067" s="23">
        <v>-3828</v>
      </c>
      <c r="D3067" s="24" t="s">
        <v>90</v>
      </c>
      <c r="E3067" s="24" t="s">
        <v>59</v>
      </c>
      <c r="F3067" s="63" t="s">
        <v>0</v>
      </c>
    </row>
    <row r="3068" spans="1:6" x14ac:dyDescent="0.25">
      <c r="A3068" s="62">
        <v>44585</v>
      </c>
      <c r="B3068" s="62" t="s">
        <v>2650</v>
      </c>
      <c r="C3068" s="23">
        <v>-400</v>
      </c>
      <c r="D3068" s="24" t="s">
        <v>46</v>
      </c>
      <c r="E3068" s="24" t="s">
        <v>61</v>
      </c>
      <c r="F3068" s="63" t="s">
        <v>0</v>
      </c>
    </row>
    <row r="3069" spans="1:6" x14ac:dyDescent="0.25">
      <c r="A3069" s="62">
        <v>44585</v>
      </c>
      <c r="B3069" s="62" t="s">
        <v>2651</v>
      </c>
      <c r="C3069" s="23">
        <v>-300</v>
      </c>
      <c r="D3069" s="24" t="s">
        <v>52</v>
      </c>
      <c r="E3069" s="24" t="s">
        <v>53</v>
      </c>
      <c r="F3069" s="63" t="s">
        <v>0</v>
      </c>
    </row>
    <row r="3070" spans="1:6" x14ac:dyDescent="0.25">
      <c r="A3070" s="62">
        <v>44585</v>
      </c>
      <c r="B3070" s="62" t="s">
        <v>2652</v>
      </c>
      <c r="C3070" s="23">
        <v>-385</v>
      </c>
      <c r="D3070" s="24" t="s">
        <v>49</v>
      </c>
      <c r="E3070" s="24" t="s">
        <v>56</v>
      </c>
      <c r="F3070" s="63" t="s">
        <v>0</v>
      </c>
    </row>
    <row r="3071" spans="1:6" x14ac:dyDescent="0.25">
      <c r="A3071" s="62">
        <v>44585</v>
      </c>
      <c r="B3071" s="62" t="s">
        <v>2653</v>
      </c>
      <c r="C3071" s="23">
        <v>-8074</v>
      </c>
      <c r="D3071" s="24" t="s">
        <v>49</v>
      </c>
      <c r="E3071" s="24" t="s">
        <v>56</v>
      </c>
      <c r="F3071" s="63" t="s">
        <v>0</v>
      </c>
    </row>
    <row r="3072" spans="1:6" x14ac:dyDescent="0.25">
      <c r="A3072" s="62">
        <v>44585</v>
      </c>
      <c r="B3072" s="62" t="s">
        <v>2050</v>
      </c>
      <c r="C3072" s="23">
        <v>-792</v>
      </c>
      <c r="D3072" s="24" t="s">
        <v>49</v>
      </c>
      <c r="E3072" s="24" t="s">
        <v>56</v>
      </c>
      <c r="F3072" s="63" t="s">
        <v>0</v>
      </c>
    </row>
    <row r="3073" spans="1:6" x14ac:dyDescent="0.25">
      <c r="A3073" s="62">
        <v>44585</v>
      </c>
      <c r="B3073" s="62" t="s">
        <v>2654</v>
      </c>
      <c r="C3073" s="23">
        <v>-5497</v>
      </c>
      <c r="D3073" s="24" t="s">
        <v>49</v>
      </c>
      <c r="E3073" s="24" t="s">
        <v>56</v>
      </c>
      <c r="F3073" s="63" t="s">
        <v>0</v>
      </c>
    </row>
    <row r="3074" spans="1:6" x14ac:dyDescent="0.25">
      <c r="A3074" s="62">
        <v>44585</v>
      </c>
      <c r="B3074" s="62" t="s">
        <v>2655</v>
      </c>
      <c r="C3074" s="23">
        <v>-8978</v>
      </c>
      <c r="D3074" s="24" t="s">
        <v>46</v>
      </c>
      <c r="E3074" s="24" t="s">
        <v>61</v>
      </c>
      <c r="F3074" s="63" t="s">
        <v>0</v>
      </c>
    </row>
    <row r="3075" spans="1:6" x14ac:dyDescent="0.25">
      <c r="A3075" s="62">
        <v>44585</v>
      </c>
      <c r="B3075" s="62" t="s">
        <v>2656</v>
      </c>
      <c r="C3075" s="23">
        <v>-53376</v>
      </c>
      <c r="D3075" s="24" t="s">
        <v>46</v>
      </c>
      <c r="E3075" s="24" t="s">
        <v>47</v>
      </c>
      <c r="F3075" s="63" t="s">
        <v>0</v>
      </c>
    </row>
    <row r="3076" spans="1:6" x14ac:dyDescent="0.25">
      <c r="A3076" s="62">
        <v>44585</v>
      </c>
      <c r="B3076" s="62" t="s">
        <v>2390</v>
      </c>
      <c r="C3076" s="23">
        <v>-774</v>
      </c>
      <c r="D3076" s="24" t="s">
        <v>49</v>
      </c>
      <c r="E3076" s="24" t="s">
        <v>56</v>
      </c>
      <c r="F3076" s="63" t="s">
        <v>0</v>
      </c>
    </row>
    <row r="3077" spans="1:6" x14ac:dyDescent="0.25">
      <c r="A3077" s="62">
        <v>44583</v>
      </c>
      <c r="B3077" s="62" t="s">
        <v>765</v>
      </c>
      <c r="C3077" s="23">
        <v>-1720</v>
      </c>
      <c r="D3077" s="24" t="s">
        <v>52</v>
      </c>
      <c r="E3077" s="24" t="s">
        <v>53</v>
      </c>
      <c r="F3077" s="63" t="s">
        <v>4</v>
      </c>
    </row>
    <row r="3078" spans="1:6" x14ac:dyDescent="0.25">
      <c r="A3078" s="62">
        <v>44583</v>
      </c>
      <c r="B3078" s="62" t="s">
        <v>765</v>
      </c>
      <c r="C3078" s="23">
        <v>-1720</v>
      </c>
      <c r="D3078" s="24" t="s">
        <v>52</v>
      </c>
      <c r="E3078" s="24" t="s">
        <v>53</v>
      </c>
      <c r="F3078" s="63" t="s">
        <v>4</v>
      </c>
    </row>
    <row r="3079" spans="1:6" x14ac:dyDescent="0.25">
      <c r="A3079" s="62">
        <v>44582</v>
      </c>
      <c r="B3079" s="62" t="s">
        <v>2657</v>
      </c>
      <c r="C3079" s="23">
        <v>-495</v>
      </c>
      <c r="D3079" s="24" t="s">
        <v>52</v>
      </c>
      <c r="E3079" s="24" t="s">
        <v>134</v>
      </c>
      <c r="F3079" s="63" t="s">
        <v>0</v>
      </c>
    </row>
    <row r="3080" spans="1:6" x14ac:dyDescent="0.25">
      <c r="A3080" s="62">
        <v>44582</v>
      </c>
      <c r="B3080" s="62" t="s">
        <v>2645</v>
      </c>
      <c r="C3080" s="23">
        <v>-12000</v>
      </c>
      <c r="D3080" s="24" t="s">
        <v>90</v>
      </c>
      <c r="E3080" s="24" t="s">
        <v>91</v>
      </c>
      <c r="F3080" s="63" t="s">
        <v>0</v>
      </c>
    </row>
    <row r="3081" spans="1:6" x14ac:dyDescent="0.25">
      <c r="A3081" s="62">
        <v>44582</v>
      </c>
      <c r="B3081" s="62" t="s">
        <v>2296</v>
      </c>
      <c r="C3081" s="23">
        <v>-1100</v>
      </c>
      <c r="D3081" s="24" t="s">
        <v>52</v>
      </c>
      <c r="E3081" s="24" t="s">
        <v>134</v>
      </c>
      <c r="F3081" s="63" t="s">
        <v>0</v>
      </c>
    </row>
    <row r="3082" spans="1:6" x14ac:dyDescent="0.25">
      <c r="A3082" s="62">
        <v>44581</v>
      </c>
      <c r="B3082" s="62" t="s">
        <v>2658</v>
      </c>
      <c r="C3082" s="23">
        <v>-634</v>
      </c>
      <c r="D3082" s="24" t="s">
        <v>46</v>
      </c>
      <c r="E3082" s="24" t="s">
        <v>61</v>
      </c>
      <c r="F3082" s="63" t="s">
        <v>0</v>
      </c>
    </row>
    <row r="3083" spans="1:6" x14ac:dyDescent="0.25">
      <c r="A3083" s="62">
        <v>44581</v>
      </c>
      <c r="B3083" s="62" t="s">
        <v>2659</v>
      </c>
      <c r="C3083" s="23">
        <v>-929</v>
      </c>
      <c r="D3083" s="24" t="s">
        <v>167</v>
      </c>
      <c r="E3083" s="24" t="s">
        <v>168</v>
      </c>
      <c r="F3083" s="63" t="s">
        <v>0</v>
      </c>
    </row>
    <row r="3084" spans="1:6" x14ac:dyDescent="0.25">
      <c r="A3084" s="62">
        <v>44580</v>
      </c>
      <c r="B3084" s="62" t="s">
        <v>2660</v>
      </c>
      <c r="C3084" s="23">
        <v>37010</v>
      </c>
      <c r="D3084" s="24" t="s">
        <v>58</v>
      </c>
      <c r="E3084" s="24" t="s">
        <v>58</v>
      </c>
      <c r="F3084" s="63" t="s">
        <v>0</v>
      </c>
    </row>
    <row r="3085" spans="1:6" x14ac:dyDescent="0.25">
      <c r="A3085" s="62">
        <v>44580</v>
      </c>
      <c r="B3085" s="62" t="s">
        <v>2661</v>
      </c>
      <c r="C3085" s="23">
        <v>-4940</v>
      </c>
      <c r="D3085" s="24" t="s">
        <v>49</v>
      </c>
      <c r="E3085" s="24" t="s">
        <v>50</v>
      </c>
      <c r="F3085" s="63" t="s">
        <v>0</v>
      </c>
    </row>
    <row r="3086" spans="1:6" x14ac:dyDescent="0.25">
      <c r="A3086" s="62">
        <v>44580</v>
      </c>
      <c r="B3086" s="62" t="s">
        <v>2662</v>
      </c>
      <c r="C3086" s="23">
        <v>-7240</v>
      </c>
      <c r="D3086" s="24" t="s">
        <v>90</v>
      </c>
      <c r="E3086" s="24" t="s">
        <v>93</v>
      </c>
      <c r="F3086" s="63" t="s">
        <v>0</v>
      </c>
    </row>
    <row r="3087" spans="1:6" x14ac:dyDescent="0.25">
      <c r="A3087" s="62">
        <v>44580</v>
      </c>
      <c r="B3087" s="62" t="s">
        <v>2663</v>
      </c>
      <c r="C3087" s="23">
        <v>-12243</v>
      </c>
      <c r="D3087" s="24" t="s">
        <v>90</v>
      </c>
      <c r="E3087" s="24" t="s">
        <v>93</v>
      </c>
      <c r="F3087" s="63" t="s">
        <v>0</v>
      </c>
    </row>
    <row r="3088" spans="1:6" x14ac:dyDescent="0.25">
      <c r="A3088" s="62">
        <v>44580</v>
      </c>
      <c r="B3088" s="62" t="s">
        <v>2664</v>
      </c>
      <c r="C3088" s="23">
        <v>-6479</v>
      </c>
      <c r="D3088" s="24" t="s">
        <v>46</v>
      </c>
      <c r="E3088" s="24" t="s">
        <v>63</v>
      </c>
      <c r="F3088" s="63" t="s">
        <v>0</v>
      </c>
    </row>
    <row r="3089" spans="1:6" x14ac:dyDescent="0.25">
      <c r="A3089" s="62">
        <v>44579</v>
      </c>
      <c r="B3089" s="62" t="s">
        <v>2665</v>
      </c>
      <c r="C3089" s="23">
        <v>-1373</v>
      </c>
      <c r="D3089" s="24" t="s">
        <v>49</v>
      </c>
      <c r="E3089" s="24" t="s">
        <v>56</v>
      </c>
      <c r="F3089" s="63" t="s">
        <v>0</v>
      </c>
    </row>
    <row r="3090" spans="1:6" x14ac:dyDescent="0.25">
      <c r="A3090" s="62">
        <v>44578</v>
      </c>
      <c r="B3090" s="62" t="s">
        <v>2666</v>
      </c>
      <c r="C3090" s="23">
        <v>-417</v>
      </c>
      <c r="D3090" s="24" t="s">
        <v>49</v>
      </c>
      <c r="E3090" s="24" t="s">
        <v>56</v>
      </c>
      <c r="F3090" s="63" t="s">
        <v>0</v>
      </c>
    </row>
    <row r="3091" spans="1:6" x14ac:dyDescent="0.25">
      <c r="A3091" s="62">
        <v>44578</v>
      </c>
      <c r="B3091" s="62" t="s">
        <v>2667</v>
      </c>
      <c r="C3091" s="23">
        <v>-13888</v>
      </c>
      <c r="D3091" s="24" t="s">
        <v>90</v>
      </c>
      <c r="E3091" s="24" t="s">
        <v>59</v>
      </c>
      <c r="F3091" s="63" t="s">
        <v>0</v>
      </c>
    </row>
    <row r="3092" spans="1:6" x14ac:dyDescent="0.25">
      <c r="A3092" s="62">
        <v>44578</v>
      </c>
      <c r="B3092" s="62" t="s">
        <v>2668</v>
      </c>
      <c r="C3092" s="23">
        <v>-27050</v>
      </c>
      <c r="D3092" s="24" t="s">
        <v>90</v>
      </c>
      <c r="E3092" s="24" t="s">
        <v>106</v>
      </c>
      <c r="F3092" s="63" t="s">
        <v>0</v>
      </c>
    </row>
    <row r="3093" spans="1:6" x14ac:dyDescent="0.25">
      <c r="A3093" s="62">
        <v>44578</v>
      </c>
      <c r="B3093" s="62" t="s">
        <v>2669</v>
      </c>
      <c r="C3093" s="23">
        <v>-549</v>
      </c>
      <c r="D3093" s="24" t="s">
        <v>49</v>
      </c>
      <c r="E3093" s="24" t="s">
        <v>56</v>
      </c>
      <c r="F3093" s="63" t="s">
        <v>0</v>
      </c>
    </row>
    <row r="3094" spans="1:6" x14ac:dyDescent="0.25">
      <c r="A3094" s="62">
        <v>44578</v>
      </c>
      <c r="B3094" s="62" t="s">
        <v>2670</v>
      </c>
      <c r="C3094" s="23">
        <v>-9990</v>
      </c>
      <c r="D3094" s="24" t="s">
        <v>49</v>
      </c>
      <c r="E3094" s="24" t="s">
        <v>56</v>
      </c>
      <c r="F3094" s="63" t="s">
        <v>0</v>
      </c>
    </row>
    <row r="3095" spans="1:6" x14ac:dyDescent="0.25">
      <c r="A3095" s="62">
        <v>44578</v>
      </c>
      <c r="B3095" s="62" t="s">
        <v>2671</v>
      </c>
      <c r="C3095" s="23">
        <v>-16149</v>
      </c>
      <c r="D3095" s="24" t="s">
        <v>49</v>
      </c>
      <c r="E3095" s="24" t="s">
        <v>56</v>
      </c>
      <c r="F3095" s="63" t="s">
        <v>0</v>
      </c>
    </row>
    <row r="3096" spans="1:6" x14ac:dyDescent="0.25">
      <c r="A3096" s="62">
        <v>44578</v>
      </c>
      <c r="B3096" s="62" t="s">
        <v>2672</v>
      </c>
      <c r="C3096" s="23">
        <v>-17454</v>
      </c>
      <c r="D3096" s="24" t="s">
        <v>72</v>
      </c>
      <c r="E3096" s="24" t="s">
        <v>109</v>
      </c>
      <c r="F3096" s="63" t="s">
        <v>0</v>
      </c>
    </row>
    <row r="3097" spans="1:6" x14ac:dyDescent="0.25">
      <c r="A3097" s="62">
        <v>44577</v>
      </c>
      <c r="B3097" s="62" t="s">
        <v>1288</v>
      </c>
      <c r="C3097" s="23">
        <v>-7395</v>
      </c>
      <c r="D3097" s="24" t="s">
        <v>52</v>
      </c>
      <c r="E3097" s="24" t="s">
        <v>1865</v>
      </c>
      <c r="F3097" s="63" t="s">
        <v>4</v>
      </c>
    </row>
    <row r="3098" spans="1:6" x14ac:dyDescent="0.25">
      <c r="A3098" s="62">
        <v>44577</v>
      </c>
      <c r="B3098" s="62" t="s">
        <v>1288</v>
      </c>
      <c r="C3098" s="23">
        <v>-7395</v>
      </c>
      <c r="D3098" s="24" t="s">
        <v>52</v>
      </c>
      <c r="E3098" s="24" t="s">
        <v>1865</v>
      </c>
      <c r="F3098" s="63" t="s">
        <v>4</v>
      </c>
    </row>
    <row r="3099" spans="1:6" x14ac:dyDescent="0.25">
      <c r="A3099" s="62">
        <v>44576</v>
      </c>
      <c r="B3099" s="62" t="s">
        <v>714</v>
      </c>
      <c r="C3099" s="23">
        <v>-2700</v>
      </c>
      <c r="D3099" s="24" t="s">
        <v>52</v>
      </c>
      <c r="E3099" s="24" t="s">
        <v>53</v>
      </c>
      <c r="F3099" s="63" t="s">
        <v>4</v>
      </c>
    </row>
    <row r="3100" spans="1:6" x14ac:dyDescent="0.25">
      <c r="A3100" s="62">
        <v>44576</v>
      </c>
      <c r="B3100" s="62" t="s">
        <v>714</v>
      </c>
      <c r="C3100" s="23">
        <v>-2700</v>
      </c>
      <c r="D3100" s="24" t="s">
        <v>52</v>
      </c>
      <c r="E3100" s="24" t="s">
        <v>53</v>
      </c>
      <c r="F3100" s="63" t="s">
        <v>4</v>
      </c>
    </row>
    <row r="3101" spans="1:6" x14ac:dyDescent="0.25">
      <c r="A3101" s="62">
        <v>44575</v>
      </c>
      <c r="B3101" s="62" t="s">
        <v>2615</v>
      </c>
      <c r="C3101" s="23">
        <v>-8000</v>
      </c>
      <c r="D3101" s="24" t="s">
        <v>90</v>
      </c>
      <c r="E3101" s="24" t="s">
        <v>91</v>
      </c>
      <c r="F3101" s="63" t="s">
        <v>0</v>
      </c>
    </row>
    <row r="3102" spans="1:6" x14ac:dyDescent="0.25">
      <c r="A3102" s="62">
        <v>44575</v>
      </c>
      <c r="B3102" s="62" t="s">
        <v>2673</v>
      </c>
      <c r="C3102" s="23">
        <v>-2380</v>
      </c>
      <c r="D3102" s="24" t="s">
        <v>52</v>
      </c>
      <c r="E3102" s="24" t="s">
        <v>53</v>
      </c>
      <c r="F3102" s="63" t="s">
        <v>0</v>
      </c>
    </row>
    <row r="3103" spans="1:6" x14ac:dyDescent="0.25">
      <c r="A3103" s="62">
        <v>44573</v>
      </c>
      <c r="B3103" s="62" t="s">
        <v>1353</v>
      </c>
      <c r="C3103" s="23">
        <v>-2070</v>
      </c>
      <c r="D3103" s="24" t="s">
        <v>52</v>
      </c>
      <c r="E3103" s="24" t="s">
        <v>53</v>
      </c>
      <c r="F3103" s="63" t="s">
        <v>4</v>
      </c>
    </row>
    <row r="3104" spans="1:6" x14ac:dyDescent="0.25">
      <c r="A3104" s="62">
        <v>44573</v>
      </c>
      <c r="B3104" s="62" t="s">
        <v>1353</v>
      </c>
      <c r="C3104" s="23">
        <v>-2070</v>
      </c>
      <c r="D3104" s="24" t="s">
        <v>52</v>
      </c>
      <c r="E3104" s="24" t="s">
        <v>53</v>
      </c>
      <c r="F3104" s="63" t="s">
        <v>4</v>
      </c>
    </row>
    <row r="3105" spans="1:6" x14ac:dyDescent="0.25">
      <c r="A3105" s="62">
        <v>44573</v>
      </c>
      <c r="B3105" s="62" t="s">
        <v>2674</v>
      </c>
      <c r="C3105" s="23">
        <v>-218</v>
      </c>
      <c r="D3105" s="24" t="s">
        <v>49</v>
      </c>
      <c r="E3105" s="24" t="s">
        <v>56</v>
      </c>
      <c r="F3105" s="63" t="s">
        <v>0</v>
      </c>
    </row>
    <row r="3106" spans="1:6" x14ac:dyDescent="0.25">
      <c r="A3106" s="62">
        <v>44573</v>
      </c>
      <c r="B3106" s="62" t="s">
        <v>2675</v>
      </c>
      <c r="C3106" s="23">
        <v>-2971</v>
      </c>
      <c r="D3106" s="24" t="s">
        <v>49</v>
      </c>
      <c r="E3106" s="24" t="s">
        <v>56</v>
      </c>
      <c r="F3106" s="63" t="s">
        <v>0</v>
      </c>
    </row>
    <row r="3107" spans="1:6" x14ac:dyDescent="0.25">
      <c r="A3107" s="62">
        <v>44573</v>
      </c>
      <c r="B3107" s="62" t="s">
        <v>2570</v>
      </c>
      <c r="C3107" s="23">
        <v>-650</v>
      </c>
      <c r="D3107" s="24" t="s">
        <v>52</v>
      </c>
      <c r="E3107" s="24" t="s">
        <v>134</v>
      </c>
      <c r="F3107" s="63" t="s">
        <v>0</v>
      </c>
    </row>
    <row r="3108" spans="1:6" x14ac:dyDescent="0.25">
      <c r="A3108" s="62">
        <v>44572</v>
      </c>
      <c r="B3108" s="62" t="s">
        <v>2676</v>
      </c>
      <c r="C3108" s="23">
        <v>-3440</v>
      </c>
      <c r="D3108" s="24" t="s">
        <v>72</v>
      </c>
      <c r="E3108" s="24" t="s">
        <v>126</v>
      </c>
      <c r="F3108" s="63" t="s">
        <v>0</v>
      </c>
    </row>
    <row r="3109" spans="1:6" x14ac:dyDescent="0.25">
      <c r="A3109" s="62">
        <v>44572</v>
      </c>
      <c r="B3109" s="62" t="s">
        <v>2677</v>
      </c>
      <c r="C3109" s="23">
        <v>-70000</v>
      </c>
      <c r="D3109" s="24" t="s">
        <v>72</v>
      </c>
      <c r="E3109" s="24" t="s">
        <v>445</v>
      </c>
      <c r="F3109" s="63" t="s">
        <v>7</v>
      </c>
    </row>
    <row r="3110" spans="1:6" x14ac:dyDescent="0.25">
      <c r="A3110" s="62">
        <v>44571</v>
      </c>
      <c r="B3110" s="62" t="s">
        <v>2678</v>
      </c>
      <c r="C3110" s="23">
        <v>-208026.74</v>
      </c>
      <c r="D3110" s="24" t="s">
        <v>46</v>
      </c>
      <c r="E3110" s="24" t="s">
        <v>10</v>
      </c>
      <c r="F3110" s="63" t="s">
        <v>0</v>
      </c>
    </row>
    <row r="3111" spans="1:6" x14ac:dyDescent="0.25">
      <c r="A3111" s="62">
        <v>44571</v>
      </c>
      <c r="B3111" s="62" t="s">
        <v>2679</v>
      </c>
      <c r="C3111" s="23">
        <v>-53778.05</v>
      </c>
      <c r="D3111" s="24" t="s">
        <v>46</v>
      </c>
      <c r="E3111" s="24" t="s">
        <v>10</v>
      </c>
      <c r="F3111" s="63" t="s">
        <v>0</v>
      </c>
    </row>
    <row r="3112" spans="1:6" x14ac:dyDescent="0.25">
      <c r="A3112" s="62">
        <v>44571</v>
      </c>
      <c r="B3112" s="62" t="s">
        <v>2678</v>
      </c>
      <c r="C3112" s="23">
        <v>208026.74</v>
      </c>
      <c r="D3112" s="24" t="s">
        <v>46</v>
      </c>
      <c r="E3112" s="24" t="s">
        <v>10</v>
      </c>
      <c r="F3112" s="63" t="s">
        <v>10</v>
      </c>
    </row>
    <row r="3113" spans="1:6" x14ac:dyDescent="0.25">
      <c r="A3113" s="62">
        <v>44571</v>
      </c>
      <c r="B3113" s="62" t="s">
        <v>2680</v>
      </c>
      <c r="C3113" s="23">
        <v>-457</v>
      </c>
      <c r="D3113" s="24" t="s">
        <v>49</v>
      </c>
      <c r="E3113" s="24" t="s">
        <v>56</v>
      </c>
      <c r="F3113" s="63" t="s">
        <v>0</v>
      </c>
    </row>
    <row r="3114" spans="1:6" x14ac:dyDescent="0.25">
      <c r="A3114" s="62">
        <v>44571</v>
      </c>
      <c r="B3114" s="62" t="s">
        <v>2681</v>
      </c>
      <c r="C3114" s="23">
        <v>-1190</v>
      </c>
      <c r="D3114" s="24" t="s">
        <v>52</v>
      </c>
      <c r="E3114" s="24" t="s">
        <v>53</v>
      </c>
      <c r="F3114" s="63" t="s">
        <v>0</v>
      </c>
    </row>
    <row r="3115" spans="1:6" x14ac:dyDescent="0.25">
      <c r="A3115" s="62">
        <v>44571</v>
      </c>
      <c r="B3115" s="62" t="s">
        <v>2682</v>
      </c>
      <c r="C3115" s="23">
        <v>-1972</v>
      </c>
      <c r="D3115" s="24" t="s">
        <v>49</v>
      </c>
      <c r="E3115" s="24" t="s">
        <v>56</v>
      </c>
      <c r="F3115" s="63" t="s">
        <v>0</v>
      </c>
    </row>
    <row r="3116" spans="1:6" x14ac:dyDescent="0.25">
      <c r="A3116" s="62">
        <v>44571</v>
      </c>
      <c r="B3116" s="62" t="s">
        <v>2683</v>
      </c>
      <c r="C3116" s="23">
        <v>-2030</v>
      </c>
      <c r="D3116" s="24" t="s">
        <v>52</v>
      </c>
      <c r="E3116" s="24" t="s">
        <v>134</v>
      </c>
      <c r="F3116" s="63" t="s">
        <v>0</v>
      </c>
    </row>
    <row r="3117" spans="1:6" x14ac:dyDescent="0.25">
      <c r="A3117" s="62">
        <v>44571</v>
      </c>
      <c r="B3117" s="62" t="s">
        <v>2684</v>
      </c>
      <c r="C3117" s="23">
        <v>-4140</v>
      </c>
      <c r="D3117" s="24" t="s">
        <v>49</v>
      </c>
      <c r="E3117" s="24" t="s">
        <v>56</v>
      </c>
      <c r="F3117" s="63" t="s">
        <v>0</v>
      </c>
    </row>
    <row r="3118" spans="1:6" x14ac:dyDescent="0.25">
      <c r="A3118" s="62">
        <v>44571</v>
      </c>
      <c r="B3118" s="62" t="s">
        <v>2685</v>
      </c>
      <c r="C3118" s="23">
        <v>-10568</v>
      </c>
      <c r="D3118" s="24" t="s">
        <v>46</v>
      </c>
      <c r="E3118" s="24" t="s">
        <v>61</v>
      </c>
      <c r="F3118" s="63" t="s">
        <v>0</v>
      </c>
    </row>
    <row r="3119" spans="1:6" x14ac:dyDescent="0.25">
      <c r="A3119" s="62">
        <v>44571</v>
      </c>
      <c r="B3119" s="62" t="s">
        <v>2686</v>
      </c>
      <c r="C3119" s="23">
        <v>-5814</v>
      </c>
      <c r="D3119" s="24" t="s">
        <v>49</v>
      </c>
      <c r="E3119" s="24" t="s">
        <v>56</v>
      </c>
      <c r="F3119" s="63" t="s">
        <v>0</v>
      </c>
    </row>
    <row r="3120" spans="1:6" x14ac:dyDescent="0.25">
      <c r="A3120" s="62">
        <v>44571</v>
      </c>
      <c r="B3120" s="62" t="s">
        <v>2687</v>
      </c>
      <c r="C3120" s="23">
        <v>-13050</v>
      </c>
      <c r="D3120" s="24" t="s">
        <v>46</v>
      </c>
      <c r="E3120" s="24" t="s">
        <v>61</v>
      </c>
      <c r="F3120" s="63" t="s">
        <v>0</v>
      </c>
    </row>
    <row r="3121" spans="1:6" x14ac:dyDescent="0.25">
      <c r="A3121" s="62">
        <v>44571</v>
      </c>
      <c r="B3121" s="62" t="s">
        <v>2688</v>
      </c>
      <c r="C3121" s="23">
        <v>-3080</v>
      </c>
      <c r="D3121" s="24" t="s">
        <v>52</v>
      </c>
      <c r="E3121" s="24" t="s">
        <v>53</v>
      </c>
      <c r="F3121" s="63" t="s">
        <v>0</v>
      </c>
    </row>
    <row r="3122" spans="1:6" x14ac:dyDescent="0.25">
      <c r="A3122" s="62">
        <v>44571</v>
      </c>
      <c r="B3122" s="62" t="s">
        <v>1651</v>
      </c>
      <c r="C3122" s="23">
        <v>696600</v>
      </c>
      <c r="D3122" s="24" t="s">
        <v>58</v>
      </c>
      <c r="E3122" s="24" t="s">
        <v>58</v>
      </c>
      <c r="F3122" s="63" t="s">
        <v>0</v>
      </c>
    </row>
    <row r="3123" spans="1:6" x14ac:dyDescent="0.25">
      <c r="A3123" s="62">
        <v>44568</v>
      </c>
      <c r="B3123" s="62" t="s">
        <v>2570</v>
      </c>
      <c r="C3123" s="23">
        <v>-650</v>
      </c>
      <c r="D3123" s="24" t="s">
        <v>52</v>
      </c>
      <c r="E3123" s="24" t="s">
        <v>134</v>
      </c>
      <c r="F3123" s="63" t="s">
        <v>0</v>
      </c>
    </row>
    <row r="3124" spans="1:6" x14ac:dyDescent="0.25">
      <c r="A3124" s="62">
        <v>44568</v>
      </c>
      <c r="B3124" s="62" t="s">
        <v>2336</v>
      </c>
      <c r="C3124" s="23">
        <v>-419</v>
      </c>
      <c r="D3124" s="24" t="s">
        <v>72</v>
      </c>
      <c r="E3124" s="24" t="s">
        <v>197</v>
      </c>
      <c r="F3124" s="63" t="s">
        <v>0</v>
      </c>
    </row>
    <row r="3125" spans="1:6" x14ac:dyDescent="0.25">
      <c r="A3125" s="62">
        <v>44567</v>
      </c>
      <c r="B3125" s="62" t="s">
        <v>171</v>
      </c>
      <c r="C3125" s="23">
        <v>1550</v>
      </c>
      <c r="D3125" s="24" t="s">
        <v>167</v>
      </c>
      <c r="E3125" s="24" t="s">
        <v>168</v>
      </c>
      <c r="F3125" s="63" t="s">
        <v>0</v>
      </c>
    </row>
    <row r="3126" spans="1:6" x14ac:dyDescent="0.25">
      <c r="A3126" s="62">
        <v>44567</v>
      </c>
      <c r="B3126" s="62" t="s">
        <v>2689</v>
      </c>
      <c r="C3126" s="23">
        <v>-13200</v>
      </c>
      <c r="D3126" s="24" t="s">
        <v>46</v>
      </c>
      <c r="E3126" s="24" t="s">
        <v>61</v>
      </c>
      <c r="F3126" s="63" t="s">
        <v>0</v>
      </c>
    </row>
    <row r="3127" spans="1:6" x14ac:dyDescent="0.25">
      <c r="A3127" s="62">
        <v>44567</v>
      </c>
      <c r="B3127" s="62" t="s">
        <v>2690</v>
      </c>
      <c r="C3127" s="23">
        <v>-2611</v>
      </c>
      <c r="D3127" s="24" t="s">
        <v>49</v>
      </c>
      <c r="E3127" s="24" t="s">
        <v>56</v>
      </c>
      <c r="F3127" s="63" t="s">
        <v>0</v>
      </c>
    </row>
    <row r="3128" spans="1:6" x14ac:dyDescent="0.25">
      <c r="A3128" s="62">
        <v>44567</v>
      </c>
      <c r="B3128" s="62" t="s">
        <v>2691</v>
      </c>
      <c r="C3128" s="23">
        <v>-2730</v>
      </c>
      <c r="D3128" s="24" t="s">
        <v>49</v>
      </c>
      <c r="E3128" s="24" t="s">
        <v>56</v>
      </c>
      <c r="F3128" s="63" t="s">
        <v>0</v>
      </c>
    </row>
    <row r="3129" spans="1:6" x14ac:dyDescent="0.25">
      <c r="A3129" s="62">
        <v>44567</v>
      </c>
      <c r="B3129" s="62" t="s">
        <v>2692</v>
      </c>
      <c r="C3129" s="23">
        <v>-20074</v>
      </c>
      <c r="D3129" s="24" t="s">
        <v>72</v>
      </c>
      <c r="E3129" s="24" t="s">
        <v>109</v>
      </c>
      <c r="F3129" s="63" t="s">
        <v>0</v>
      </c>
    </row>
    <row r="3130" spans="1:6" x14ac:dyDescent="0.25">
      <c r="A3130" s="62">
        <v>44566</v>
      </c>
      <c r="B3130" s="62" t="s">
        <v>2693</v>
      </c>
      <c r="C3130" s="23">
        <v>-627</v>
      </c>
      <c r="D3130" s="24" t="s">
        <v>49</v>
      </c>
      <c r="E3130" s="24" t="s">
        <v>56</v>
      </c>
      <c r="F3130" s="63" t="s">
        <v>0</v>
      </c>
    </row>
    <row r="3131" spans="1:6" x14ac:dyDescent="0.25">
      <c r="A3131" s="62">
        <v>44566</v>
      </c>
      <c r="B3131" s="62" t="s">
        <v>2694</v>
      </c>
      <c r="C3131" s="23">
        <v>-7095</v>
      </c>
      <c r="D3131" s="24" t="s">
        <v>49</v>
      </c>
      <c r="E3131" s="24" t="s">
        <v>213</v>
      </c>
      <c r="F3131" s="63" t="s">
        <v>0</v>
      </c>
    </row>
    <row r="3132" spans="1:6" x14ac:dyDescent="0.25">
      <c r="A3132" s="62">
        <v>44566</v>
      </c>
      <c r="B3132" s="62" t="s">
        <v>2695</v>
      </c>
      <c r="C3132" s="23">
        <v>-24900</v>
      </c>
      <c r="D3132" s="24" t="s">
        <v>72</v>
      </c>
      <c r="E3132" s="24" t="s">
        <v>197</v>
      </c>
      <c r="F3132" s="63" t="s">
        <v>0</v>
      </c>
    </row>
    <row r="3133" spans="1:6" x14ac:dyDescent="0.25">
      <c r="A3133" s="62">
        <v>44566</v>
      </c>
      <c r="B3133" s="62" t="s">
        <v>2318</v>
      </c>
      <c r="C3133" s="23">
        <v>-5546</v>
      </c>
      <c r="D3133" s="24" t="s">
        <v>46</v>
      </c>
      <c r="E3133" s="24" t="s">
        <v>80</v>
      </c>
      <c r="F3133" s="63" t="s">
        <v>0</v>
      </c>
    </row>
    <row r="3134" spans="1:6" x14ac:dyDescent="0.25">
      <c r="A3134" s="62">
        <v>44566</v>
      </c>
      <c r="B3134" s="62" t="s">
        <v>2696</v>
      </c>
      <c r="C3134" s="23">
        <v>-4581</v>
      </c>
      <c r="D3134" s="24" t="s">
        <v>49</v>
      </c>
      <c r="E3134" s="24" t="s">
        <v>56</v>
      </c>
      <c r="F3134" s="63" t="s">
        <v>0</v>
      </c>
    </row>
    <row r="3135" spans="1:6" x14ac:dyDescent="0.25">
      <c r="A3135" s="62">
        <v>44566</v>
      </c>
      <c r="B3135" s="62" t="s">
        <v>2697</v>
      </c>
      <c r="C3135" s="23">
        <f>-84*310</f>
        <v>-26040</v>
      </c>
      <c r="D3135" s="24" t="s">
        <v>206</v>
      </c>
      <c r="E3135" s="24" t="s">
        <v>234</v>
      </c>
      <c r="F3135" s="63" t="s">
        <v>2</v>
      </c>
    </row>
    <row r="3136" spans="1:6" x14ac:dyDescent="0.25">
      <c r="A3136" s="62">
        <v>44566</v>
      </c>
      <c r="B3136" s="62" t="s">
        <v>2698</v>
      </c>
      <c r="C3136" s="23">
        <f>-44.23*310</f>
        <v>-13711.3</v>
      </c>
      <c r="D3136" s="24" t="s">
        <v>49</v>
      </c>
      <c r="E3136" s="24" t="s">
        <v>213</v>
      </c>
      <c r="F3136" s="63" t="s">
        <v>2</v>
      </c>
    </row>
    <row r="3137" spans="1:6" x14ac:dyDescent="0.25">
      <c r="A3137" s="62">
        <v>44566</v>
      </c>
      <c r="B3137" s="62" t="s">
        <v>2699</v>
      </c>
      <c r="C3137" s="23">
        <v>-8000</v>
      </c>
      <c r="D3137" s="24" t="s">
        <v>90</v>
      </c>
      <c r="E3137" s="24" t="s">
        <v>91</v>
      </c>
      <c r="F3137" s="63" t="s">
        <v>7</v>
      </c>
    </row>
    <row r="3138" spans="1:6" x14ac:dyDescent="0.25">
      <c r="A3138" s="62">
        <v>44566</v>
      </c>
      <c r="B3138" s="62" t="s">
        <v>2700</v>
      </c>
      <c r="C3138" s="23">
        <v>-12000</v>
      </c>
      <c r="D3138" s="24" t="s">
        <v>90</v>
      </c>
      <c r="E3138" s="24" t="s">
        <v>91</v>
      </c>
      <c r="F3138" s="63" t="s">
        <v>7</v>
      </c>
    </row>
    <row r="3139" spans="1:6" x14ac:dyDescent="0.25">
      <c r="A3139" s="62">
        <v>44566</v>
      </c>
      <c r="B3139" s="62" t="s">
        <v>2701</v>
      </c>
      <c r="C3139" s="23">
        <f>-(2000+2*7000)</f>
        <v>-16000</v>
      </c>
      <c r="D3139" s="24" t="s">
        <v>90</v>
      </c>
      <c r="E3139" s="24" t="s">
        <v>91</v>
      </c>
      <c r="F3139" s="63" t="s">
        <v>7</v>
      </c>
    </row>
    <row r="3140" spans="1:6" x14ac:dyDescent="0.25">
      <c r="A3140" s="62">
        <v>44565</v>
      </c>
      <c r="B3140" s="62" t="s">
        <v>2702</v>
      </c>
      <c r="C3140" s="23">
        <v>-293</v>
      </c>
      <c r="D3140" s="24" t="s">
        <v>72</v>
      </c>
      <c r="E3140" s="24" t="s">
        <v>197</v>
      </c>
      <c r="F3140" s="63" t="s">
        <v>0</v>
      </c>
    </row>
    <row r="3141" spans="1:6" x14ac:dyDescent="0.25">
      <c r="A3141" s="62">
        <v>44565</v>
      </c>
      <c r="B3141" s="62" t="s">
        <v>2703</v>
      </c>
      <c r="C3141" s="23">
        <v>-11171</v>
      </c>
      <c r="D3141" s="24" t="s">
        <v>46</v>
      </c>
      <c r="E3141" s="24" t="s">
        <v>145</v>
      </c>
      <c r="F3141" s="63" t="s">
        <v>0</v>
      </c>
    </row>
    <row r="3142" spans="1:6" x14ac:dyDescent="0.25">
      <c r="A3142" s="62">
        <v>44565</v>
      </c>
      <c r="B3142" s="62" t="s">
        <v>2704</v>
      </c>
      <c r="C3142" s="23">
        <v>-3869</v>
      </c>
      <c r="D3142" s="24" t="s">
        <v>49</v>
      </c>
      <c r="E3142" s="24" t="s">
        <v>56</v>
      </c>
      <c r="F3142" s="63" t="s">
        <v>0</v>
      </c>
    </row>
    <row r="3143" spans="1:6" x14ac:dyDescent="0.25">
      <c r="A3143" s="62">
        <v>44565</v>
      </c>
      <c r="B3143" s="62" t="s">
        <v>2705</v>
      </c>
      <c r="C3143" s="23">
        <v>-7976</v>
      </c>
      <c r="D3143" s="24" t="s">
        <v>46</v>
      </c>
      <c r="E3143" s="24" t="s">
        <v>63</v>
      </c>
      <c r="F3143" s="63" t="s">
        <v>0</v>
      </c>
    </row>
    <row r="3144" spans="1:6" x14ac:dyDescent="0.25">
      <c r="A3144" s="62">
        <v>44565</v>
      </c>
      <c r="B3144" s="62" t="s">
        <v>2706</v>
      </c>
      <c r="C3144" s="23">
        <v>-5000</v>
      </c>
      <c r="D3144" s="24" t="s">
        <v>46</v>
      </c>
      <c r="E3144" s="24" t="s">
        <v>63</v>
      </c>
      <c r="F3144" s="63" t="s">
        <v>0</v>
      </c>
    </row>
    <row r="3145" spans="1:6" x14ac:dyDescent="0.25">
      <c r="A3145" s="62">
        <v>44564</v>
      </c>
      <c r="B3145" s="62" t="s">
        <v>2707</v>
      </c>
      <c r="C3145" s="23">
        <v>-357</v>
      </c>
      <c r="D3145" s="24" t="s">
        <v>90</v>
      </c>
      <c r="E3145" s="24" t="s">
        <v>59</v>
      </c>
      <c r="F3145" s="63" t="s">
        <v>0</v>
      </c>
    </row>
    <row r="3146" spans="1:6" x14ac:dyDescent="0.25">
      <c r="A3146" s="62">
        <v>44564</v>
      </c>
      <c r="B3146" s="62" t="s">
        <v>2708</v>
      </c>
      <c r="C3146" s="23">
        <v>-868</v>
      </c>
      <c r="D3146" s="24" t="s">
        <v>49</v>
      </c>
      <c r="E3146" s="24" t="s">
        <v>56</v>
      </c>
      <c r="F3146" s="63" t="s">
        <v>0</v>
      </c>
    </row>
    <row r="3147" spans="1:6" x14ac:dyDescent="0.25">
      <c r="A3147" s="62">
        <v>44564</v>
      </c>
      <c r="B3147" s="62" t="s">
        <v>2709</v>
      </c>
      <c r="C3147" s="23">
        <v>-8839</v>
      </c>
      <c r="D3147" s="24" t="s">
        <v>49</v>
      </c>
      <c r="E3147" s="24" t="s">
        <v>56</v>
      </c>
      <c r="F3147" s="63" t="s">
        <v>0</v>
      </c>
    </row>
    <row r="3148" spans="1:6" x14ac:dyDescent="0.25">
      <c r="A3148" s="62">
        <v>44564</v>
      </c>
      <c r="B3148" s="62" t="s">
        <v>2710</v>
      </c>
      <c r="C3148" s="23">
        <v>-1319</v>
      </c>
      <c r="D3148" s="24" t="s">
        <v>49</v>
      </c>
      <c r="E3148" s="24" t="s">
        <v>56</v>
      </c>
      <c r="F3148" s="63" t="s">
        <v>0</v>
      </c>
    </row>
    <row r="3149" spans="1:6" x14ac:dyDescent="0.25">
      <c r="A3149" s="62">
        <v>44564</v>
      </c>
      <c r="B3149" s="62" t="s">
        <v>2711</v>
      </c>
      <c r="C3149" s="23">
        <v>-3780</v>
      </c>
      <c r="D3149" s="24" t="s">
        <v>46</v>
      </c>
      <c r="E3149" s="24" t="s">
        <v>63</v>
      </c>
      <c r="F3149" s="63" t="s">
        <v>0</v>
      </c>
    </row>
    <row r="3150" spans="1:6" x14ac:dyDescent="0.25">
      <c r="A3150" s="62">
        <v>44562</v>
      </c>
      <c r="B3150" s="62" t="s">
        <v>2712</v>
      </c>
      <c r="C3150" s="23">
        <v>256537</v>
      </c>
      <c r="D3150" s="24" t="s">
        <v>58</v>
      </c>
      <c r="E3150" s="24" t="s">
        <v>58</v>
      </c>
      <c r="F3150" s="63" t="s">
        <v>0</v>
      </c>
    </row>
    <row r="3151" spans="1:6" x14ac:dyDescent="0.25">
      <c r="A3151" s="62">
        <v>44561</v>
      </c>
      <c r="B3151" s="62" t="s">
        <v>2713</v>
      </c>
      <c r="C3151" s="23">
        <v>123000</v>
      </c>
      <c r="D3151" s="24" t="s">
        <v>206</v>
      </c>
      <c r="E3151" s="24" t="s">
        <v>206</v>
      </c>
      <c r="F3151" s="63" t="s">
        <v>0</v>
      </c>
    </row>
    <row r="3152" spans="1:6" x14ac:dyDescent="0.25">
      <c r="A3152" s="62">
        <v>44561</v>
      </c>
      <c r="B3152" s="62" t="s">
        <v>2714</v>
      </c>
      <c r="C3152" s="23">
        <v>11.55</v>
      </c>
      <c r="D3152" s="24" t="s">
        <v>167</v>
      </c>
      <c r="E3152" s="24" t="s">
        <v>168</v>
      </c>
      <c r="F3152" s="63" t="s">
        <v>0</v>
      </c>
    </row>
    <row r="3153" spans="1:6" x14ac:dyDescent="0.25">
      <c r="A3153" s="62">
        <v>44561</v>
      </c>
      <c r="B3153" s="62" t="s">
        <v>2715</v>
      </c>
      <c r="C3153" s="23">
        <v>-1.73</v>
      </c>
      <c r="D3153" s="24" t="s">
        <v>167</v>
      </c>
      <c r="E3153" s="24" t="s">
        <v>168</v>
      </c>
      <c r="F3153" s="63" t="s">
        <v>0</v>
      </c>
    </row>
    <row r="3154" spans="1:6" x14ac:dyDescent="0.25">
      <c r="A3154" s="62">
        <v>44561</v>
      </c>
      <c r="B3154" s="62" t="s">
        <v>2716</v>
      </c>
      <c r="C3154" s="23">
        <v>-868</v>
      </c>
      <c r="D3154" s="24" t="s">
        <v>49</v>
      </c>
      <c r="E3154" s="24" t="s">
        <v>56</v>
      </c>
      <c r="F3154" s="63" t="s">
        <v>0</v>
      </c>
    </row>
    <row r="3155" spans="1:6" x14ac:dyDescent="0.25">
      <c r="A3155" s="62">
        <v>44561</v>
      </c>
      <c r="B3155" s="62" t="s">
        <v>43</v>
      </c>
      <c r="C3155" s="23">
        <v>-1799</v>
      </c>
      <c r="D3155" s="24" t="s">
        <v>167</v>
      </c>
      <c r="E3155" s="24" t="s">
        <v>168</v>
      </c>
      <c r="F3155" s="63" t="s">
        <v>0</v>
      </c>
    </row>
    <row r="3156" spans="1:6" x14ac:dyDescent="0.25">
      <c r="A3156" s="62">
        <v>44561</v>
      </c>
      <c r="B3156" s="62" t="s">
        <v>2717</v>
      </c>
      <c r="C3156" s="23">
        <v>-8803</v>
      </c>
      <c r="D3156" s="24" t="s">
        <v>49</v>
      </c>
      <c r="E3156" s="24" t="s">
        <v>56</v>
      </c>
      <c r="F3156" s="63" t="s">
        <v>0</v>
      </c>
    </row>
    <row r="3157" spans="1:6" x14ac:dyDescent="0.25">
      <c r="A3157" s="62">
        <v>44561</v>
      </c>
      <c r="B3157" s="62" t="s">
        <v>2718</v>
      </c>
      <c r="C3157" s="23">
        <v>-1319</v>
      </c>
      <c r="D3157" s="24" t="s">
        <v>49</v>
      </c>
      <c r="E3157" s="24" t="s">
        <v>56</v>
      </c>
      <c r="F3157" s="63" t="s">
        <v>0</v>
      </c>
    </row>
    <row r="3158" spans="1:6" x14ac:dyDescent="0.25">
      <c r="A3158" s="62">
        <v>44560</v>
      </c>
      <c r="B3158" s="62" t="s">
        <v>963</v>
      </c>
      <c r="C3158" s="23">
        <v>-7140</v>
      </c>
      <c r="D3158" s="24" t="s">
        <v>52</v>
      </c>
      <c r="E3158" s="24" t="s">
        <v>53</v>
      </c>
      <c r="F3158" s="63" t="s">
        <v>4</v>
      </c>
    </row>
    <row r="3159" spans="1:6" x14ac:dyDescent="0.25">
      <c r="A3159" s="62">
        <v>44560</v>
      </c>
      <c r="B3159" s="62" t="s">
        <v>2713</v>
      </c>
      <c r="C3159" s="23">
        <v>-350000</v>
      </c>
      <c r="D3159" s="24" t="s">
        <v>206</v>
      </c>
      <c r="E3159" s="24" t="s">
        <v>206</v>
      </c>
      <c r="F3159" s="63" t="s">
        <v>7</v>
      </c>
    </row>
    <row r="3160" spans="1:6" x14ac:dyDescent="0.25">
      <c r="A3160" s="62">
        <v>44560</v>
      </c>
      <c r="B3160" s="62" t="s">
        <v>2713</v>
      </c>
      <c r="C3160" s="23">
        <v>300000</v>
      </c>
      <c r="D3160" s="24" t="s">
        <v>206</v>
      </c>
      <c r="E3160" s="24" t="s">
        <v>206</v>
      </c>
      <c r="F3160" s="63" t="s">
        <v>0</v>
      </c>
    </row>
    <row r="3161" spans="1:6" x14ac:dyDescent="0.25">
      <c r="A3161" s="62">
        <v>44560</v>
      </c>
      <c r="B3161" s="62" t="s">
        <v>2719</v>
      </c>
      <c r="C3161" s="23">
        <v>-357</v>
      </c>
      <c r="D3161" s="24" t="s">
        <v>90</v>
      </c>
      <c r="E3161" s="24" t="s">
        <v>59</v>
      </c>
      <c r="F3161" s="63" t="s">
        <v>0</v>
      </c>
    </row>
    <row r="3162" spans="1:6" x14ac:dyDescent="0.25">
      <c r="A3162" s="62">
        <v>44560</v>
      </c>
      <c r="B3162" s="62" t="s">
        <v>2720</v>
      </c>
      <c r="C3162" s="23">
        <v>-8839</v>
      </c>
      <c r="D3162" s="24" t="s">
        <v>49</v>
      </c>
      <c r="E3162" s="24" t="s">
        <v>56</v>
      </c>
      <c r="F3162" s="63" t="s">
        <v>0</v>
      </c>
    </row>
    <row r="3163" spans="1:6" x14ac:dyDescent="0.25">
      <c r="A3163" s="62">
        <v>44558</v>
      </c>
      <c r="B3163" s="62" t="s">
        <v>2721</v>
      </c>
      <c r="C3163" s="23">
        <v>-99690</v>
      </c>
      <c r="D3163" s="24" t="s">
        <v>167</v>
      </c>
      <c r="E3163" s="24" t="s">
        <v>1658</v>
      </c>
      <c r="F3163" s="63" t="s">
        <v>5</v>
      </c>
    </row>
    <row r="3164" spans="1:6" x14ac:dyDescent="0.25">
      <c r="A3164" s="62">
        <v>44558</v>
      </c>
      <c r="B3164" s="62" t="s">
        <v>2721</v>
      </c>
      <c r="C3164" s="23">
        <v>99690</v>
      </c>
      <c r="D3164" s="24" t="s">
        <v>167</v>
      </c>
      <c r="E3164" s="24" t="s">
        <v>1658</v>
      </c>
      <c r="F3164" s="63" t="s">
        <v>0</v>
      </c>
    </row>
    <row r="3165" spans="1:6" x14ac:dyDescent="0.25">
      <c r="A3165" s="62">
        <v>44558</v>
      </c>
      <c r="B3165" s="62" t="s">
        <v>2722</v>
      </c>
      <c r="C3165" s="23">
        <v>-3490</v>
      </c>
      <c r="D3165" s="24" t="s">
        <v>46</v>
      </c>
      <c r="E3165" s="24" t="s">
        <v>63</v>
      </c>
      <c r="F3165" s="63" t="s">
        <v>0</v>
      </c>
    </row>
    <row r="3166" spans="1:6" x14ac:dyDescent="0.25">
      <c r="A3166" s="62">
        <v>44558</v>
      </c>
      <c r="B3166" s="62" t="s">
        <v>2723</v>
      </c>
      <c r="C3166" s="23">
        <v>-334680</v>
      </c>
      <c r="D3166" s="24" t="s">
        <v>167</v>
      </c>
      <c r="E3166" s="24" t="s">
        <v>1658</v>
      </c>
      <c r="F3166" s="63" t="s">
        <v>5</v>
      </c>
    </row>
    <row r="3167" spans="1:6" x14ac:dyDescent="0.25">
      <c r="A3167" s="62">
        <v>44558</v>
      </c>
      <c r="B3167" s="62" t="s">
        <v>2723</v>
      </c>
      <c r="C3167" s="23">
        <v>334680</v>
      </c>
      <c r="D3167" s="24" t="s">
        <v>167</v>
      </c>
      <c r="E3167" s="24" t="s">
        <v>1658</v>
      </c>
      <c r="F3167" s="63" t="s">
        <v>0</v>
      </c>
    </row>
    <row r="3168" spans="1:6" x14ac:dyDescent="0.25">
      <c r="A3168" s="62">
        <v>44557</v>
      </c>
      <c r="B3168" s="62" t="s">
        <v>2724</v>
      </c>
      <c r="C3168" s="23">
        <v>-1580</v>
      </c>
      <c r="D3168" s="24" t="s">
        <v>49</v>
      </c>
      <c r="E3168" s="24" t="s">
        <v>67</v>
      </c>
      <c r="F3168" s="63" t="s">
        <v>0</v>
      </c>
    </row>
    <row r="3169" spans="1:6" x14ac:dyDescent="0.25">
      <c r="A3169" s="62">
        <v>44557</v>
      </c>
      <c r="B3169" s="62" t="s">
        <v>2725</v>
      </c>
      <c r="C3169" s="23">
        <v>-1637</v>
      </c>
      <c r="D3169" s="24" t="s">
        <v>49</v>
      </c>
      <c r="E3169" s="24" t="s">
        <v>56</v>
      </c>
      <c r="F3169" s="63" t="s">
        <v>0</v>
      </c>
    </row>
    <row r="3170" spans="1:6" x14ac:dyDescent="0.25">
      <c r="A3170" s="62">
        <v>44557</v>
      </c>
      <c r="B3170" s="62" t="s">
        <v>2726</v>
      </c>
      <c r="C3170" s="23">
        <v>-3756</v>
      </c>
      <c r="D3170" s="24" t="s">
        <v>49</v>
      </c>
      <c r="E3170" s="24" t="s">
        <v>56</v>
      </c>
      <c r="F3170" s="63" t="s">
        <v>0</v>
      </c>
    </row>
    <row r="3171" spans="1:6" x14ac:dyDescent="0.25">
      <c r="A3171" s="62">
        <v>44557</v>
      </c>
      <c r="B3171" s="62" t="s">
        <v>2727</v>
      </c>
      <c r="C3171" s="23">
        <v>-7050</v>
      </c>
      <c r="D3171" s="24" t="s">
        <v>49</v>
      </c>
      <c r="E3171" s="24" t="s">
        <v>56</v>
      </c>
      <c r="F3171" s="63" t="s">
        <v>0</v>
      </c>
    </row>
    <row r="3172" spans="1:6" x14ac:dyDescent="0.25">
      <c r="A3172" s="62">
        <v>44557</v>
      </c>
      <c r="B3172" s="62" t="s">
        <v>2728</v>
      </c>
      <c r="C3172" s="23">
        <v>-12662</v>
      </c>
      <c r="D3172" s="24" t="s">
        <v>49</v>
      </c>
      <c r="E3172" s="24" t="s">
        <v>56</v>
      </c>
      <c r="F3172" s="63" t="s">
        <v>0</v>
      </c>
    </row>
    <row r="3173" spans="1:6" x14ac:dyDescent="0.25">
      <c r="A3173" s="62">
        <v>44557</v>
      </c>
      <c r="B3173" s="62" t="s">
        <v>2729</v>
      </c>
      <c r="C3173" s="23">
        <v>-15196</v>
      </c>
      <c r="D3173" s="24" t="s">
        <v>49</v>
      </c>
      <c r="E3173" s="24" t="s">
        <v>67</v>
      </c>
      <c r="F3173" s="63" t="s">
        <v>0</v>
      </c>
    </row>
    <row r="3174" spans="1:6" x14ac:dyDescent="0.25">
      <c r="A3174" s="62">
        <v>44557</v>
      </c>
      <c r="B3174" s="62" t="s">
        <v>2730</v>
      </c>
      <c r="C3174" s="23">
        <v>-12617</v>
      </c>
      <c r="D3174" s="24" t="s">
        <v>72</v>
      </c>
      <c r="E3174" s="24" t="s">
        <v>109</v>
      </c>
      <c r="F3174" s="63" t="s">
        <v>0</v>
      </c>
    </row>
    <row r="3175" spans="1:6" x14ac:dyDescent="0.25">
      <c r="A3175" s="62">
        <v>44557</v>
      </c>
      <c r="B3175" s="62" t="s">
        <v>2731</v>
      </c>
      <c r="C3175" s="23">
        <v>-1628</v>
      </c>
      <c r="D3175" s="24" t="s">
        <v>49</v>
      </c>
      <c r="E3175" s="24" t="s">
        <v>56</v>
      </c>
      <c r="F3175" s="63" t="s">
        <v>0</v>
      </c>
    </row>
    <row r="3176" spans="1:6" x14ac:dyDescent="0.25">
      <c r="A3176" s="62">
        <v>44557</v>
      </c>
      <c r="B3176" s="62" t="s">
        <v>2732</v>
      </c>
      <c r="C3176" s="23">
        <v>-2915</v>
      </c>
      <c r="D3176" s="24" t="s">
        <v>49</v>
      </c>
      <c r="E3176" s="24" t="s">
        <v>56</v>
      </c>
      <c r="F3176" s="63" t="s">
        <v>0</v>
      </c>
    </row>
    <row r="3177" spans="1:6" x14ac:dyDescent="0.25">
      <c r="A3177" s="62">
        <v>44557</v>
      </c>
      <c r="B3177" s="62" t="s">
        <v>2733</v>
      </c>
      <c r="C3177" s="23">
        <v>-5000</v>
      </c>
      <c r="D3177" s="24" t="s">
        <v>46</v>
      </c>
      <c r="E3177" s="24" t="s">
        <v>61</v>
      </c>
      <c r="F3177" s="63" t="s">
        <v>0</v>
      </c>
    </row>
    <row r="3178" spans="1:6" x14ac:dyDescent="0.25">
      <c r="A3178" s="62">
        <v>44557</v>
      </c>
      <c r="B3178" s="62" t="s">
        <v>2734</v>
      </c>
      <c r="C3178" s="23">
        <v>-4000</v>
      </c>
      <c r="D3178" s="24" t="s">
        <v>49</v>
      </c>
      <c r="E3178" s="24" t="s">
        <v>213</v>
      </c>
      <c r="F3178" s="63" t="s">
        <v>0</v>
      </c>
    </row>
    <row r="3179" spans="1:6" x14ac:dyDescent="0.25">
      <c r="A3179" s="62">
        <v>44553</v>
      </c>
      <c r="B3179" s="62" t="s">
        <v>2735</v>
      </c>
      <c r="C3179" s="23">
        <v>-6530</v>
      </c>
      <c r="D3179" s="24" t="s">
        <v>52</v>
      </c>
      <c r="E3179" s="24" t="s">
        <v>53</v>
      </c>
      <c r="F3179" s="63" t="s">
        <v>0</v>
      </c>
    </row>
    <row r="3180" spans="1:6" x14ac:dyDescent="0.25">
      <c r="A3180" s="62">
        <v>44552</v>
      </c>
      <c r="B3180" s="62" t="s">
        <v>2736</v>
      </c>
      <c r="C3180" s="23">
        <v>-420</v>
      </c>
      <c r="D3180" s="24" t="s">
        <v>167</v>
      </c>
      <c r="E3180" s="24" t="s">
        <v>1658</v>
      </c>
      <c r="F3180" s="63" t="s">
        <v>0</v>
      </c>
    </row>
    <row r="3181" spans="1:6" x14ac:dyDescent="0.25">
      <c r="A3181" s="62">
        <v>44551</v>
      </c>
      <c r="B3181" s="62" t="s">
        <v>139</v>
      </c>
      <c r="C3181" s="23">
        <v>19275</v>
      </c>
      <c r="D3181" s="24" t="s">
        <v>58</v>
      </c>
      <c r="E3181" s="24" t="s">
        <v>58</v>
      </c>
      <c r="F3181" s="63" t="s">
        <v>4</v>
      </c>
    </row>
    <row r="3182" spans="1:6" x14ac:dyDescent="0.25">
      <c r="A3182" s="62">
        <v>44551</v>
      </c>
      <c r="B3182" s="62" t="s">
        <v>2712</v>
      </c>
      <c r="C3182" s="23">
        <v>8464</v>
      </c>
      <c r="D3182" s="24" t="s">
        <v>58</v>
      </c>
      <c r="E3182" s="24" t="s">
        <v>58</v>
      </c>
      <c r="F3182" s="63" t="s">
        <v>0</v>
      </c>
    </row>
    <row r="3183" spans="1:6" x14ac:dyDescent="0.25">
      <c r="A3183" s="62">
        <v>44551</v>
      </c>
      <c r="B3183" s="62" t="s">
        <v>2737</v>
      </c>
      <c r="C3183" s="23">
        <v>-85</v>
      </c>
      <c r="D3183" s="24" t="s">
        <v>46</v>
      </c>
      <c r="E3183" s="24" t="s">
        <v>47</v>
      </c>
      <c r="F3183" s="63" t="s">
        <v>0</v>
      </c>
    </row>
    <row r="3184" spans="1:6" x14ac:dyDescent="0.25">
      <c r="A3184" s="62">
        <v>44551</v>
      </c>
      <c r="B3184" s="62" t="s">
        <v>2738</v>
      </c>
      <c r="C3184" s="23">
        <v>-598</v>
      </c>
      <c r="D3184" s="24" t="s">
        <v>49</v>
      </c>
      <c r="E3184" s="24" t="s">
        <v>56</v>
      </c>
      <c r="F3184" s="63" t="s">
        <v>0</v>
      </c>
    </row>
    <row r="3185" spans="1:6" x14ac:dyDescent="0.25">
      <c r="A3185" s="62">
        <v>44551</v>
      </c>
      <c r="B3185" s="62" t="s">
        <v>2739</v>
      </c>
      <c r="C3185" s="23">
        <v>-10000</v>
      </c>
      <c r="D3185" s="24" t="s">
        <v>72</v>
      </c>
      <c r="E3185" s="24" t="s">
        <v>728</v>
      </c>
      <c r="F3185" s="63" t="s">
        <v>0</v>
      </c>
    </row>
    <row r="3186" spans="1:6" x14ac:dyDescent="0.25">
      <c r="A3186" s="62">
        <v>44551</v>
      </c>
      <c r="B3186" s="62" t="s">
        <v>2740</v>
      </c>
      <c r="C3186" s="23">
        <v>-47000</v>
      </c>
      <c r="D3186" s="24" t="s">
        <v>49</v>
      </c>
      <c r="E3186" s="24" t="s">
        <v>56</v>
      </c>
      <c r="F3186" s="63" t="s">
        <v>0</v>
      </c>
    </row>
    <row r="3187" spans="1:6" x14ac:dyDescent="0.25">
      <c r="A3187" s="62">
        <v>44551</v>
      </c>
      <c r="B3187" s="62" t="s">
        <v>2741</v>
      </c>
      <c r="C3187" s="23">
        <v>-100</v>
      </c>
      <c r="D3187" s="24" t="s">
        <v>167</v>
      </c>
      <c r="E3187" s="24" t="s">
        <v>168</v>
      </c>
      <c r="F3187" s="63" t="s">
        <v>5</v>
      </c>
    </row>
    <row r="3188" spans="1:6" x14ac:dyDescent="0.25">
      <c r="A3188" s="62">
        <v>44550</v>
      </c>
      <c r="B3188" s="62" t="s">
        <v>2742</v>
      </c>
      <c r="C3188" s="23">
        <v>-15880</v>
      </c>
      <c r="D3188" s="24" t="s">
        <v>49</v>
      </c>
      <c r="E3188" s="24" t="s">
        <v>67</v>
      </c>
      <c r="F3188" s="63" t="s">
        <v>0</v>
      </c>
    </row>
    <row r="3189" spans="1:6" x14ac:dyDescent="0.25">
      <c r="A3189" s="62">
        <v>44550</v>
      </c>
      <c r="B3189" s="62" t="s">
        <v>2743</v>
      </c>
      <c r="C3189" s="23">
        <v>-8797</v>
      </c>
      <c r="D3189" s="24" t="s">
        <v>49</v>
      </c>
      <c r="E3189" s="24" t="s">
        <v>56</v>
      </c>
      <c r="F3189" s="63" t="s">
        <v>0</v>
      </c>
    </row>
    <row r="3190" spans="1:6" x14ac:dyDescent="0.25">
      <c r="A3190" s="62">
        <v>44550</v>
      </c>
      <c r="B3190" s="62" t="s">
        <v>2744</v>
      </c>
      <c r="C3190" s="23">
        <v>-29584</v>
      </c>
      <c r="D3190" s="24" t="s">
        <v>72</v>
      </c>
      <c r="E3190" s="24" t="s">
        <v>109</v>
      </c>
      <c r="F3190" s="63" t="s">
        <v>0</v>
      </c>
    </row>
    <row r="3191" spans="1:6" x14ac:dyDescent="0.25">
      <c r="A3191" s="62">
        <v>44550</v>
      </c>
      <c r="B3191" s="62" t="s">
        <v>2745</v>
      </c>
      <c r="C3191" s="23">
        <v>-1638</v>
      </c>
      <c r="D3191" s="24" t="s">
        <v>49</v>
      </c>
      <c r="E3191" s="24" t="s">
        <v>56</v>
      </c>
      <c r="F3191" s="63" t="s">
        <v>0</v>
      </c>
    </row>
    <row r="3192" spans="1:6" x14ac:dyDescent="0.25">
      <c r="A3192" s="62">
        <v>44550</v>
      </c>
      <c r="B3192" s="62" t="s">
        <v>2746</v>
      </c>
      <c r="C3192" s="23">
        <v>-1078</v>
      </c>
      <c r="D3192" s="24" t="s">
        <v>49</v>
      </c>
      <c r="E3192" s="24" t="s">
        <v>56</v>
      </c>
      <c r="F3192" s="63" t="s">
        <v>0</v>
      </c>
    </row>
    <row r="3193" spans="1:6" x14ac:dyDescent="0.25">
      <c r="A3193" s="62">
        <v>44550</v>
      </c>
      <c r="B3193" s="62" t="s">
        <v>2747</v>
      </c>
      <c r="C3193" s="23">
        <v>-14580</v>
      </c>
      <c r="D3193" s="24" t="s">
        <v>49</v>
      </c>
      <c r="E3193" s="24" t="s">
        <v>56</v>
      </c>
      <c r="F3193" s="63" t="s">
        <v>0</v>
      </c>
    </row>
    <row r="3194" spans="1:6" x14ac:dyDescent="0.25">
      <c r="A3194" s="62">
        <v>44550</v>
      </c>
      <c r="B3194" s="62" t="s">
        <v>2748</v>
      </c>
      <c r="C3194" s="23">
        <v>-899</v>
      </c>
      <c r="D3194" s="24" t="s">
        <v>49</v>
      </c>
      <c r="E3194" s="24" t="s">
        <v>56</v>
      </c>
      <c r="F3194" s="63" t="s">
        <v>0</v>
      </c>
    </row>
    <row r="3195" spans="1:6" x14ac:dyDescent="0.25">
      <c r="A3195" s="62">
        <v>44550</v>
      </c>
      <c r="B3195" s="62" t="s">
        <v>2749</v>
      </c>
      <c r="C3195" s="23">
        <v>-3878</v>
      </c>
      <c r="D3195" s="24" t="s">
        <v>49</v>
      </c>
      <c r="E3195" s="24" t="s">
        <v>56</v>
      </c>
      <c r="F3195" s="63" t="s">
        <v>0</v>
      </c>
    </row>
    <row r="3196" spans="1:6" x14ac:dyDescent="0.25">
      <c r="A3196" s="62">
        <v>44550</v>
      </c>
      <c r="B3196" s="62" t="s">
        <v>2750</v>
      </c>
      <c r="C3196" s="23">
        <v>-712</v>
      </c>
      <c r="D3196" s="24" t="s">
        <v>49</v>
      </c>
      <c r="E3196" s="24" t="s">
        <v>56</v>
      </c>
      <c r="F3196" s="63" t="s">
        <v>0</v>
      </c>
    </row>
    <row r="3197" spans="1:6" x14ac:dyDescent="0.25">
      <c r="A3197" s="62">
        <v>44550</v>
      </c>
      <c r="B3197" s="62" t="s">
        <v>2751</v>
      </c>
      <c r="C3197" s="23">
        <v>-2427</v>
      </c>
      <c r="D3197" s="24" t="s">
        <v>49</v>
      </c>
      <c r="E3197" s="24" t="s">
        <v>56</v>
      </c>
      <c r="F3197" s="63" t="s">
        <v>0</v>
      </c>
    </row>
    <row r="3198" spans="1:6" x14ac:dyDescent="0.25">
      <c r="A3198" s="62">
        <v>44550</v>
      </c>
      <c r="B3198" s="62" t="s">
        <v>2752</v>
      </c>
      <c r="C3198" s="23">
        <v>481700</v>
      </c>
      <c r="D3198" s="24" t="s">
        <v>167</v>
      </c>
      <c r="E3198" s="24" t="s">
        <v>1658</v>
      </c>
      <c r="F3198" s="63" t="s">
        <v>5</v>
      </c>
    </row>
    <row r="3199" spans="1:6" x14ac:dyDescent="0.25">
      <c r="A3199" s="62">
        <v>44550</v>
      </c>
      <c r="B3199" s="62" t="s">
        <v>2753</v>
      </c>
      <c r="C3199" s="23">
        <v>481700</v>
      </c>
      <c r="D3199" s="24" t="s">
        <v>167</v>
      </c>
      <c r="E3199" s="24" t="s">
        <v>1658</v>
      </c>
      <c r="F3199" s="63" t="s">
        <v>5</v>
      </c>
    </row>
    <row r="3200" spans="1:6" x14ac:dyDescent="0.25">
      <c r="A3200" s="62">
        <v>44547</v>
      </c>
      <c r="B3200" s="62" t="s">
        <v>2754</v>
      </c>
      <c r="C3200" s="23">
        <v>-500000</v>
      </c>
      <c r="D3200" s="24" t="s">
        <v>167</v>
      </c>
      <c r="E3200" s="24" t="s">
        <v>1658</v>
      </c>
      <c r="F3200" s="63" t="s">
        <v>0</v>
      </c>
    </row>
    <row r="3201" spans="1:6" x14ac:dyDescent="0.25">
      <c r="A3201" s="62">
        <v>44547</v>
      </c>
      <c r="B3201" s="62" t="s">
        <v>2755</v>
      </c>
      <c r="C3201" s="23">
        <v>-500000</v>
      </c>
      <c r="D3201" s="24" t="s">
        <v>167</v>
      </c>
      <c r="E3201" s="24" t="s">
        <v>1658</v>
      </c>
      <c r="F3201" s="63" t="s">
        <v>0</v>
      </c>
    </row>
    <row r="3202" spans="1:6" x14ac:dyDescent="0.25">
      <c r="A3202" s="62">
        <v>44545</v>
      </c>
      <c r="B3202" s="62" t="s">
        <v>2756</v>
      </c>
      <c r="C3202" s="23">
        <v>-14000</v>
      </c>
      <c r="D3202" s="24" t="s">
        <v>49</v>
      </c>
      <c r="E3202" s="24" t="s">
        <v>67</v>
      </c>
      <c r="F3202" s="63" t="s">
        <v>7</v>
      </c>
    </row>
    <row r="3203" spans="1:6" x14ac:dyDescent="0.25">
      <c r="A3203" s="62">
        <v>44545</v>
      </c>
      <c r="B3203" s="62" t="s">
        <v>2757</v>
      </c>
      <c r="C3203" s="23">
        <v>-2233</v>
      </c>
      <c r="D3203" s="24" t="s">
        <v>49</v>
      </c>
      <c r="E3203" s="24" t="s">
        <v>56</v>
      </c>
      <c r="F3203" s="63" t="s">
        <v>0</v>
      </c>
    </row>
    <row r="3204" spans="1:6" x14ac:dyDescent="0.25">
      <c r="A3204" s="62">
        <v>44545</v>
      </c>
      <c r="B3204" s="62" t="s">
        <v>2758</v>
      </c>
      <c r="C3204" s="23">
        <v>-5700</v>
      </c>
      <c r="D3204" s="24" t="s">
        <v>90</v>
      </c>
      <c r="E3204" s="24" t="s">
        <v>59</v>
      </c>
      <c r="F3204" s="63" t="s">
        <v>0</v>
      </c>
    </row>
    <row r="3205" spans="1:6" x14ac:dyDescent="0.25">
      <c r="A3205" s="62">
        <v>44544</v>
      </c>
      <c r="B3205" s="62" t="s">
        <v>2759</v>
      </c>
      <c r="C3205" s="23">
        <v>-8627</v>
      </c>
      <c r="D3205" s="24" t="s">
        <v>49</v>
      </c>
      <c r="E3205" s="24" t="s">
        <v>56</v>
      </c>
      <c r="F3205" s="63" t="s">
        <v>0</v>
      </c>
    </row>
    <row r="3206" spans="1:6" x14ac:dyDescent="0.25">
      <c r="A3206" s="62">
        <v>44544</v>
      </c>
      <c r="B3206" s="62" t="s">
        <v>2760</v>
      </c>
      <c r="C3206" s="23">
        <v>-499</v>
      </c>
      <c r="D3206" s="24" t="s">
        <v>49</v>
      </c>
      <c r="E3206" s="24" t="s">
        <v>56</v>
      </c>
      <c r="F3206" s="63" t="s">
        <v>0</v>
      </c>
    </row>
    <row r="3207" spans="1:6" x14ac:dyDescent="0.25">
      <c r="A3207" s="62">
        <v>44544</v>
      </c>
      <c r="B3207" s="62" t="s">
        <v>2761</v>
      </c>
      <c r="C3207" s="23">
        <v>-4069</v>
      </c>
      <c r="D3207" s="24" t="s">
        <v>90</v>
      </c>
      <c r="E3207" s="24" t="s">
        <v>59</v>
      </c>
      <c r="F3207" s="63" t="s">
        <v>0</v>
      </c>
    </row>
    <row r="3208" spans="1:6" x14ac:dyDescent="0.25">
      <c r="A3208" s="62">
        <v>44543</v>
      </c>
      <c r="B3208" s="62" t="s">
        <v>2762</v>
      </c>
      <c r="C3208" s="23">
        <v>-20660</v>
      </c>
      <c r="D3208" s="24" t="s">
        <v>72</v>
      </c>
      <c r="E3208" s="24" t="s">
        <v>109</v>
      </c>
      <c r="F3208" s="63" t="s">
        <v>0</v>
      </c>
    </row>
    <row r="3209" spans="1:6" x14ac:dyDescent="0.25">
      <c r="A3209" s="62">
        <v>44540</v>
      </c>
      <c r="B3209" s="62" t="s">
        <v>2763</v>
      </c>
      <c r="C3209" s="23">
        <v>-209350</v>
      </c>
      <c r="D3209" s="24" t="s">
        <v>46</v>
      </c>
      <c r="E3209" s="24" t="s">
        <v>10</v>
      </c>
      <c r="F3209" s="63" t="s">
        <v>0</v>
      </c>
    </row>
    <row r="3210" spans="1:6" x14ac:dyDescent="0.25">
      <c r="A3210" s="62">
        <v>44540</v>
      </c>
      <c r="B3210" s="62" t="s">
        <v>2764</v>
      </c>
      <c r="C3210" s="23">
        <v>-52455</v>
      </c>
      <c r="D3210" s="24" t="s">
        <v>46</v>
      </c>
      <c r="E3210" s="24" t="s">
        <v>10</v>
      </c>
      <c r="F3210" s="63" t="s">
        <v>0</v>
      </c>
    </row>
    <row r="3211" spans="1:6" x14ac:dyDescent="0.25">
      <c r="A3211" s="62">
        <v>44540</v>
      </c>
      <c r="B3211" s="62" t="s">
        <v>2763</v>
      </c>
      <c r="C3211" s="23">
        <v>209350</v>
      </c>
      <c r="D3211" s="24" t="s">
        <v>46</v>
      </c>
      <c r="E3211" s="24" t="s">
        <v>10</v>
      </c>
      <c r="F3211" s="63" t="s">
        <v>10</v>
      </c>
    </row>
    <row r="3212" spans="1:6" x14ac:dyDescent="0.25">
      <c r="A3212" s="62">
        <v>44540</v>
      </c>
      <c r="B3212" s="62" t="s">
        <v>2765</v>
      </c>
      <c r="C3212" s="23">
        <v>-2650</v>
      </c>
      <c r="D3212" s="24" t="s">
        <v>52</v>
      </c>
      <c r="E3212" s="24" t="s">
        <v>53</v>
      </c>
      <c r="F3212" s="63" t="s">
        <v>0</v>
      </c>
    </row>
    <row r="3213" spans="1:6" x14ac:dyDescent="0.25">
      <c r="A3213" s="62">
        <v>44540</v>
      </c>
      <c r="B3213" s="62" t="s">
        <v>2766</v>
      </c>
      <c r="C3213" s="23">
        <v>-345</v>
      </c>
      <c r="D3213" s="24" t="s">
        <v>49</v>
      </c>
      <c r="E3213" s="24" t="s">
        <v>56</v>
      </c>
      <c r="F3213" s="63" t="s">
        <v>0</v>
      </c>
    </row>
    <row r="3214" spans="1:6" x14ac:dyDescent="0.25">
      <c r="A3214" s="62">
        <v>44540</v>
      </c>
      <c r="B3214" s="62" t="s">
        <v>2767</v>
      </c>
      <c r="C3214" s="23">
        <v>-11128</v>
      </c>
      <c r="D3214" s="24" t="s">
        <v>46</v>
      </c>
      <c r="E3214" s="24" t="s">
        <v>145</v>
      </c>
      <c r="F3214" s="63" t="s">
        <v>0</v>
      </c>
    </row>
    <row r="3215" spans="1:6" x14ac:dyDescent="0.25">
      <c r="A3215" s="62">
        <v>44540</v>
      </c>
      <c r="B3215" s="62" t="s">
        <v>2768</v>
      </c>
      <c r="C3215" s="23">
        <v>-58290</v>
      </c>
      <c r="D3215" s="24" t="s">
        <v>49</v>
      </c>
      <c r="E3215" s="24" t="s">
        <v>232</v>
      </c>
      <c r="F3215" s="63" t="s">
        <v>0</v>
      </c>
    </row>
    <row r="3216" spans="1:6" x14ac:dyDescent="0.25">
      <c r="A3216" s="62">
        <v>44540</v>
      </c>
      <c r="B3216" s="62" t="s">
        <v>2769</v>
      </c>
      <c r="C3216" s="23">
        <v>-1753</v>
      </c>
      <c r="D3216" s="24" t="s">
        <v>49</v>
      </c>
      <c r="E3216" s="24" t="s">
        <v>56</v>
      </c>
      <c r="F3216" s="63" t="s">
        <v>0</v>
      </c>
    </row>
    <row r="3217" spans="1:6" x14ac:dyDescent="0.25">
      <c r="A3217" s="62">
        <v>44540</v>
      </c>
      <c r="B3217" s="62" t="s">
        <v>1651</v>
      </c>
      <c r="C3217" s="23">
        <v>705816</v>
      </c>
      <c r="D3217" s="24" t="s">
        <v>58</v>
      </c>
      <c r="E3217" s="24" t="s">
        <v>58</v>
      </c>
      <c r="F3217" s="63" t="s">
        <v>0</v>
      </c>
    </row>
    <row r="3218" spans="1:6" x14ac:dyDescent="0.25">
      <c r="A3218" s="62">
        <v>44539</v>
      </c>
      <c r="B3218" s="62" t="s">
        <v>2770</v>
      </c>
      <c r="C3218" s="23">
        <v>2768</v>
      </c>
      <c r="D3218" s="24" t="s">
        <v>49</v>
      </c>
      <c r="E3218" s="24" t="s">
        <v>67</v>
      </c>
      <c r="F3218" s="63" t="s">
        <v>0</v>
      </c>
    </row>
    <row r="3219" spans="1:6" x14ac:dyDescent="0.25">
      <c r="A3219" s="62">
        <v>44538</v>
      </c>
      <c r="B3219" s="62" t="s">
        <v>2771</v>
      </c>
      <c r="C3219" s="23">
        <v>-6433</v>
      </c>
      <c r="D3219" s="24" t="s">
        <v>49</v>
      </c>
      <c r="E3219" s="24" t="s">
        <v>56</v>
      </c>
      <c r="F3219" s="63" t="s">
        <v>0</v>
      </c>
    </row>
    <row r="3220" spans="1:6" x14ac:dyDescent="0.25">
      <c r="A3220" s="62">
        <v>44538</v>
      </c>
      <c r="B3220" s="62" t="s">
        <v>2772</v>
      </c>
      <c r="C3220" s="23">
        <v>-4590</v>
      </c>
      <c r="D3220" s="24" t="s">
        <v>90</v>
      </c>
      <c r="E3220" s="24" t="s">
        <v>59</v>
      </c>
      <c r="F3220" s="63" t="s">
        <v>0</v>
      </c>
    </row>
    <row r="3221" spans="1:6" x14ac:dyDescent="0.25">
      <c r="A3221" s="62">
        <v>44538</v>
      </c>
      <c r="B3221" s="62" t="s">
        <v>2773</v>
      </c>
      <c r="C3221" s="23">
        <v>2767</v>
      </c>
      <c r="D3221" s="24" t="s">
        <v>49</v>
      </c>
      <c r="E3221" s="24" t="s">
        <v>67</v>
      </c>
      <c r="F3221" s="63" t="s">
        <v>0</v>
      </c>
    </row>
    <row r="3222" spans="1:6" x14ac:dyDescent="0.25">
      <c r="A3222" s="62">
        <v>44538</v>
      </c>
      <c r="B3222" s="62" t="s">
        <v>2774</v>
      </c>
      <c r="C3222" s="23">
        <v>2770</v>
      </c>
      <c r="D3222" s="24" t="s">
        <v>49</v>
      </c>
      <c r="E3222" s="24" t="s">
        <v>67</v>
      </c>
      <c r="F3222" s="63" t="s">
        <v>0</v>
      </c>
    </row>
    <row r="3223" spans="1:6" x14ac:dyDescent="0.25">
      <c r="A3223" s="62">
        <v>44537</v>
      </c>
      <c r="B3223" s="62" t="s">
        <v>2775</v>
      </c>
      <c r="C3223" s="23">
        <v>-899</v>
      </c>
      <c r="D3223" s="24" t="s">
        <v>49</v>
      </c>
      <c r="E3223" s="24" t="s">
        <v>67</v>
      </c>
      <c r="F3223" s="63" t="s">
        <v>0</v>
      </c>
    </row>
    <row r="3224" spans="1:6" x14ac:dyDescent="0.25">
      <c r="A3224" s="62">
        <v>44537</v>
      </c>
      <c r="B3224" s="62" t="s">
        <v>2776</v>
      </c>
      <c r="C3224" s="23">
        <v>-1490</v>
      </c>
      <c r="D3224" s="24" t="s">
        <v>49</v>
      </c>
      <c r="E3224" s="24" t="s">
        <v>67</v>
      </c>
      <c r="F3224" s="63" t="s">
        <v>0</v>
      </c>
    </row>
    <row r="3225" spans="1:6" x14ac:dyDescent="0.25">
      <c r="A3225" s="62">
        <v>44537</v>
      </c>
      <c r="B3225" s="62" t="s">
        <v>2777</v>
      </c>
      <c r="C3225" s="23">
        <v>-2780</v>
      </c>
      <c r="D3225" s="24" t="s">
        <v>49</v>
      </c>
      <c r="E3225" s="24" t="s">
        <v>67</v>
      </c>
      <c r="F3225" s="63" t="s">
        <v>0</v>
      </c>
    </row>
    <row r="3226" spans="1:6" x14ac:dyDescent="0.25">
      <c r="A3226" s="62">
        <v>44536</v>
      </c>
      <c r="B3226" s="62" t="s">
        <v>2778</v>
      </c>
      <c r="C3226" s="23">
        <v>-10267</v>
      </c>
      <c r="D3226" s="24" t="s">
        <v>49</v>
      </c>
      <c r="E3226" s="24" t="s">
        <v>56</v>
      </c>
      <c r="F3226" s="63" t="s">
        <v>0</v>
      </c>
    </row>
    <row r="3227" spans="1:6" x14ac:dyDescent="0.25">
      <c r="A3227" s="62">
        <v>44536</v>
      </c>
      <c r="B3227" s="62" t="s">
        <v>2779</v>
      </c>
      <c r="C3227" s="23">
        <v>-33020</v>
      </c>
      <c r="D3227" s="24" t="s">
        <v>49</v>
      </c>
      <c r="E3227" s="24" t="s">
        <v>56</v>
      </c>
      <c r="F3227" s="63" t="s">
        <v>0</v>
      </c>
    </row>
    <row r="3228" spans="1:6" x14ac:dyDescent="0.25">
      <c r="A3228" s="62">
        <v>44536</v>
      </c>
      <c r="B3228" s="62" t="s">
        <v>2780</v>
      </c>
      <c r="C3228" s="23">
        <v>-3290</v>
      </c>
      <c r="D3228" s="24" t="s">
        <v>90</v>
      </c>
      <c r="E3228" s="24" t="s">
        <v>106</v>
      </c>
      <c r="F3228" s="63" t="s">
        <v>0</v>
      </c>
    </row>
    <row r="3229" spans="1:6" x14ac:dyDescent="0.25">
      <c r="A3229" s="62">
        <v>44536</v>
      </c>
      <c r="B3229" s="62" t="s">
        <v>2781</v>
      </c>
      <c r="C3229" s="23">
        <v>-8250</v>
      </c>
      <c r="D3229" s="24" t="s">
        <v>49</v>
      </c>
      <c r="E3229" s="24" t="s">
        <v>67</v>
      </c>
      <c r="F3229" s="63" t="s">
        <v>0</v>
      </c>
    </row>
    <row r="3230" spans="1:6" x14ac:dyDescent="0.25">
      <c r="A3230" s="62">
        <v>44536</v>
      </c>
      <c r="B3230" s="62" t="s">
        <v>2782</v>
      </c>
      <c r="C3230" s="23">
        <v>-12848</v>
      </c>
      <c r="D3230" s="24" t="s">
        <v>49</v>
      </c>
      <c r="E3230" s="24" t="s">
        <v>56</v>
      </c>
      <c r="F3230" s="63" t="s">
        <v>0</v>
      </c>
    </row>
    <row r="3231" spans="1:6" x14ac:dyDescent="0.25">
      <c r="A3231" s="62">
        <v>44536</v>
      </c>
      <c r="B3231" s="62" t="s">
        <v>2783</v>
      </c>
      <c r="C3231" s="23">
        <v>-17428</v>
      </c>
      <c r="D3231" s="24" t="s">
        <v>49</v>
      </c>
      <c r="E3231" s="24" t="s">
        <v>56</v>
      </c>
      <c r="F3231" s="63" t="s">
        <v>0</v>
      </c>
    </row>
    <row r="3232" spans="1:6" x14ac:dyDescent="0.25">
      <c r="A3232" s="62">
        <v>44536</v>
      </c>
      <c r="B3232" s="62" t="s">
        <v>2784</v>
      </c>
      <c r="C3232" s="23">
        <v>-4075</v>
      </c>
      <c r="D3232" s="24" t="s">
        <v>52</v>
      </c>
      <c r="E3232" s="24" t="s">
        <v>134</v>
      </c>
      <c r="F3232" s="63" t="s">
        <v>0</v>
      </c>
    </row>
    <row r="3233" spans="1:6" x14ac:dyDescent="0.25">
      <c r="A3233" s="62">
        <v>44535</v>
      </c>
      <c r="B3233" s="62" t="s">
        <v>171</v>
      </c>
      <c r="C3233" s="23">
        <v>1550</v>
      </c>
      <c r="D3233" s="24" t="s">
        <v>167</v>
      </c>
      <c r="E3233" s="24" t="s">
        <v>168</v>
      </c>
      <c r="F3233" s="63" t="s">
        <v>0</v>
      </c>
    </row>
    <row r="3234" spans="1:6" x14ac:dyDescent="0.25">
      <c r="A3234" s="62">
        <v>44533</v>
      </c>
      <c r="B3234" s="62" t="s">
        <v>2712</v>
      </c>
      <c r="C3234" s="23">
        <v>304576</v>
      </c>
      <c r="D3234" s="24" t="s">
        <v>58</v>
      </c>
      <c r="E3234" s="24" t="s">
        <v>58</v>
      </c>
      <c r="F3234" s="63" t="s">
        <v>0</v>
      </c>
    </row>
    <row r="3235" spans="1:6" x14ac:dyDescent="0.25">
      <c r="A3235" s="62">
        <v>44532</v>
      </c>
      <c r="B3235" s="62" t="s">
        <v>2785</v>
      </c>
      <c r="C3235" s="23">
        <v>-1070</v>
      </c>
      <c r="D3235" s="24" t="s">
        <v>52</v>
      </c>
      <c r="E3235" s="24" t="s">
        <v>134</v>
      </c>
      <c r="F3235" s="63" t="s">
        <v>0</v>
      </c>
    </row>
    <row r="3236" spans="1:6" x14ac:dyDescent="0.25">
      <c r="A3236" s="62">
        <v>44532</v>
      </c>
      <c r="B3236" s="62" t="s">
        <v>2786</v>
      </c>
      <c r="C3236" s="23">
        <v>-2830</v>
      </c>
      <c r="D3236" s="24" t="s">
        <v>52</v>
      </c>
      <c r="E3236" s="24" t="s">
        <v>53</v>
      </c>
      <c r="F3236" s="63" t="s">
        <v>0</v>
      </c>
    </row>
    <row r="3237" spans="1:6" x14ac:dyDescent="0.25">
      <c r="A3237" s="62">
        <v>44531</v>
      </c>
      <c r="B3237" s="62" t="s">
        <v>2787</v>
      </c>
      <c r="C3237" s="23">
        <v>-43470</v>
      </c>
      <c r="D3237" s="24" t="s">
        <v>46</v>
      </c>
      <c r="E3237" s="24" t="s">
        <v>47</v>
      </c>
      <c r="F3237" s="63" t="s">
        <v>0</v>
      </c>
    </row>
    <row r="3238" spans="1:6" x14ac:dyDescent="0.25">
      <c r="A3238" s="62">
        <v>44531</v>
      </c>
      <c r="B3238" s="62" t="s">
        <v>2788</v>
      </c>
      <c r="C3238" s="23">
        <v>-3525</v>
      </c>
      <c r="D3238" s="24" t="s">
        <v>52</v>
      </c>
      <c r="E3238" s="24" t="s">
        <v>53</v>
      </c>
      <c r="F3238" s="63" t="s">
        <v>0</v>
      </c>
    </row>
    <row r="3239" spans="1:6" x14ac:dyDescent="0.25">
      <c r="A3239" s="62">
        <v>44530</v>
      </c>
      <c r="B3239" s="62" t="s">
        <v>2789</v>
      </c>
      <c r="C3239" s="23">
        <v>-500</v>
      </c>
      <c r="D3239" s="24" t="s">
        <v>72</v>
      </c>
      <c r="E3239" s="24" t="s">
        <v>73</v>
      </c>
      <c r="F3239" s="63" t="s">
        <v>0</v>
      </c>
    </row>
    <row r="3240" spans="1:6" x14ac:dyDescent="0.25">
      <c r="A3240" s="62">
        <v>44530</v>
      </c>
      <c r="B3240" s="62" t="s">
        <v>2790</v>
      </c>
      <c r="C3240" s="23">
        <v>-1000</v>
      </c>
      <c r="D3240" s="24" t="s">
        <v>72</v>
      </c>
      <c r="E3240" s="24" t="s">
        <v>73</v>
      </c>
      <c r="F3240" s="63" t="s">
        <v>0</v>
      </c>
    </row>
    <row r="3241" spans="1:6" x14ac:dyDescent="0.25">
      <c r="A3241" s="62">
        <v>44530</v>
      </c>
      <c r="B3241" s="62" t="s">
        <v>2791</v>
      </c>
      <c r="C3241" s="23">
        <v>99750</v>
      </c>
      <c r="D3241" s="24" t="s">
        <v>58</v>
      </c>
      <c r="E3241" s="24" t="s">
        <v>58</v>
      </c>
      <c r="F3241" s="63" t="s">
        <v>0</v>
      </c>
    </row>
    <row r="3242" spans="1:6" x14ac:dyDescent="0.25">
      <c r="A3242" s="62">
        <v>44530</v>
      </c>
      <c r="B3242" s="62" t="s">
        <v>2792</v>
      </c>
      <c r="C3242" s="23">
        <v>-1799</v>
      </c>
      <c r="D3242" s="24" t="s">
        <v>167</v>
      </c>
      <c r="E3242" s="24" t="s">
        <v>168</v>
      </c>
      <c r="F3242" s="63" t="s">
        <v>0</v>
      </c>
    </row>
    <row r="3243" spans="1:6" x14ac:dyDescent="0.25">
      <c r="A3243" s="62">
        <v>44529</v>
      </c>
      <c r="B3243" s="62" t="s">
        <v>2793</v>
      </c>
      <c r="C3243" s="23">
        <v>-15029</v>
      </c>
      <c r="D3243" s="24" t="s">
        <v>46</v>
      </c>
      <c r="E3243" s="24" t="s">
        <v>47</v>
      </c>
      <c r="F3243" s="63" t="s">
        <v>0</v>
      </c>
    </row>
    <row r="3244" spans="1:6" x14ac:dyDescent="0.25">
      <c r="A3244" s="62">
        <v>44529</v>
      </c>
      <c r="B3244" s="62" t="s">
        <v>2794</v>
      </c>
      <c r="C3244" s="23">
        <v>-1376</v>
      </c>
      <c r="D3244" s="24" t="s">
        <v>49</v>
      </c>
      <c r="E3244" s="24" t="s">
        <v>56</v>
      </c>
      <c r="F3244" s="63" t="s">
        <v>0</v>
      </c>
    </row>
    <row r="3245" spans="1:6" x14ac:dyDescent="0.25">
      <c r="A3245" s="62">
        <v>44529</v>
      </c>
      <c r="B3245" s="62" t="s">
        <v>2114</v>
      </c>
      <c r="C3245" s="23">
        <v>-2085</v>
      </c>
      <c r="D3245" s="24" t="s">
        <v>46</v>
      </c>
      <c r="E3245" s="24" t="s">
        <v>47</v>
      </c>
      <c r="F3245" s="63" t="s">
        <v>0</v>
      </c>
    </row>
    <row r="3246" spans="1:6" x14ac:dyDescent="0.25">
      <c r="A3246" s="62">
        <v>44529</v>
      </c>
      <c r="B3246" s="62" t="s">
        <v>2795</v>
      </c>
      <c r="C3246" s="23">
        <v>-23707</v>
      </c>
      <c r="D3246" s="24" t="s">
        <v>72</v>
      </c>
      <c r="E3246" s="24" t="s">
        <v>109</v>
      </c>
      <c r="F3246" s="63" t="s">
        <v>0</v>
      </c>
    </row>
    <row r="3247" spans="1:6" x14ac:dyDescent="0.25">
      <c r="A3247" s="62">
        <v>44529</v>
      </c>
      <c r="B3247" s="62" t="s">
        <v>2796</v>
      </c>
      <c r="C3247" s="23">
        <v>-2425</v>
      </c>
      <c r="D3247" s="24" t="s">
        <v>49</v>
      </c>
      <c r="E3247" s="24" t="s">
        <v>56</v>
      </c>
      <c r="F3247" s="63" t="s">
        <v>0</v>
      </c>
    </row>
    <row r="3248" spans="1:6" x14ac:dyDescent="0.25">
      <c r="A3248" s="62">
        <v>44529</v>
      </c>
      <c r="B3248" s="62" t="s">
        <v>2797</v>
      </c>
      <c r="C3248" s="23">
        <v>-890</v>
      </c>
      <c r="D3248" s="24" t="s">
        <v>49</v>
      </c>
      <c r="E3248" s="24" t="s">
        <v>56</v>
      </c>
      <c r="F3248" s="63" t="s">
        <v>0</v>
      </c>
    </row>
    <row r="3249" spans="1:6" x14ac:dyDescent="0.25">
      <c r="A3249" s="62">
        <v>44529</v>
      </c>
      <c r="B3249" s="62" t="s">
        <v>1409</v>
      </c>
      <c r="C3249" s="23">
        <v>-899</v>
      </c>
      <c r="D3249" s="24" t="s">
        <v>49</v>
      </c>
      <c r="E3249" s="24" t="s">
        <v>56</v>
      </c>
      <c r="F3249" s="63" t="s">
        <v>0</v>
      </c>
    </row>
    <row r="3250" spans="1:6" x14ac:dyDescent="0.25">
      <c r="A3250" s="62">
        <v>44529</v>
      </c>
      <c r="B3250" s="62" t="s">
        <v>2798</v>
      </c>
      <c r="C3250" s="23">
        <v>-3990</v>
      </c>
      <c r="D3250" s="24" t="s">
        <v>46</v>
      </c>
      <c r="E3250" s="24" t="s">
        <v>63</v>
      </c>
      <c r="F3250" s="63" t="s">
        <v>0</v>
      </c>
    </row>
    <row r="3251" spans="1:6" x14ac:dyDescent="0.25">
      <c r="A3251" s="62">
        <v>44529</v>
      </c>
      <c r="B3251" s="62" t="s">
        <v>2799</v>
      </c>
      <c r="C3251" s="23">
        <v>-3940</v>
      </c>
      <c r="D3251" s="24" t="s">
        <v>72</v>
      </c>
      <c r="E3251" s="24" t="s">
        <v>266</v>
      </c>
      <c r="F3251" s="63" t="s">
        <v>0</v>
      </c>
    </row>
    <row r="3252" spans="1:6" x14ac:dyDescent="0.25">
      <c r="A3252" s="62">
        <v>44529</v>
      </c>
      <c r="B3252" s="62" t="s">
        <v>1026</v>
      </c>
      <c r="C3252" s="23">
        <v>-4567</v>
      </c>
      <c r="D3252" s="24" t="s">
        <v>46</v>
      </c>
      <c r="E3252" s="24" t="s">
        <v>512</v>
      </c>
      <c r="F3252" s="63" t="s">
        <v>0</v>
      </c>
    </row>
    <row r="3253" spans="1:6" x14ac:dyDescent="0.25">
      <c r="A3253" s="62">
        <v>44529</v>
      </c>
      <c r="B3253" s="62" t="s">
        <v>2800</v>
      </c>
      <c r="C3253" s="23">
        <v>-6944</v>
      </c>
      <c r="D3253" s="24" t="s">
        <v>46</v>
      </c>
      <c r="E3253" s="24" t="s">
        <v>150</v>
      </c>
      <c r="F3253" s="63" t="s">
        <v>0</v>
      </c>
    </row>
    <row r="3254" spans="1:6" x14ac:dyDescent="0.25">
      <c r="A3254" s="62">
        <v>44526</v>
      </c>
      <c r="B3254" s="62" t="s">
        <v>2801</v>
      </c>
      <c r="C3254" s="23">
        <v>-20828</v>
      </c>
      <c r="D3254" s="24" t="s">
        <v>72</v>
      </c>
      <c r="E3254" s="24" t="s">
        <v>109</v>
      </c>
      <c r="F3254" s="63" t="s">
        <v>0</v>
      </c>
    </row>
    <row r="3255" spans="1:6" x14ac:dyDescent="0.25">
      <c r="A3255" s="62">
        <v>44525</v>
      </c>
      <c r="B3255" s="62" t="s">
        <v>2785</v>
      </c>
      <c r="C3255" s="23">
        <v>-1070</v>
      </c>
      <c r="D3255" s="24" t="s">
        <v>52</v>
      </c>
      <c r="E3255" s="24" t="s">
        <v>134</v>
      </c>
      <c r="F3255" s="63" t="s">
        <v>0</v>
      </c>
    </row>
    <row r="3256" spans="1:6" x14ac:dyDescent="0.25">
      <c r="A3256" s="62">
        <v>44525</v>
      </c>
      <c r="B3256" s="62" t="s">
        <v>2802</v>
      </c>
      <c r="C3256" s="23">
        <v>-2880</v>
      </c>
      <c r="D3256" s="24" t="s">
        <v>52</v>
      </c>
      <c r="E3256" s="24" t="s">
        <v>53</v>
      </c>
      <c r="F3256" s="63" t="s">
        <v>0</v>
      </c>
    </row>
    <row r="3257" spans="1:6" x14ac:dyDescent="0.25">
      <c r="A3257" s="62">
        <v>44525</v>
      </c>
      <c r="B3257" s="62" t="s">
        <v>2803</v>
      </c>
      <c r="C3257" s="23">
        <v>-12695</v>
      </c>
      <c r="D3257" s="24" t="s">
        <v>46</v>
      </c>
      <c r="E3257" s="24" t="s">
        <v>150</v>
      </c>
      <c r="F3257" s="63" t="s">
        <v>0</v>
      </c>
    </row>
    <row r="3258" spans="1:6" x14ac:dyDescent="0.25">
      <c r="A3258" s="62">
        <v>44523</v>
      </c>
      <c r="B3258" s="62" t="s">
        <v>2804</v>
      </c>
      <c r="C3258" s="23">
        <v>-5840</v>
      </c>
      <c r="D3258" s="24" t="s">
        <v>90</v>
      </c>
      <c r="E3258" s="24" t="s">
        <v>59</v>
      </c>
      <c r="F3258" s="63" t="s">
        <v>0</v>
      </c>
    </row>
    <row r="3259" spans="1:6" x14ac:dyDescent="0.25">
      <c r="A3259" s="62">
        <v>44522</v>
      </c>
      <c r="B3259" s="62" t="s">
        <v>139</v>
      </c>
      <c r="C3259" s="23">
        <v>19275</v>
      </c>
      <c r="D3259" s="24" t="s">
        <v>58</v>
      </c>
      <c r="E3259" s="24" t="s">
        <v>58</v>
      </c>
      <c r="F3259" s="63" t="s">
        <v>4</v>
      </c>
    </row>
    <row r="3260" spans="1:6" x14ac:dyDescent="0.25">
      <c r="A3260" s="62">
        <v>44522</v>
      </c>
      <c r="B3260" s="62" t="s">
        <v>2805</v>
      </c>
      <c r="C3260" s="23">
        <v>-24990</v>
      </c>
      <c r="D3260" s="24" t="s">
        <v>46</v>
      </c>
      <c r="E3260" s="24" t="s">
        <v>428</v>
      </c>
      <c r="F3260" s="63" t="s">
        <v>0</v>
      </c>
    </row>
    <row r="3261" spans="1:6" x14ac:dyDescent="0.25">
      <c r="A3261" s="62">
        <v>44522</v>
      </c>
      <c r="B3261" s="62" t="s">
        <v>2806</v>
      </c>
      <c r="C3261" s="23">
        <v>-6946</v>
      </c>
      <c r="D3261" s="24" t="s">
        <v>49</v>
      </c>
      <c r="E3261" s="24" t="s">
        <v>56</v>
      </c>
      <c r="F3261" s="63" t="s">
        <v>0</v>
      </c>
    </row>
    <row r="3262" spans="1:6" x14ac:dyDescent="0.25">
      <c r="A3262" s="62">
        <v>44522</v>
      </c>
      <c r="B3262" s="62" t="s">
        <v>2807</v>
      </c>
      <c r="C3262" s="23">
        <v>-24392</v>
      </c>
      <c r="D3262" s="24" t="s">
        <v>49</v>
      </c>
      <c r="E3262" s="24" t="s">
        <v>56</v>
      </c>
      <c r="F3262" s="63" t="s">
        <v>0</v>
      </c>
    </row>
    <row r="3263" spans="1:6" x14ac:dyDescent="0.25">
      <c r="A3263" s="62">
        <v>44522</v>
      </c>
      <c r="B3263" s="62" t="s">
        <v>2808</v>
      </c>
      <c r="C3263" s="23">
        <v>30000</v>
      </c>
      <c r="D3263" s="24" t="s">
        <v>206</v>
      </c>
      <c r="E3263" s="24" t="s">
        <v>206</v>
      </c>
      <c r="F3263" s="63" t="s">
        <v>0</v>
      </c>
    </row>
    <row r="3264" spans="1:6" x14ac:dyDescent="0.25">
      <c r="A3264" s="62">
        <v>44519</v>
      </c>
      <c r="B3264" s="62" t="s">
        <v>2809</v>
      </c>
      <c r="C3264" s="23">
        <v>-5000</v>
      </c>
      <c r="D3264" s="24" t="s">
        <v>49</v>
      </c>
      <c r="E3264" s="24" t="s">
        <v>1165</v>
      </c>
      <c r="F3264" s="63" t="s">
        <v>0</v>
      </c>
    </row>
    <row r="3265" spans="1:6" x14ac:dyDescent="0.25">
      <c r="A3265" s="62">
        <v>44519</v>
      </c>
      <c r="B3265" s="62" t="s">
        <v>1331</v>
      </c>
      <c r="C3265" s="23">
        <v>-584</v>
      </c>
      <c r="D3265" s="24" t="s">
        <v>72</v>
      </c>
      <c r="E3265" s="24" t="s">
        <v>197</v>
      </c>
      <c r="F3265" s="63" t="s">
        <v>0</v>
      </c>
    </row>
    <row r="3266" spans="1:6" x14ac:dyDescent="0.25">
      <c r="A3266" s="62">
        <v>44519</v>
      </c>
      <c r="B3266" s="62" t="s">
        <v>1280</v>
      </c>
      <c r="C3266" s="23">
        <v>-504</v>
      </c>
      <c r="D3266" s="24" t="s">
        <v>72</v>
      </c>
      <c r="E3266" s="24" t="s">
        <v>197</v>
      </c>
      <c r="F3266" s="63" t="s">
        <v>0</v>
      </c>
    </row>
    <row r="3267" spans="1:6" x14ac:dyDescent="0.25">
      <c r="A3267" s="62">
        <v>44519</v>
      </c>
      <c r="B3267" s="62" t="s">
        <v>2810</v>
      </c>
      <c r="C3267" s="23">
        <v>-6900</v>
      </c>
      <c r="D3267" s="24" t="s">
        <v>83</v>
      </c>
      <c r="E3267" s="24" t="s">
        <v>660</v>
      </c>
      <c r="F3267" s="63" t="s">
        <v>0</v>
      </c>
    </row>
    <row r="3268" spans="1:6" x14ac:dyDescent="0.25">
      <c r="A3268" s="62">
        <v>44519</v>
      </c>
      <c r="B3268" s="62" t="s">
        <v>2811</v>
      </c>
      <c r="C3268" s="23">
        <v>-2480</v>
      </c>
      <c r="D3268" s="24" t="s">
        <v>52</v>
      </c>
      <c r="E3268" s="24" t="s">
        <v>53</v>
      </c>
      <c r="F3268" s="63" t="s">
        <v>0</v>
      </c>
    </row>
    <row r="3269" spans="1:6" x14ac:dyDescent="0.25">
      <c r="A3269" s="62">
        <v>44518</v>
      </c>
      <c r="B3269" s="62" t="s">
        <v>2812</v>
      </c>
      <c r="C3269" s="23">
        <v>-100</v>
      </c>
      <c r="D3269" s="24" t="s">
        <v>167</v>
      </c>
      <c r="E3269" s="24" t="s">
        <v>168</v>
      </c>
      <c r="F3269" s="63" t="s">
        <v>5</v>
      </c>
    </row>
    <row r="3270" spans="1:6" x14ac:dyDescent="0.25">
      <c r="A3270" s="62">
        <v>44518</v>
      </c>
      <c r="B3270" s="62" t="s">
        <v>2813</v>
      </c>
      <c r="C3270" s="23">
        <v>-2380</v>
      </c>
      <c r="D3270" s="24" t="s">
        <v>52</v>
      </c>
      <c r="E3270" s="24" t="s">
        <v>53</v>
      </c>
      <c r="F3270" s="63" t="s">
        <v>0</v>
      </c>
    </row>
    <row r="3271" spans="1:6" x14ac:dyDescent="0.25">
      <c r="A3271" s="62">
        <v>44518</v>
      </c>
      <c r="B3271" s="62" t="s">
        <v>2814</v>
      </c>
      <c r="C3271" s="23">
        <v>-850</v>
      </c>
      <c r="D3271" s="24" t="s">
        <v>52</v>
      </c>
      <c r="E3271" s="24" t="s">
        <v>134</v>
      </c>
      <c r="F3271" s="63" t="s">
        <v>0</v>
      </c>
    </row>
    <row r="3272" spans="1:6" x14ac:dyDescent="0.25">
      <c r="A3272" s="62">
        <v>44518</v>
      </c>
      <c r="B3272" s="62" t="s">
        <v>2789</v>
      </c>
      <c r="C3272" s="23">
        <v>-500</v>
      </c>
      <c r="D3272" s="24" t="s">
        <v>72</v>
      </c>
      <c r="E3272" s="24" t="s">
        <v>73</v>
      </c>
      <c r="F3272" s="63" t="s">
        <v>0</v>
      </c>
    </row>
    <row r="3273" spans="1:6" x14ac:dyDescent="0.25">
      <c r="A3273" s="62">
        <v>44518</v>
      </c>
      <c r="B3273" s="62" t="s">
        <v>2570</v>
      </c>
      <c r="C3273" s="23">
        <v>-650</v>
      </c>
      <c r="D3273" s="24" t="s">
        <v>52</v>
      </c>
      <c r="E3273" s="24" t="s">
        <v>134</v>
      </c>
      <c r="F3273" s="63" t="s">
        <v>0</v>
      </c>
    </row>
    <row r="3274" spans="1:6" x14ac:dyDescent="0.25">
      <c r="A3274" s="62">
        <v>44518</v>
      </c>
      <c r="B3274" s="62" t="s">
        <v>2790</v>
      </c>
      <c r="C3274" s="23">
        <v>-1000</v>
      </c>
      <c r="D3274" s="24" t="s">
        <v>72</v>
      </c>
      <c r="E3274" s="24" t="s">
        <v>73</v>
      </c>
      <c r="F3274" s="63" t="s">
        <v>0</v>
      </c>
    </row>
    <row r="3275" spans="1:6" x14ac:dyDescent="0.25">
      <c r="A3275" s="62">
        <v>44517</v>
      </c>
      <c r="B3275" s="62" t="s">
        <v>2570</v>
      </c>
      <c r="C3275" s="23">
        <v>-650</v>
      </c>
      <c r="D3275" s="24" t="s">
        <v>52</v>
      </c>
      <c r="E3275" s="24" t="s">
        <v>134</v>
      </c>
      <c r="F3275" s="63" t="s">
        <v>0</v>
      </c>
    </row>
    <row r="3276" spans="1:6" x14ac:dyDescent="0.25">
      <c r="A3276" s="62">
        <v>44517</v>
      </c>
      <c r="B3276" s="62" t="s">
        <v>2815</v>
      </c>
      <c r="C3276" s="23">
        <v>-14272</v>
      </c>
      <c r="D3276" s="24" t="s">
        <v>49</v>
      </c>
      <c r="E3276" s="24" t="s">
        <v>56</v>
      </c>
      <c r="F3276" s="63" t="s">
        <v>0</v>
      </c>
    </row>
    <row r="3277" spans="1:6" x14ac:dyDescent="0.25">
      <c r="A3277" s="62">
        <v>44516</v>
      </c>
      <c r="B3277" s="62" t="s">
        <v>2789</v>
      </c>
      <c r="C3277" s="23">
        <v>-500</v>
      </c>
      <c r="D3277" s="24" t="s">
        <v>72</v>
      </c>
      <c r="E3277" s="24" t="s">
        <v>73</v>
      </c>
      <c r="F3277" s="63" t="s">
        <v>0</v>
      </c>
    </row>
    <row r="3278" spans="1:6" x14ac:dyDescent="0.25">
      <c r="A3278" s="62">
        <v>44516</v>
      </c>
      <c r="B3278" s="62" t="s">
        <v>2790</v>
      </c>
      <c r="C3278" s="23">
        <v>-1000</v>
      </c>
      <c r="D3278" s="24" t="s">
        <v>72</v>
      </c>
      <c r="E3278" s="24" t="s">
        <v>73</v>
      </c>
      <c r="F3278" s="63" t="s">
        <v>0</v>
      </c>
    </row>
    <row r="3279" spans="1:6" x14ac:dyDescent="0.25">
      <c r="A3279" s="62">
        <v>44515</v>
      </c>
      <c r="B3279" s="62" t="s">
        <v>2816</v>
      </c>
      <c r="C3279" s="23">
        <v>-10780</v>
      </c>
      <c r="D3279" s="24" t="s">
        <v>52</v>
      </c>
      <c r="E3279" s="24" t="s">
        <v>53</v>
      </c>
      <c r="F3279" s="63" t="s">
        <v>0</v>
      </c>
    </row>
    <row r="3280" spans="1:6" x14ac:dyDescent="0.25">
      <c r="A3280" s="62">
        <v>44515</v>
      </c>
      <c r="B3280" s="62" t="s">
        <v>2817</v>
      </c>
      <c r="C3280" s="23">
        <v>-1923</v>
      </c>
      <c r="D3280" s="24" t="s">
        <v>49</v>
      </c>
      <c r="E3280" s="24" t="s">
        <v>56</v>
      </c>
      <c r="F3280" s="63" t="s">
        <v>0</v>
      </c>
    </row>
    <row r="3281" spans="1:6" x14ac:dyDescent="0.25">
      <c r="A3281" s="62">
        <v>44515</v>
      </c>
      <c r="B3281" s="62" t="s">
        <v>2818</v>
      </c>
      <c r="C3281" s="23">
        <v>-3246</v>
      </c>
      <c r="D3281" s="24" t="s">
        <v>49</v>
      </c>
      <c r="E3281" s="24" t="s">
        <v>56</v>
      </c>
      <c r="F3281" s="63" t="s">
        <v>0</v>
      </c>
    </row>
    <row r="3282" spans="1:6" x14ac:dyDescent="0.25">
      <c r="A3282" s="62">
        <v>44515</v>
      </c>
      <c r="B3282" s="62" t="s">
        <v>2819</v>
      </c>
      <c r="C3282" s="23">
        <v>-22124</v>
      </c>
      <c r="D3282" s="24" t="s">
        <v>72</v>
      </c>
      <c r="E3282" s="24" t="s">
        <v>109</v>
      </c>
      <c r="F3282" s="63" t="s">
        <v>0</v>
      </c>
    </row>
    <row r="3283" spans="1:6" x14ac:dyDescent="0.25">
      <c r="A3283" s="62">
        <v>44515</v>
      </c>
      <c r="B3283" s="62" t="s">
        <v>2820</v>
      </c>
      <c r="C3283" s="23">
        <v>-2375</v>
      </c>
      <c r="D3283" s="24" t="s">
        <v>52</v>
      </c>
      <c r="E3283" s="24" t="s">
        <v>53</v>
      </c>
      <c r="F3283" s="63" t="s">
        <v>0</v>
      </c>
    </row>
    <row r="3284" spans="1:6" x14ac:dyDescent="0.25">
      <c r="A3284" s="62">
        <v>44515</v>
      </c>
      <c r="B3284" s="62" t="s">
        <v>2821</v>
      </c>
      <c r="C3284" s="23">
        <v>-155060</v>
      </c>
      <c r="D3284" s="24" t="s">
        <v>72</v>
      </c>
      <c r="E3284" s="24" t="s">
        <v>445</v>
      </c>
      <c r="F3284" s="63" t="s">
        <v>0</v>
      </c>
    </row>
    <row r="3285" spans="1:6" x14ac:dyDescent="0.25">
      <c r="A3285" s="62">
        <v>44515</v>
      </c>
      <c r="B3285" s="62" t="s">
        <v>2822</v>
      </c>
      <c r="C3285" s="23">
        <v>-10147</v>
      </c>
      <c r="D3285" s="24" t="s">
        <v>49</v>
      </c>
      <c r="E3285" s="24" t="s">
        <v>56</v>
      </c>
      <c r="F3285" s="63" t="s">
        <v>0</v>
      </c>
    </row>
    <row r="3286" spans="1:6" x14ac:dyDescent="0.25">
      <c r="A3286" s="62">
        <v>44515</v>
      </c>
      <c r="B3286" s="62" t="s">
        <v>2823</v>
      </c>
      <c r="C3286" s="23">
        <v>-1594</v>
      </c>
      <c r="D3286" s="24" t="s">
        <v>49</v>
      </c>
      <c r="E3286" s="24" t="s">
        <v>56</v>
      </c>
      <c r="F3286" s="63" t="s">
        <v>0</v>
      </c>
    </row>
    <row r="3287" spans="1:6" x14ac:dyDescent="0.25">
      <c r="A3287" s="62">
        <v>44515</v>
      </c>
      <c r="B3287" s="62" t="s">
        <v>2824</v>
      </c>
      <c r="C3287" s="23">
        <v>-7691</v>
      </c>
      <c r="D3287" s="24" t="s">
        <v>49</v>
      </c>
      <c r="E3287" s="24" t="s">
        <v>56</v>
      </c>
      <c r="F3287" s="63" t="s">
        <v>0</v>
      </c>
    </row>
    <row r="3288" spans="1:6" x14ac:dyDescent="0.25">
      <c r="A3288" s="62">
        <v>44515</v>
      </c>
      <c r="B3288" s="62" t="s">
        <v>2825</v>
      </c>
      <c r="C3288" s="23">
        <v>-1429</v>
      </c>
      <c r="D3288" s="24" t="s">
        <v>49</v>
      </c>
      <c r="E3288" s="24" t="s">
        <v>56</v>
      </c>
      <c r="F3288" s="63" t="s">
        <v>0</v>
      </c>
    </row>
    <row r="3289" spans="1:6" x14ac:dyDescent="0.25">
      <c r="A3289" s="62">
        <v>44511</v>
      </c>
      <c r="B3289" s="62" t="s">
        <v>2826</v>
      </c>
      <c r="C3289" s="23">
        <v>-189</v>
      </c>
      <c r="D3289" s="24" t="s">
        <v>49</v>
      </c>
      <c r="E3289" s="24" t="s">
        <v>56</v>
      </c>
      <c r="F3289" s="63" t="s">
        <v>0</v>
      </c>
    </row>
    <row r="3290" spans="1:6" x14ac:dyDescent="0.25">
      <c r="A3290" s="62">
        <v>44511</v>
      </c>
      <c r="B3290" s="62" t="s">
        <v>2827</v>
      </c>
      <c r="C3290" s="23">
        <v>-4052</v>
      </c>
      <c r="D3290" s="24" t="s">
        <v>49</v>
      </c>
      <c r="E3290" s="24" t="s">
        <v>56</v>
      </c>
      <c r="F3290" s="63" t="s">
        <v>0</v>
      </c>
    </row>
    <row r="3291" spans="1:6" x14ac:dyDescent="0.25">
      <c r="A3291" s="62">
        <v>44510</v>
      </c>
      <c r="B3291" s="62" t="s">
        <v>2828</v>
      </c>
      <c r="C3291" s="23">
        <v>-207180</v>
      </c>
      <c r="D3291" s="24" t="s">
        <v>46</v>
      </c>
      <c r="E3291" s="24" t="s">
        <v>10</v>
      </c>
      <c r="F3291" s="63" t="s">
        <v>0</v>
      </c>
    </row>
    <row r="3292" spans="1:6" x14ac:dyDescent="0.25">
      <c r="A3292" s="62">
        <v>44510</v>
      </c>
      <c r="B3292" s="62" t="s">
        <v>2829</v>
      </c>
      <c r="C3292" s="23">
        <v>-54624</v>
      </c>
      <c r="D3292" s="24" t="s">
        <v>46</v>
      </c>
      <c r="E3292" s="24" t="s">
        <v>10</v>
      </c>
      <c r="F3292" s="63" t="s">
        <v>0</v>
      </c>
    </row>
    <row r="3293" spans="1:6" x14ac:dyDescent="0.25">
      <c r="A3293" s="62">
        <v>44510</v>
      </c>
      <c r="B3293" s="62" t="s">
        <v>2828</v>
      </c>
      <c r="C3293" s="23">
        <v>207180</v>
      </c>
      <c r="D3293" s="24" t="s">
        <v>46</v>
      </c>
      <c r="E3293" s="24" t="s">
        <v>10</v>
      </c>
      <c r="F3293" s="63" t="s">
        <v>10</v>
      </c>
    </row>
    <row r="3294" spans="1:6" x14ac:dyDescent="0.25">
      <c r="A3294" s="62">
        <v>44510</v>
      </c>
      <c r="B3294" s="62" t="s">
        <v>2830</v>
      </c>
      <c r="C3294" s="23">
        <v>-1500</v>
      </c>
      <c r="D3294" s="24" t="s">
        <v>72</v>
      </c>
      <c r="E3294" s="24" t="s">
        <v>73</v>
      </c>
      <c r="F3294" s="63" t="s">
        <v>0</v>
      </c>
    </row>
    <row r="3295" spans="1:6" x14ac:dyDescent="0.25">
      <c r="A3295" s="62">
        <v>44510</v>
      </c>
      <c r="B3295" s="62" t="s">
        <v>2831</v>
      </c>
      <c r="C3295" s="23">
        <v>-1150</v>
      </c>
      <c r="D3295" s="24" t="s">
        <v>52</v>
      </c>
      <c r="E3295" s="24" t="s">
        <v>53</v>
      </c>
      <c r="F3295" s="63" t="s">
        <v>0</v>
      </c>
    </row>
    <row r="3296" spans="1:6" x14ac:dyDescent="0.25">
      <c r="A3296" s="62">
        <v>44510</v>
      </c>
      <c r="B3296" s="62" t="s">
        <v>1651</v>
      </c>
      <c r="C3296" s="23">
        <v>670866</v>
      </c>
      <c r="D3296" s="24" t="s">
        <v>58</v>
      </c>
      <c r="E3296" s="24" t="s">
        <v>58</v>
      </c>
      <c r="F3296" s="63" t="s">
        <v>0</v>
      </c>
    </row>
    <row r="3297" spans="1:6" x14ac:dyDescent="0.25">
      <c r="A3297" s="62">
        <v>44509</v>
      </c>
      <c r="B3297" s="62" t="s">
        <v>2789</v>
      </c>
      <c r="C3297" s="23">
        <v>-500</v>
      </c>
      <c r="D3297" s="24" t="s">
        <v>72</v>
      </c>
      <c r="E3297" s="24" t="s">
        <v>73</v>
      </c>
      <c r="F3297" s="63" t="s">
        <v>0</v>
      </c>
    </row>
    <row r="3298" spans="1:6" x14ac:dyDescent="0.25">
      <c r="A3298" s="62">
        <v>44509</v>
      </c>
      <c r="B3298" s="62" t="s">
        <v>2790</v>
      </c>
      <c r="C3298" s="23">
        <v>-1000</v>
      </c>
      <c r="D3298" s="24" t="s">
        <v>72</v>
      </c>
      <c r="E3298" s="24" t="s">
        <v>73</v>
      </c>
      <c r="F3298" s="63" t="s">
        <v>0</v>
      </c>
    </row>
    <row r="3299" spans="1:6" x14ac:dyDescent="0.25">
      <c r="A3299" s="62">
        <v>44509</v>
      </c>
      <c r="B3299" s="62" t="s">
        <v>2832</v>
      </c>
      <c r="C3299" s="23">
        <v>-769</v>
      </c>
      <c r="D3299" s="24" t="s">
        <v>49</v>
      </c>
      <c r="E3299" s="24" t="s">
        <v>56</v>
      </c>
      <c r="F3299" s="63" t="s">
        <v>0</v>
      </c>
    </row>
    <row r="3300" spans="1:6" x14ac:dyDescent="0.25">
      <c r="A3300" s="62">
        <v>44508</v>
      </c>
      <c r="B3300" s="62" t="s">
        <v>2833</v>
      </c>
      <c r="C3300" s="23">
        <v>-2700</v>
      </c>
      <c r="D3300" s="24" t="s">
        <v>52</v>
      </c>
      <c r="E3300" s="24" t="s">
        <v>53</v>
      </c>
      <c r="F3300" s="63" t="s">
        <v>0</v>
      </c>
    </row>
    <row r="3301" spans="1:6" x14ac:dyDescent="0.25">
      <c r="A3301" s="62">
        <v>44508</v>
      </c>
      <c r="B3301" s="62" t="s">
        <v>2834</v>
      </c>
      <c r="C3301" s="23">
        <v>-18497</v>
      </c>
      <c r="D3301" s="24" t="s">
        <v>72</v>
      </c>
      <c r="E3301" s="24" t="s">
        <v>109</v>
      </c>
      <c r="F3301" s="63" t="s">
        <v>0</v>
      </c>
    </row>
    <row r="3302" spans="1:6" x14ac:dyDescent="0.25">
      <c r="A3302" s="62">
        <v>44508</v>
      </c>
      <c r="B3302" s="62" t="s">
        <v>2835</v>
      </c>
      <c r="C3302" s="23">
        <v>-14893</v>
      </c>
      <c r="D3302" s="24" t="s">
        <v>46</v>
      </c>
      <c r="E3302" s="24" t="s">
        <v>80</v>
      </c>
      <c r="F3302" s="63" t="s">
        <v>0</v>
      </c>
    </row>
    <row r="3303" spans="1:6" x14ac:dyDescent="0.25">
      <c r="A3303" s="62">
        <v>44508</v>
      </c>
      <c r="B3303" s="62" t="s">
        <v>2836</v>
      </c>
      <c r="C3303" s="23">
        <v>-2936</v>
      </c>
      <c r="D3303" s="24" t="s">
        <v>49</v>
      </c>
      <c r="E3303" s="24" t="s">
        <v>56</v>
      </c>
      <c r="F3303" s="63" t="s">
        <v>0</v>
      </c>
    </row>
    <row r="3304" spans="1:6" x14ac:dyDescent="0.25">
      <c r="A3304" s="62">
        <v>44508</v>
      </c>
      <c r="B3304" s="62" t="s">
        <v>2837</v>
      </c>
      <c r="C3304" s="23">
        <v>-13000</v>
      </c>
      <c r="D3304" s="24" t="s">
        <v>46</v>
      </c>
      <c r="E3304" s="24" t="s">
        <v>61</v>
      </c>
      <c r="F3304" s="63" t="s">
        <v>7</v>
      </c>
    </row>
    <row r="3305" spans="1:6" x14ac:dyDescent="0.25">
      <c r="A3305" s="62">
        <v>44505</v>
      </c>
      <c r="B3305" s="62" t="s">
        <v>2838</v>
      </c>
      <c r="C3305" s="23">
        <v>-12447</v>
      </c>
      <c r="D3305" s="24" t="s">
        <v>49</v>
      </c>
      <c r="E3305" s="24" t="s">
        <v>67</v>
      </c>
      <c r="F3305" s="63" t="s">
        <v>0</v>
      </c>
    </row>
    <row r="3306" spans="1:6" x14ac:dyDescent="0.25">
      <c r="A3306" s="62">
        <v>44505</v>
      </c>
      <c r="B3306" s="62" t="s">
        <v>2839</v>
      </c>
      <c r="C3306" s="23">
        <v>-11175</v>
      </c>
      <c r="D3306" s="24" t="s">
        <v>46</v>
      </c>
      <c r="E3306" s="24" t="s">
        <v>145</v>
      </c>
      <c r="F3306" s="63" t="s">
        <v>0</v>
      </c>
    </row>
    <row r="3307" spans="1:6" x14ac:dyDescent="0.25">
      <c r="A3307" s="62">
        <v>44505</v>
      </c>
      <c r="B3307" s="62" t="s">
        <v>2840</v>
      </c>
      <c r="C3307" s="23">
        <v>1550</v>
      </c>
      <c r="D3307" s="24" t="s">
        <v>167</v>
      </c>
      <c r="E3307" s="24" t="s">
        <v>168</v>
      </c>
      <c r="F3307" s="63" t="s">
        <v>0</v>
      </c>
    </row>
    <row r="3308" spans="1:6" x14ac:dyDescent="0.25">
      <c r="A3308" s="62">
        <v>44504</v>
      </c>
      <c r="B3308" s="62" t="s">
        <v>2841</v>
      </c>
      <c r="C3308" s="23">
        <v>-1790</v>
      </c>
      <c r="D3308" s="24" t="s">
        <v>52</v>
      </c>
      <c r="E3308" s="24" t="s">
        <v>53</v>
      </c>
      <c r="F3308" s="63" t="s">
        <v>0</v>
      </c>
    </row>
    <row r="3309" spans="1:6" x14ac:dyDescent="0.25">
      <c r="A3309" s="62">
        <v>44504</v>
      </c>
      <c r="B3309" s="62" t="s">
        <v>2842</v>
      </c>
      <c r="C3309" s="23">
        <v>-4480</v>
      </c>
      <c r="D3309" s="24" t="s">
        <v>52</v>
      </c>
      <c r="E3309" s="24" t="s">
        <v>53</v>
      </c>
      <c r="F3309" s="63" t="s">
        <v>0</v>
      </c>
    </row>
    <row r="3310" spans="1:6" x14ac:dyDescent="0.25">
      <c r="A3310" s="62">
        <v>44504</v>
      </c>
      <c r="B3310" s="62" t="s">
        <v>2843</v>
      </c>
      <c r="C3310" s="23">
        <v>-26099</v>
      </c>
      <c r="D3310" s="24" t="s">
        <v>49</v>
      </c>
      <c r="E3310" s="24" t="s">
        <v>56</v>
      </c>
      <c r="F3310" s="63" t="s">
        <v>0</v>
      </c>
    </row>
    <row r="3311" spans="1:6" x14ac:dyDescent="0.25">
      <c r="A3311" s="62">
        <v>44504</v>
      </c>
      <c r="B3311" s="62" t="s">
        <v>2844</v>
      </c>
      <c r="C3311" s="23">
        <v>-15460</v>
      </c>
      <c r="D3311" s="24" t="s">
        <v>72</v>
      </c>
      <c r="E3311" s="24" t="s">
        <v>266</v>
      </c>
      <c r="F3311" s="63" t="s">
        <v>0</v>
      </c>
    </row>
    <row r="3312" spans="1:6" x14ac:dyDescent="0.25">
      <c r="A3312" s="62">
        <v>44504</v>
      </c>
      <c r="B3312" s="62" t="s">
        <v>2845</v>
      </c>
      <c r="C3312" s="23">
        <v>411091</v>
      </c>
      <c r="D3312" s="24" t="s">
        <v>58</v>
      </c>
      <c r="E3312" s="24" t="s">
        <v>58</v>
      </c>
      <c r="F3312" s="63" t="s">
        <v>0</v>
      </c>
    </row>
    <row r="3313" spans="1:6" x14ac:dyDescent="0.25">
      <c r="A3313" s="62">
        <v>44503</v>
      </c>
      <c r="B3313" s="62" t="s">
        <v>2785</v>
      </c>
      <c r="C3313" s="23">
        <v>-1070</v>
      </c>
      <c r="D3313" s="24" t="s">
        <v>52</v>
      </c>
      <c r="E3313" s="24" t="s">
        <v>134</v>
      </c>
      <c r="F3313" s="63" t="s">
        <v>0</v>
      </c>
    </row>
    <row r="3314" spans="1:6" x14ac:dyDescent="0.25">
      <c r="A3314" s="62">
        <v>44502</v>
      </c>
      <c r="B3314" s="62" t="s">
        <v>2846</v>
      </c>
      <c r="C3314" s="23">
        <v>-6510</v>
      </c>
      <c r="D3314" s="24" t="s">
        <v>52</v>
      </c>
      <c r="E3314" s="24" t="s">
        <v>53</v>
      </c>
      <c r="F3314" s="63" t="s">
        <v>0</v>
      </c>
    </row>
    <row r="3315" spans="1:6" x14ac:dyDescent="0.25">
      <c r="A3315" s="62">
        <v>44502</v>
      </c>
      <c r="B3315" s="62" t="s">
        <v>2847</v>
      </c>
      <c r="C3315" s="23">
        <v>-17385</v>
      </c>
      <c r="D3315" s="24" t="s">
        <v>72</v>
      </c>
      <c r="E3315" s="24" t="s">
        <v>109</v>
      </c>
      <c r="F3315" s="63" t="s">
        <v>0</v>
      </c>
    </row>
    <row r="3316" spans="1:6" x14ac:dyDescent="0.25">
      <c r="A3316" s="62">
        <v>44502</v>
      </c>
      <c r="B3316" s="62" t="s">
        <v>2848</v>
      </c>
      <c r="C3316" s="23">
        <v>-3640</v>
      </c>
      <c r="D3316" s="24" t="s">
        <v>72</v>
      </c>
      <c r="E3316" s="24" t="s">
        <v>506</v>
      </c>
      <c r="F3316" s="63" t="s">
        <v>0</v>
      </c>
    </row>
    <row r="3317" spans="1:6" x14ac:dyDescent="0.25">
      <c r="A3317" s="62">
        <v>44502</v>
      </c>
      <c r="B3317" s="62" t="s">
        <v>2849</v>
      </c>
      <c r="C3317" s="23">
        <v>-9030</v>
      </c>
      <c r="D3317" s="24" t="s">
        <v>52</v>
      </c>
      <c r="E3317" s="24" t="s">
        <v>53</v>
      </c>
      <c r="F3317" s="63" t="s">
        <v>0</v>
      </c>
    </row>
    <row r="3318" spans="1:6" x14ac:dyDescent="0.25">
      <c r="A3318" s="62">
        <v>44498</v>
      </c>
      <c r="B3318" s="62" t="s">
        <v>2850</v>
      </c>
      <c r="C3318" s="23">
        <v>2.57</v>
      </c>
      <c r="D3318" s="24" t="s">
        <v>167</v>
      </c>
      <c r="E3318" s="24" t="s">
        <v>32</v>
      </c>
      <c r="F3318" s="63" t="s">
        <v>0</v>
      </c>
    </row>
    <row r="3319" spans="1:6" x14ac:dyDescent="0.25">
      <c r="A3319" s="62">
        <v>44497</v>
      </c>
      <c r="B3319" s="62" t="s">
        <v>2814</v>
      </c>
      <c r="C3319" s="23">
        <v>-850</v>
      </c>
      <c r="D3319" s="24" t="s">
        <v>52</v>
      </c>
      <c r="E3319" s="24" t="s">
        <v>134</v>
      </c>
      <c r="F3319" s="63" t="s">
        <v>0</v>
      </c>
    </row>
    <row r="3320" spans="1:6" x14ac:dyDescent="0.25">
      <c r="A3320" s="62">
        <v>44497</v>
      </c>
      <c r="B3320" s="62" t="s">
        <v>2789</v>
      </c>
      <c r="C3320" s="23">
        <v>-500</v>
      </c>
      <c r="D3320" s="24" t="s">
        <v>72</v>
      </c>
      <c r="E3320" s="24" t="s">
        <v>73</v>
      </c>
      <c r="F3320" s="63" t="s">
        <v>0</v>
      </c>
    </row>
    <row r="3321" spans="1:6" x14ac:dyDescent="0.25">
      <c r="A3321" s="62">
        <v>44497</v>
      </c>
      <c r="B3321" s="62" t="s">
        <v>2790</v>
      </c>
      <c r="C3321" s="23">
        <v>-1000</v>
      </c>
      <c r="D3321" s="24" t="s">
        <v>72</v>
      </c>
      <c r="E3321" s="24" t="s">
        <v>73</v>
      </c>
      <c r="F3321" s="63" t="s">
        <v>0</v>
      </c>
    </row>
    <row r="3322" spans="1:6" x14ac:dyDescent="0.25">
      <c r="A3322" s="62">
        <v>44497</v>
      </c>
      <c r="B3322" s="62" t="s">
        <v>2851</v>
      </c>
      <c r="C3322" s="23">
        <v>-2670</v>
      </c>
      <c r="D3322" s="24" t="s">
        <v>52</v>
      </c>
      <c r="E3322" s="24" t="s">
        <v>53</v>
      </c>
      <c r="F3322" s="63" t="s">
        <v>0</v>
      </c>
    </row>
    <row r="3323" spans="1:6" x14ac:dyDescent="0.25">
      <c r="A3323" s="62">
        <v>44497</v>
      </c>
      <c r="B3323" s="62" t="s">
        <v>1952</v>
      </c>
      <c r="C3323" s="23">
        <v>-1900</v>
      </c>
      <c r="D3323" s="24" t="s">
        <v>52</v>
      </c>
      <c r="E3323" s="24" t="s">
        <v>53</v>
      </c>
      <c r="F3323" s="63" t="s">
        <v>0</v>
      </c>
    </row>
    <row r="3324" spans="1:6" x14ac:dyDescent="0.25">
      <c r="A3324" s="62">
        <v>44497</v>
      </c>
      <c r="B3324" s="62" t="s">
        <v>2790</v>
      </c>
      <c r="C3324" s="23">
        <v>-1000</v>
      </c>
      <c r="D3324" s="24" t="s">
        <v>72</v>
      </c>
      <c r="E3324" s="24" t="s">
        <v>73</v>
      </c>
      <c r="F3324" s="63" t="s">
        <v>0</v>
      </c>
    </row>
    <row r="3325" spans="1:6" x14ac:dyDescent="0.25">
      <c r="A3325" s="62">
        <v>44497</v>
      </c>
      <c r="B3325" s="62" t="s">
        <v>2789</v>
      </c>
      <c r="C3325" s="23">
        <v>-500</v>
      </c>
      <c r="D3325" s="24" t="s">
        <v>72</v>
      </c>
      <c r="E3325" s="24" t="s">
        <v>73</v>
      </c>
      <c r="F3325" s="63" t="s">
        <v>0</v>
      </c>
    </row>
    <row r="3326" spans="1:6" x14ac:dyDescent="0.25">
      <c r="A3326" s="62">
        <v>44497</v>
      </c>
      <c r="B3326" s="62" t="s">
        <v>2852</v>
      </c>
      <c r="C3326" s="23">
        <v>-2380</v>
      </c>
      <c r="D3326" s="24" t="s">
        <v>49</v>
      </c>
      <c r="E3326" s="24" t="s">
        <v>67</v>
      </c>
      <c r="F3326" s="63" t="s">
        <v>0</v>
      </c>
    </row>
    <row r="3327" spans="1:6" x14ac:dyDescent="0.25">
      <c r="A3327" s="62">
        <v>44497</v>
      </c>
      <c r="B3327" s="62" t="s">
        <v>2853</v>
      </c>
      <c r="C3327" s="23">
        <v>-3990</v>
      </c>
      <c r="D3327" s="24" t="s">
        <v>46</v>
      </c>
      <c r="E3327" s="24" t="s">
        <v>63</v>
      </c>
      <c r="F3327" s="63" t="s">
        <v>0</v>
      </c>
    </row>
    <row r="3328" spans="1:6" x14ac:dyDescent="0.25">
      <c r="A3328" s="62">
        <v>44497</v>
      </c>
      <c r="B3328" s="62" t="s">
        <v>2854</v>
      </c>
      <c r="C3328" s="23">
        <v>-586</v>
      </c>
      <c r="D3328" s="24" t="s">
        <v>72</v>
      </c>
      <c r="E3328" s="24" t="s">
        <v>197</v>
      </c>
      <c r="F3328" s="63" t="s">
        <v>0</v>
      </c>
    </row>
    <row r="3329" spans="1:6" x14ac:dyDescent="0.25">
      <c r="A3329" s="62">
        <v>44497</v>
      </c>
      <c r="B3329" s="62" t="s">
        <v>2855</v>
      </c>
      <c r="C3329" s="23">
        <v>-25633</v>
      </c>
      <c r="D3329" s="24" t="s">
        <v>49</v>
      </c>
      <c r="E3329" s="24" t="s">
        <v>56</v>
      </c>
      <c r="F3329" s="63" t="s">
        <v>0</v>
      </c>
    </row>
    <row r="3330" spans="1:6" x14ac:dyDescent="0.25">
      <c r="A3330" s="62">
        <v>44496</v>
      </c>
      <c r="B3330" s="62" t="s">
        <v>2856</v>
      </c>
      <c r="C3330" s="23">
        <v>-699</v>
      </c>
      <c r="D3330" s="24" t="s">
        <v>49</v>
      </c>
      <c r="E3330" s="24" t="s">
        <v>56</v>
      </c>
      <c r="F3330" s="63" t="s">
        <v>0</v>
      </c>
    </row>
    <row r="3331" spans="1:6" x14ac:dyDescent="0.25">
      <c r="A3331" s="62">
        <v>44496</v>
      </c>
      <c r="B3331" s="62" t="s">
        <v>2857</v>
      </c>
      <c r="C3331" s="23">
        <v>-3000</v>
      </c>
      <c r="D3331" s="24" t="s">
        <v>49</v>
      </c>
      <c r="E3331" s="24" t="s">
        <v>67</v>
      </c>
      <c r="F3331" s="63" t="s">
        <v>0</v>
      </c>
    </row>
    <row r="3332" spans="1:6" x14ac:dyDescent="0.25">
      <c r="A3332" s="62">
        <v>44495</v>
      </c>
      <c r="B3332" s="62" t="s">
        <v>2858</v>
      </c>
      <c r="C3332" s="23">
        <v>-2300</v>
      </c>
      <c r="D3332" s="24" t="s">
        <v>49</v>
      </c>
      <c r="E3332" s="24" t="s">
        <v>56</v>
      </c>
      <c r="F3332" s="63" t="s">
        <v>0</v>
      </c>
    </row>
    <row r="3333" spans="1:6" x14ac:dyDescent="0.25">
      <c r="A3333" s="62">
        <v>44495</v>
      </c>
      <c r="B3333" s="62" t="s">
        <v>2859</v>
      </c>
      <c r="C3333" s="23">
        <v>-13908</v>
      </c>
      <c r="D3333" s="24" t="s">
        <v>49</v>
      </c>
      <c r="E3333" s="24" t="s">
        <v>56</v>
      </c>
      <c r="F3333" s="63" t="s">
        <v>0</v>
      </c>
    </row>
    <row r="3334" spans="1:6" x14ac:dyDescent="0.25">
      <c r="A3334" s="62">
        <v>44494</v>
      </c>
      <c r="B3334" s="62" t="s">
        <v>2860</v>
      </c>
      <c r="C3334" s="23">
        <v>-13680</v>
      </c>
      <c r="D3334" s="24" t="s">
        <v>49</v>
      </c>
      <c r="E3334" s="24" t="s">
        <v>56</v>
      </c>
      <c r="F3334" s="63" t="s">
        <v>0</v>
      </c>
    </row>
    <row r="3335" spans="1:6" x14ac:dyDescent="0.25">
      <c r="A3335" s="62">
        <v>44494</v>
      </c>
      <c r="B3335" s="62" t="s">
        <v>2861</v>
      </c>
      <c r="C3335" s="23">
        <v>-22143</v>
      </c>
      <c r="D3335" s="24" t="s">
        <v>72</v>
      </c>
      <c r="E3335" s="24" t="s">
        <v>73</v>
      </c>
      <c r="F3335" s="63" t="s">
        <v>0</v>
      </c>
    </row>
    <row r="3336" spans="1:6" x14ac:dyDescent="0.25">
      <c r="A3336" s="62">
        <v>44494</v>
      </c>
      <c r="B3336" s="62" t="s">
        <v>2862</v>
      </c>
      <c r="C3336" s="23">
        <v>-74</v>
      </c>
      <c r="D3336" s="24" t="s">
        <v>167</v>
      </c>
      <c r="E3336" s="24" t="s">
        <v>168</v>
      </c>
      <c r="F3336" s="63" t="s">
        <v>0</v>
      </c>
    </row>
    <row r="3337" spans="1:6" x14ac:dyDescent="0.25">
      <c r="A3337" s="62">
        <v>44494</v>
      </c>
      <c r="B3337" s="62" t="s">
        <v>2863</v>
      </c>
      <c r="C3337" s="23">
        <v>-1452</v>
      </c>
      <c r="D3337" s="24" t="s">
        <v>167</v>
      </c>
      <c r="E3337" s="24" t="s">
        <v>168</v>
      </c>
      <c r="F3337" s="63" t="s">
        <v>0</v>
      </c>
    </row>
    <row r="3338" spans="1:6" x14ac:dyDescent="0.25">
      <c r="A3338" s="62">
        <v>44494</v>
      </c>
      <c r="B3338" s="62" t="s">
        <v>2864</v>
      </c>
      <c r="C3338" s="23">
        <v>-13080</v>
      </c>
      <c r="D3338" s="24" t="s">
        <v>49</v>
      </c>
      <c r="E3338" s="24" t="s">
        <v>56</v>
      </c>
      <c r="F3338" s="63" t="s">
        <v>0</v>
      </c>
    </row>
    <row r="3339" spans="1:6" x14ac:dyDescent="0.25">
      <c r="A3339" s="62">
        <v>44494</v>
      </c>
      <c r="B3339" s="62" t="s">
        <v>2865</v>
      </c>
      <c r="C3339" s="23">
        <v>-15230</v>
      </c>
      <c r="D3339" s="24" t="s">
        <v>90</v>
      </c>
      <c r="E3339" s="24" t="s">
        <v>106</v>
      </c>
      <c r="F3339" s="63" t="s">
        <v>0</v>
      </c>
    </row>
    <row r="3340" spans="1:6" x14ac:dyDescent="0.25">
      <c r="A3340" s="62">
        <v>44494</v>
      </c>
      <c r="B3340" s="62" t="s">
        <v>2866</v>
      </c>
      <c r="C3340" s="23">
        <v>-7744</v>
      </c>
      <c r="D3340" s="24" t="s">
        <v>49</v>
      </c>
      <c r="E3340" s="24" t="s">
        <v>56</v>
      </c>
      <c r="F3340" s="63" t="s">
        <v>0</v>
      </c>
    </row>
    <row r="3341" spans="1:6" x14ac:dyDescent="0.25">
      <c r="A3341" s="62">
        <v>44494</v>
      </c>
      <c r="B3341" s="62" t="s">
        <v>2867</v>
      </c>
      <c r="C3341" s="23">
        <v>-2548</v>
      </c>
      <c r="D3341" s="24" t="s">
        <v>49</v>
      </c>
      <c r="E3341" s="24" t="s">
        <v>56</v>
      </c>
      <c r="F3341" s="63" t="s">
        <v>0</v>
      </c>
    </row>
    <row r="3342" spans="1:6" x14ac:dyDescent="0.25">
      <c r="A3342" s="62">
        <v>44491</v>
      </c>
      <c r="B3342" s="62" t="s">
        <v>2868</v>
      </c>
      <c r="C3342" s="23">
        <v>-929</v>
      </c>
      <c r="D3342" s="24" t="s">
        <v>167</v>
      </c>
      <c r="E3342" s="24" t="s">
        <v>168</v>
      </c>
      <c r="F3342" s="63" t="s">
        <v>0</v>
      </c>
    </row>
    <row r="3343" spans="1:6" x14ac:dyDescent="0.25">
      <c r="A3343" s="62">
        <v>44491</v>
      </c>
      <c r="B3343" s="62" t="s">
        <v>2785</v>
      </c>
      <c r="C3343" s="23">
        <v>-1070</v>
      </c>
      <c r="D3343" s="24" t="s">
        <v>52</v>
      </c>
      <c r="E3343" s="24" t="s">
        <v>134</v>
      </c>
      <c r="F3343" s="63" t="s">
        <v>0</v>
      </c>
    </row>
    <row r="3344" spans="1:6" x14ac:dyDescent="0.25">
      <c r="A3344" s="62">
        <v>44491</v>
      </c>
      <c r="B3344" s="62" t="s">
        <v>2869</v>
      </c>
      <c r="C3344" s="23">
        <v>-3507</v>
      </c>
      <c r="D3344" s="24" t="s">
        <v>49</v>
      </c>
      <c r="E3344" s="24" t="s">
        <v>56</v>
      </c>
      <c r="F3344" s="63" t="s">
        <v>0</v>
      </c>
    </row>
    <row r="3345" spans="1:6" x14ac:dyDescent="0.25">
      <c r="A3345" s="62">
        <v>44490</v>
      </c>
      <c r="B3345" s="62" t="s">
        <v>139</v>
      </c>
      <c r="C3345" s="23">
        <v>19275</v>
      </c>
      <c r="D3345" s="24" t="s">
        <v>58</v>
      </c>
      <c r="E3345" s="24" t="s">
        <v>58</v>
      </c>
      <c r="F3345" s="63" t="s">
        <v>4</v>
      </c>
    </row>
    <row r="3346" spans="1:6" x14ac:dyDescent="0.25">
      <c r="A3346" s="62">
        <v>44490</v>
      </c>
      <c r="B3346" s="62" t="s">
        <v>2790</v>
      </c>
      <c r="C3346" s="23">
        <v>-1000</v>
      </c>
      <c r="D3346" s="24" t="s">
        <v>72</v>
      </c>
      <c r="E3346" s="24" t="s">
        <v>73</v>
      </c>
      <c r="F3346" s="63" t="s">
        <v>0</v>
      </c>
    </row>
    <row r="3347" spans="1:6" x14ac:dyDescent="0.25">
      <c r="A3347" s="62">
        <v>44490</v>
      </c>
      <c r="B3347" s="62" t="s">
        <v>2789</v>
      </c>
      <c r="C3347" s="23">
        <v>-500</v>
      </c>
      <c r="D3347" s="24" t="s">
        <v>72</v>
      </c>
      <c r="E3347" s="24" t="s">
        <v>73</v>
      </c>
      <c r="F3347" s="63" t="s">
        <v>0</v>
      </c>
    </row>
    <row r="3348" spans="1:6" x14ac:dyDescent="0.25">
      <c r="A3348" s="62">
        <v>44490</v>
      </c>
      <c r="B3348" s="62" t="s">
        <v>2870</v>
      </c>
      <c r="C3348" s="23">
        <v>-3893</v>
      </c>
      <c r="D3348" s="24" t="s">
        <v>49</v>
      </c>
      <c r="E3348" s="24" t="s">
        <v>56</v>
      </c>
      <c r="F3348" s="63" t="s">
        <v>0</v>
      </c>
    </row>
    <row r="3349" spans="1:6" x14ac:dyDescent="0.25">
      <c r="A3349" s="62">
        <v>44490</v>
      </c>
      <c r="B3349" s="62" t="s">
        <v>2871</v>
      </c>
      <c r="C3349" s="23">
        <v>-7453</v>
      </c>
      <c r="D3349" s="24" t="s">
        <v>49</v>
      </c>
      <c r="E3349" s="24" t="s">
        <v>56</v>
      </c>
      <c r="F3349" s="63" t="s">
        <v>0</v>
      </c>
    </row>
    <row r="3350" spans="1:6" x14ac:dyDescent="0.25">
      <c r="A3350" s="62">
        <v>44490</v>
      </c>
      <c r="B3350" s="62" t="s">
        <v>2790</v>
      </c>
      <c r="C3350" s="23">
        <v>-1000</v>
      </c>
      <c r="D3350" s="24" t="s">
        <v>72</v>
      </c>
      <c r="E3350" s="24" t="s">
        <v>73</v>
      </c>
      <c r="F3350" s="63" t="s">
        <v>0</v>
      </c>
    </row>
    <row r="3351" spans="1:6" x14ac:dyDescent="0.25">
      <c r="A3351" s="62">
        <v>44490</v>
      </c>
      <c r="B3351" s="62" t="s">
        <v>2789</v>
      </c>
      <c r="C3351" s="23">
        <v>-500</v>
      </c>
      <c r="D3351" s="24" t="s">
        <v>72</v>
      </c>
      <c r="E3351" s="24" t="s">
        <v>73</v>
      </c>
      <c r="F3351" s="63" t="s">
        <v>0</v>
      </c>
    </row>
    <row r="3352" spans="1:6" x14ac:dyDescent="0.25">
      <c r="A3352" s="62">
        <v>44490</v>
      </c>
      <c r="B3352" s="62" t="s">
        <v>2790</v>
      </c>
      <c r="C3352" s="23">
        <v>-1000</v>
      </c>
      <c r="D3352" s="24" t="s">
        <v>72</v>
      </c>
      <c r="E3352" s="24" t="s">
        <v>73</v>
      </c>
      <c r="F3352" s="63" t="s">
        <v>0</v>
      </c>
    </row>
    <row r="3353" spans="1:6" x14ac:dyDescent="0.25">
      <c r="A3353" s="62">
        <v>44490</v>
      </c>
      <c r="B3353" s="62" t="s">
        <v>2789</v>
      </c>
      <c r="C3353" s="23">
        <v>-500</v>
      </c>
      <c r="D3353" s="24" t="s">
        <v>72</v>
      </c>
      <c r="E3353" s="24" t="s">
        <v>73</v>
      </c>
      <c r="F3353" s="63" t="s">
        <v>0</v>
      </c>
    </row>
    <row r="3354" spans="1:6" x14ac:dyDescent="0.25">
      <c r="A3354" s="62">
        <v>44490</v>
      </c>
      <c r="B3354" s="62" t="s">
        <v>2790</v>
      </c>
      <c r="C3354" s="23">
        <v>-1000</v>
      </c>
      <c r="D3354" s="24" t="s">
        <v>72</v>
      </c>
      <c r="E3354" s="24" t="s">
        <v>73</v>
      </c>
      <c r="F3354" s="63" t="s">
        <v>0</v>
      </c>
    </row>
    <row r="3355" spans="1:6" x14ac:dyDescent="0.25">
      <c r="A3355" s="62">
        <v>44490</v>
      </c>
      <c r="B3355" s="62" t="s">
        <v>2872</v>
      </c>
      <c r="C3355" s="23">
        <v>-1125</v>
      </c>
      <c r="D3355" s="24" t="s">
        <v>49</v>
      </c>
      <c r="E3355" s="24" t="s">
        <v>56</v>
      </c>
      <c r="F3355" s="63" t="s">
        <v>0</v>
      </c>
    </row>
    <row r="3356" spans="1:6" x14ac:dyDescent="0.25">
      <c r="A3356" s="62">
        <v>44489</v>
      </c>
      <c r="B3356" s="62" t="s">
        <v>2183</v>
      </c>
      <c r="C3356" s="23">
        <v>-1200</v>
      </c>
      <c r="D3356" s="24" t="s">
        <v>52</v>
      </c>
      <c r="E3356" s="24" t="s">
        <v>134</v>
      </c>
      <c r="F3356" s="63" t="s">
        <v>0</v>
      </c>
    </row>
    <row r="3357" spans="1:6" x14ac:dyDescent="0.25">
      <c r="A3357" s="62">
        <v>44489</v>
      </c>
      <c r="B3357" s="62" t="s">
        <v>2873</v>
      </c>
      <c r="C3357" s="23">
        <v>-5640</v>
      </c>
      <c r="D3357" s="24" t="s">
        <v>52</v>
      </c>
      <c r="E3357" s="24" t="s">
        <v>53</v>
      </c>
      <c r="F3357" s="63" t="s">
        <v>0</v>
      </c>
    </row>
    <row r="3358" spans="1:6" x14ac:dyDescent="0.25">
      <c r="A3358" s="62">
        <v>44489</v>
      </c>
      <c r="B3358" s="62" t="s">
        <v>2874</v>
      </c>
      <c r="C3358" s="23">
        <v>-495</v>
      </c>
      <c r="D3358" s="24" t="s">
        <v>72</v>
      </c>
      <c r="E3358" s="24" t="s">
        <v>73</v>
      </c>
      <c r="F3358" s="63" t="s">
        <v>0</v>
      </c>
    </row>
    <row r="3359" spans="1:6" x14ac:dyDescent="0.25">
      <c r="A3359" s="62">
        <v>44488</v>
      </c>
      <c r="B3359" s="62" t="s">
        <v>2875</v>
      </c>
      <c r="C3359" s="23">
        <v>-100</v>
      </c>
      <c r="D3359" s="24" t="s">
        <v>167</v>
      </c>
      <c r="E3359" s="24" t="s">
        <v>168</v>
      </c>
      <c r="F3359" s="63" t="s">
        <v>5</v>
      </c>
    </row>
    <row r="3360" spans="1:6" x14ac:dyDescent="0.25">
      <c r="A3360" s="62">
        <v>44488</v>
      </c>
      <c r="B3360" s="62" t="s">
        <v>2876</v>
      </c>
      <c r="C3360" s="23">
        <v>-1990</v>
      </c>
      <c r="D3360" s="24" t="s">
        <v>52</v>
      </c>
      <c r="E3360" s="24" t="s">
        <v>53</v>
      </c>
      <c r="F3360" s="63" t="s">
        <v>0</v>
      </c>
    </row>
    <row r="3361" spans="1:6" x14ac:dyDescent="0.25">
      <c r="A3361" s="62">
        <v>44488</v>
      </c>
      <c r="B3361" s="62" t="s">
        <v>2877</v>
      </c>
      <c r="C3361" s="23">
        <v>11040.18</v>
      </c>
      <c r="D3361" s="24" t="s">
        <v>49</v>
      </c>
      <c r="E3361" s="24" t="s">
        <v>67</v>
      </c>
      <c r="F3361" s="63" t="s">
        <v>0</v>
      </c>
    </row>
    <row r="3362" spans="1:6" x14ac:dyDescent="0.25">
      <c r="A3362" s="62">
        <v>44488</v>
      </c>
      <c r="B3362" s="62" t="s">
        <v>2878</v>
      </c>
      <c r="C3362" s="23">
        <v>-14759</v>
      </c>
      <c r="D3362" s="24" t="s">
        <v>49</v>
      </c>
      <c r="E3362" s="24" t="s">
        <v>56</v>
      </c>
      <c r="F3362" s="63" t="s">
        <v>0</v>
      </c>
    </row>
    <row r="3363" spans="1:6" x14ac:dyDescent="0.25">
      <c r="A3363" s="62">
        <v>44487</v>
      </c>
      <c r="B3363" s="62" t="s">
        <v>2879</v>
      </c>
      <c r="C3363" s="23">
        <v>-12141</v>
      </c>
      <c r="D3363" s="24" t="s">
        <v>49</v>
      </c>
      <c r="E3363" s="24" t="s">
        <v>56</v>
      </c>
      <c r="F3363" s="63" t="s">
        <v>0</v>
      </c>
    </row>
    <row r="3364" spans="1:6" x14ac:dyDescent="0.25">
      <c r="A3364" s="62">
        <v>44487</v>
      </c>
      <c r="B3364" s="62" t="s">
        <v>2880</v>
      </c>
      <c r="C3364" s="23">
        <v>-5830</v>
      </c>
      <c r="D3364" s="24" t="s">
        <v>52</v>
      </c>
      <c r="E3364" s="24" t="s">
        <v>53</v>
      </c>
      <c r="F3364" s="63" t="s">
        <v>0</v>
      </c>
    </row>
    <row r="3365" spans="1:6" x14ac:dyDescent="0.25">
      <c r="A3365" s="62">
        <v>44487</v>
      </c>
      <c r="B3365" s="62" t="s">
        <v>2881</v>
      </c>
      <c r="C3365" s="23">
        <v>-24042</v>
      </c>
      <c r="D3365" s="24" t="s">
        <v>46</v>
      </c>
      <c r="E3365" s="24" t="s">
        <v>61</v>
      </c>
      <c r="F3365" s="63" t="s">
        <v>0</v>
      </c>
    </row>
    <row r="3366" spans="1:6" x14ac:dyDescent="0.25">
      <c r="A3366" s="62">
        <v>44487</v>
      </c>
      <c r="B3366" s="62" t="s">
        <v>2882</v>
      </c>
      <c r="C3366" s="23">
        <v>-7000</v>
      </c>
      <c r="D3366" s="24" t="s">
        <v>52</v>
      </c>
      <c r="E3366" s="24" t="s">
        <v>52</v>
      </c>
      <c r="F3366" s="63" t="s">
        <v>0</v>
      </c>
    </row>
    <row r="3367" spans="1:6" x14ac:dyDescent="0.25">
      <c r="A3367" s="62">
        <v>44487</v>
      </c>
      <c r="B3367" s="62" t="s">
        <v>2883</v>
      </c>
      <c r="C3367" s="23">
        <v>-6771</v>
      </c>
      <c r="D3367" s="24" t="s">
        <v>49</v>
      </c>
      <c r="E3367" s="24" t="s">
        <v>56</v>
      </c>
      <c r="F3367" s="63" t="s">
        <v>0</v>
      </c>
    </row>
    <row r="3368" spans="1:6" x14ac:dyDescent="0.25">
      <c r="A3368" s="62">
        <v>44487</v>
      </c>
      <c r="B3368" s="62" t="s">
        <v>2884</v>
      </c>
      <c r="C3368" s="23">
        <v>-2026</v>
      </c>
      <c r="D3368" s="24" t="s">
        <v>49</v>
      </c>
      <c r="E3368" s="24" t="s">
        <v>56</v>
      </c>
      <c r="F3368" s="63" t="s">
        <v>0</v>
      </c>
    </row>
    <row r="3369" spans="1:6" x14ac:dyDescent="0.25">
      <c r="A3369" s="62">
        <v>44487</v>
      </c>
      <c r="B3369" s="62" t="s">
        <v>2885</v>
      </c>
      <c r="C3369" s="23">
        <v>-2016</v>
      </c>
      <c r="D3369" s="24" t="s">
        <v>49</v>
      </c>
      <c r="E3369" s="24" t="s">
        <v>56</v>
      </c>
      <c r="F3369" s="63" t="s">
        <v>0</v>
      </c>
    </row>
    <row r="3370" spans="1:6" x14ac:dyDescent="0.25">
      <c r="A3370" s="62">
        <v>44487</v>
      </c>
      <c r="B3370" s="62" t="s">
        <v>2886</v>
      </c>
      <c r="C3370" s="23">
        <v>-49990</v>
      </c>
      <c r="D3370" s="24" t="s">
        <v>46</v>
      </c>
      <c r="E3370" s="24" t="s">
        <v>428</v>
      </c>
      <c r="F3370" s="63" t="s">
        <v>0</v>
      </c>
    </row>
    <row r="3371" spans="1:6" x14ac:dyDescent="0.25">
      <c r="A3371" s="62">
        <v>44487</v>
      </c>
      <c r="B3371" s="62" t="s">
        <v>2887</v>
      </c>
      <c r="C3371" s="23">
        <v>-40000</v>
      </c>
      <c r="D3371" s="24" t="s">
        <v>46</v>
      </c>
      <c r="E3371" s="24" t="s">
        <v>428</v>
      </c>
      <c r="F3371" s="63" t="s">
        <v>0</v>
      </c>
    </row>
    <row r="3372" spans="1:6" x14ac:dyDescent="0.25">
      <c r="A3372" s="62">
        <v>44484</v>
      </c>
      <c r="B3372" s="62" t="s">
        <v>2888</v>
      </c>
      <c r="C3372" s="23">
        <v>-9024</v>
      </c>
      <c r="D3372" s="24" t="s">
        <v>46</v>
      </c>
      <c r="E3372" s="24" t="s">
        <v>61</v>
      </c>
      <c r="F3372" s="63" t="s">
        <v>0</v>
      </c>
    </row>
    <row r="3373" spans="1:6" x14ac:dyDescent="0.25">
      <c r="A3373" s="62">
        <v>44483</v>
      </c>
      <c r="B3373" s="62" t="s">
        <v>2570</v>
      </c>
      <c r="C3373" s="23">
        <v>-650</v>
      </c>
      <c r="D3373" s="24" t="s">
        <v>52</v>
      </c>
      <c r="E3373" s="24" t="s">
        <v>134</v>
      </c>
      <c r="F3373" s="63" t="s">
        <v>0</v>
      </c>
    </row>
    <row r="3374" spans="1:6" x14ac:dyDescent="0.25">
      <c r="A3374" s="62">
        <v>44483</v>
      </c>
      <c r="B3374" s="62" t="s">
        <v>2889</v>
      </c>
      <c r="C3374" s="23">
        <v>-1800</v>
      </c>
      <c r="D3374" s="24" t="s">
        <v>52</v>
      </c>
      <c r="E3374" s="24" t="s">
        <v>53</v>
      </c>
      <c r="F3374" s="63" t="s">
        <v>0</v>
      </c>
    </row>
    <row r="3375" spans="1:6" x14ac:dyDescent="0.25">
      <c r="A3375" s="62">
        <v>44483</v>
      </c>
      <c r="B3375" s="62" t="s">
        <v>2890</v>
      </c>
      <c r="C3375" s="23">
        <v>-9000</v>
      </c>
      <c r="D3375" s="24" t="s">
        <v>83</v>
      </c>
      <c r="E3375" s="24" t="s">
        <v>2891</v>
      </c>
      <c r="F3375" s="63" t="s">
        <v>0</v>
      </c>
    </row>
    <row r="3376" spans="1:6" x14ac:dyDescent="0.25">
      <c r="A3376" s="62">
        <v>44483</v>
      </c>
      <c r="B3376" s="62" t="s">
        <v>2892</v>
      </c>
      <c r="C3376" s="23">
        <v>-1790</v>
      </c>
      <c r="D3376" s="24" t="s">
        <v>49</v>
      </c>
      <c r="E3376" s="24" t="s">
        <v>56</v>
      </c>
      <c r="F3376" s="63" t="s">
        <v>0</v>
      </c>
    </row>
    <row r="3377" spans="1:6" x14ac:dyDescent="0.25">
      <c r="A3377" s="62">
        <v>44483</v>
      </c>
      <c r="B3377" s="62" t="s">
        <v>2830</v>
      </c>
      <c r="C3377" s="23">
        <v>-1500</v>
      </c>
      <c r="D3377" s="24" t="s">
        <v>72</v>
      </c>
      <c r="E3377" s="24" t="s">
        <v>73</v>
      </c>
      <c r="F3377" s="63" t="s">
        <v>0</v>
      </c>
    </row>
    <row r="3378" spans="1:6" x14ac:dyDescent="0.25">
      <c r="A3378" s="62">
        <v>44483</v>
      </c>
      <c r="B3378" s="62" t="s">
        <v>2893</v>
      </c>
      <c r="C3378" s="23">
        <v>-100</v>
      </c>
      <c r="D3378" s="24" t="s">
        <v>72</v>
      </c>
      <c r="E3378" s="24" t="s">
        <v>73</v>
      </c>
      <c r="F3378" s="63" t="s">
        <v>0</v>
      </c>
    </row>
    <row r="3379" spans="1:6" x14ac:dyDescent="0.25">
      <c r="A3379" s="62">
        <v>44483</v>
      </c>
      <c r="B3379" s="62" t="s">
        <v>2894</v>
      </c>
      <c r="C3379" s="23">
        <v>-1953</v>
      </c>
      <c r="D3379" s="24" t="s">
        <v>49</v>
      </c>
      <c r="E3379" s="24" t="s">
        <v>56</v>
      </c>
      <c r="F3379" s="63" t="s">
        <v>0</v>
      </c>
    </row>
    <row r="3380" spans="1:6" x14ac:dyDescent="0.25">
      <c r="A3380" s="62">
        <v>44483</v>
      </c>
      <c r="B3380" s="62" t="s">
        <v>2895</v>
      </c>
      <c r="C3380" s="23">
        <v>-1250</v>
      </c>
      <c r="D3380" s="24" t="s">
        <v>52</v>
      </c>
      <c r="E3380" s="24" t="s">
        <v>134</v>
      </c>
      <c r="F3380" s="63" t="s">
        <v>0</v>
      </c>
    </row>
    <row r="3381" spans="1:6" x14ac:dyDescent="0.25">
      <c r="A3381" s="62">
        <v>44483</v>
      </c>
      <c r="B3381" s="62" t="s">
        <v>2896</v>
      </c>
      <c r="C3381" s="23">
        <v>-14000</v>
      </c>
      <c r="D3381" s="24" t="s">
        <v>52</v>
      </c>
      <c r="E3381" s="24" t="s">
        <v>52</v>
      </c>
      <c r="F3381" s="63" t="s">
        <v>0</v>
      </c>
    </row>
    <row r="3382" spans="1:6" x14ac:dyDescent="0.25">
      <c r="A3382" s="62">
        <v>44483</v>
      </c>
      <c r="B3382" s="62" t="s">
        <v>2897</v>
      </c>
      <c r="C3382" s="23">
        <v>-10974.05</v>
      </c>
      <c r="D3382" s="24" t="s">
        <v>49</v>
      </c>
      <c r="E3382" s="24" t="s">
        <v>67</v>
      </c>
      <c r="F3382" s="63" t="s">
        <v>0</v>
      </c>
    </row>
    <row r="3383" spans="1:6" x14ac:dyDescent="0.25">
      <c r="A3383" s="62">
        <v>44483</v>
      </c>
      <c r="B3383" s="62" t="s">
        <v>2898</v>
      </c>
      <c r="C3383" s="23">
        <v>-356</v>
      </c>
      <c r="D3383" s="24" t="s">
        <v>49</v>
      </c>
      <c r="E3383" s="24" t="s">
        <v>56</v>
      </c>
      <c r="F3383" s="63" t="s">
        <v>0</v>
      </c>
    </row>
    <row r="3384" spans="1:6" x14ac:dyDescent="0.25">
      <c r="A3384" s="62">
        <v>44482</v>
      </c>
      <c r="B3384" s="62" t="s">
        <v>2899</v>
      </c>
      <c r="C3384" s="23">
        <v>-679</v>
      </c>
      <c r="D3384" s="24" t="s">
        <v>49</v>
      </c>
      <c r="E3384" s="24" t="s">
        <v>56</v>
      </c>
      <c r="F3384" s="63" t="s">
        <v>0</v>
      </c>
    </row>
    <row r="3385" spans="1:6" x14ac:dyDescent="0.25">
      <c r="A3385" s="62">
        <v>44482</v>
      </c>
      <c r="B3385" s="62" t="s">
        <v>2900</v>
      </c>
      <c r="C3385" s="23">
        <v>-11609</v>
      </c>
      <c r="D3385" s="24" t="s">
        <v>46</v>
      </c>
      <c r="E3385" s="24" t="s">
        <v>145</v>
      </c>
      <c r="F3385" s="63" t="s">
        <v>0</v>
      </c>
    </row>
    <row r="3386" spans="1:6" x14ac:dyDescent="0.25">
      <c r="A3386" s="62">
        <v>44482</v>
      </c>
      <c r="B3386" s="62" t="s">
        <v>2901</v>
      </c>
      <c r="C3386" s="23">
        <v>-20398</v>
      </c>
      <c r="D3386" s="24" t="s">
        <v>72</v>
      </c>
      <c r="E3386" s="24" t="s">
        <v>109</v>
      </c>
      <c r="F3386" s="63" t="s">
        <v>0</v>
      </c>
    </row>
    <row r="3387" spans="1:6" x14ac:dyDescent="0.25">
      <c r="A3387" s="62">
        <v>44482</v>
      </c>
      <c r="B3387" s="62" t="s">
        <v>2902</v>
      </c>
      <c r="C3387" s="23">
        <v>-1450</v>
      </c>
      <c r="D3387" s="24" t="s">
        <v>52</v>
      </c>
      <c r="E3387" s="24" t="s">
        <v>53</v>
      </c>
      <c r="F3387" s="63" t="s">
        <v>0</v>
      </c>
    </row>
    <row r="3388" spans="1:6" x14ac:dyDescent="0.25">
      <c r="A3388" s="62">
        <v>44482</v>
      </c>
      <c r="B3388" s="62" t="s">
        <v>2903</v>
      </c>
      <c r="C3388" s="23">
        <v>-1994</v>
      </c>
      <c r="D3388" s="24" t="s">
        <v>49</v>
      </c>
      <c r="E3388" s="24" t="s">
        <v>56</v>
      </c>
      <c r="F3388" s="63" t="s">
        <v>0</v>
      </c>
    </row>
    <row r="3389" spans="1:6" x14ac:dyDescent="0.25">
      <c r="A3389" s="62">
        <v>44482</v>
      </c>
      <c r="B3389" s="62" t="s">
        <v>2904</v>
      </c>
      <c r="C3389" s="23">
        <v>-586</v>
      </c>
      <c r="D3389" s="24" t="s">
        <v>72</v>
      </c>
      <c r="E3389" s="24" t="s">
        <v>197</v>
      </c>
      <c r="F3389" s="63" t="s">
        <v>0</v>
      </c>
    </row>
    <row r="3390" spans="1:6" x14ac:dyDescent="0.25">
      <c r="A3390" s="62">
        <v>44482</v>
      </c>
      <c r="B3390" s="62" t="s">
        <v>2905</v>
      </c>
      <c r="C3390" s="23">
        <v>-311</v>
      </c>
      <c r="D3390" s="24" t="s">
        <v>52</v>
      </c>
      <c r="E3390" s="24" t="s">
        <v>53</v>
      </c>
      <c r="F3390" s="63" t="s">
        <v>0</v>
      </c>
    </row>
    <row r="3391" spans="1:6" x14ac:dyDescent="0.25">
      <c r="A3391" s="62">
        <v>44482</v>
      </c>
      <c r="B3391" s="62" t="s">
        <v>2906</v>
      </c>
      <c r="C3391" s="23">
        <v>-849</v>
      </c>
      <c r="D3391" s="24" t="s">
        <v>49</v>
      </c>
      <c r="E3391" s="24" t="s">
        <v>56</v>
      </c>
      <c r="F3391" s="63" t="s">
        <v>0</v>
      </c>
    </row>
    <row r="3392" spans="1:6" x14ac:dyDescent="0.25">
      <c r="A3392" s="62">
        <v>44481</v>
      </c>
      <c r="B3392" s="62" t="s">
        <v>2907</v>
      </c>
      <c r="C3392" s="23">
        <v>-6250</v>
      </c>
      <c r="D3392" s="24" t="s">
        <v>52</v>
      </c>
      <c r="E3392" s="24" t="s">
        <v>53</v>
      </c>
      <c r="F3392" s="63" t="s">
        <v>0</v>
      </c>
    </row>
    <row r="3393" spans="1:6" x14ac:dyDescent="0.25">
      <c r="A3393" s="62">
        <v>44481</v>
      </c>
      <c r="B3393" s="62" t="s">
        <v>2908</v>
      </c>
      <c r="C3393" s="23">
        <v>-1500</v>
      </c>
      <c r="D3393" s="24" t="s">
        <v>49</v>
      </c>
      <c r="E3393" s="24" t="s">
        <v>67</v>
      </c>
      <c r="F3393" s="63" t="s">
        <v>0</v>
      </c>
    </row>
    <row r="3394" spans="1:6" x14ac:dyDescent="0.25">
      <c r="A3394" s="62">
        <v>44481</v>
      </c>
      <c r="B3394" s="62" t="s">
        <v>2909</v>
      </c>
      <c r="C3394" s="23">
        <v>-49490</v>
      </c>
      <c r="D3394" s="24" t="s">
        <v>46</v>
      </c>
      <c r="E3394" s="24" t="s">
        <v>428</v>
      </c>
      <c r="F3394" s="63" t="s">
        <v>0</v>
      </c>
    </row>
    <row r="3395" spans="1:6" x14ac:dyDescent="0.25">
      <c r="A3395" s="62">
        <v>44480</v>
      </c>
      <c r="B3395" s="62" t="s">
        <v>2893</v>
      </c>
      <c r="C3395" s="23">
        <v>100</v>
      </c>
      <c r="D3395" s="24" t="s">
        <v>72</v>
      </c>
      <c r="E3395" s="24" t="s">
        <v>73</v>
      </c>
      <c r="F3395" s="63" t="s">
        <v>0</v>
      </c>
    </row>
    <row r="3396" spans="1:6" x14ac:dyDescent="0.25">
      <c r="A3396" s="62">
        <v>44480</v>
      </c>
      <c r="B3396" s="62" t="s">
        <v>2910</v>
      </c>
      <c r="C3396" s="23">
        <v>-33214</v>
      </c>
      <c r="D3396" s="24" t="s">
        <v>90</v>
      </c>
      <c r="E3396" s="24" t="s">
        <v>59</v>
      </c>
      <c r="F3396" s="63" t="s">
        <v>0</v>
      </c>
    </row>
    <row r="3397" spans="1:6" x14ac:dyDescent="0.25">
      <c r="A3397" s="62">
        <v>44480</v>
      </c>
      <c r="B3397" s="62" t="s">
        <v>2911</v>
      </c>
      <c r="C3397" s="23">
        <v>-2200</v>
      </c>
      <c r="D3397" s="24" t="s">
        <v>49</v>
      </c>
      <c r="E3397" s="24" t="s">
        <v>67</v>
      </c>
      <c r="F3397" s="63" t="s">
        <v>0</v>
      </c>
    </row>
    <row r="3398" spans="1:6" x14ac:dyDescent="0.25">
      <c r="A3398" s="62">
        <v>44480</v>
      </c>
      <c r="B3398" s="62" t="s">
        <v>2912</v>
      </c>
      <c r="C3398" s="23">
        <v>-12300</v>
      </c>
      <c r="D3398" s="24" t="s">
        <v>49</v>
      </c>
      <c r="E3398" s="24" t="s">
        <v>56</v>
      </c>
      <c r="F3398" s="63" t="s">
        <v>0</v>
      </c>
    </row>
    <row r="3399" spans="1:6" x14ac:dyDescent="0.25">
      <c r="A3399" s="62">
        <v>44480</v>
      </c>
      <c r="B3399" s="62" t="s">
        <v>2913</v>
      </c>
      <c r="C3399" s="23">
        <v>-9600</v>
      </c>
      <c r="D3399" s="24" t="s">
        <v>49</v>
      </c>
      <c r="E3399" s="24" t="s">
        <v>56</v>
      </c>
      <c r="F3399" s="63" t="s">
        <v>0</v>
      </c>
    </row>
    <row r="3400" spans="1:6" x14ac:dyDescent="0.25">
      <c r="A3400" s="62">
        <v>44480</v>
      </c>
      <c r="B3400" s="62" t="s">
        <v>2914</v>
      </c>
      <c r="C3400" s="23">
        <v>-980</v>
      </c>
      <c r="D3400" s="24" t="s">
        <v>49</v>
      </c>
      <c r="E3400" s="24" t="s">
        <v>56</v>
      </c>
      <c r="F3400" s="63" t="s">
        <v>0</v>
      </c>
    </row>
    <row r="3401" spans="1:6" x14ac:dyDescent="0.25">
      <c r="A3401" s="62">
        <v>44480</v>
      </c>
      <c r="B3401" s="62" t="s">
        <v>2915</v>
      </c>
      <c r="C3401" s="23">
        <v>-14324</v>
      </c>
      <c r="D3401" s="24" t="s">
        <v>49</v>
      </c>
      <c r="E3401" s="24" t="s">
        <v>56</v>
      </c>
      <c r="F3401" s="63" t="s">
        <v>0</v>
      </c>
    </row>
    <row r="3402" spans="1:6" x14ac:dyDescent="0.25">
      <c r="A3402" s="62">
        <v>44480</v>
      </c>
      <c r="B3402" s="62" t="s">
        <v>2916</v>
      </c>
      <c r="C3402" s="23">
        <v>-5300</v>
      </c>
      <c r="D3402" s="24" t="s">
        <v>49</v>
      </c>
      <c r="E3402" s="24" t="s">
        <v>56</v>
      </c>
      <c r="F3402" s="63" t="s">
        <v>0</v>
      </c>
    </row>
    <row r="3403" spans="1:6" x14ac:dyDescent="0.25">
      <c r="A3403" s="62">
        <v>44477</v>
      </c>
      <c r="B3403" s="62" t="s">
        <v>2486</v>
      </c>
      <c r="C3403" s="23">
        <v>-1040</v>
      </c>
      <c r="D3403" s="24" t="s">
        <v>52</v>
      </c>
      <c r="E3403" s="24" t="s">
        <v>134</v>
      </c>
      <c r="F3403" s="63" t="s">
        <v>0</v>
      </c>
    </row>
    <row r="3404" spans="1:6" x14ac:dyDescent="0.25">
      <c r="A3404" s="62">
        <v>44477</v>
      </c>
      <c r="B3404" s="62" t="s">
        <v>2917</v>
      </c>
      <c r="C3404" s="23">
        <v>-1125</v>
      </c>
      <c r="D3404" s="24" t="s">
        <v>52</v>
      </c>
      <c r="E3404" s="24" t="s">
        <v>134</v>
      </c>
      <c r="F3404" s="63" t="s">
        <v>0</v>
      </c>
    </row>
    <row r="3405" spans="1:6" x14ac:dyDescent="0.25">
      <c r="A3405" s="62">
        <v>44477</v>
      </c>
      <c r="B3405" s="62" t="s">
        <v>2830</v>
      </c>
      <c r="C3405" s="23">
        <v>-1500</v>
      </c>
      <c r="D3405" s="24" t="s">
        <v>72</v>
      </c>
      <c r="E3405" s="24" t="s">
        <v>73</v>
      </c>
      <c r="F3405" s="63" t="s">
        <v>0</v>
      </c>
    </row>
    <row r="3406" spans="1:6" x14ac:dyDescent="0.25">
      <c r="A3406" s="62">
        <v>44477</v>
      </c>
      <c r="B3406" s="62" t="s">
        <v>2831</v>
      </c>
      <c r="C3406" s="23">
        <v>-1150</v>
      </c>
      <c r="D3406" s="24" t="s">
        <v>52</v>
      </c>
      <c r="E3406" s="24" t="s">
        <v>53</v>
      </c>
      <c r="F3406" s="63" t="s">
        <v>0</v>
      </c>
    </row>
    <row r="3407" spans="1:6" x14ac:dyDescent="0.25">
      <c r="A3407" s="62">
        <v>44477</v>
      </c>
      <c r="B3407" s="62" t="s">
        <v>2918</v>
      </c>
      <c r="C3407" s="23">
        <v>-16632</v>
      </c>
      <c r="D3407" s="24" t="s">
        <v>72</v>
      </c>
      <c r="E3407" s="24" t="s">
        <v>109</v>
      </c>
      <c r="F3407" s="63" t="s">
        <v>0</v>
      </c>
    </row>
    <row r="3408" spans="1:6" x14ac:dyDescent="0.25">
      <c r="A3408" s="62">
        <v>44477</v>
      </c>
      <c r="B3408" s="62" t="s">
        <v>1651</v>
      </c>
      <c r="C3408" s="23">
        <v>705816</v>
      </c>
      <c r="D3408" s="24" t="s">
        <v>58</v>
      </c>
      <c r="E3408" s="24" t="s">
        <v>58</v>
      </c>
      <c r="F3408" s="63" t="s">
        <v>0</v>
      </c>
    </row>
    <row r="3409" spans="1:6" x14ac:dyDescent="0.25">
      <c r="A3409" s="62">
        <v>44477</v>
      </c>
      <c r="B3409" s="62" t="s">
        <v>2919</v>
      </c>
      <c r="C3409" s="23">
        <v>-1922</v>
      </c>
      <c r="D3409" s="24" t="s">
        <v>49</v>
      </c>
      <c r="E3409" s="24" t="s">
        <v>56</v>
      </c>
      <c r="F3409" s="63" t="s">
        <v>0</v>
      </c>
    </row>
    <row r="3410" spans="1:6" x14ac:dyDescent="0.25">
      <c r="A3410" s="62">
        <v>44477</v>
      </c>
      <c r="B3410" s="62" t="s">
        <v>2920</v>
      </c>
      <c r="C3410" s="23">
        <v>-623</v>
      </c>
      <c r="D3410" s="24" t="s">
        <v>49</v>
      </c>
      <c r="E3410" s="24" t="s">
        <v>56</v>
      </c>
      <c r="F3410" s="63" t="s">
        <v>0</v>
      </c>
    </row>
    <row r="3411" spans="1:6" x14ac:dyDescent="0.25">
      <c r="A3411" s="62">
        <v>44476</v>
      </c>
      <c r="B3411" s="62" t="s">
        <v>2921</v>
      </c>
      <c r="C3411" s="23">
        <v>-759</v>
      </c>
      <c r="D3411" s="24" t="s">
        <v>49</v>
      </c>
      <c r="E3411" s="24" t="s">
        <v>56</v>
      </c>
      <c r="F3411" s="63" t="s">
        <v>0</v>
      </c>
    </row>
    <row r="3412" spans="1:6" x14ac:dyDescent="0.25">
      <c r="A3412" s="62">
        <v>44476</v>
      </c>
      <c r="B3412" s="62" t="s">
        <v>2922</v>
      </c>
      <c r="C3412" s="23">
        <v>-1305</v>
      </c>
      <c r="D3412" s="24" t="s">
        <v>49</v>
      </c>
      <c r="E3412" s="24" t="s">
        <v>56</v>
      </c>
      <c r="F3412" s="63" t="s">
        <v>0</v>
      </c>
    </row>
    <row r="3413" spans="1:6" x14ac:dyDescent="0.25">
      <c r="A3413" s="62">
        <v>44474</v>
      </c>
      <c r="B3413" s="62" t="s">
        <v>2923</v>
      </c>
      <c r="C3413" s="23">
        <v>-9000</v>
      </c>
      <c r="D3413" s="24" t="s">
        <v>206</v>
      </c>
      <c r="E3413" s="24" t="s">
        <v>206</v>
      </c>
      <c r="F3413" s="63" t="s">
        <v>0</v>
      </c>
    </row>
    <row r="3414" spans="1:6" x14ac:dyDescent="0.25">
      <c r="A3414" s="62">
        <v>44474</v>
      </c>
      <c r="B3414" s="62" t="s">
        <v>2924</v>
      </c>
      <c r="C3414" s="23">
        <v>265999</v>
      </c>
      <c r="D3414" s="24" t="s">
        <v>58</v>
      </c>
      <c r="E3414" s="24" t="s">
        <v>58</v>
      </c>
      <c r="F3414" s="63" t="s">
        <v>0</v>
      </c>
    </row>
    <row r="3415" spans="1:6" x14ac:dyDescent="0.25">
      <c r="A3415" s="62">
        <v>44473</v>
      </c>
      <c r="B3415" s="62" t="s">
        <v>2830</v>
      </c>
      <c r="C3415" s="23">
        <v>-1500</v>
      </c>
      <c r="D3415" s="24" t="s">
        <v>72</v>
      </c>
      <c r="E3415" s="24" t="s">
        <v>73</v>
      </c>
      <c r="F3415" s="63" t="s">
        <v>0</v>
      </c>
    </row>
    <row r="3416" spans="1:6" x14ac:dyDescent="0.25">
      <c r="A3416" s="62">
        <v>44473</v>
      </c>
      <c r="B3416" s="62" t="s">
        <v>2925</v>
      </c>
      <c r="C3416" s="23">
        <v>-1199</v>
      </c>
      <c r="D3416" s="24" t="s">
        <v>167</v>
      </c>
      <c r="E3416" s="24" t="s">
        <v>168</v>
      </c>
      <c r="F3416" s="63" t="s">
        <v>0</v>
      </c>
    </row>
    <row r="3417" spans="1:6" x14ac:dyDescent="0.25">
      <c r="A3417" s="62">
        <v>44473</v>
      </c>
      <c r="B3417" s="62" t="s">
        <v>2926</v>
      </c>
      <c r="C3417" s="23">
        <v>-1313</v>
      </c>
      <c r="D3417" s="24" t="s">
        <v>49</v>
      </c>
      <c r="E3417" s="24" t="s">
        <v>56</v>
      </c>
      <c r="F3417" s="63" t="s">
        <v>0</v>
      </c>
    </row>
    <row r="3418" spans="1:6" x14ac:dyDescent="0.25">
      <c r="A3418" s="62">
        <v>44473</v>
      </c>
      <c r="B3418" s="62" t="s">
        <v>2927</v>
      </c>
      <c r="C3418" s="23">
        <v>-5490</v>
      </c>
      <c r="D3418" s="24" t="s">
        <v>52</v>
      </c>
      <c r="E3418" s="24" t="s">
        <v>53</v>
      </c>
      <c r="F3418" s="63" t="s">
        <v>0</v>
      </c>
    </row>
    <row r="3419" spans="1:6" x14ac:dyDescent="0.25">
      <c r="A3419" s="62">
        <v>44473</v>
      </c>
      <c r="B3419" s="62" t="s">
        <v>2928</v>
      </c>
      <c r="C3419" s="23">
        <v>-14701</v>
      </c>
      <c r="D3419" s="24" t="s">
        <v>49</v>
      </c>
      <c r="E3419" s="24" t="s">
        <v>56</v>
      </c>
      <c r="F3419" s="63" t="s">
        <v>0</v>
      </c>
    </row>
    <row r="3420" spans="1:6" x14ac:dyDescent="0.25">
      <c r="A3420" s="62">
        <v>44473</v>
      </c>
      <c r="B3420" s="62" t="s">
        <v>2929</v>
      </c>
      <c r="C3420" s="23">
        <v>-18635</v>
      </c>
      <c r="D3420" s="24" t="s">
        <v>49</v>
      </c>
      <c r="E3420" s="24" t="s">
        <v>56</v>
      </c>
      <c r="F3420" s="63" t="s">
        <v>0</v>
      </c>
    </row>
    <row r="3421" spans="1:6" x14ac:dyDescent="0.25">
      <c r="A3421" s="62">
        <v>44473</v>
      </c>
      <c r="B3421" s="62" t="s">
        <v>2930</v>
      </c>
      <c r="C3421" s="23">
        <v>-3686</v>
      </c>
      <c r="D3421" s="24" t="s">
        <v>49</v>
      </c>
      <c r="E3421" s="24" t="s">
        <v>56</v>
      </c>
      <c r="F3421" s="63" t="s">
        <v>0</v>
      </c>
    </row>
    <row r="3422" spans="1:6" x14ac:dyDescent="0.25">
      <c r="A3422" s="62">
        <v>44470</v>
      </c>
      <c r="B3422" s="62" t="s">
        <v>2237</v>
      </c>
      <c r="C3422" s="23">
        <v>-2050</v>
      </c>
      <c r="D3422" s="24" t="s">
        <v>52</v>
      </c>
      <c r="E3422" s="24" t="s">
        <v>53</v>
      </c>
      <c r="F3422" s="63" t="s">
        <v>0</v>
      </c>
    </row>
    <row r="3423" spans="1:6" x14ac:dyDescent="0.25">
      <c r="A3423" s="62">
        <v>44470</v>
      </c>
      <c r="B3423" s="62" t="s">
        <v>2931</v>
      </c>
      <c r="C3423" s="23">
        <v>-979</v>
      </c>
      <c r="D3423" s="24" t="s">
        <v>52</v>
      </c>
      <c r="E3423" s="24" t="s">
        <v>53</v>
      </c>
      <c r="F3423" s="63" t="s">
        <v>0</v>
      </c>
    </row>
    <row r="3424" spans="1:6" x14ac:dyDescent="0.25">
      <c r="A3424" s="62">
        <v>44469</v>
      </c>
      <c r="B3424" s="62" t="s">
        <v>2932</v>
      </c>
      <c r="C3424" s="23">
        <v>1193</v>
      </c>
      <c r="D3424" s="24" t="s">
        <v>167</v>
      </c>
      <c r="E3424" s="24" t="s">
        <v>32</v>
      </c>
      <c r="F3424" s="63" t="s">
        <v>5</v>
      </c>
    </row>
    <row r="3425" spans="1:6" x14ac:dyDescent="0.25">
      <c r="A3425" s="62">
        <v>44469</v>
      </c>
      <c r="B3425" s="62" t="s">
        <v>2933</v>
      </c>
      <c r="C3425" s="23">
        <v>-2430</v>
      </c>
      <c r="D3425" s="24" t="s">
        <v>167</v>
      </c>
      <c r="E3425" s="24" t="s">
        <v>32</v>
      </c>
      <c r="F3425" s="63" t="s">
        <v>5</v>
      </c>
    </row>
    <row r="3426" spans="1:6" x14ac:dyDescent="0.25">
      <c r="A3426" s="62">
        <v>44469</v>
      </c>
      <c r="B3426" s="62" t="s">
        <v>2934</v>
      </c>
      <c r="C3426" s="23">
        <v>1.83</v>
      </c>
      <c r="D3426" s="24" t="s">
        <v>167</v>
      </c>
      <c r="E3426" s="24" t="s">
        <v>32</v>
      </c>
      <c r="F3426" s="63" t="s">
        <v>0</v>
      </c>
    </row>
    <row r="3427" spans="1:6" x14ac:dyDescent="0.25">
      <c r="A3427" s="62">
        <v>44469</v>
      </c>
      <c r="B3427" s="62" t="s">
        <v>2935</v>
      </c>
      <c r="C3427" s="23">
        <v>10.44</v>
      </c>
      <c r="D3427" s="24" t="s">
        <v>167</v>
      </c>
      <c r="E3427" s="24" t="s">
        <v>168</v>
      </c>
      <c r="F3427" s="63" t="s">
        <v>0</v>
      </c>
    </row>
    <row r="3428" spans="1:6" x14ac:dyDescent="0.25">
      <c r="A3428" s="62">
        <v>44469</v>
      </c>
      <c r="B3428" s="62" t="s">
        <v>2936</v>
      </c>
      <c r="C3428" s="23">
        <v>-1.57</v>
      </c>
      <c r="D3428" s="24" t="s">
        <v>167</v>
      </c>
      <c r="E3428" s="24" t="s">
        <v>168</v>
      </c>
      <c r="F3428" s="63" t="s">
        <v>0</v>
      </c>
    </row>
    <row r="3429" spans="1:6" x14ac:dyDescent="0.25">
      <c r="A3429" s="62">
        <v>44469</v>
      </c>
      <c r="B3429" s="62" t="s">
        <v>2935</v>
      </c>
      <c r="C3429" s="23">
        <v>-2.57</v>
      </c>
      <c r="D3429" s="24" t="s">
        <v>167</v>
      </c>
      <c r="E3429" s="24" t="s">
        <v>168</v>
      </c>
      <c r="F3429" s="63" t="s">
        <v>0</v>
      </c>
    </row>
    <row r="3430" spans="1:6" x14ac:dyDescent="0.25">
      <c r="A3430" s="62">
        <v>44469</v>
      </c>
      <c r="B3430" s="62" t="s">
        <v>43</v>
      </c>
      <c r="C3430" s="23">
        <v>-1799</v>
      </c>
      <c r="D3430" s="24" t="s">
        <v>167</v>
      </c>
      <c r="E3430" s="24" t="s">
        <v>168</v>
      </c>
      <c r="F3430" s="63" t="s">
        <v>0</v>
      </c>
    </row>
    <row r="3431" spans="1:6" x14ac:dyDescent="0.25">
      <c r="A3431" s="62">
        <v>44469</v>
      </c>
      <c r="B3431" s="62" t="s">
        <v>309</v>
      </c>
      <c r="C3431" s="23">
        <v>-2.08</v>
      </c>
      <c r="D3431" s="24" t="s">
        <v>167</v>
      </c>
      <c r="E3431" s="24" t="s">
        <v>32</v>
      </c>
      <c r="F3431" s="63" t="s">
        <v>0</v>
      </c>
    </row>
    <row r="3432" spans="1:6" x14ac:dyDescent="0.25">
      <c r="A3432" s="62">
        <v>44469</v>
      </c>
      <c r="B3432" s="62" t="s">
        <v>2830</v>
      </c>
      <c r="C3432" s="23">
        <v>-1500</v>
      </c>
      <c r="D3432" s="24" t="s">
        <v>72</v>
      </c>
      <c r="E3432" s="24" t="s">
        <v>73</v>
      </c>
      <c r="F3432" s="63" t="s">
        <v>0</v>
      </c>
    </row>
    <row r="3433" spans="1:6" x14ac:dyDescent="0.25">
      <c r="A3433" s="62">
        <v>44469</v>
      </c>
      <c r="B3433" s="62" t="s">
        <v>32</v>
      </c>
      <c r="C3433" s="23">
        <v>13.86</v>
      </c>
      <c r="D3433" s="24" t="s">
        <v>167</v>
      </c>
      <c r="E3433" s="24" t="s">
        <v>32</v>
      </c>
      <c r="F3433" s="63" t="s">
        <v>0</v>
      </c>
    </row>
    <row r="3434" spans="1:6" x14ac:dyDescent="0.25">
      <c r="A3434" s="62">
        <v>44468</v>
      </c>
      <c r="B3434" s="62" t="s">
        <v>2937</v>
      </c>
      <c r="C3434" s="23">
        <v>-1375</v>
      </c>
      <c r="D3434" s="24" t="s">
        <v>49</v>
      </c>
      <c r="E3434" s="24" t="s">
        <v>56</v>
      </c>
      <c r="F3434" s="63" t="s">
        <v>0</v>
      </c>
    </row>
    <row r="3435" spans="1:6" x14ac:dyDescent="0.25">
      <c r="A3435" s="62">
        <v>44468</v>
      </c>
      <c r="B3435" s="62" t="s">
        <v>2938</v>
      </c>
      <c r="C3435" s="23">
        <v>-20168</v>
      </c>
      <c r="D3435" s="24" t="s">
        <v>72</v>
      </c>
      <c r="E3435" s="24" t="s">
        <v>109</v>
      </c>
      <c r="F3435" s="63" t="s">
        <v>0</v>
      </c>
    </row>
    <row r="3436" spans="1:6" x14ac:dyDescent="0.25">
      <c r="A3436" s="62">
        <v>44468</v>
      </c>
      <c r="B3436" s="62" t="s">
        <v>2939</v>
      </c>
      <c r="C3436" s="23">
        <v>-879</v>
      </c>
      <c r="D3436" s="24" t="s">
        <v>49</v>
      </c>
      <c r="E3436" s="24" t="s">
        <v>56</v>
      </c>
      <c r="F3436" s="63" t="s">
        <v>0</v>
      </c>
    </row>
    <row r="3437" spans="1:6" x14ac:dyDescent="0.25">
      <c r="A3437" s="62">
        <v>44467</v>
      </c>
      <c r="B3437" s="62" t="s">
        <v>2940</v>
      </c>
      <c r="C3437" s="23">
        <v>-3960</v>
      </c>
      <c r="D3437" s="24" t="s">
        <v>52</v>
      </c>
      <c r="E3437" s="24" t="s">
        <v>52</v>
      </c>
      <c r="F3437" s="63" t="s">
        <v>0</v>
      </c>
    </row>
    <row r="3438" spans="1:6" x14ac:dyDescent="0.25">
      <c r="A3438" s="62">
        <v>44467</v>
      </c>
      <c r="B3438" s="62" t="s">
        <v>2941</v>
      </c>
      <c r="C3438" s="23">
        <v>-3990</v>
      </c>
      <c r="D3438" s="24" t="s">
        <v>46</v>
      </c>
      <c r="E3438" s="24" t="s">
        <v>63</v>
      </c>
      <c r="F3438" s="63" t="s">
        <v>0</v>
      </c>
    </row>
    <row r="3439" spans="1:6" x14ac:dyDescent="0.25">
      <c r="A3439" s="62">
        <v>44466</v>
      </c>
      <c r="B3439" s="62" t="s">
        <v>2942</v>
      </c>
      <c r="C3439" s="23">
        <v>-74</v>
      </c>
      <c r="D3439" s="24" t="s">
        <v>167</v>
      </c>
      <c r="E3439" s="24" t="s">
        <v>168</v>
      </c>
      <c r="F3439" s="63" t="s">
        <v>0</v>
      </c>
    </row>
    <row r="3440" spans="1:6" x14ac:dyDescent="0.25">
      <c r="A3440" s="62">
        <v>44466</v>
      </c>
      <c r="B3440" s="62" t="s">
        <v>2943</v>
      </c>
      <c r="C3440" s="23">
        <v>-1628</v>
      </c>
      <c r="D3440" s="24" t="s">
        <v>167</v>
      </c>
      <c r="E3440" s="24" t="s">
        <v>168</v>
      </c>
      <c r="F3440" s="63" t="s">
        <v>0</v>
      </c>
    </row>
    <row r="3441" spans="1:6" x14ac:dyDescent="0.25">
      <c r="A3441" s="62">
        <v>44466</v>
      </c>
      <c r="B3441" s="62" t="s">
        <v>2944</v>
      </c>
      <c r="C3441" s="23">
        <v>-1055</v>
      </c>
      <c r="D3441" s="24" t="s">
        <v>49</v>
      </c>
      <c r="E3441" s="24" t="s">
        <v>56</v>
      </c>
      <c r="F3441" s="63" t="s">
        <v>0</v>
      </c>
    </row>
    <row r="3442" spans="1:6" x14ac:dyDescent="0.25">
      <c r="A3442" s="62">
        <v>44466</v>
      </c>
      <c r="B3442" s="62" t="s">
        <v>2945</v>
      </c>
      <c r="C3442" s="23">
        <v>-504</v>
      </c>
      <c r="D3442" s="24" t="s">
        <v>72</v>
      </c>
      <c r="E3442" s="24" t="s">
        <v>197</v>
      </c>
      <c r="F3442" s="63" t="s">
        <v>0</v>
      </c>
    </row>
    <row r="3443" spans="1:6" x14ac:dyDescent="0.25">
      <c r="A3443" s="62">
        <v>44466</v>
      </c>
      <c r="B3443" s="62" t="s">
        <v>2946</v>
      </c>
      <c r="C3443" s="23">
        <v>-9030</v>
      </c>
      <c r="D3443" s="24" t="s">
        <v>52</v>
      </c>
      <c r="E3443" s="24" t="s">
        <v>53</v>
      </c>
      <c r="F3443" s="63" t="s">
        <v>0</v>
      </c>
    </row>
    <row r="3444" spans="1:6" x14ac:dyDescent="0.25">
      <c r="A3444" s="62">
        <v>44466</v>
      </c>
      <c r="B3444" s="62" t="s">
        <v>2947</v>
      </c>
      <c r="C3444" s="23">
        <v>-7630</v>
      </c>
      <c r="D3444" s="24" t="s">
        <v>49</v>
      </c>
      <c r="E3444" s="24" t="s">
        <v>56</v>
      </c>
      <c r="F3444" s="63" t="s">
        <v>0</v>
      </c>
    </row>
    <row r="3445" spans="1:6" x14ac:dyDescent="0.25">
      <c r="A3445" s="62">
        <v>44466</v>
      </c>
      <c r="B3445" s="62" t="s">
        <v>2948</v>
      </c>
      <c r="C3445" s="23">
        <v>-9863</v>
      </c>
      <c r="D3445" s="24" t="s">
        <v>49</v>
      </c>
      <c r="E3445" s="24" t="s">
        <v>56</v>
      </c>
      <c r="F3445" s="63" t="s">
        <v>0</v>
      </c>
    </row>
    <row r="3446" spans="1:6" x14ac:dyDescent="0.25">
      <c r="A3446" s="62">
        <v>44466</v>
      </c>
      <c r="B3446" s="62" t="s">
        <v>2949</v>
      </c>
      <c r="C3446" s="23">
        <v>-9239</v>
      </c>
      <c r="D3446" s="24" t="s">
        <v>49</v>
      </c>
      <c r="E3446" s="24" t="s">
        <v>56</v>
      </c>
      <c r="F3446" s="63" t="s">
        <v>0</v>
      </c>
    </row>
    <row r="3447" spans="1:6" x14ac:dyDescent="0.25">
      <c r="A3447" s="62">
        <v>44466</v>
      </c>
      <c r="B3447" s="62" t="s">
        <v>2950</v>
      </c>
      <c r="C3447" s="23">
        <v>-8660</v>
      </c>
      <c r="D3447" s="24" t="s">
        <v>49</v>
      </c>
      <c r="E3447" s="24" t="s">
        <v>56</v>
      </c>
      <c r="F3447" s="63" t="s">
        <v>0</v>
      </c>
    </row>
    <row r="3448" spans="1:6" x14ac:dyDescent="0.25">
      <c r="A3448" s="62">
        <v>44466</v>
      </c>
      <c r="B3448" s="62" t="s">
        <v>2951</v>
      </c>
      <c r="C3448" s="23">
        <v>-2459</v>
      </c>
      <c r="D3448" s="24" t="s">
        <v>72</v>
      </c>
      <c r="E3448" s="24" t="s">
        <v>728</v>
      </c>
      <c r="F3448" s="63" t="s">
        <v>0</v>
      </c>
    </row>
    <row r="3449" spans="1:6" x14ac:dyDescent="0.25">
      <c r="A3449" s="62">
        <v>44463</v>
      </c>
      <c r="B3449" s="62" t="s">
        <v>2952</v>
      </c>
      <c r="C3449" s="23">
        <v>-190000</v>
      </c>
      <c r="D3449" s="24" t="s">
        <v>167</v>
      </c>
      <c r="E3449" s="24" t="s">
        <v>183</v>
      </c>
      <c r="F3449" s="63" t="s">
        <v>3</v>
      </c>
    </row>
    <row r="3450" spans="1:6" x14ac:dyDescent="0.25">
      <c r="A3450" s="62">
        <v>44463</v>
      </c>
      <c r="B3450" s="62" t="s">
        <v>2952</v>
      </c>
      <c r="C3450" s="23">
        <v>190000</v>
      </c>
      <c r="D3450" s="24" t="s">
        <v>167</v>
      </c>
      <c r="E3450" s="24" t="s">
        <v>183</v>
      </c>
      <c r="F3450" s="63" t="s">
        <v>0</v>
      </c>
    </row>
    <row r="3451" spans="1:6" x14ac:dyDescent="0.25">
      <c r="A3451" s="62">
        <v>44463</v>
      </c>
      <c r="B3451" s="62" t="s">
        <v>2953</v>
      </c>
      <c r="C3451" s="23">
        <v>-4279</v>
      </c>
      <c r="D3451" s="24" t="s">
        <v>49</v>
      </c>
      <c r="E3451" s="24" t="s">
        <v>67</v>
      </c>
      <c r="F3451" s="63" t="s">
        <v>0</v>
      </c>
    </row>
    <row r="3452" spans="1:6" x14ac:dyDescent="0.25">
      <c r="A3452" s="62">
        <v>44463</v>
      </c>
      <c r="B3452" s="62" t="s">
        <v>2954</v>
      </c>
      <c r="C3452" s="23">
        <v>-190000</v>
      </c>
      <c r="D3452" s="24" t="s">
        <v>206</v>
      </c>
      <c r="E3452" s="24" t="s">
        <v>2123</v>
      </c>
      <c r="F3452" s="63" t="s">
        <v>0</v>
      </c>
    </row>
    <row r="3453" spans="1:6" x14ac:dyDescent="0.25">
      <c r="A3453" s="62">
        <v>44462</v>
      </c>
      <c r="B3453" s="62" t="s">
        <v>2955</v>
      </c>
      <c r="C3453" s="23">
        <v>-7200</v>
      </c>
      <c r="D3453" s="24" t="s">
        <v>90</v>
      </c>
      <c r="E3453" s="24" t="s">
        <v>111</v>
      </c>
      <c r="F3453" s="63" t="s">
        <v>0</v>
      </c>
    </row>
    <row r="3454" spans="1:6" x14ac:dyDescent="0.25">
      <c r="A3454" s="62">
        <v>44462</v>
      </c>
      <c r="B3454" s="62" t="s">
        <v>2830</v>
      </c>
      <c r="C3454" s="23">
        <v>-1500</v>
      </c>
      <c r="D3454" s="24" t="s">
        <v>72</v>
      </c>
      <c r="E3454" s="24" t="s">
        <v>73</v>
      </c>
      <c r="F3454" s="63" t="s">
        <v>0</v>
      </c>
    </row>
    <row r="3455" spans="1:6" x14ac:dyDescent="0.25">
      <c r="A3455" s="62">
        <v>44462</v>
      </c>
      <c r="B3455" s="62" t="s">
        <v>2956</v>
      </c>
      <c r="C3455" s="23">
        <v>-2150</v>
      </c>
      <c r="D3455" s="24" t="s">
        <v>52</v>
      </c>
      <c r="E3455" s="24" t="s">
        <v>53</v>
      </c>
      <c r="F3455" s="63" t="s">
        <v>0</v>
      </c>
    </row>
    <row r="3456" spans="1:6" x14ac:dyDescent="0.25">
      <c r="A3456" s="62">
        <v>44461</v>
      </c>
      <c r="B3456" s="62" t="s">
        <v>2957</v>
      </c>
      <c r="C3456" s="23">
        <v>-709</v>
      </c>
      <c r="D3456" s="24" t="s">
        <v>49</v>
      </c>
      <c r="E3456" s="24" t="s">
        <v>56</v>
      </c>
      <c r="F3456" s="63" t="s">
        <v>0</v>
      </c>
    </row>
    <row r="3457" spans="1:6" x14ac:dyDescent="0.25">
      <c r="A3457" s="62">
        <v>44461</v>
      </c>
      <c r="B3457" s="62" t="s">
        <v>2958</v>
      </c>
      <c r="C3457" s="23">
        <v>-19595</v>
      </c>
      <c r="D3457" s="24" t="s">
        <v>206</v>
      </c>
      <c r="E3457" s="24" t="s">
        <v>206</v>
      </c>
      <c r="F3457" s="63" t="s">
        <v>0</v>
      </c>
    </row>
    <row r="3458" spans="1:6" x14ac:dyDescent="0.25">
      <c r="A3458" s="62">
        <v>44460</v>
      </c>
      <c r="B3458" s="62" t="s">
        <v>139</v>
      </c>
      <c r="C3458" s="23">
        <v>19275</v>
      </c>
      <c r="D3458" s="24" t="s">
        <v>58</v>
      </c>
      <c r="E3458" s="24" t="s">
        <v>58</v>
      </c>
      <c r="F3458" s="63" t="s">
        <v>4</v>
      </c>
    </row>
    <row r="3459" spans="1:6" x14ac:dyDescent="0.25">
      <c r="A3459" s="62">
        <v>44460</v>
      </c>
      <c r="B3459" s="62" t="s">
        <v>2959</v>
      </c>
      <c r="C3459" s="23">
        <v>-3439</v>
      </c>
      <c r="D3459" s="24" t="s">
        <v>49</v>
      </c>
      <c r="E3459" s="24" t="s">
        <v>67</v>
      </c>
      <c r="F3459" s="63" t="s">
        <v>0</v>
      </c>
    </row>
    <row r="3460" spans="1:6" x14ac:dyDescent="0.25">
      <c r="A3460" s="62">
        <v>44460</v>
      </c>
      <c r="B3460" s="62" t="s">
        <v>2960</v>
      </c>
      <c r="C3460" s="23">
        <v>-2964</v>
      </c>
      <c r="D3460" s="24" t="s">
        <v>90</v>
      </c>
      <c r="E3460" s="24" t="s">
        <v>59</v>
      </c>
      <c r="F3460" s="63" t="s">
        <v>0</v>
      </c>
    </row>
    <row r="3461" spans="1:6" x14ac:dyDescent="0.25">
      <c r="A3461" s="62">
        <v>44459</v>
      </c>
      <c r="B3461" s="62" t="s">
        <v>2961</v>
      </c>
      <c r="C3461" s="23">
        <v>-100</v>
      </c>
      <c r="D3461" s="24" t="s">
        <v>167</v>
      </c>
      <c r="E3461" s="24" t="s">
        <v>168</v>
      </c>
      <c r="F3461" s="63" t="s">
        <v>5</v>
      </c>
    </row>
    <row r="3462" spans="1:6" x14ac:dyDescent="0.25">
      <c r="A3462" s="62">
        <v>44459</v>
      </c>
      <c r="B3462" s="62" t="s">
        <v>2962</v>
      </c>
      <c r="C3462" s="23">
        <v>-1147</v>
      </c>
      <c r="D3462" s="24" t="s">
        <v>49</v>
      </c>
      <c r="E3462" s="24" t="s">
        <v>56</v>
      </c>
      <c r="F3462" s="63" t="s">
        <v>0</v>
      </c>
    </row>
    <row r="3463" spans="1:6" x14ac:dyDescent="0.25">
      <c r="A3463" s="62">
        <v>44459</v>
      </c>
      <c r="B3463" s="62" t="s">
        <v>2963</v>
      </c>
      <c r="C3463" s="23">
        <v>-4235</v>
      </c>
      <c r="D3463" s="24" t="s">
        <v>52</v>
      </c>
      <c r="E3463" s="24" t="s">
        <v>53</v>
      </c>
      <c r="F3463" s="63" t="s">
        <v>0</v>
      </c>
    </row>
    <row r="3464" spans="1:6" x14ac:dyDescent="0.25">
      <c r="A3464" s="62">
        <v>44459</v>
      </c>
      <c r="B3464" s="62" t="s">
        <v>2964</v>
      </c>
      <c r="C3464" s="23">
        <v>-675</v>
      </c>
      <c r="D3464" s="24" t="s">
        <v>49</v>
      </c>
      <c r="E3464" s="24" t="s">
        <v>56</v>
      </c>
      <c r="F3464" s="63" t="s">
        <v>0</v>
      </c>
    </row>
    <row r="3465" spans="1:6" x14ac:dyDescent="0.25">
      <c r="A3465" s="62">
        <v>44459</v>
      </c>
      <c r="B3465" s="62" t="s">
        <v>2965</v>
      </c>
      <c r="C3465" s="23">
        <v>-6790</v>
      </c>
      <c r="D3465" s="24" t="s">
        <v>90</v>
      </c>
      <c r="E3465" s="24" t="s">
        <v>59</v>
      </c>
      <c r="F3465" s="63" t="s">
        <v>0</v>
      </c>
    </row>
    <row r="3466" spans="1:6" x14ac:dyDescent="0.25">
      <c r="A3466" s="62">
        <v>44459</v>
      </c>
      <c r="B3466" s="62" t="s">
        <v>2966</v>
      </c>
      <c r="C3466" s="23">
        <v>-3190</v>
      </c>
      <c r="D3466" s="24" t="s">
        <v>90</v>
      </c>
      <c r="E3466" s="24" t="s">
        <v>59</v>
      </c>
      <c r="F3466" s="63" t="s">
        <v>0</v>
      </c>
    </row>
    <row r="3467" spans="1:6" x14ac:dyDescent="0.25">
      <c r="A3467" s="62">
        <v>44459</v>
      </c>
      <c r="B3467" s="62" t="s">
        <v>2967</v>
      </c>
      <c r="C3467" s="23">
        <v>-26341</v>
      </c>
      <c r="D3467" s="24" t="s">
        <v>72</v>
      </c>
      <c r="E3467" s="24" t="s">
        <v>109</v>
      </c>
      <c r="F3467" s="63" t="s">
        <v>0</v>
      </c>
    </row>
    <row r="3468" spans="1:6" x14ac:dyDescent="0.25">
      <c r="A3468" s="62">
        <v>44459</v>
      </c>
      <c r="B3468" s="62" t="s">
        <v>2968</v>
      </c>
      <c r="C3468" s="23">
        <v>-3272</v>
      </c>
      <c r="D3468" s="24" t="s">
        <v>46</v>
      </c>
      <c r="E3468" s="24" t="s">
        <v>145</v>
      </c>
      <c r="F3468" s="63" t="s">
        <v>0</v>
      </c>
    </row>
    <row r="3469" spans="1:6" x14ac:dyDescent="0.25">
      <c r="A3469" s="62">
        <v>44459</v>
      </c>
      <c r="B3469" s="62" t="s">
        <v>2969</v>
      </c>
      <c r="C3469" s="23">
        <v>-1173</v>
      </c>
      <c r="D3469" s="24" t="s">
        <v>49</v>
      </c>
      <c r="E3469" s="24" t="s">
        <v>56</v>
      </c>
      <c r="F3469" s="63" t="s">
        <v>0</v>
      </c>
    </row>
    <row r="3470" spans="1:6" x14ac:dyDescent="0.25">
      <c r="A3470" s="62">
        <v>44459</v>
      </c>
      <c r="B3470" s="62" t="s">
        <v>2970</v>
      </c>
      <c r="C3470" s="23">
        <v>-8382</v>
      </c>
      <c r="D3470" s="24" t="s">
        <v>46</v>
      </c>
      <c r="E3470" s="24" t="s">
        <v>61</v>
      </c>
      <c r="F3470" s="63" t="s">
        <v>0</v>
      </c>
    </row>
    <row r="3471" spans="1:6" x14ac:dyDescent="0.25">
      <c r="A3471" s="62">
        <v>44459</v>
      </c>
      <c r="B3471" s="62" t="s">
        <v>2971</v>
      </c>
      <c r="C3471" s="23">
        <v>-2940</v>
      </c>
      <c r="D3471" s="24" t="s">
        <v>52</v>
      </c>
      <c r="E3471" s="24" t="s">
        <v>52</v>
      </c>
      <c r="F3471" s="63" t="s">
        <v>0</v>
      </c>
    </row>
    <row r="3472" spans="1:6" x14ac:dyDescent="0.25">
      <c r="A3472" s="62">
        <v>44459</v>
      </c>
      <c r="B3472" s="62" t="s">
        <v>2972</v>
      </c>
      <c r="C3472" s="23">
        <v>-2660</v>
      </c>
      <c r="D3472" s="24" t="s">
        <v>52</v>
      </c>
      <c r="E3472" s="24" t="s">
        <v>53</v>
      </c>
      <c r="F3472" s="63" t="s">
        <v>0</v>
      </c>
    </row>
    <row r="3473" spans="1:6" x14ac:dyDescent="0.25">
      <c r="A3473" s="62">
        <v>44459</v>
      </c>
      <c r="B3473" s="62" t="s">
        <v>2848</v>
      </c>
      <c r="C3473" s="23">
        <v>-3640</v>
      </c>
      <c r="D3473" s="24" t="s">
        <v>72</v>
      </c>
      <c r="E3473" s="24" t="s">
        <v>506</v>
      </c>
      <c r="F3473" s="63" t="s">
        <v>0</v>
      </c>
    </row>
    <row r="3474" spans="1:6" x14ac:dyDescent="0.25">
      <c r="A3474" s="62">
        <v>44459</v>
      </c>
      <c r="B3474" s="62" t="s">
        <v>2973</v>
      </c>
      <c r="C3474" s="23">
        <v>-13663</v>
      </c>
      <c r="D3474" s="24" t="s">
        <v>72</v>
      </c>
      <c r="E3474" s="24" t="s">
        <v>109</v>
      </c>
      <c r="F3474" s="63" t="s">
        <v>0</v>
      </c>
    </row>
    <row r="3475" spans="1:6" x14ac:dyDescent="0.25">
      <c r="A3475" s="62">
        <v>44459</v>
      </c>
      <c r="B3475" s="62" t="s">
        <v>2974</v>
      </c>
      <c r="C3475" s="23">
        <v>-2599</v>
      </c>
      <c r="D3475" s="24" t="s">
        <v>46</v>
      </c>
      <c r="E3475" s="24" t="s">
        <v>63</v>
      </c>
      <c r="F3475" s="63" t="s">
        <v>0</v>
      </c>
    </row>
    <row r="3476" spans="1:6" x14ac:dyDescent="0.25">
      <c r="A3476" s="62">
        <v>44459</v>
      </c>
      <c r="B3476" s="62" t="s">
        <v>2975</v>
      </c>
      <c r="C3476" s="23">
        <v>-43440</v>
      </c>
      <c r="D3476" s="24" t="s">
        <v>72</v>
      </c>
      <c r="E3476" s="24" t="s">
        <v>728</v>
      </c>
      <c r="F3476" s="63" t="s">
        <v>0</v>
      </c>
    </row>
    <row r="3477" spans="1:6" x14ac:dyDescent="0.25">
      <c r="A3477" s="62">
        <v>44456</v>
      </c>
      <c r="B3477" s="62" t="s">
        <v>1280</v>
      </c>
      <c r="C3477" s="23">
        <v>-504</v>
      </c>
      <c r="D3477" s="24" t="s">
        <v>72</v>
      </c>
      <c r="E3477" s="24" t="s">
        <v>197</v>
      </c>
      <c r="F3477" s="63" t="s">
        <v>0</v>
      </c>
    </row>
    <row r="3478" spans="1:6" x14ac:dyDescent="0.25">
      <c r="A3478" s="62">
        <v>44456</v>
      </c>
      <c r="B3478" s="62" t="s">
        <v>1280</v>
      </c>
      <c r="C3478" s="23">
        <v>-504</v>
      </c>
      <c r="D3478" s="24" t="s">
        <v>72</v>
      </c>
      <c r="E3478" s="24" t="s">
        <v>197</v>
      </c>
      <c r="F3478" s="63" t="s">
        <v>0</v>
      </c>
    </row>
    <row r="3479" spans="1:6" x14ac:dyDescent="0.25">
      <c r="A3479" s="62">
        <v>44456</v>
      </c>
      <c r="B3479" s="62" t="s">
        <v>2976</v>
      </c>
      <c r="C3479" s="23">
        <v>-36850</v>
      </c>
      <c r="D3479" s="24" t="s">
        <v>49</v>
      </c>
      <c r="E3479" s="24" t="s">
        <v>67</v>
      </c>
      <c r="F3479" s="63" t="s">
        <v>0</v>
      </c>
    </row>
    <row r="3480" spans="1:6" x14ac:dyDescent="0.25">
      <c r="A3480" s="62">
        <v>44456</v>
      </c>
      <c r="B3480" s="62" t="s">
        <v>2977</v>
      </c>
      <c r="C3480" s="23">
        <v>-315</v>
      </c>
      <c r="D3480" s="24" t="s">
        <v>52</v>
      </c>
      <c r="E3480" s="24" t="s">
        <v>134</v>
      </c>
      <c r="F3480" s="63" t="s">
        <v>0</v>
      </c>
    </row>
    <row r="3481" spans="1:6" x14ac:dyDescent="0.25">
      <c r="A3481" s="62">
        <v>44456</v>
      </c>
      <c r="B3481" s="62" t="s">
        <v>2978</v>
      </c>
      <c r="C3481" s="23">
        <v>-1600</v>
      </c>
      <c r="D3481" s="24" t="s">
        <v>52</v>
      </c>
      <c r="E3481" s="24" t="s">
        <v>53</v>
      </c>
      <c r="F3481" s="63" t="s">
        <v>0</v>
      </c>
    </row>
    <row r="3482" spans="1:6" x14ac:dyDescent="0.25">
      <c r="A3482" s="62">
        <v>44456</v>
      </c>
      <c r="B3482" s="62" t="s">
        <v>2979</v>
      </c>
      <c r="C3482" s="23">
        <v>-58090</v>
      </c>
      <c r="D3482" s="24" t="s">
        <v>46</v>
      </c>
      <c r="E3482" s="24" t="s">
        <v>61</v>
      </c>
      <c r="F3482" s="63" t="s">
        <v>0</v>
      </c>
    </row>
    <row r="3483" spans="1:6" x14ac:dyDescent="0.25">
      <c r="A3483" s="62">
        <v>44456</v>
      </c>
      <c r="B3483" s="62" t="s">
        <v>2980</v>
      </c>
      <c r="C3483" s="23">
        <v>-25772</v>
      </c>
      <c r="D3483" s="24" t="s">
        <v>72</v>
      </c>
      <c r="E3483" s="24" t="s">
        <v>109</v>
      </c>
      <c r="F3483" s="63" t="s">
        <v>0</v>
      </c>
    </row>
    <row r="3484" spans="1:6" x14ac:dyDescent="0.25">
      <c r="A3484" s="62">
        <v>44455</v>
      </c>
      <c r="B3484" s="62" t="s">
        <v>2981</v>
      </c>
      <c r="C3484" s="23">
        <v>-3125</v>
      </c>
      <c r="D3484" s="24" t="s">
        <v>49</v>
      </c>
      <c r="E3484" s="24" t="s">
        <v>56</v>
      </c>
      <c r="F3484" s="63" t="s">
        <v>0</v>
      </c>
    </row>
    <row r="3485" spans="1:6" x14ac:dyDescent="0.25">
      <c r="A3485" s="62">
        <v>44455</v>
      </c>
      <c r="B3485" s="62" t="s">
        <v>2982</v>
      </c>
      <c r="C3485" s="23">
        <v>-6043</v>
      </c>
      <c r="D3485" s="24" t="s">
        <v>49</v>
      </c>
      <c r="E3485" s="24" t="s">
        <v>56</v>
      </c>
      <c r="F3485" s="63" t="s">
        <v>0</v>
      </c>
    </row>
    <row r="3486" spans="1:6" x14ac:dyDescent="0.25">
      <c r="A3486" s="62">
        <v>44455</v>
      </c>
      <c r="B3486" s="62" t="s">
        <v>2983</v>
      </c>
      <c r="C3486" s="23">
        <v>-3541</v>
      </c>
      <c r="D3486" s="24" t="s">
        <v>49</v>
      </c>
      <c r="E3486" s="24" t="s">
        <v>56</v>
      </c>
      <c r="F3486" s="63" t="s">
        <v>0</v>
      </c>
    </row>
    <row r="3487" spans="1:6" x14ac:dyDescent="0.25">
      <c r="A3487" s="62">
        <v>44455</v>
      </c>
      <c r="B3487" s="62" t="s">
        <v>2984</v>
      </c>
      <c r="C3487" s="23">
        <v>-2667</v>
      </c>
      <c r="D3487" s="24" t="s">
        <v>49</v>
      </c>
      <c r="E3487" s="24" t="s">
        <v>56</v>
      </c>
      <c r="F3487" s="63" t="s">
        <v>0</v>
      </c>
    </row>
    <row r="3488" spans="1:6" x14ac:dyDescent="0.25">
      <c r="A3488" s="62">
        <v>44455</v>
      </c>
      <c r="B3488" s="62" t="s">
        <v>2486</v>
      </c>
      <c r="C3488" s="23">
        <v>-1040</v>
      </c>
      <c r="D3488" s="24" t="s">
        <v>52</v>
      </c>
      <c r="E3488" s="24" t="s">
        <v>134</v>
      </c>
      <c r="F3488" s="63" t="s">
        <v>0</v>
      </c>
    </row>
    <row r="3489" spans="1:6" x14ac:dyDescent="0.25">
      <c r="A3489" s="62">
        <v>44454</v>
      </c>
      <c r="B3489" s="62" t="s">
        <v>2985</v>
      </c>
      <c r="C3489" s="23">
        <v>-20077</v>
      </c>
      <c r="D3489" s="24" t="s">
        <v>90</v>
      </c>
      <c r="E3489" s="24" t="s">
        <v>106</v>
      </c>
      <c r="F3489" s="63" t="s">
        <v>0</v>
      </c>
    </row>
    <row r="3490" spans="1:6" x14ac:dyDescent="0.25">
      <c r="A3490" s="62">
        <v>44454</v>
      </c>
      <c r="B3490" s="62" t="s">
        <v>2986</v>
      </c>
      <c r="C3490" s="23">
        <v>-15570</v>
      </c>
      <c r="D3490" s="24" t="s">
        <v>90</v>
      </c>
      <c r="E3490" s="24" t="s">
        <v>106</v>
      </c>
      <c r="F3490" s="63" t="s">
        <v>0</v>
      </c>
    </row>
    <row r="3491" spans="1:6" x14ac:dyDescent="0.25">
      <c r="A3491" s="62">
        <v>44454</v>
      </c>
      <c r="B3491" s="62" t="s">
        <v>2987</v>
      </c>
      <c r="C3491" s="23">
        <v>-18791</v>
      </c>
      <c r="D3491" s="24" t="s">
        <v>90</v>
      </c>
      <c r="E3491" s="24" t="s">
        <v>106</v>
      </c>
      <c r="F3491" s="63" t="s">
        <v>0</v>
      </c>
    </row>
    <row r="3492" spans="1:6" x14ac:dyDescent="0.25">
      <c r="A3492" s="62">
        <v>44454</v>
      </c>
      <c r="B3492" s="62" t="s">
        <v>2988</v>
      </c>
      <c r="C3492" s="23">
        <v>-900</v>
      </c>
      <c r="D3492" s="24" t="s">
        <v>52</v>
      </c>
      <c r="E3492" s="24" t="s">
        <v>53</v>
      </c>
      <c r="F3492" s="63" t="s">
        <v>0</v>
      </c>
    </row>
    <row r="3493" spans="1:6" x14ac:dyDescent="0.25">
      <c r="A3493" s="62">
        <v>44454</v>
      </c>
      <c r="B3493" s="62" t="s">
        <v>2989</v>
      </c>
      <c r="C3493" s="23">
        <v>-630</v>
      </c>
      <c r="D3493" s="24" t="s">
        <v>52</v>
      </c>
      <c r="E3493" s="24" t="s">
        <v>134</v>
      </c>
      <c r="F3493" s="63" t="s">
        <v>0</v>
      </c>
    </row>
    <row r="3494" spans="1:6" x14ac:dyDescent="0.25">
      <c r="A3494" s="62">
        <v>44454</v>
      </c>
      <c r="B3494" s="62" t="s">
        <v>2990</v>
      </c>
      <c r="C3494" s="23">
        <v>-3000</v>
      </c>
      <c r="D3494" s="24" t="s">
        <v>72</v>
      </c>
      <c r="E3494" s="24" t="s">
        <v>197</v>
      </c>
      <c r="F3494" s="63" t="s">
        <v>0</v>
      </c>
    </row>
    <row r="3495" spans="1:6" x14ac:dyDescent="0.25">
      <c r="A3495" s="62">
        <v>44454</v>
      </c>
      <c r="B3495" s="62" t="s">
        <v>1280</v>
      </c>
      <c r="C3495" s="23">
        <v>-504</v>
      </c>
      <c r="D3495" s="24" t="s">
        <v>72</v>
      </c>
      <c r="E3495" s="24" t="s">
        <v>197</v>
      </c>
      <c r="F3495" s="63" t="s">
        <v>0</v>
      </c>
    </row>
    <row r="3496" spans="1:6" x14ac:dyDescent="0.25">
      <c r="A3496" s="62">
        <v>44454</v>
      </c>
      <c r="B3496" s="62" t="s">
        <v>1280</v>
      </c>
      <c r="C3496" s="23">
        <v>-504</v>
      </c>
      <c r="D3496" s="24" t="s">
        <v>72</v>
      </c>
      <c r="E3496" s="24" t="s">
        <v>197</v>
      </c>
      <c r="F3496" s="63" t="s">
        <v>0</v>
      </c>
    </row>
    <row r="3497" spans="1:6" x14ac:dyDescent="0.25">
      <c r="A3497" s="62">
        <v>44454</v>
      </c>
      <c r="B3497" s="62" t="s">
        <v>2991</v>
      </c>
      <c r="C3497" s="23">
        <v>-6516</v>
      </c>
      <c r="D3497" s="24" t="s">
        <v>46</v>
      </c>
      <c r="E3497" s="24" t="s">
        <v>61</v>
      </c>
      <c r="F3497" s="63" t="s">
        <v>0</v>
      </c>
    </row>
    <row r="3498" spans="1:6" x14ac:dyDescent="0.25">
      <c r="A3498" s="62">
        <v>44453</v>
      </c>
      <c r="B3498" s="62" t="s">
        <v>2992</v>
      </c>
      <c r="C3498" s="23">
        <v>-6360</v>
      </c>
      <c r="D3498" s="24" t="s">
        <v>83</v>
      </c>
      <c r="E3498" s="24" t="s">
        <v>2151</v>
      </c>
      <c r="F3498" s="63" t="s">
        <v>0</v>
      </c>
    </row>
    <row r="3499" spans="1:6" x14ac:dyDescent="0.25">
      <c r="A3499" s="62">
        <v>44453</v>
      </c>
      <c r="B3499" s="62" t="s">
        <v>2993</v>
      </c>
      <c r="C3499" s="23">
        <v>-13400</v>
      </c>
      <c r="D3499" s="24" t="s">
        <v>83</v>
      </c>
      <c r="E3499" s="24" t="s">
        <v>2151</v>
      </c>
      <c r="F3499" s="63" t="s">
        <v>0</v>
      </c>
    </row>
    <row r="3500" spans="1:6" x14ac:dyDescent="0.25">
      <c r="A3500" s="62">
        <v>44453</v>
      </c>
      <c r="B3500" s="62" t="s">
        <v>2994</v>
      </c>
      <c r="C3500" s="23">
        <v>-22500</v>
      </c>
      <c r="D3500" s="24" t="s">
        <v>83</v>
      </c>
      <c r="E3500" s="24" t="s">
        <v>2151</v>
      </c>
      <c r="F3500" s="63" t="s">
        <v>0</v>
      </c>
    </row>
    <row r="3501" spans="1:6" x14ac:dyDescent="0.25">
      <c r="A3501" s="62">
        <v>44452</v>
      </c>
      <c r="B3501" s="62" t="s">
        <v>2995</v>
      </c>
      <c r="C3501" s="23">
        <v>-2616</v>
      </c>
      <c r="D3501" s="24" t="s">
        <v>49</v>
      </c>
      <c r="E3501" s="24" t="s">
        <v>56</v>
      </c>
      <c r="F3501" s="63" t="s">
        <v>0</v>
      </c>
    </row>
    <row r="3502" spans="1:6" x14ac:dyDescent="0.25">
      <c r="A3502" s="62">
        <v>44452</v>
      </c>
      <c r="B3502" s="62" t="s">
        <v>2996</v>
      </c>
      <c r="C3502" s="23">
        <v>-8000</v>
      </c>
      <c r="D3502" s="24" t="s">
        <v>52</v>
      </c>
      <c r="E3502" s="24" t="s">
        <v>134</v>
      </c>
      <c r="F3502" s="63" t="s">
        <v>0</v>
      </c>
    </row>
    <row r="3503" spans="1:6" x14ac:dyDescent="0.25">
      <c r="A3503" s="62">
        <v>44452</v>
      </c>
      <c r="B3503" s="62" t="s">
        <v>2997</v>
      </c>
      <c r="C3503" s="23">
        <v>-6400</v>
      </c>
      <c r="D3503" s="24" t="s">
        <v>83</v>
      </c>
      <c r="E3503" s="24" t="s">
        <v>2151</v>
      </c>
      <c r="F3503" s="63" t="s">
        <v>0</v>
      </c>
    </row>
    <row r="3504" spans="1:6" x14ac:dyDescent="0.25">
      <c r="A3504" s="62">
        <v>44452</v>
      </c>
      <c r="B3504" s="62" t="s">
        <v>2998</v>
      </c>
      <c r="C3504" s="23">
        <v>-3860</v>
      </c>
      <c r="D3504" s="24" t="s">
        <v>72</v>
      </c>
      <c r="E3504" s="24" t="s">
        <v>506</v>
      </c>
      <c r="F3504" s="63" t="s">
        <v>0</v>
      </c>
    </row>
    <row r="3505" spans="1:6" x14ac:dyDescent="0.25">
      <c r="A3505" s="62">
        <v>44452</v>
      </c>
      <c r="B3505" s="62" t="s">
        <v>2999</v>
      </c>
      <c r="C3505" s="23">
        <v>-11000</v>
      </c>
      <c r="D3505" s="24" t="s">
        <v>83</v>
      </c>
      <c r="E3505" s="24" t="s">
        <v>2151</v>
      </c>
      <c r="F3505" s="63" t="s">
        <v>0</v>
      </c>
    </row>
    <row r="3506" spans="1:6" x14ac:dyDescent="0.25">
      <c r="A3506" s="62">
        <v>44452</v>
      </c>
      <c r="B3506" s="62" t="s">
        <v>3000</v>
      </c>
      <c r="C3506" s="23">
        <v>-817</v>
      </c>
      <c r="D3506" s="24" t="s">
        <v>72</v>
      </c>
      <c r="E3506" s="24" t="s">
        <v>73</v>
      </c>
      <c r="F3506" s="63" t="s">
        <v>0</v>
      </c>
    </row>
    <row r="3507" spans="1:6" x14ac:dyDescent="0.25">
      <c r="A3507" s="62">
        <v>44452</v>
      </c>
      <c r="B3507" s="62" t="s">
        <v>3001</v>
      </c>
      <c r="C3507" s="23">
        <v>-10600</v>
      </c>
      <c r="D3507" s="24" t="s">
        <v>83</v>
      </c>
      <c r="E3507" s="24" t="s">
        <v>2151</v>
      </c>
      <c r="F3507" s="63" t="s">
        <v>0</v>
      </c>
    </row>
    <row r="3508" spans="1:6" x14ac:dyDescent="0.25">
      <c r="A3508" s="62">
        <v>44452</v>
      </c>
      <c r="B3508" s="62" t="s">
        <v>3002</v>
      </c>
      <c r="C3508" s="23">
        <v>-587</v>
      </c>
      <c r="D3508" s="24" t="s">
        <v>49</v>
      </c>
      <c r="E3508" s="24" t="s">
        <v>56</v>
      </c>
      <c r="F3508" s="63" t="s">
        <v>0</v>
      </c>
    </row>
    <row r="3509" spans="1:6" x14ac:dyDescent="0.25">
      <c r="A3509" s="62">
        <v>44452</v>
      </c>
      <c r="B3509" s="62" t="s">
        <v>3003</v>
      </c>
      <c r="C3509" s="23">
        <v>-2200</v>
      </c>
      <c r="D3509" s="24" t="s">
        <v>52</v>
      </c>
      <c r="E3509" s="24" t="s">
        <v>53</v>
      </c>
      <c r="F3509" s="63" t="s">
        <v>0</v>
      </c>
    </row>
    <row r="3510" spans="1:6" x14ac:dyDescent="0.25">
      <c r="A3510" s="62">
        <v>44452</v>
      </c>
      <c r="B3510" s="62" t="s">
        <v>3004</v>
      </c>
      <c r="C3510" s="23">
        <v>-10379</v>
      </c>
      <c r="D3510" s="24" t="s">
        <v>72</v>
      </c>
      <c r="E3510" s="24" t="s">
        <v>109</v>
      </c>
      <c r="F3510" s="63" t="s">
        <v>0</v>
      </c>
    </row>
    <row r="3511" spans="1:6" x14ac:dyDescent="0.25">
      <c r="A3511" s="62">
        <v>44452</v>
      </c>
      <c r="B3511" s="62" t="s">
        <v>3005</v>
      </c>
      <c r="C3511" s="23">
        <v>-9000</v>
      </c>
      <c r="D3511" s="24" t="s">
        <v>52</v>
      </c>
      <c r="E3511" s="24" t="s">
        <v>52</v>
      </c>
      <c r="F3511" s="63" t="s">
        <v>0</v>
      </c>
    </row>
    <row r="3512" spans="1:6" x14ac:dyDescent="0.25">
      <c r="A3512" s="62">
        <v>44452</v>
      </c>
      <c r="B3512" s="62" t="s">
        <v>3006</v>
      </c>
      <c r="C3512" s="23">
        <v>-3500</v>
      </c>
      <c r="D3512" s="24" t="s">
        <v>49</v>
      </c>
      <c r="E3512" s="24" t="s">
        <v>56</v>
      </c>
      <c r="F3512" s="63" t="s">
        <v>0</v>
      </c>
    </row>
    <row r="3513" spans="1:6" x14ac:dyDescent="0.25">
      <c r="A3513" s="62">
        <v>44452</v>
      </c>
      <c r="B3513" s="62" t="s">
        <v>3007</v>
      </c>
      <c r="C3513" s="23">
        <v>-3600</v>
      </c>
      <c r="D3513" s="24" t="s">
        <v>83</v>
      </c>
      <c r="E3513" s="24" t="s">
        <v>2151</v>
      </c>
      <c r="F3513" s="63" t="s">
        <v>0</v>
      </c>
    </row>
    <row r="3514" spans="1:6" x14ac:dyDescent="0.25">
      <c r="A3514" s="62">
        <v>44452</v>
      </c>
      <c r="B3514" s="62" t="s">
        <v>3008</v>
      </c>
      <c r="C3514" s="23">
        <v>-900</v>
      </c>
      <c r="D3514" s="24" t="s">
        <v>52</v>
      </c>
      <c r="E3514" s="24" t="s">
        <v>52</v>
      </c>
      <c r="F3514" s="63" t="s">
        <v>0</v>
      </c>
    </row>
    <row r="3515" spans="1:6" x14ac:dyDescent="0.25">
      <c r="A3515" s="62">
        <v>44451</v>
      </c>
      <c r="B3515" s="62" t="s">
        <v>3009</v>
      </c>
      <c r="C3515" s="23">
        <v>-76548</v>
      </c>
      <c r="D3515" s="24" t="s">
        <v>83</v>
      </c>
      <c r="E3515" s="24" t="s">
        <v>2151</v>
      </c>
      <c r="F3515" s="63" t="s">
        <v>4</v>
      </c>
    </row>
    <row r="3516" spans="1:6" x14ac:dyDescent="0.25">
      <c r="A3516" s="62">
        <v>44451</v>
      </c>
      <c r="B3516" s="62" t="s">
        <v>3009</v>
      </c>
      <c r="C3516" s="23">
        <v>-43452</v>
      </c>
      <c r="D3516" s="24" t="s">
        <v>83</v>
      </c>
      <c r="E3516" s="24" t="s">
        <v>2151</v>
      </c>
      <c r="F3516" s="63" t="s">
        <v>4</v>
      </c>
    </row>
    <row r="3517" spans="1:6" x14ac:dyDescent="0.25">
      <c r="A3517" s="62">
        <v>44451</v>
      </c>
      <c r="B3517" s="62" t="s">
        <v>3010</v>
      </c>
      <c r="C3517" s="23">
        <v>-17000</v>
      </c>
      <c r="D3517" s="24" t="s">
        <v>52</v>
      </c>
      <c r="E3517" s="24" t="s">
        <v>1865</v>
      </c>
      <c r="F3517" s="63" t="s">
        <v>4</v>
      </c>
    </row>
    <row r="3518" spans="1:6" x14ac:dyDescent="0.25">
      <c r="A3518" s="62">
        <v>44449</v>
      </c>
      <c r="B3518" s="62" t="s">
        <v>3011</v>
      </c>
      <c r="C3518" s="23">
        <v>-206337.15</v>
      </c>
      <c r="D3518" s="24" t="s">
        <v>46</v>
      </c>
      <c r="E3518" s="24" t="s">
        <v>10</v>
      </c>
      <c r="F3518" s="63" t="s">
        <v>0</v>
      </c>
    </row>
    <row r="3519" spans="1:6" x14ac:dyDescent="0.25">
      <c r="A3519" s="62">
        <v>44449</v>
      </c>
      <c r="B3519" s="62" t="s">
        <v>3012</v>
      </c>
      <c r="C3519" s="23">
        <v>-55467.64</v>
      </c>
      <c r="D3519" s="24" t="s">
        <v>46</v>
      </c>
      <c r="E3519" s="24" t="s">
        <v>10</v>
      </c>
      <c r="F3519" s="63" t="s">
        <v>0</v>
      </c>
    </row>
    <row r="3520" spans="1:6" x14ac:dyDescent="0.25">
      <c r="A3520" s="62">
        <v>44449</v>
      </c>
      <c r="B3520" s="62" t="s">
        <v>3011</v>
      </c>
      <c r="C3520" s="23">
        <v>206337.15</v>
      </c>
      <c r="D3520" s="24" t="s">
        <v>46</v>
      </c>
      <c r="E3520" s="24" t="s">
        <v>10</v>
      </c>
      <c r="F3520" s="63" t="s">
        <v>10</v>
      </c>
    </row>
    <row r="3521" spans="1:6" x14ac:dyDescent="0.25">
      <c r="A3521" s="62">
        <v>44449</v>
      </c>
      <c r="B3521" s="62" t="s">
        <v>3013</v>
      </c>
      <c r="C3521" s="23">
        <v>-305</v>
      </c>
      <c r="D3521" s="24" t="s">
        <v>52</v>
      </c>
      <c r="E3521" s="24" t="s">
        <v>53</v>
      </c>
      <c r="F3521" s="63" t="s">
        <v>0</v>
      </c>
    </row>
    <row r="3522" spans="1:6" x14ac:dyDescent="0.25">
      <c r="A3522" s="62">
        <v>44449</v>
      </c>
      <c r="B3522" s="62" t="s">
        <v>1280</v>
      </c>
      <c r="C3522" s="23">
        <v>-504</v>
      </c>
      <c r="D3522" s="24" t="s">
        <v>72</v>
      </c>
      <c r="E3522" s="24" t="s">
        <v>197</v>
      </c>
      <c r="F3522" s="63" t="s">
        <v>0</v>
      </c>
    </row>
    <row r="3523" spans="1:6" x14ac:dyDescent="0.25">
      <c r="A3523" s="62">
        <v>44449</v>
      </c>
      <c r="B3523" s="62" t="s">
        <v>3014</v>
      </c>
      <c r="C3523" s="23">
        <v>-1496</v>
      </c>
      <c r="D3523" s="24" t="s">
        <v>49</v>
      </c>
      <c r="E3523" s="24" t="s">
        <v>56</v>
      </c>
      <c r="F3523" s="63" t="s">
        <v>0</v>
      </c>
    </row>
    <row r="3524" spans="1:6" x14ac:dyDescent="0.25">
      <c r="A3524" s="62">
        <v>44449</v>
      </c>
      <c r="B3524" s="62" t="s">
        <v>3015</v>
      </c>
      <c r="C3524" s="23">
        <v>-1500</v>
      </c>
      <c r="D3524" s="24" t="s">
        <v>52</v>
      </c>
      <c r="E3524" s="24" t="s">
        <v>53</v>
      </c>
      <c r="F3524" s="63" t="s">
        <v>0</v>
      </c>
    </row>
    <row r="3525" spans="1:6" x14ac:dyDescent="0.25">
      <c r="A3525" s="62">
        <v>44449</v>
      </c>
      <c r="B3525" s="62" t="s">
        <v>3016</v>
      </c>
      <c r="C3525" s="23">
        <v>-948</v>
      </c>
      <c r="D3525" s="24" t="s">
        <v>52</v>
      </c>
      <c r="E3525" s="24" t="s">
        <v>134</v>
      </c>
      <c r="F3525" s="63" t="s">
        <v>0</v>
      </c>
    </row>
    <row r="3526" spans="1:6" x14ac:dyDescent="0.25">
      <c r="A3526" s="62">
        <v>44449</v>
      </c>
      <c r="B3526" s="62" t="s">
        <v>3017</v>
      </c>
      <c r="C3526" s="23">
        <v>-3000</v>
      </c>
      <c r="D3526" s="24" t="s">
        <v>72</v>
      </c>
      <c r="E3526" s="24" t="s">
        <v>197</v>
      </c>
      <c r="F3526" s="63" t="s">
        <v>0</v>
      </c>
    </row>
    <row r="3527" spans="1:6" x14ac:dyDescent="0.25">
      <c r="A3527" s="62">
        <v>44449</v>
      </c>
      <c r="B3527" s="62" t="s">
        <v>1280</v>
      </c>
      <c r="C3527" s="23">
        <v>-504</v>
      </c>
      <c r="D3527" s="24" t="s">
        <v>72</v>
      </c>
      <c r="E3527" s="24" t="s">
        <v>197</v>
      </c>
      <c r="F3527" s="63" t="s">
        <v>0</v>
      </c>
    </row>
    <row r="3528" spans="1:6" x14ac:dyDescent="0.25">
      <c r="A3528" s="62">
        <v>44449</v>
      </c>
      <c r="B3528" s="62" t="s">
        <v>3018</v>
      </c>
      <c r="C3528" s="23">
        <v>-3180</v>
      </c>
      <c r="D3528" s="24" t="s">
        <v>83</v>
      </c>
      <c r="E3528" s="24" t="s">
        <v>2151</v>
      </c>
      <c r="F3528" s="63" t="s">
        <v>0</v>
      </c>
    </row>
    <row r="3529" spans="1:6" x14ac:dyDescent="0.25">
      <c r="A3529" s="62">
        <v>44449</v>
      </c>
      <c r="B3529" s="62" t="s">
        <v>1651</v>
      </c>
      <c r="C3529" s="23">
        <v>818682</v>
      </c>
      <c r="D3529" s="24" t="s">
        <v>58</v>
      </c>
      <c r="E3529" s="24" t="s">
        <v>58</v>
      </c>
      <c r="F3529" s="63" t="s">
        <v>0</v>
      </c>
    </row>
    <row r="3530" spans="1:6" x14ac:dyDescent="0.25">
      <c r="A3530" s="62">
        <v>44448</v>
      </c>
      <c r="B3530" s="62" t="s">
        <v>3019</v>
      </c>
      <c r="C3530" s="23">
        <v>-586</v>
      </c>
      <c r="D3530" s="24" t="s">
        <v>72</v>
      </c>
      <c r="E3530" s="24" t="s">
        <v>197</v>
      </c>
      <c r="F3530" s="63" t="s">
        <v>0</v>
      </c>
    </row>
    <row r="3531" spans="1:6" x14ac:dyDescent="0.25">
      <c r="A3531" s="62">
        <v>44448</v>
      </c>
      <c r="B3531" s="62" t="s">
        <v>3020</v>
      </c>
      <c r="C3531" s="23">
        <v>-2080</v>
      </c>
      <c r="D3531" s="24" t="s">
        <v>49</v>
      </c>
      <c r="E3531" s="24" t="s">
        <v>67</v>
      </c>
      <c r="F3531" s="63" t="s">
        <v>0</v>
      </c>
    </row>
    <row r="3532" spans="1:6" x14ac:dyDescent="0.25">
      <c r="A3532" s="62">
        <v>44448</v>
      </c>
      <c r="B3532" s="62" t="s">
        <v>1331</v>
      </c>
      <c r="C3532" s="23">
        <v>-584</v>
      </c>
      <c r="D3532" s="24" t="s">
        <v>72</v>
      </c>
      <c r="E3532" s="24" t="s">
        <v>197</v>
      </c>
      <c r="F3532" s="63" t="s">
        <v>0</v>
      </c>
    </row>
    <row r="3533" spans="1:6" x14ac:dyDescent="0.25">
      <c r="A3533" s="62">
        <v>44448</v>
      </c>
      <c r="B3533" s="62" t="s">
        <v>1280</v>
      </c>
      <c r="C3533" s="23">
        <v>-504</v>
      </c>
      <c r="D3533" s="24" t="s">
        <v>72</v>
      </c>
      <c r="E3533" s="24" t="s">
        <v>197</v>
      </c>
      <c r="F3533" s="63" t="s">
        <v>0</v>
      </c>
    </row>
    <row r="3534" spans="1:6" x14ac:dyDescent="0.25">
      <c r="A3534" s="62">
        <v>44447</v>
      </c>
      <c r="B3534" s="62" t="s">
        <v>3021</v>
      </c>
      <c r="C3534" s="23">
        <v>-23070</v>
      </c>
      <c r="D3534" s="24" t="s">
        <v>49</v>
      </c>
      <c r="E3534" s="24" t="s">
        <v>56</v>
      </c>
      <c r="F3534" s="63" t="s">
        <v>0</v>
      </c>
    </row>
    <row r="3535" spans="1:6" x14ac:dyDescent="0.25">
      <c r="A3535" s="62">
        <v>44447</v>
      </c>
      <c r="B3535" s="62" t="s">
        <v>3022</v>
      </c>
      <c r="C3535" s="23">
        <v>-2516</v>
      </c>
      <c r="D3535" s="24" t="s">
        <v>49</v>
      </c>
      <c r="E3535" s="24" t="s">
        <v>56</v>
      </c>
      <c r="F3535" s="63" t="s">
        <v>0</v>
      </c>
    </row>
    <row r="3536" spans="1:6" x14ac:dyDescent="0.25">
      <c r="A3536" s="62">
        <v>44447</v>
      </c>
      <c r="B3536" s="62" t="s">
        <v>3023</v>
      </c>
      <c r="C3536" s="23">
        <v>-690</v>
      </c>
      <c r="D3536" s="24" t="s">
        <v>52</v>
      </c>
      <c r="E3536" s="24" t="s">
        <v>134</v>
      </c>
      <c r="F3536" s="63" t="s">
        <v>0</v>
      </c>
    </row>
    <row r="3537" spans="1:6" x14ac:dyDescent="0.25">
      <c r="A3537" s="62">
        <v>44447</v>
      </c>
      <c r="B3537" s="62" t="s">
        <v>2336</v>
      </c>
      <c r="C3537" s="23">
        <v>-419</v>
      </c>
      <c r="D3537" s="24" t="s">
        <v>72</v>
      </c>
      <c r="E3537" s="24" t="s">
        <v>197</v>
      </c>
      <c r="F3537" s="63" t="s">
        <v>0</v>
      </c>
    </row>
    <row r="3538" spans="1:6" x14ac:dyDescent="0.25">
      <c r="A3538" s="62">
        <v>44446</v>
      </c>
      <c r="B3538" s="62" t="s">
        <v>3024</v>
      </c>
      <c r="C3538" s="23">
        <v>-5000</v>
      </c>
      <c r="D3538" s="24" t="s">
        <v>49</v>
      </c>
      <c r="E3538" s="24" t="s">
        <v>1165</v>
      </c>
      <c r="F3538" s="63" t="s">
        <v>0</v>
      </c>
    </row>
    <row r="3539" spans="1:6" x14ac:dyDescent="0.25">
      <c r="A3539" s="62">
        <v>44445</v>
      </c>
      <c r="B3539" s="62" t="s">
        <v>3025</v>
      </c>
      <c r="C3539" s="23">
        <v>-6000</v>
      </c>
      <c r="D3539" s="24" t="s">
        <v>49</v>
      </c>
      <c r="E3539" s="24" t="s">
        <v>56</v>
      </c>
      <c r="F3539" s="63" t="s">
        <v>0</v>
      </c>
    </row>
    <row r="3540" spans="1:6" x14ac:dyDescent="0.25">
      <c r="A3540" s="62">
        <v>44445</v>
      </c>
      <c r="B3540" s="62" t="s">
        <v>3026</v>
      </c>
      <c r="C3540" s="23">
        <v>-17990</v>
      </c>
      <c r="D3540" s="24" t="s">
        <v>46</v>
      </c>
      <c r="E3540" s="24" t="s">
        <v>61</v>
      </c>
      <c r="F3540" s="63" t="s">
        <v>0</v>
      </c>
    </row>
    <row r="3541" spans="1:6" x14ac:dyDescent="0.25">
      <c r="A3541" s="62">
        <v>44445</v>
      </c>
      <c r="B3541" s="62" t="s">
        <v>3027</v>
      </c>
      <c r="C3541" s="23">
        <v>-117400</v>
      </c>
      <c r="D3541" s="24" t="s">
        <v>46</v>
      </c>
      <c r="E3541" s="24" t="s">
        <v>428</v>
      </c>
      <c r="F3541" s="63" t="s">
        <v>0</v>
      </c>
    </row>
    <row r="3542" spans="1:6" x14ac:dyDescent="0.25">
      <c r="A3542" s="62">
        <v>44445</v>
      </c>
      <c r="B3542" s="62" t="s">
        <v>3028</v>
      </c>
      <c r="C3542" s="23">
        <v>-24083</v>
      </c>
      <c r="D3542" s="24" t="s">
        <v>72</v>
      </c>
      <c r="E3542" s="24" t="s">
        <v>109</v>
      </c>
      <c r="F3542" s="63" t="s">
        <v>0</v>
      </c>
    </row>
    <row r="3543" spans="1:6" x14ac:dyDescent="0.25">
      <c r="A3543" s="62">
        <v>44445</v>
      </c>
      <c r="B3543" s="62" t="s">
        <v>3029</v>
      </c>
      <c r="C3543" s="23">
        <v>-5700</v>
      </c>
      <c r="D3543" s="24" t="s">
        <v>52</v>
      </c>
      <c r="E3543" s="24" t="s">
        <v>53</v>
      </c>
      <c r="F3543" s="63" t="s">
        <v>0</v>
      </c>
    </row>
    <row r="3544" spans="1:6" x14ac:dyDescent="0.25">
      <c r="A3544" s="62">
        <v>44445</v>
      </c>
      <c r="B3544" s="62" t="s">
        <v>3030</v>
      </c>
      <c r="C3544" s="23">
        <v>-8690</v>
      </c>
      <c r="D3544" s="24" t="s">
        <v>46</v>
      </c>
      <c r="E3544" s="24" t="s">
        <v>61</v>
      </c>
      <c r="F3544" s="63" t="s">
        <v>0</v>
      </c>
    </row>
    <row r="3545" spans="1:6" x14ac:dyDescent="0.25">
      <c r="A3545" s="62">
        <v>44445</v>
      </c>
      <c r="B3545" s="62" t="s">
        <v>3031</v>
      </c>
      <c r="C3545" s="23">
        <v>-4489500</v>
      </c>
      <c r="D3545" s="24" t="s">
        <v>72</v>
      </c>
      <c r="E3545" s="24" t="s">
        <v>737</v>
      </c>
      <c r="F3545" s="63" t="s">
        <v>0</v>
      </c>
    </row>
    <row r="3546" spans="1:6" x14ac:dyDescent="0.25">
      <c r="A3546" s="62">
        <v>44445</v>
      </c>
      <c r="B3546" s="62" t="s">
        <v>3032</v>
      </c>
      <c r="C3546" s="23">
        <v>-618693</v>
      </c>
      <c r="D3546" s="24" t="s">
        <v>167</v>
      </c>
      <c r="E3546" s="24" t="s">
        <v>183</v>
      </c>
      <c r="F3546" s="63" t="s">
        <v>3</v>
      </c>
    </row>
    <row r="3547" spans="1:6" x14ac:dyDescent="0.25">
      <c r="A3547" s="62">
        <v>44445</v>
      </c>
      <c r="B3547" s="62" t="s">
        <v>3032</v>
      </c>
      <c r="C3547" s="23">
        <v>-578850</v>
      </c>
      <c r="D3547" s="24" t="s">
        <v>167</v>
      </c>
      <c r="E3547" s="24" t="s">
        <v>183</v>
      </c>
      <c r="F3547" s="63" t="s">
        <v>3</v>
      </c>
    </row>
    <row r="3548" spans="1:6" x14ac:dyDescent="0.25">
      <c r="A3548" s="62">
        <v>44445</v>
      </c>
      <c r="B3548" s="62" t="s">
        <v>3032</v>
      </c>
      <c r="C3548" s="23">
        <v>618693</v>
      </c>
      <c r="D3548" s="24" t="s">
        <v>167</v>
      </c>
      <c r="E3548" s="24" t="s">
        <v>183</v>
      </c>
      <c r="F3548" s="63" t="s">
        <v>0</v>
      </c>
    </row>
    <row r="3549" spans="1:6" x14ac:dyDescent="0.25">
      <c r="A3549" s="62">
        <v>44445</v>
      </c>
      <c r="B3549" s="62" t="s">
        <v>3032</v>
      </c>
      <c r="C3549" s="23">
        <v>578850</v>
      </c>
      <c r="D3549" s="24" t="s">
        <v>167</v>
      </c>
      <c r="E3549" s="24" t="s">
        <v>183</v>
      </c>
      <c r="F3549" s="63" t="s">
        <v>0</v>
      </c>
    </row>
    <row r="3550" spans="1:6" x14ac:dyDescent="0.25">
      <c r="A3550" s="62">
        <v>44445</v>
      </c>
      <c r="B3550" s="62" t="s">
        <v>3032</v>
      </c>
      <c r="C3550" s="23">
        <v>-3552850</v>
      </c>
      <c r="D3550" s="24" t="s">
        <v>167</v>
      </c>
      <c r="E3550" s="24" t="s">
        <v>183</v>
      </c>
      <c r="F3550" s="63" t="s">
        <v>3</v>
      </c>
    </row>
    <row r="3551" spans="1:6" x14ac:dyDescent="0.25">
      <c r="A3551" s="62">
        <v>44445</v>
      </c>
      <c r="B3551" s="62" t="s">
        <v>3032</v>
      </c>
      <c r="C3551" s="23">
        <v>3552850</v>
      </c>
      <c r="D3551" s="24" t="s">
        <v>167</v>
      </c>
      <c r="E3551" s="24" t="s">
        <v>183</v>
      </c>
      <c r="F3551" s="63" t="s">
        <v>0</v>
      </c>
    </row>
    <row r="3552" spans="1:6" x14ac:dyDescent="0.25">
      <c r="A3552" s="62">
        <v>44443</v>
      </c>
      <c r="B3552" s="62" t="s">
        <v>171</v>
      </c>
      <c r="C3552" s="23">
        <v>1550</v>
      </c>
      <c r="D3552" s="24" t="s">
        <v>167</v>
      </c>
      <c r="E3552" s="24" t="s">
        <v>168</v>
      </c>
      <c r="F3552" s="63" t="s">
        <v>0</v>
      </c>
    </row>
    <row r="3553" spans="1:6" x14ac:dyDescent="0.25">
      <c r="A3553" s="62">
        <v>44442</v>
      </c>
      <c r="B3553" s="62" t="s">
        <v>2924</v>
      </c>
      <c r="C3553" s="23">
        <v>265999</v>
      </c>
      <c r="D3553" s="24" t="s">
        <v>58</v>
      </c>
      <c r="E3553" s="24" t="s">
        <v>58</v>
      </c>
      <c r="F3553" s="63" t="s">
        <v>0</v>
      </c>
    </row>
    <row r="3554" spans="1:6" x14ac:dyDescent="0.25">
      <c r="A3554" s="62">
        <v>44442</v>
      </c>
      <c r="B3554" s="62" t="s">
        <v>3033</v>
      </c>
      <c r="C3554" s="23">
        <v>-4609</v>
      </c>
      <c r="D3554" s="24" t="s">
        <v>167</v>
      </c>
      <c r="E3554" s="24" t="s">
        <v>168</v>
      </c>
      <c r="F3554" s="63" t="s">
        <v>0</v>
      </c>
    </row>
    <row r="3555" spans="1:6" x14ac:dyDescent="0.25">
      <c r="A3555" s="62">
        <v>44442</v>
      </c>
      <c r="B3555" s="62" t="s">
        <v>3034</v>
      </c>
      <c r="C3555" s="23">
        <v>-4990</v>
      </c>
      <c r="D3555" s="24" t="s">
        <v>52</v>
      </c>
      <c r="E3555" s="24" t="s">
        <v>53</v>
      </c>
      <c r="F3555" s="63" t="s">
        <v>0</v>
      </c>
    </row>
    <row r="3556" spans="1:6" x14ac:dyDescent="0.25">
      <c r="A3556" s="62">
        <v>44442</v>
      </c>
      <c r="B3556" s="62" t="s">
        <v>3035</v>
      </c>
      <c r="C3556" s="23">
        <v>-1250</v>
      </c>
      <c r="D3556" s="24" t="s">
        <v>52</v>
      </c>
      <c r="E3556" s="24" t="s">
        <v>53</v>
      </c>
      <c r="F3556" s="63" t="s">
        <v>0</v>
      </c>
    </row>
    <row r="3557" spans="1:6" x14ac:dyDescent="0.25">
      <c r="A3557" s="62">
        <v>44442</v>
      </c>
      <c r="B3557" s="62" t="s">
        <v>1280</v>
      </c>
      <c r="C3557" s="23">
        <v>-504</v>
      </c>
      <c r="D3557" s="24" t="s">
        <v>72</v>
      </c>
      <c r="E3557" s="24" t="s">
        <v>197</v>
      </c>
      <c r="F3557" s="63" t="s">
        <v>0</v>
      </c>
    </row>
    <row r="3558" spans="1:6" x14ac:dyDescent="0.25">
      <c r="A3558" s="62">
        <v>44442</v>
      </c>
      <c r="B3558" s="62" t="s">
        <v>1280</v>
      </c>
      <c r="C3558" s="23">
        <v>-504</v>
      </c>
      <c r="D3558" s="24" t="s">
        <v>72</v>
      </c>
      <c r="E3558" s="24" t="s">
        <v>197</v>
      </c>
      <c r="F3558" s="63" t="s">
        <v>0</v>
      </c>
    </row>
    <row r="3559" spans="1:6" x14ac:dyDescent="0.25">
      <c r="A3559" s="62">
        <v>44442</v>
      </c>
      <c r="B3559" s="62" t="s">
        <v>1681</v>
      </c>
      <c r="C3559" s="23">
        <v>-5000</v>
      </c>
      <c r="D3559" s="24" t="s">
        <v>49</v>
      </c>
      <c r="E3559" s="24" t="s">
        <v>67</v>
      </c>
      <c r="F3559" s="63" t="s">
        <v>0</v>
      </c>
    </row>
    <row r="3560" spans="1:6" x14ac:dyDescent="0.25">
      <c r="A3560" s="62">
        <v>44441</v>
      </c>
      <c r="B3560" s="62" t="s">
        <v>3036</v>
      </c>
      <c r="C3560" s="23">
        <v>-1199</v>
      </c>
      <c r="D3560" s="24" t="s">
        <v>167</v>
      </c>
      <c r="E3560" s="24" t="s">
        <v>168</v>
      </c>
      <c r="F3560" s="63" t="s">
        <v>0</v>
      </c>
    </row>
    <row r="3561" spans="1:6" x14ac:dyDescent="0.25">
      <c r="A3561" s="62">
        <v>44441</v>
      </c>
      <c r="B3561" s="62" t="s">
        <v>3037</v>
      </c>
      <c r="C3561" s="23">
        <v>-590</v>
      </c>
      <c r="D3561" s="24" t="s">
        <v>52</v>
      </c>
      <c r="E3561" s="24" t="s">
        <v>134</v>
      </c>
      <c r="F3561" s="63" t="s">
        <v>0</v>
      </c>
    </row>
    <row r="3562" spans="1:6" x14ac:dyDescent="0.25">
      <c r="A3562" s="62">
        <v>44440</v>
      </c>
      <c r="B3562" s="62" t="s">
        <v>3038</v>
      </c>
      <c r="C3562" s="23">
        <v>-3186</v>
      </c>
      <c r="D3562" s="24" t="s">
        <v>49</v>
      </c>
      <c r="E3562" s="24" t="s">
        <v>56</v>
      </c>
      <c r="F3562" s="63" t="s">
        <v>0</v>
      </c>
    </row>
    <row r="3563" spans="1:6" x14ac:dyDescent="0.25">
      <c r="A3563" s="62">
        <v>44440</v>
      </c>
      <c r="B3563" s="62" t="s">
        <v>3039</v>
      </c>
      <c r="C3563" s="23">
        <v>-630</v>
      </c>
      <c r="D3563" s="24" t="s">
        <v>52</v>
      </c>
      <c r="E3563" s="24" t="s">
        <v>134</v>
      </c>
      <c r="F3563" s="63" t="s">
        <v>0</v>
      </c>
    </row>
    <row r="3564" spans="1:6" x14ac:dyDescent="0.25">
      <c r="A3564" s="62">
        <v>44440</v>
      </c>
      <c r="B3564" s="62" t="s">
        <v>3040</v>
      </c>
      <c r="C3564" s="23">
        <v>-2596</v>
      </c>
      <c r="D3564" s="24" t="s">
        <v>72</v>
      </c>
      <c r="E3564" s="24" t="s">
        <v>73</v>
      </c>
      <c r="F3564" s="63" t="s">
        <v>0</v>
      </c>
    </row>
    <row r="3565" spans="1:6" x14ac:dyDescent="0.25">
      <c r="A3565" s="62">
        <v>44440</v>
      </c>
      <c r="B3565" s="62" t="s">
        <v>2570</v>
      </c>
      <c r="C3565" s="23">
        <v>-650</v>
      </c>
      <c r="D3565" s="24" t="s">
        <v>52</v>
      </c>
      <c r="E3565" s="24" t="s">
        <v>134</v>
      </c>
      <c r="F3565" s="63" t="s">
        <v>0</v>
      </c>
    </row>
    <row r="3566" spans="1:6" x14ac:dyDescent="0.25">
      <c r="A3566" s="62">
        <v>44440</v>
      </c>
      <c r="B3566" s="62" t="s">
        <v>3041</v>
      </c>
      <c r="C3566" s="23">
        <v>-2480</v>
      </c>
      <c r="D3566" s="24" t="s">
        <v>46</v>
      </c>
      <c r="E3566" s="24" t="s">
        <v>61</v>
      </c>
      <c r="F3566" s="63" t="s">
        <v>0</v>
      </c>
    </row>
    <row r="3567" spans="1:6" x14ac:dyDescent="0.25">
      <c r="A3567" s="62">
        <v>44440</v>
      </c>
      <c r="B3567" s="62" t="s">
        <v>3042</v>
      </c>
      <c r="C3567" s="23">
        <v>-5480</v>
      </c>
      <c r="D3567" s="24" t="s">
        <v>52</v>
      </c>
      <c r="E3567" s="24" t="s">
        <v>53</v>
      </c>
      <c r="F3567" s="63" t="s">
        <v>0</v>
      </c>
    </row>
    <row r="3568" spans="1:6" x14ac:dyDescent="0.25">
      <c r="A3568" s="62">
        <v>44439</v>
      </c>
      <c r="B3568" s="62" t="s">
        <v>3043</v>
      </c>
      <c r="C3568" s="23">
        <v>5.31</v>
      </c>
      <c r="D3568" s="24" t="s">
        <v>167</v>
      </c>
      <c r="E3568" s="24" t="s">
        <v>32</v>
      </c>
      <c r="F3568" s="63" t="s">
        <v>0</v>
      </c>
    </row>
    <row r="3569" spans="1:6" x14ac:dyDescent="0.25">
      <c r="A3569" s="62">
        <v>44439</v>
      </c>
      <c r="B3569" s="62" t="s">
        <v>43</v>
      </c>
      <c r="C3569" s="23">
        <v>-1799</v>
      </c>
      <c r="D3569" s="24" t="s">
        <v>167</v>
      </c>
      <c r="E3569" s="24" t="s">
        <v>168</v>
      </c>
      <c r="F3569" s="63" t="s">
        <v>0</v>
      </c>
    </row>
    <row r="3570" spans="1:6" x14ac:dyDescent="0.25">
      <c r="A3570" s="62">
        <v>44439</v>
      </c>
      <c r="B3570" s="62" t="s">
        <v>3044</v>
      </c>
      <c r="C3570" s="23">
        <v>-64000</v>
      </c>
      <c r="D3570" s="24" t="s">
        <v>72</v>
      </c>
      <c r="E3570" s="24" t="s">
        <v>445</v>
      </c>
      <c r="F3570" s="63" t="s">
        <v>7</v>
      </c>
    </row>
    <row r="3571" spans="1:6" x14ac:dyDescent="0.25">
      <c r="A3571" s="62">
        <v>44439</v>
      </c>
      <c r="B3571" s="62" t="s">
        <v>3045</v>
      </c>
      <c r="C3571" s="23">
        <v>-40000</v>
      </c>
      <c r="D3571" s="24" t="s">
        <v>206</v>
      </c>
      <c r="E3571" s="24" t="s">
        <v>2123</v>
      </c>
      <c r="F3571" s="63" t="s">
        <v>0</v>
      </c>
    </row>
    <row r="3572" spans="1:6" x14ac:dyDescent="0.25">
      <c r="A3572" s="62">
        <v>44439</v>
      </c>
      <c r="B3572" s="62" t="s">
        <v>3046</v>
      </c>
      <c r="C3572" s="23">
        <v>-175210</v>
      </c>
      <c r="D3572" s="24" t="s">
        <v>206</v>
      </c>
      <c r="E3572" s="24" t="s">
        <v>2123</v>
      </c>
      <c r="F3572" s="63" t="s">
        <v>0</v>
      </c>
    </row>
    <row r="3573" spans="1:6" x14ac:dyDescent="0.25">
      <c r="A3573" s="62">
        <v>44439</v>
      </c>
      <c r="B3573" s="62" t="s">
        <v>3047</v>
      </c>
      <c r="C3573" s="23">
        <v>-28050</v>
      </c>
      <c r="D3573" s="24" t="s">
        <v>46</v>
      </c>
      <c r="E3573" s="24" t="s">
        <v>61</v>
      </c>
      <c r="F3573" s="63" t="s">
        <v>0</v>
      </c>
    </row>
    <row r="3574" spans="1:6" x14ac:dyDescent="0.25">
      <c r="A3574" s="62">
        <v>44439</v>
      </c>
      <c r="B3574" s="62" t="s">
        <v>3048</v>
      </c>
      <c r="C3574" s="23">
        <v>-26593</v>
      </c>
      <c r="D3574" s="24" t="s">
        <v>72</v>
      </c>
      <c r="E3574" s="24" t="s">
        <v>109</v>
      </c>
      <c r="F3574" s="63" t="s">
        <v>0</v>
      </c>
    </row>
    <row r="3575" spans="1:6" x14ac:dyDescent="0.25">
      <c r="A3575" s="62">
        <v>44439</v>
      </c>
      <c r="B3575" s="62" t="s">
        <v>3049</v>
      </c>
      <c r="C3575" s="23">
        <v>-36574</v>
      </c>
      <c r="D3575" s="24" t="s">
        <v>49</v>
      </c>
      <c r="E3575" s="24" t="s">
        <v>67</v>
      </c>
      <c r="F3575" s="63" t="s">
        <v>0</v>
      </c>
    </row>
    <row r="3576" spans="1:6" x14ac:dyDescent="0.25">
      <c r="A3576" s="62">
        <v>44439</v>
      </c>
      <c r="B3576" s="62" t="s">
        <v>3050</v>
      </c>
      <c r="C3576" s="23">
        <v>-2278</v>
      </c>
      <c r="D3576" s="24" t="s">
        <v>49</v>
      </c>
      <c r="E3576" s="24" t="s">
        <v>56</v>
      </c>
      <c r="F3576" s="63" t="s">
        <v>0</v>
      </c>
    </row>
    <row r="3577" spans="1:6" x14ac:dyDescent="0.25">
      <c r="A3577" s="62">
        <v>44439</v>
      </c>
      <c r="B3577" s="62" t="s">
        <v>3044</v>
      </c>
      <c r="C3577" s="23">
        <v>-300000</v>
      </c>
      <c r="D3577" s="24" t="s">
        <v>72</v>
      </c>
      <c r="E3577" s="24" t="s">
        <v>445</v>
      </c>
      <c r="F3577" s="63" t="s">
        <v>7</v>
      </c>
    </row>
    <row r="3578" spans="1:6" x14ac:dyDescent="0.25">
      <c r="A3578" s="62">
        <v>44438</v>
      </c>
      <c r="B3578" s="62" t="s">
        <v>3051</v>
      </c>
      <c r="C3578" s="23">
        <v>-50000</v>
      </c>
      <c r="D3578" s="24" t="s">
        <v>206</v>
      </c>
      <c r="E3578" s="24" t="s">
        <v>830</v>
      </c>
      <c r="F3578" s="63" t="s">
        <v>0</v>
      </c>
    </row>
    <row r="3579" spans="1:6" x14ac:dyDescent="0.25">
      <c r="A3579" s="62">
        <v>44438</v>
      </c>
      <c r="B3579" s="62" t="s">
        <v>3052</v>
      </c>
      <c r="C3579" s="23">
        <v>-1166</v>
      </c>
      <c r="D3579" s="24" t="s">
        <v>49</v>
      </c>
      <c r="E3579" s="24" t="s">
        <v>56</v>
      </c>
      <c r="F3579" s="63" t="s">
        <v>0</v>
      </c>
    </row>
    <row r="3580" spans="1:6" x14ac:dyDescent="0.25">
      <c r="A3580" s="62">
        <v>44438</v>
      </c>
      <c r="B3580" s="62" t="s">
        <v>3053</v>
      </c>
      <c r="C3580" s="23">
        <v>-34085</v>
      </c>
      <c r="D3580" s="24" t="s">
        <v>46</v>
      </c>
      <c r="E3580" s="24" t="s">
        <v>428</v>
      </c>
      <c r="F3580" s="63" t="s">
        <v>0</v>
      </c>
    </row>
    <row r="3581" spans="1:6" x14ac:dyDescent="0.25">
      <c r="A3581" s="62">
        <v>44438</v>
      </c>
      <c r="B3581" s="62" t="s">
        <v>3054</v>
      </c>
      <c r="C3581" s="23">
        <v>-11840</v>
      </c>
      <c r="D3581" s="24" t="s">
        <v>49</v>
      </c>
      <c r="E3581" s="24" t="s">
        <v>56</v>
      </c>
      <c r="F3581" s="63" t="s">
        <v>0</v>
      </c>
    </row>
    <row r="3582" spans="1:6" x14ac:dyDescent="0.25">
      <c r="A3582" s="62">
        <v>44438</v>
      </c>
      <c r="B3582" s="62" t="s">
        <v>3055</v>
      </c>
      <c r="C3582" s="23">
        <v>-510</v>
      </c>
      <c r="D3582" s="24" t="s">
        <v>49</v>
      </c>
      <c r="E3582" s="24" t="s">
        <v>56</v>
      </c>
      <c r="F3582" s="63" t="s">
        <v>0</v>
      </c>
    </row>
    <row r="3583" spans="1:6" x14ac:dyDescent="0.25">
      <c r="A3583" s="62">
        <v>44438</v>
      </c>
      <c r="B3583" s="62" t="s">
        <v>3056</v>
      </c>
      <c r="C3583" s="23">
        <v>-4087</v>
      </c>
      <c r="D3583" s="24" t="s">
        <v>49</v>
      </c>
      <c r="E3583" s="24" t="s">
        <v>56</v>
      </c>
      <c r="F3583" s="63" t="s">
        <v>0</v>
      </c>
    </row>
    <row r="3584" spans="1:6" x14ac:dyDescent="0.25">
      <c r="A3584" s="62">
        <v>44438</v>
      </c>
      <c r="B3584" s="62" t="s">
        <v>3057</v>
      </c>
      <c r="C3584" s="23">
        <v>-1215</v>
      </c>
      <c r="D3584" s="24" t="s">
        <v>49</v>
      </c>
      <c r="E3584" s="24" t="s">
        <v>56</v>
      </c>
      <c r="F3584" s="63" t="s">
        <v>0</v>
      </c>
    </row>
    <row r="3585" spans="1:6" x14ac:dyDescent="0.25">
      <c r="A3585" s="62">
        <v>44438</v>
      </c>
      <c r="B3585" s="62" t="s">
        <v>3058</v>
      </c>
      <c r="C3585" s="23">
        <v>50000</v>
      </c>
      <c r="D3585" s="24" t="s">
        <v>206</v>
      </c>
      <c r="E3585" s="24" t="s">
        <v>830</v>
      </c>
      <c r="F3585" s="63" t="s">
        <v>7</v>
      </c>
    </row>
    <row r="3586" spans="1:6" x14ac:dyDescent="0.25">
      <c r="A3586" s="62">
        <v>44438</v>
      </c>
      <c r="B3586" s="62" t="s">
        <v>3059</v>
      </c>
      <c r="C3586" s="23">
        <v>100000</v>
      </c>
      <c r="D3586" s="24" t="s">
        <v>206</v>
      </c>
      <c r="E3586" s="24" t="s">
        <v>830</v>
      </c>
      <c r="F3586" s="63" t="s">
        <v>7</v>
      </c>
    </row>
    <row r="3587" spans="1:6" x14ac:dyDescent="0.25">
      <c r="A3587" s="62">
        <v>44438</v>
      </c>
      <c r="B3587" s="62" t="s">
        <v>3058</v>
      </c>
      <c r="C3587" s="23">
        <v>-50000</v>
      </c>
      <c r="D3587" s="24" t="s">
        <v>206</v>
      </c>
      <c r="E3587" s="24" t="s">
        <v>830</v>
      </c>
      <c r="F3587" s="63" t="s">
        <v>0</v>
      </c>
    </row>
    <row r="3588" spans="1:6" x14ac:dyDescent="0.25">
      <c r="A3588" s="62">
        <v>44438</v>
      </c>
      <c r="B3588" s="62" t="s">
        <v>3059</v>
      </c>
      <c r="C3588" s="23">
        <v>-100000</v>
      </c>
      <c r="D3588" s="24" t="s">
        <v>206</v>
      </c>
      <c r="E3588" s="24" t="s">
        <v>830</v>
      </c>
      <c r="F3588" s="63" t="s">
        <v>0</v>
      </c>
    </row>
    <row r="3589" spans="1:6" x14ac:dyDescent="0.25">
      <c r="A3589" s="62">
        <v>44438</v>
      </c>
      <c r="B3589" s="62" t="s">
        <v>1037</v>
      </c>
      <c r="C3589" s="23">
        <v>-784</v>
      </c>
      <c r="D3589" s="24" t="s">
        <v>167</v>
      </c>
      <c r="E3589" s="24" t="s">
        <v>168</v>
      </c>
      <c r="F3589" s="63" t="s">
        <v>0</v>
      </c>
    </row>
    <row r="3590" spans="1:6" x14ac:dyDescent="0.25">
      <c r="A3590" s="62">
        <v>44438</v>
      </c>
      <c r="B3590" s="62" t="s">
        <v>1037</v>
      </c>
      <c r="C3590" s="23">
        <v>-784</v>
      </c>
      <c r="D3590" s="24" t="s">
        <v>167</v>
      </c>
      <c r="E3590" s="24" t="s">
        <v>168</v>
      </c>
      <c r="F3590" s="63" t="s">
        <v>0</v>
      </c>
    </row>
    <row r="3591" spans="1:6" x14ac:dyDescent="0.25">
      <c r="A3591" s="62">
        <v>44438</v>
      </c>
      <c r="B3591" s="62" t="s">
        <v>3060</v>
      </c>
      <c r="C3591" s="23">
        <v>-784</v>
      </c>
      <c r="D3591" s="24" t="s">
        <v>167</v>
      </c>
      <c r="E3591" s="24" t="s">
        <v>168</v>
      </c>
      <c r="F3591" s="63" t="s">
        <v>0</v>
      </c>
    </row>
    <row r="3592" spans="1:6" x14ac:dyDescent="0.25">
      <c r="A3592" s="62">
        <v>44438</v>
      </c>
      <c r="B3592" s="62" t="s">
        <v>3060</v>
      </c>
      <c r="C3592" s="23">
        <v>-784</v>
      </c>
      <c r="D3592" s="24" t="s">
        <v>167</v>
      </c>
      <c r="E3592" s="24" t="s">
        <v>168</v>
      </c>
      <c r="F3592" s="63" t="s">
        <v>0</v>
      </c>
    </row>
    <row r="3593" spans="1:6" x14ac:dyDescent="0.25">
      <c r="A3593" s="62">
        <v>44438</v>
      </c>
      <c r="B3593" s="62" t="s">
        <v>3060</v>
      </c>
      <c r="C3593" s="23">
        <v>-784</v>
      </c>
      <c r="D3593" s="24" t="s">
        <v>167</v>
      </c>
      <c r="E3593" s="24" t="s">
        <v>168</v>
      </c>
      <c r="F3593" s="63" t="s">
        <v>0</v>
      </c>
    </row>
    <row r="3594" spans="1:6" x14ac:dyDescent="0.25">
      <c r="A3594" s="62">
        <v>44438</v>
      </c>
      <c r="B3594" s="62" t="s">
        <v>3061</v>
      </c>
      <c r="C3594" s="23">
        <v>-13270</v>
      </c>
      <c r="D3594" s="24" t="s">
        <v>49</v>
      </c>
      <c r="E3594" s="24" t="s">
        <v>67</v>
      </c>
      <c r="F3594" s="63" t="s">
        <v>0</v>
      </c>
    </row>
    <row r="3595" spans="1:6" x14ac:dyDescent="0.25">
      <c r="A3595" s="62">
        <v>44438</v>
      </c>
      <c r="B3595" s="62" t="s">
        <v>2336</v>
      </c>
      <c r="C3595" s="23">
        <v>-419</v>
      </c>
      <c r="D3595" s="24" t="s">
        <v>72</v>
      </c>
      <c r="E3595" s="24" t="s">
        <v>197</v>
      </c>
      <c r="F3595" s="63" t="s">
        <v>0</v>
      </c>
    </row>
    <row r="3596" spans="1:6" x14ac:dyDescent="0.25">
      <c r="A3596" s="62">
        <v>44438</v>
      </c>
      <c r="B3596" s="62" t="s">
        <v>1037</v>
      </c>
      <c r="C3596" s="23">
        <v>100000</v>
      </c>
      <c r="D3596" s="24" t="s">
        <v>206</v>
      </c>
      <c r="E3596" s="24" t="s">
        <v>830</v>
      </c>
      <c r="F3596" s="63" t="s">
        <v>7</v>
      </c>
    </row>
    <row r="3597" spans="1:6" x14ac:dyDescent="0.25">
      <c r="A3597" s="62">
        <v>44438</v>
      </c>
      <c r="B3597" s="62" t="s">
        <v>1037</v>
      </c>
      <c r="C3597" s="23">
        <v>100000</v>
      </c>
      <c r="D3597" s="24" t="s">
        <v>206</v>
      </c>
      <c r="E3597" s="24" t="s">
        <v>830</v>
      </c>
      <c r="F3597" s="63" t="s">
        <v>7</v>
      </c>
    </row>
    <row r="3598" spans="1:6" x14ac:dyDescent="0.25">
      <c r="A3598" s="62">
        <v>44438</v>
      </c>
      <c r="B3598" s="62" t="s">
        <v>3060</v>
      </c>
      <c r="C3598" s="23">
        <v>100000</v>
      </c>
      <c r="D3598" s="24" t="s">
        <v>206</v>
      </c>
      <c r="E3598" s="24" t="s">
        <v>830</v>
      </c>
      <c r="F3598" s="63" t="s">
        <v>7</v>
      </c>
    </row>
    <row r="3599" spans="1:6" x14ac:dyDescent="0.25">
      <c r="A3599" s="62">
        <v>44438</v>
      </c>
      <c r="B3599" s="62" t="s">
        <v>3060</v>
      </c>
      <c r="C3599" s="23">
        <v>100000</v>
      </c>
      <c r="D3599" s="24" t="s">
        <v>206</v>
      </c>
      <c r="E3599" s="24" t="s">
        <v>830</v>
      </c>
      <c r="F3599" s="63" t="s">
        <v>7</v>
      </c>
    </row>
    <row r="3600" spans="1:6" x14ac:dyDescent="0.25">
      <c r="A3600" s="62">
        <v>44438</v>
      </c>
      <c r="B3600" s="62" t="s">
        <v>3060</v>
      </c>
      <c r="C3600" s="23">
        <v>100000</v>
      </c>
      <c r="D3600" s="24" t="s">
        <v>206</v>
      </c>
      <c r="E3600" s="24" t="s">
        <v>830</v>
      </c>
      <c r="F3600" s="63" t="s">
        <v>7</v>
      </c>
    </row>
    <row r="3601" spans="1:6" x14ac:dyDescent="0.25">
      <c r="A3601" s="62">
        <v>44438</v>
      </c>
      <c r="B3601" s="62" t="s">
        <v>1037</v>
      </c>
      <c r="C3601" s="23">
        <v>-100000</v>
      </c>
      <c r="D3601" s="24" t="s">
        <v>206</v>
      </c>
      <c r="E3601" s="24" t="s">
        <v>830</v>
      </c>
      <c r="F3601" s="63" t="s">
        <v>0</v>
      </c>
    </row>
    <row r="3602" spans="1:6" x14ac:dyDescent="0.25">
      <c r="A3602" s="62">
        <v>44438</v>
      </c>
      <c r="B3602" s="62" t="s">
        <v>1037</v>
      </c>
      <c r="C3602" s="23">
        <v>-100000</v>
      </c>
      <c r="D3602" s="24" t="s">
        <v>206</v>
      </c>
      <c r="E3602" s="24" t="s">
        <v>830</v>
      </c>
      <c r="F3602" s="63" t="s">
        <v>0</v>
      </c>
    </row>
    <row r="3603" spans="1:6" x14ac:dyDescent="0.25">
      <c r="A3603" s="62">
        <v>44438</v>
      </c>
      <c r="B3603" s="62" t="s">
        <v>3060</v>
      </c>
      <c r="C3603" s="23">
        <v>-100000</v>
      </c>
      <c r="D3603" s="24" t="s">
        <v>206</v>
      </c>
      <c r="E3603" s="24" t="s">
        <v>830</v>
      </c>
      <c r="F3603" s="63" t="s">
        <v>0</v>
      </c>
    </row>
    <row r="3604" spans="1:6" x14ac:dyDescent="0.25">
      <c r="A3604" s="62">
        <v>44438</v>
      </c>
      <c r="B3604" s="62" t="s">
        <v>3060</v>
      </c>
      <c r="C3604" s="23">
        <v>-100000</v>
      </c>
      <c r="D3604" s="24" t="s">
        <v>206</v>
      </c>
      <c r="E3604" s="24" t="s">
        <v>830</v>
      </c>
      <c r="F3604" s="63" t="s">
        <v>0</v>
      </c>
    </row>
    <row r="3605" spans="1:6" x14ac:dyDescent="0.25">
      <c r="A3605" s="62">
        <v>44438</v>
      </c>
      <c r="B3605" s="62" t="s">
        <v>3060</v>
      </c>
      <c r="C3605" s="23">
        <v>-100000</v>
      </c>
      <c r="D3605" s="24" t="s">
        <v>206</v>
      </c>
      <c r="E3605" s="24" t="s">
        <v>830</v>
      </c>
      <c r="F3605" s="63" t="s">
        <v>0</v>
      </c>
    </row>
    <row r="3606" spans="1:6" x14ac:dyDescent="0.25">
      <c r="A3606" s="62">
        <v>44438</v>
      </c>
      <c r="B3606" s="62" t="s">
        <v>3062</v>
      </c>
      <c r="C3606" s="23">
        <v>-3990</v>
      </c>
      <c r="D3606" s="24" t="s">
        <v>46</v>
      </c>
      <c r="E3606" s="24" t="s">
        <v>63</v>
      </c>
      <c r="F3606" s="63" t="s">
        <v>0</v>
      </c>
    </row>
    <row r="3607" spans="1:6" x14ac:dyDescent="0.25">
      <c r="A3607" s="62">
        <v>44438</v>
      </c>
      <c r="B3607" s="62" t="s">
        <v>3063</v>
      </c>
      <c r="C3607" s="23">
        <v>-40000</v>
      </c>
      <c r="D3607" s="24" t="s">
        <v>206</v>
      </c>
      <c r="E3607" s="24" t="s">
        <v>2123</v>
      </c>
      <c r="F3607" s="63" t="s">
        <v>0</v>
      </c>
    </row>
    <row r="3608" spans="1:6" x14ac:dyDescent="0.25">
      <c r="A3608" s="62">
        <v>44438</v>
      </c>
      <c r="B3608" s="62" t="s">
        <v>3064</v>
      </c>
      <c r="C3608" s="23">
        <v>-363684</v>
      </c>
      <c r="D3608" s="24" t="s">
        <v>206</v>
      </c>
      <c r="E3608" s="24" t="s">
        <v>2123</v>
      </c>
      <c r="F3608" s="63" t="s">
        <v>0</v>
      </c>
    </row>
    <row r="3609" spans="1:6" x14ac:dyDescent="0.25">
      <c r="A3609" s="62">
        <v>44438</v>
      </c>
      <c r="B3609" s="62" t="s">
        <v>3065</v>
      </c>
      <c r="C3609" s="23">
        <v>-20000</v>
      </c>
      <c r="D3609" s="24" t="s">
        <v>206</v>
      </c>
      <c r="E3609" s="24" t="s">
        <v>2123</v>
      </c>
      <c r="F3609" s="63" t="s">
        <v>0</v>
      </c>
    </row>
    <row r="3610" spans="1:6" x14ac:dyDescent="0.25">
      <c r="A3610" s="62">
        <v>44438</v>
      </c>
      <c r="B3610" s="62" t="s">
        <v>3032</v>
      </c>
      <c r="C3610" s="23">
        <v>-1000700</v>
      </c>
      <c r="D3610" s="24" t="s">
        <v>167</v>
      </c>
      <c r="E3610" s="24" t="s">
        <v>183</v>
      </c>
      <c r="F3610" s="63" t="s">
        <v>3</v>
      </c>
    </row>
    <row r="3611" spans="1:6" x14ac:dyDescent="0.25">
      <c r="A3611" s="62">
        <v>44438</v>
      </c>
      <c r="B3611" s="62" t="s">
        <v>3032</v>
      </c>
      <c r="C3611" s="23">
        <v>1000700</v>
      </c>
      <c r="D3611" s="24" t="s">
        <v>167</v>
      </c>
      <c r="E3611" s="24" t="s">
        <v>183</v>
      </c>
      <c r="F3611" s="63" t="s">
        <v>0</v>
      </c>
    </row>
    <row r="3612" spans="1:6" x14ac:dyDescent="0.25">
      <c r="A3612" s="62">
        <v>44436</v>
      </c>
      <c r="B3612" s="62" t="s">
        <v>3066</v>
      </c>
      <c r="C3612" s="23">
        <v>1500000</v>
      </c>
      <c r="D3612" s="24" t="s">
        <v>206</v>
      </c>
      <c r="E3612" s="24" t="s">
        <v>2123</v>
      </c>
      <c r="F3612" s="63" t="s">
        <v>7</v>
      </c>
    </row>
    <row r="3613" spans="1:6" x14ac:dyDescent="0.25">
      <c r="A3613" s="62">
        <v>44436</v>
      </c>
      <c r="B3613" s="62" t="s">
        <v>3067</v>
      </c>
      <c r="C3613" s="23">
        <v>-32000</v>
      </c>
      <c r="D3613" s="24" t="s">
        <v>206</v>
      </c>
      <c r="E3613" s="24" t="s">
        <v>2123</v>
      </c>
      <c r="F3613" s="63" t="s">
        <v>7</v>
      </c>
    </row>
    <row r="3614" spans="1:6" x14ac:dyDescent="0.25">
      <c r="A3614" s="62">
        <v>44436</v>
      </c>
      <c r="B3614" s="62" t="s">
        <v>3068</v>
      </c>
      <c r="C3614" s="23">
        <v>-30000</v>
      </c>
      <c r="D3614" s="24" t="s">
        <v>206</v>
      </c>
      <c r="E3614" s="24" t="s">
        <v>2123</v>
      </c>
      <c r="F3614" s="63" t="s">
        <v>7</v>
      </c>
    </row>
    <row r="3615" spans="1:6" x14ac:dyDescent="0.25">
      <c r="A3615" s="62">
        <v>44436</v>
      </c>
      <c r="B3615" s="62" t="s">
        <v>3069</v>
      </c>
      <c r="C3615" s="23">
        <v>-140000</v>
      </c>
      <c r="D3615" s="24" t="s">
        <v>206</v>
      </c>
      <c r="E3615" s="24" t="s">
        <v>2123</v>
      </c>
      <c r="F3615" s="63" t="s">
        <v>7</v>
      </c>
    </row>
    <row r="3616" spans="1:6" x14ac:dyDescent="0.25">
      <c r="A3616" s="62">
        <v>44436</v>
      </c>
      <c r="B3616" s="62" t="s">
        <v>3070</v>
      </c>
      <c r="C3616" s="23">
        <v>-120000</v>
      </c>
      <c r="D3616" s="24" t="s">
        <v>206</v>
      </c>
      <c r="E3616" s="24" t="s">
        <v>2123</v>
      </c>
      <c r="F3616" s="63" t="s">
        <v>7</v>
      </c>
    </row>
    <row r="3617" spans="1:6" x14ac:dyDescent="0.25">
      <c r="A3617" s="62">
        <v>44435</v>
      </c>
      <c r="B3617" s="62" t="s">
        <v>3071</v>
      </c>
      <c r="C3617" s="23">
        <v>-2640</v>
      </c>
      <c r="D3617" s="24" t="s">
        <v>52</v>
      </c>
      <c r="E3617" s="24" t="s">
        <v>53</v>
      </c>
      <c r="F3617" s="63" t="s">
        <v>0</v>
      </c>
    </row>
    <row r="3618" spans="1:6" x14ac:dyDescent="0.25">
      <c r="A3618" s="62">
        <v>44434</v>
      </c>
      <c r="B3618" s="62" t="s">
        <v>3072</v>
      </c>
      <c r="C3618" s="23">
        <v>-8970</v>
      </c>
      <c r="D3618" s="24" t="s">
        <v>49</v>
      </c>
      <c r="E3618" s="24" t="s">
        <v>213</v>
      </c>
      <c r="F3618" s="63" t="s">
        <v>0</v>
      </c>
    </row>
    <row r="3619" spans="1:6" x14ac:dyDescent="0.25">
      <c r="A3619" s="62">
        <v>44434</v>
      </c>
      <c r="B3619" s="62" t="s">
        <v>3073</v>
      </c>
      <c r="C3619" s="23">
        <v>-586</v>
      </c>
      <c r="D3619" s="24" t="s">
        <v>72</v>
      </c>
      <c r="E3619" s="24" t="s">
        <v>197</v>
      </c>
      <c r="F3619" s="63" t="s">
        <v>0</v>
      </c>
    </row>
    <row r="3620" spans="1:6" x14ac:dyDescent="0.25">
      <c r="A3620" s="62">
        <v>44434</v>
      </c>
      <c r="B3620" s="62" t="s">
        <v>3074</v>
      </c>
      <c r="C3620" s="23">
        <v>-1754</v>
      </c>
      <c r="D3620" s="24" t="s">
        <v>52</v>
      </c>
      <c r="E3620" s="24" t="s">
        <v>134</v>
      </c>
      <c r="F3620" s="63" t="s">
        <v>0</v>
      </c>
    </row>
    <row r="3621" spans="1:6" x14ac:dyDescent="0.25">
      <c r="A3621" s="62">
        <v>44434</v>
      </c>
      <c r="B3621" s="62" t="s">
        <v>3075</v>
      </c>
      <c r="C3621" s="23">
        <v>-12350</v>
      </c>
      <c r="D3621" s="24" t="s">
        <v>49</v>
      </c>
      <c r="E3621" s="24" t="s">
        <v>56</v>
      </c>
      <c r="F3621" s="63" t="s">
        <v>0</v>
      </c>
    </row>
    <row r="3622" spans="1:6" x14ac:dyDescent="0.25">
      <c r="A3622" s="62">
        <v>44434</v>
      </c>
      <c r="B3622" s="62" t="s">
        <v>3076</v>
      </c>
      <c r="C3622" s="23">
        <v>-490</v>
      </c>
      <c r="D3622" s="24" t="s">
        <v>52</v>
      </c>
      <c r="E3622" s="24" t="s">
        <v>53</v>
      </c>
      <c r="F3622" s="63" t="s">
        <v>0</v>
      </c>
    </row>
    <row r="3623" spans="1:6" x14ac:dyDescent="0.25">
      <c r="A3623" s="62">
        <v>44434</v>
      </c>
      <c r="B3623" s="62" t="s">
        <v>3077</v>
      </c>
      <c r="C3623" s="23">
        <v>-21990</v>
      </c>
      <c r="D3623" s="24" t="s">
        <v>206</v>
      </c>
      <c r="E3623" s="24" t="s">
        <v>2123</v>
      </c>
      <c r="F3623" s="63" t="s">
        <v>0</v>
      </c>
    </row>
    <row r="3624" spans="1:6" x14ac:dyDescent="0.25">
      <c r="A3624" s="62">
        <v>44434</v>
      </c>
      <c r="B3624" s="62" t="s">
        <v>3078</v>
      </c>
      <c r="C3624" s="23">
        <v>-2580</v>
      </c>
      <c r="D3624" s="24" t="s">
        <v>46</v>
      </c>
      <c r="E3624" s="24" t="s">
        <v>61</v>
      </c>
      <c r="F3624" s="63" t="s">
        <v>0</v>
      </c>
    </row>
    <row r="3625" spans="1:6" x14ac:dyDescent="0.25">
      <c r="A3625" s="62">
        <v>44434</v>
      </c>
      <c r="B3625" s="62" t="s">
        <v>3079</v>
      </c>
      <c r="C3625" s="23">
        <v>-660</v>
      </c>
      <c r="D3625" s="24" t="s">
        <v>52</v>
      </c>
      <c r="E3625" s="24" t="s">
        <v>134</v>
      </c>
      <c r="F3625" s="63" t="s">
        <v>0</v>
      </c>
    </row>
    <row r="3626" spans="1:6" x14ac:dyDescent="0.25">
      <c r="A3626" s="62">
        <v>44434</v>
      </c>
      <c r="B3626" s="62" t="s">
        <v>1280</v>
      </c>
      <c r="C3626" s="23">
        <v>-504</v>
      </c>
      <c r="D3626" s="24" t="s">
        <v>72</v>
      </c>
      <c r="E3626" s="24" t="s">
        <v>197</v>
      </c>
      <c r="F3626" s="63" t="s">
        <v>0</v>
      </c>
    </row>
    <row r="3627" spans="1:6" x14ac:dyDescent="0.25">
      <c r="A3627" s="62">
        <v>44434</v>
      </c>
      <c r="B3627" s="62" t="s">
        <v>1280</v>
      </c>
      <c r="C3627" s="23">
        <v>-504</v>
      </c>
      <c r="D3627" s="24" t="s">
        <v>72</v>
      </c>
      <c r="E3627" s="24" t="s">
        <v>197</v>
      </c>
      <c r="F3627" s="63" t="s">
        <v>0</v>
      </c>
    </row>
    <row r="3628" spans="1:6" x14ac:dyDescent="0.25">
      <c r="A3628" s="62">
        <v>44434</v>
      </c>
      <c r="B3628" s="62" t="s">
        <v>3080</v>
      </c>
      <c r="C3628" s="23">
        <v>-16825</v>
      </c>
      <c r="D3628" s="24" t="s">
        <v>72</v>
      </c>
      <c r="E3628" s="24" t="s">
        <v>109</v>
      </c>
      <c r="F3628" s="63" t="s">
        <v>0</v>
      </c>
    </row>
    <row r="3629" spans="1:6" x14ac:dyDescent="0.25">
      <c r="A3629" s="62">
        <v>44433</v>
      </c>
      <c r="B3629" s="62" t="s">
        <v>3081</v>
      </c>
      <c r="C3629" s="23">
        <v>-74</v>
      </c>
      <c r="D3629" s="24" t="s">
        <v>167</v>
      </c>
      <c r="E3629" s="24" t="s">
        <v>168</v>
      </c>
      <c r="F3629" s="63" t="s">
        <v>0</v>
      </c>
    </row>
    <row r="3630" spans="1:6" x14ac:dyDescent="0.25">
      <c r="A3630" s="62">
        <v>44433</v>
      </c>
      <c r="B3630" s="62" t="s">
        <v>3082</v>
      </c>
      <c r="C3630" s="23">
        <v>-2904</v>
      </c>
      <c r="D3630" s="24" t="s">
        <v>167</v>
      </c>
      <c r="E3630" s="24" t="s">
        <v>168</v>
      </c>
      <c r="F3630" s="63" t="s">
        <v>0</v>
      </c>
    </row>
    <row r="3631" spans="1:6" x14ac:dyDescent="0.25">
      <c r="A3631" s="62">
        <v>44433</v>
      </c>
      <c r="B3631" s="62" t="s">
        <v>3083</v>
      </c>
      <c r="C3631" s="23">
        <v>-490</v>
      </c>
      <c r="D3631" s="24" t="s">
        <v>49</v>
      </c>
      <c r="E3631" s="24" t="s">
        <v>56</v>
      </c>
      <c r="F3631" s="63" t="s">
        <v>0</v>
      </c>
    </row>
    <row r="3632" spans="1:6" x14ac:dyDescent="0.25">
      <c r="A3632" s="62">
        <v>44433</v>
      </c>
      <c r="B3632" s="62" t="s">
        <v>3084</v>
      </c>
      <c r="C3632" s="23">
        <v>-8000</v>
      </c>
      <c r="D3632" s="24" t="s">
        <v>52</v>
      </c>
      <c r="E3632" s="24" t="s">
        <v>134</v>
      </c>
      <c r="F3632" s="63" t="s">
        <v>0</v>
      </c>
    </row>
    <row r="3633" spans="1:6" x14ac:dyDescent="0.25">
      <c r="A3633" s="62">
        <v>44433</v>
      </c>
      <c r="B3633" s="62" t="s">
        <v>3085</v>
      </c>
      <c r="C3633" s="23">
        <v>-1220</v>
      </c>
      <c r="D3633" s="24" t="s">
        <v>52</v>
      </c>
      <c r="E3633" s="24" t="s">
        <v>134</v>
      </c>
      <c r="F3633" s="63" t="s">
        <v>0</v>
      </c>
    </row>
    <row r="3634" spans="1:6" x14ac:dyDescent="0.25">
      <c r="A3634" s="62">
        <v>44433</v>
      </c>
      <c r="B3634" s="62" t="s">
        <v>3086</v>
      </c>
      <c r="C3634" s="23">
        <v>-5780</v>
      </c>
      <c r="D3634" s="24" t="s">
        <v>49</v>
      </c>
      <c r="E3634" s="24" t="s">
        <v>213</v>
      </c>
      <c r="F3634" s="63" t="s">
        <v>0</v>
      </c>
    </row>
    <row r="3635" spans="1:6" x14ac:dyDescent="0.25">
      <c r="A3635" s="62">
        <v>44433</v>
      </c>
      <c r="B3635" s="62" t="s">
        <v>3087</v>
      </c>
      <c r="C3635" s="23">
        <v>-21300</v>
      </c>
      <c r="D3635" s="24" t="s">
        <v>46</v>
      </c>
      <c r="E3635" s="24" t="s">
        <v>61</v>
      </c>
      <c r="F3635" s="63" t="s">
        <v>0</v>
      </c>
    </row>
    <row r="3636" spans="1:6" x14ac:dyDescent="0.25">
      <c r="A3636" s="62">
        <v>44433</v>
      </c>
      <c r="B3636" s="62" t="s">
        <v>3088</v>
      </c>
      <c r="C3636" s="23">
        <v>-1172</v>
      </c>
      <c r="D3636" s="24" t="s">
        <v>72</v>
      </c>
      <c r="E3636" s="24" t="s">
        <v>197</v>
      </c>
      <c r="F3636" s="63" t="s">
        <v>0</v>
      </c>
    </row>
    <row r="3637" spans="1:6" x14ac:dyDescent="0.25">
      <c r="A3637" s="62">
        <v>44433</v>
      </c>
      <c r="B3637" s="62" t="s">
        <v>3089</v>
      </c>
      <c r="C3637" s="23">
        <v>-7351</v>
      </c>
      <c r="D3637" s="24" t="s">
        <v>49</v>
      </c>
      <c r="E3637" s="24" t="s">
        <v>56</v>
      </c>
      <c r="F3637" s="63" t="s">
        <v>0</v>
      </c>
    </row>
    <row r="3638" spans="1:6" x14ac:dyDescent="0.25">
      <c r="A3638" s="62">
        <v>44433</v>
      </c>
      <c r="B3638" s="62" t="s">
        <v>3090</v>
      </c>
      <c r="C3638" s="23">
        <v>-1990</v>
      </c>
      <c r="D3638" s="24" t="s">
        <v>46</v>
      </c>
      <c r="E3638" s="24" t="s">
        <v>61</v>
      </c>
      <c r="F3638" s="63" t="s">
        <v>0</v>
      </c>
    </row>
    <row r="3639" spans="1:6" x14ac:dyDescent="0.25">
      <c r="A3639" s="62">
        <v>44433</v>
      </c>
      <c r="B3639" s="62" t="s">
        <v>3091</v>
      </c>
      <c r="C3639" s="23">
        <v>-1194</v>
      </c>
      <c r="D3639" s="24" t="s">
        <v>49</v>
      </c>
      <c r="E3639" s="24" t="s">
        <v>67</v>
      </c>
      <c r="F3639" s="63" t="s">
        <v>0</v>
      </c>
    </row>
    <row r="3640" spans="1:6" x14ac:dyDescent="0.25">
      <c r="A3640" s="62">
        <v>44432</v>
      </c>
      <c r="B3640" s="62" t="s">
        <v>3092</v>
      </c>
      <c r="C3640" s="23">
        <v>-5560</v>
      </c>
      <c r="D3640" s="24" t="s">
        <v>49</v>
      </c>
      <c r="E3640" s="24" t="s">
        <v>56</v>
      </c>
      <c r="F3640" s="63" t="s">
        <v>0</v>
      </c>
    </row>
    <row r="3641" spans="1:6" x14ac:dyDescent="0.25">
      <c r="A3641" s="62">
        <v>44432</v>
      </c>
      <c r="B3641" s="62" t="s">
        <v>3093</v>
      </c>
      <c r="C3641" s="23">
        <v>-29314</v>
      </c>
      <c r="D3641" s="24" t="s">
        <v>46</v>
      </c>
      <c r="E3641" s="24" t="s">
        <v>61</v>
      </c>
      <c r="F3641" s="63" t="s">
        <v>0</v>
      </c>
    </row>
    <row r="3642" spans="1:6" x14ac:dyDescent="0.25">
      <c r="A3642" s="62">
        <v>44432</v>
      </c>
      <c r="B3642" s="62" t="s">
        <v>3094</v>
      </c>
      <c r="C3642" s="23">
        <v>36500</v>
      </c>
      <c r="D3642" s="24" t="s">
        <v>46</v>
      </c>
      <c r="E3642" s="24" t="s">
        <v>3095</v>
      </c>
      <c r="F3642" s="63" t="s">
        <v>0</v>
      </c>
    </row>
    <row r="3643" spans="1:6" x14ac:dyDescent="0.25">
      <c r="A3643" s="62">
        <v>44432</v>
      </c>
      <c r="B3643" s="62" t="s">
        <v>3096</v>
      </c>
      <c r="C3643" s="23">
        <v>-630</v>
      </c>
      <c r="D3643" s="24" t="s">
        <v>52</v>
      </c>
      <c r="E3643" s="24" t="s">
        <v>134</v>
      </c>
      <c r="F3643" s="63" t="s">
        <v>0</v>
      </c>
    </row>
    <row r="3644" spans="1:6" x14ac:dyDescent="0.25">
      <c r="A3644" s="62">
        <v>44431</v>
      </c>
      <c r="B3644" s="62" t="s">
        <v>139</v>
      </c>
      <c r="C3644" s="23">
        <v>19275</v>
      </c>
      <c r="D3644" s="24" t="s">
        <v>58</v>
      </c>
      <c r="E3644" s="24" t="s">
        <v>58</v>
      </c>
      <c r="F3644" s="63" t="s">
        <v>4</v>
      </c>
    </row>
    <row r="3645" spans="1:6" x14ac:dyDescent="0.25">
      <c r="A3645" s="62">
        <v>44431</v>
      </c>
      <c r="B3645" s="62" t="s">
        <v>3097</v>
      </c>
      <c r="C3645" s="23">
        <v>-620</v>
      </c>
      <c r="D3645" s="24" t="s">
        <v>52</v>
      </c>
      <c r="E3645" s="24" t="s">
        <v>134</v>
      </c>
      <c r="F3645" s="63" t="s">
        <v>0</v>
      </c>
    </row>
    <row r="3646" spans="1:6" x14ac:dyDescent="0.25">
      <c r="A3646" s="62">
        <v>44431</v>
      </c>
      <c r="B3646" s="62" t="s">
        <v>3098</v>
      </c>
      <c r="C3646" s="23">
        <v>-660</v>
      </c>
      <c r="D3646" s="24" t="s">
        <v>52</v>
      </c>
      <c r="E3646" s="24" t="s">
        <v>134</v>
      </c>
      <c r="F3646" s="63" t="s">
        <v>0</v>
      </c>
    </row>
    <row r="3647" spans="1:6" x14ac:dyDescent="0.25">
      <c r="A3647" s="62">
        <v>44431</v>
      </c>
      <c r="B3647" s="62" t="s">
        <v>3099</v>
      </c>
      <c r="C3647" s="23">
        <v>-39850</v>
      </c>
      <c r="D3647" s="24" t="s">
        <v>206</v>
      </c>
      <c r="E3647" s="24" t="s">
        <v>2123</v>
      </c>
      <c r="F3647" s="63" t="s">
        <v>0</v>
      </c>
    </row>
    <row r="3648" spans="1:6" x14ac:dyDescent="0.25">
      <c r="A3648" s="62">
        <v>44431</v>
      </c>
      <c r="B3648" s="62" t="s">
        <v>3100</v>
      </c>
      <c r="C3648" s="23">
        <v>-1950</v>
      </c>
      <c r="D3648" s="24" t="s">
        <v>52</v>
      </c>
      <c r="E3648" s="24" t="s">
        <v>53</v>
      </c>
      <c r="F3648" s="63" t="s">
        <v>0</v>
      </c>
    </row>
    <row r="3649" spans="1:6" x14ac:dyDescent="0.25">
      <c r="A3649" s="62">
        <v>44431</v>
      </c>
      <c r="B3649" s="62" t="s">
        <v>1331</v>
      </c>
      <c r="C3649" s="23">
        <v>-584</v>
      </c>
      <c r="D3649" s="24" t="s">
        <v>72</v>
      </c>
      <c r="E3649" s="24" t="s">
        <v>197</v>
      </c>
      <c r="F3649" s="63" t="s">
        <v>0</v>
      </c>
    </row>
    <row r="3650" spans="1:6" x14ac:dyDescent="0.25">
      <c r="A3650" s="62">
        <v>44431</v>
      </c>
      <c r="B3650" s="62" t="s">
        <v>3101</v>
      </c>
      <c r="C3650" s="23">
        <v>-2690</v>
      </c>
      <c r="D3650" s="24" t="s">
        <v>52</v>
      </c>
      <c r="E3650" s="24" t="s">
        <v>53</v>
      </c>
      <c r="F3650" s="63" t="s">
        <v>0</v>
      </c>
    </row>
    <row r="3651" spans="1:6" x14ac:dyDescent="0.25">
      <c r="A3651" s="62">
        <v>44431</v>
      </c>
      <c r="B3651" s="62" t="s">
        <v>3102</v>
      </c>
      <c r="C3651" s="23">
        <v>-7027</v>
      </c>
      <c r="D3651" s="24" t="s">
        <v>46</v>
      </c>
      <c r="E3651" s="24" t="s">
        <v>61</v>
      </c>
      <c r="F3651" s="63" t="s">
        <v>0</v>
      </c>
    </row>
    <row r="3652" spans="1:6" x14ac:dyDescent="0.25">
      <c r="A3652" s="62">
        <v>44431</v>
      </c>
      <c r="B3652" s="62" t="s">
        <v>3103</v>
      </c>
      <c r="C3652" s="23">
        <v>-16990</v>
      </c>
      <c r="D3652" s="24" t="s">
        <v>46</v>
      </c>
      <c r="E3652" s="24" t="s">
        <v>61</v>
      </c>
      <c r="F3652" s="63" t="s">
        <v>0</v>
      </c>
    </row>
    <row r="3653" spans="1:6" x14ac:dyDescent="0.25">
      <c r="A3653" s="62">
        <v>44431</v>
      </c>
      <c r="B3653" s="62" t="s">
        <v>3104</v>
      </c>
      <c r="C3653" s="23">
        <v>-17595</v>
      </c>
      <c r="D3653" s="24" t="s">
        <v>46</v>
      </c>
      <c r="E3653" s="24" t="s">
        <v>61</v>
      </c>
      <c r="F3653" s="63" t="s">
        <v>0</v>
      </c>
    </row>
    <row r="3654" spans="1:6" x14ac:dyDescent="0.25">
      <c r="A3654" s="62">
        <v>44431</v>
      </c>
      <c r="B3654" s="62" t="s">
        <v>1280</v>
      </c>
      <c r="C3654" s="23">
        <v>-504</v>
      </c>
      <c r="D3654" s="24" t="s">
        <v>72</v>
      </c>
      <c r="E3654" s="24" t="s">
        <v>197</v>
      </c>
      <c r="F3654" s="63" t="s">
        <v>0</v>
      </c>
    </row>
    <row r="3655" spans="1:6" x14ac:dyDescent="0.25">
      <c r="A3655" s="62">
        <v>44431</v>
      </c>
      <c r="B3655" s="62" t="s">
        <v>3105</v>
      </c>
      <c r="C3655" s="23">
        <v>-2790</v>
      </c>
      <c r="D3655" s="24" t="s">
        <v>90</v>
      </c>
      <c r="E3655" s="24" t="s">
        <v>106</v>
      </c>
      <c r="F3655" s="63" t="s">
        <v>0</v>
      </c>
    </row>
    <row r="3656" spans="1:6" x14ac:dyDescent="0.25">
      <c r="A3656" s="62">
        <v>44431</v>
      </c>
      <c r="B3656" s="62" t="s">
        <v>1280</v>
      </c>
      <c r="C3656" s="23">
        <v>-504</v>
      </c>
      <c r="D3656" s="24" t="s">
        <v>72</v>
      </c>
      <c r="E3656" s="24" t="s">
        <v>197</v>
      </c>
      <c r="F3656" s="63" t="s">
        <v>0</v>
      </c>
    </row>
    <row r="3657" spans="1:6" x14ac:dyDescent="0.25">
      <c r="A3657" s="62">
        <v>44431</v>
      </c>
      <c r="B3657" s="62" t="s">
        <v>3106</v>
      </c>
      <c r="C3657" s="23">
        <v>-3000</v>
      </c>
      <c r="D3657" s="24" t="s">
        <v>72</v>
      </c>
      <c r="E3657" s="24" t="s">
        <v>197</v>
      </c>
      <c r="F3657" s="63" t="s">
        <v>0</v>
      </c>
    </row>
    <row r="3658" spans="1:6" x14ac:dyDescent="0.25">
      <c r="A3658" s="62">
        <v>44431</v>
      </c>
      <c r="B3658" s="62" t="s">
        <v>1280</v>
      </c>
      <c r="C3658" s="23">
        <v>-504</v>
      </c>
      <c r="D3658" s="24" t="s">
        <v>72</v>
      </c>
      <c r="E3658" s="24" t="s">
        <v>197</v>
      </c>
      <c r="F3658" s="63" t="s">
        <v>0</v>
      </c>
    </row>
    <row r="3659" spans="1:6" x14ac:dyDescent="0.25">
      <c r="A3659" s="62">
        <v>44427</v>
      </c>
      <c r="B3659" s="62" t="s">
        <v>3107</v>
      </c>
      <c r="C3659" s="23">
        <v>-2698</v>
      </c>
      <c r="D3659" s="24" t="s">
        <v>49</v>
      </c>
      <c r="E3659" s="24" t="s">
        <v>56</v>
      </c>
      <c r="F3659" s="63" t="s">
        <v>0</v>
      </c>
    </row>
    <row r="3660" spans="1:6" x14ac:dyDescent="0.25">
      <c r="A3660" s="62">
        <v>44427</v>
      </c>
      <c r="B3660" s="62" t="s">
        <v>3108</v>
      </c>
      <c r="C3660" s="23">
        <v>-11740</v>
      </c>
      <c r="D3660" s="24" t="s">
        <v>49</v>
      </c>
      <c r="E3660" s="24" t="s">
        <v>56</v>
      </c>
      <c r="F3660" s="63" t="s">
        <v>0</v>
      </c>
    </row>
    <row r="3661" spans="1:6" x14ac:dyDescent="0.25">
      <c r="A3661" s="62">
        <v>44427</v>
      </c>
      <c r="B3661" s="62" t="s">
        <v>3109</v>
      </c>
      <c r="C3661" s="23">
        <v>-2104</v>
      </c>
      <c r="D3661" s="24" t="s">
        <v>49</v>
      </c>
      <c r="E3661" s="24" t="s">
        <v>56</v>
      </c>
      <c r="F3661" s="63" t="s">
        <v>0</v>
      </c>
    </row>
    <row r="3662" spans="1:6" x14ac:dyDescent="0.25">
      <c r="A3662" s="62">
        <v>44427</v>
      </c>
      <c r="B3662" s="62" t="s">
        <v>2486</v>
      </c>
      <c r="C3662" s="23">
        <v>-1040</v>
      </c>
      <c r="D3662" s="24" t="s">
        <v>52</v>
      </c>
      <c r="E3662" s="24" t="s">
        <v>134</v>
      </c>
      <c r="F3662" s="63" t="s">
        <v>0</v>
      </c>
    </row>
    <row r="3663" spans="1:6" x14ac:dyDescent="0.25">
      <c r="A3663" s="62">
        <v>44426</v>
      </c>
      <c r="B3663" s="62" t="s">
        <v>3110</v>
      </c>
      <c r="C3663" s="23">
        <v>-100</v>
      </c>
      <c r="D3663" s="24" t="s">
        <v>167</v>
      </c>
      <c r="E3663" s="24" t="s">
        <v>168</v>
      </c>
      <c r="F3663" s="63" t="s">
        <v>5</v>
      </c>
    </row>
    <row r="3664" spans="1:6" x14ac:dyDescent="0.25">
      <c r="A3664" s="62">
        <v>44426</v>
      </c>
      <c r="B3664" s="62" t="s">
        <v>3111</v>
      </c>
      <c r="C3664" s="23">
        <v>-176163</v>
      </c>
      <c r="D3664" s="24" t="s">
        <v>206</v>
      </c>
      <c r="E3664" s="24" t="s">
        <v>2123</v>
      </c>
      <c r="F3664" s="63" t="s">
        <v>0</v>
      </c>
    </row>
    <row r="3665" spans="1:6" x14ac:dyDescent="0.25">
      <c r="A3665" s="62">
        <v>44426</v>
      </c>
      <c r="B3665" s="62" t="s">
        <v>3112</v>
      </c>
      <c r="C3665" s="23">
        <v>-3320</v>
      </c>
      <c r="D3665" s="24" t="s">
        <v>90</v>
      </c>
      <c r="E3665" s="24" t="s">
        <v>106</v>
      </c>
      <c r="F3665" s="63" t="s">
        <v>0</v>
      </c>
    </row>
    <row r="3666" spans="1:6" x14ac:dyDescent="0.25">
      <c r="A3666" s="62">
        <v>44426</v>
      </c>
      <c r="B3666" s="62" t="s">
        <v>3113</v>
      </c>
      <c r="C3666" s="23">
        <v>-10147</v>
      </c>
      <c r="D3666" s="24" t="s">
        <v>90</v>
      </c>
      <c r="E3666" s="24" t="s">
        <v>59</v>
      </c>
      <c r="F3666" s="63" t="s">
        <v>0</v>
      </c>
    </row>
    <row r="3667" spans="1:6" x14ac:dyDescent="0.25">
      <c r="A3667" s="62">
        <v>44426</v>
      </c>
      <c r="B3667" s="62" t="s">
        <v>3114</v>
      </c>
      <c r="C3667" s="23">
        <v>-19990</v>
      </c>
      <c r="D3667" s="24" t="s">
        <v>206</v>
      </c>
      <c r="E3667" s="24" t="s">
        <v>2123</v>
      </c>
      <c r="F3667" s="63" t="s">
        <v>0</v>
      </c>
    </row>
    <row r="3668" spans="1:6" x14ac:dyDescent="0.25">
      <c r="A3668" s="62">
        <v>44426</v>
      </c>
      <c r="B3668" s="62" t="s">
        <v>3115</v>
      </c>
      <c r="C3668" s="23">
        <v>-6330</v>
      </c>
      <c r="D3668" s="24" t="s">
        <v>52</v>
      </c>
      <c r="E3668" s="24" t="s">
        <v>53</v>
      </c>
      <c r="F3668" s="63" t="s">
        <v>0</v>
      </c>
    </row>
    <row r="3669" spans="1:6" x14ac:dyDescent="0.25">
      <c r="A3669" s="62">
        <v>44426</v>
      </c>
      <c r="B3669" s="62" t="s">
        <v>3116</v>
      </c>
      <c r="C3669" s="23">
        <v>-10496</v>
      </c>
      <c r="D3669" s="24" t="s">
        <v>49</v>
      </c>
      <c r="E3669" s="24" t="s">
        <v>67</v>
      </c>
      <c r="F3669" s="63" t="s">
        <v>0</v>
      </c>
    </row>
    <row r="3670" spans="1:6" x14ac:dyDescent="0.25">
      <c r="A3670" s="62">
        <v>44426</v>
      </c>
      <c r="B3670" s="62" t="s">
        <v>3117</v>
      </c>
      <c r="C3670" s="23">
        <v>-918</v>
      </c>
      <c r="D3670" s="24" t="s">
        <v>49</v>
      </c>
      <c r="E3670" s="24" t="s">
        <v>56</v>
      </c>
      <c r="F3670" s="63" t="s">
        <v>0</v>
      </c>
    </row>
    <row r="3671" spans="1:6" x14ac:dyDescent="0.25">
      <c r="A3671" s="62">
        <v>44425</v>
      </c>
      <c r="B3671" s="62" t="s">
        <v>3118</v>
      </c>
      <c r="C3671" s="23">
        <v>-15559</v>
      </c>
      <c r="D3671" s="24" t="s">
        <v>72</v>
      </c>
      <c r="E3671" s="24" t="s">
        <v>109</v>
      </c>
      <c r="F3671" s="63" t="s">
        <v>0</v>
      </c>
    </row>
    <row r="3672" spans="1:6" x14ac:dyDescent="0.25">
      <c r="A3672" s="62">
        <v>44424</v>
      </c>
      <c r="B3672" s="62" t="s">
        <v>3119</v>
      </c>
      <c r="C3672" s="23">
        <v>-3322</v>
      </c>
      <c r="D3672" s="24" t="s">
        <v>49</v>
      </c>
      <c r="E3672" s="24" t="s">
        <v>56</v>
      </c>
      <c r="F3672" s="63" t="s">
        <v>0</v>
      </c>
    </row>
    <row r="3673" spans="1:6" x14ac:dyDescent="0.25">
      <c r="A3673" s="62">
        <v>44424</v>
      </c>
      <c r="B3673" s="62" t="s">
        <v>3120</v>
      </c>
      <c r="C3673" s="23">
        <v>-870</v>
      </c>
      <c r="D3673" s="24" t="s">
        <v>49</v>
      </c>
      <c r="E3673" s="24" t="s">
        <v>56</v>
      </c>
      <c r="F3673" s="63" t="s">
        <v>0</v>
      </c>
    </row>
    <row r="3674" spans="1:6" x14ac:dyDescent="0.25">
      <c r="A3674" s="62">
        <v>44424</v>
      </c>
      <c r="B3674" s="62" t="s">
        <v>3121</v>
      </c>
      <c r="C3674" s="23">
        <v>-399</v>
      </c>
      <c r="D3674" s="24" t="s">
        <v>49</v>
      </c>
      <c r="E3674" s="24" t="s">
        <v>56</v>
      </c>
      <c r="F3674" s="63" t="s">
        <v>0</v>
      </c>
    </row>
    <row r="3675" spans="1:6" x14ac:dyDescent="0.25">
      <c r="A3675" s="62">
        <v>44424</v>
      </c>
      <c r="B3675" s="62" t="s">
        <v>3122</v>
      </c>
      <c r="C3675" s="23">
        <v>-674</v>
      </c>
      <c r="D3675" s="24" t="s">
        <v>72</v>
      </c>
      <c r="E3675" s="24" t="s">
        <v>197</v>
      </c>
      <c r="F3675" s="63" t="s">
        <v>0</v>
      </c>
    </row>
    <row r="3676" spans="1:6" x14ac:dyDescent="0.25">
      <c r="A3676" s="62">
        <v>44424</v>
      </c>
      <c r="B3676" s="62" t="s">
        <v>3123</v>
      </c>
      <c r="C3676" s="23">
        <v>-1200</v>
      </c>
      <c r="D3676" s="24" t="s">
        <v>46</v>
      </c>
      <c r="E3676" s="24" t="s">
        <v>428</v>
      </c>
      <c r="F3676" s="63" t="s">
        <v>0</v>
      </c>
    </row>
    <row r="3677" spans="1:6" x14ac:dyDescent="0.25">
      <c r="A3677" s="62">
        <v>44424</v>
      </c>
      <c r="B3677" s="62" t="s">
        <v>3124</v>
      </c>
      <c r="C3677" s="23">
        <v>-175460</v>
      </c>
      <c r="D3677" s="24" t="s">
        <v>46</v>
      </c>
      <c r="E3677" s="24" t="s">
        <v>428</v>
      </c>
      <c r="F3677" s="63" t="s">
        <v>0</v>
      </c>
    </row>
    <row r="3678" spans="1:6" x14ac:dyDescent="0.25">
      <c r="A3678" s="62">
        <v>44424</v>
      </c>
      <c r="B3678" s="62" t="s">
        <v>3125</v>
      </c>
      <c r="C3678" s="23">
        <v>-50000</v>
      </c>
      <c r="D3678" s="24" t="s">
        <v>206</v>
      </c>
      <c r="E3678" s="24" t="s">
        <v>830</v>
      </c>
      <c r="F3678" s="63" t="s">
        <v>0</v>
      </c>
    </row>
    <row r="3679" spans="1:6" x14ac:dyDescent="0.25">
      <c r="A3679" s="62">
        <v>44424</v>
      </c>
      <c r="B3679" s="62" t="s">
        <v>3126</v>
      </c>
      <c r="C3679" s="23">
        <v>-84492</v>
      </c>
      <c r="D3679" s="24" t="s">
        <v>46</v>
      </c>
      <c r="E3679" s="24" t="s">
        <v>61</v>
      </c>
      <c r="F3679" s="63" t="s">
        <v>0</v>
      </c>
    </row>
    <row r="3680" spans="1:6" x14ac:dyDescent="0.25">
      <c r="A3680" s="62">
        <v>44424</v>
      </c>
      <c r="B3680" s="62" t="s">
        <v>3127</v>
      </c>
      <c r="C3680" s="23">
        <v>-6145</v>
      </c>
      <c r="D3680" s="24" t="s">
        <v>49</v>
      </c>
      <c r="E3680" s="24" t="s">
        <v>56</v>
      </c>
      <c r="F3680" s="63" t="s">
        <v>0</v>
      </c>
    </row>
    <row r="3681" spans="1:6" x14ac:dyDescent="0.25">
      <c r="A3681" s="62">
        <v>44424</v>
      </c>
      <c r="B3681" s="62" t="s">
        <v>3128</v>
      </c>
      <c r="C3681" s="23">
        <v>-2190</v>
      </c>
      <c r="D3681" s="24" t="s">
        <v>52</v>
      </c>
      <c r="E3681" s="24" t="s">
        <v>134</v>
      </c>
      <c r="F3681" s="63" t="s">
        <v>0</v>
      </c>
    </row>
    <row r="3682" spans="1:6" x14ac:dyDescent="0.25">
      <c r="A3682" s="62">
        <v>44424</v>
      </c>
      <c r="B3682" s="62" t="s">
        <v>3129</v>
      </c>
      <c r="C3682" s="23">
        <v>-830</v>
      </c>
      <c r="D3682" s="24" t="s">
        <v>52</v>
      </c>
      <c r="E3682" s="24" t="s">
        <v>53</v>
      </c>
      <c r="F3682" s="63" t="s">
        <v>0</v>
      </c>
    </row>
    <row r="3683" spans="1:6" x14ac:dyDescent="0.25">
      <c r="A3683" s="62">
        <v>44424</v>
      </c>
      <c r="B3683" s="62" t="s">
        <v>3130</v>
      </c>
      <c r="C3683" s="23">
        <v>-4490</v>
      </c>
      <c r="D3683" s="24" t="s">
        <v>52</v>
      </c>
      <c r="E3683" s="24" t="s">
        <v>53</v>
      </c>
      <c r="F3683" s="63" t="s">
        <v>0</v>
      </c>
    </row>
    <row r="3684" spans="1:6" x14ac:dyDescent="0.25">
      <c r="A3684" s="62">
        <v>44424</v>
      </c>
      <c r="B3684" s="62" t="s">
        <v>3131</v>
      </c>
      <c r="C3684" s="23">
        <v>-368</v>
      </c>
      <c r="D3684" s="24" t="s">
        <v>49</v>
      </c>
      <c r="E3684" s="24" t="s">
        <v>56</v>
      </c>
      <c r="F3684" s="63" t="s">
        <v>0</v>
      </c>
    </row>
    <row r="3685" spans="1:6" x14ac:dyDescent="0.25">
      <c r="A3685" s="62">
        <v>44424</v>
      </c>
      <c r="B3685" s="62" t="s">
        <v>3132</v>
      </c>
      <c r="C3685" s="23">
        <v>-20950</v>
      </c>
      <c r="D3685" s="24" t="s">
        <v>46</v>
      </c>
      <c r="E3685" s="24" t="s">
        <v>61</v>
      </c>
      <c r="F3685" s="63" t="s">
        <v>0</v>
      </c>
    </row>
    <row r="3686" spans="1:6" x14ac:dyDescent="0.25">
      <c r="A3686" s="62">
        <v>44424</v>
      </c>
      <c r="B3686" s="62" t="s">
        <v>3133</v>
      </c>
      <c r="C3686" s="23">
        <v>-4330</v>
      </c>
      <c r="D3686" s="24" t="s">
        <v>52</v>
      </c>
      <c r="E3686" s="24" t="s">
        <v>52</v>
      </c>
      <c r="F3686" s="63" t="s">
        <v>0</v>
      </c>
    </row>
    <row r="3687" spans="1:6" x14ac:dyDescent="0.25">
      <c r="A3687" s="62">
        <v>44424</v>
      </c>
      <c r="B3687" s="62" t="s">
        <v>3134</v>
      </c>
      <c r="C3687" s="23">
        <v>-3340</v>
      </c>
      <c r="D3687" s="24" t="s">
        <v>52</v>
      </c>
      <c r="E3687" s="24" t="s">
        <v>52</v>
      </c>
      <c r="F3687" s="63" t="s">
        <v>0</v>
      </c>
    </row>
    <row r="3688" spans="1:6" x14ac:dyDescent="0.25">
      <c r="A3688" s="62">
        <v>44424</v>
      </c>
      <c r="B3688" s="62" t="s">
        <v>3135</v>
      </c>
      <c r="C3688" s="23">
        <v>-351</v>
      </c>
      <c r="D3688" s="24" t="s">
        <v>46</v>
      </c>
      <c r="E3688" s="24" t="s">
        <v>512</v>
      </c>
      <c r="F3688" s="63" t="s">
        <v>0</v>
      </c>
    </row>
    <row r="3689" spans="1:6" x14ac:dyDescent="0.25">
      <c r="A3689" s="62">
        <v>44421</v>
      </c>
      <c r="B3689" s="62" t="s">
        <v>3136</v>
      </c>
      <c r="C3689" s="23">
        <v>-2000</v>
      </c>
      <c r="D3689" s="24" t="s">
        <v>52</v>
      </c>
      <c r="E3689" s="24" t="s">
        <v>134</v>
      </c>
      <c r="F3689" s="63" t="s">
        <v>0</v>
      </c>
    </row>
    <row r="3690" spans="1:6" x14ac:dyDescent="0.25">
      <c r="A3690" s="62">
        <v>44421</v>
      </c>
      <c r="B3690" s="62" t="s">
        <v>3137</v>
      </c>
      <c r="C3690" s="23">
        <v>-5050</v>
      </c>
      <c r="D3690" s="24" t="s">
        <v>52</v>
      </c>
      <c r="E3690" s="24" t="s">
        <v>53</v>
      </c>
      <c r="F3690" s="63" t="s">
        <v>0</v>
      </c>
    </row>
    <row r="3691" spans="1:6" x14ac:dyDescent="0.25">
      <c r="A3691" s="62">
        <v>44421</v>
      </c>
      <c r="B3691" s="62" t="s">
        <v>3138</v>
      </c>
      <c r="C3691" s="23">
        <v>-8700</v>
      </c>
      <c r="D3691" s="24" t="s">
        <v>90</v>
      </c>
      <c r="E3691" s="24" t="s">
        <v>106</v>
      </c>
      <c r="F3691" s="63" t="s">
        <v>0</v>
      </c>
    </row>
    <row r="3692" spans="1:6" x14ac:dyDescent="0.25">
      <c r="A3692" s="62">
        <v>44420</v>
      </c>
      <c r="B3692" s="62" t="s">
        <v>3139</v>
      </c>
      <c r="C3692" s="23">
        <v>-425</v>
      </c>
      <c r="D3692" s="24" t="s">
        <v>49</v>
      </c>
      <c r="E3692" s="24" t="s">
        <v>56</v>
      </c>
      <c r="F3692" s="63" t="s">
        <v>0</v>
      </c>
    </row>
    <row r="3693" spans="1:6" x14ac:dyDescent="0.25">
      <c r="A3693" s="62">
        <v>44420</v>
      </c>
      <c r="B3693" s="62" t="s">
        <v>3140</v>
      </c>
      <c r="C3693" s="23">
        <v>-2280</v>
      </c>
      <c r="D3693" s="24" t="s">
        <v>46</v>
      </c>
      <c r="E3693" s="24" t="s">
        <v>61</v>
      </c>
      <c r="F3693" s="63" t="s">
        <v>0</v>
      </c>
    </row>
    <row r="3694" spans="1:6" x14ac:dyDescent="0.25">
      <c r="A3694" s="62">
        <v>44420</v>
      </c>
      <c r="B3694" s="62" t="s">
        <v>2318</v>
      </c>
      <c r="C3694" s="23">
        <v>-5546</v>
      </c>
      <c r="D3694" s="24" t="s">
        <v>46</v>
      </c>
      <c r="E3694" s="24" t="s">
        <v>80</v>
      </c>
      <c r="F3694" s="63" t="s">
        <v>0</v>
      </c>
    </row>
    <row r="3695" spans="1:6" x14ac:dyDescent="0.25">
      <c r="A3695" s="62">
        <v>44420</v>
      </c>
      <c r="B3695" s="62" t="s">
        <v>3141</v>
      </c>
      <c r="C3695" s="23">
        <v>-955</v>
      </c>
      <c r="D3695" s="24" t="s">
        <v>52</v>
      </c>
      <c r="E3695" s="24" t="s">
        <v>134</v>
      </c>
      <c r="F3695" s="63" t="s">
        <v>0</v>
      </c>
    </row>
    <row r="3696" spans="1:6" x14ac:dyDescent="0.25">
      <c r="A3696" s="62">
        <v>44420</v>
      </c>
      <c r="B3696" s="62" t="s">
        <v>1280</v>
      </c>
      <c r="C3696" s="23">
        <v>-504</v>
      </c>
      <c r="D3696" s="24" t="s">
        <v>72</v>
      </c>
      <c r="E3696" s="24" t="s">
        <v>197</v>
      </c>
      <c r="F3696" s="63" t="s">
        <v>0</v>
      </c>
    </row>
    <row r="3697" spans="1:6" x14ac:dyDescent="0.25">
      <c r="A3697" s="62">
        <v>44420</v>
      </c>
      <c r="B3697" s="62" t="s">
        <v>1280</v>
      </c>
      <c r="C3697" s="23">
        <v>-504</v>
      </c>
      <c r="D3697" s="24" t="s">
        <v>72</v>
      </c>
      <c r="E3697" s="24" t="s">
        <v>197</v>
      </c>
      <c r="F3697" s="63" t="s">
        <v>0</v>
      </c>
    </row>
    <row r="3698" spans="1:6" x14ac:dyDescent="0.25">
      <c r="A3698" s="62">
        <v>44419</v>
      </c>
      <c r="B3698" s="62" t="s">
        <v>3142</v>
      </c>
      <c r="C3698" s="23">
        <v>-3148</v>
      </c>
      <c r="D3698" s="24" t="s">
        <v>49</v>
      </c>
      <c r="E3698" s="24" t="s">
        <v>56</v>
      </c>
      <c r="F3698" s="63" t="s">
        <v>0</v>
      </c>
    </row>
    <row r="3699" spans="1:6" x14ac:dyDescent="0.25">
      <c r="A3699" s="62">
        <v>44419</v>
      </c>
      <c r="B3699" s="62" t="s">
        <v>3143</v>
      </c>
      <c r="C3699" s="23">
        <v>-850</v>
      </c>
      <c r="D3699" s="24" t="s">
        <v>49</v>
      </c>
      <c r="E3699" s="24" t="s">
        <v>56</v>
      </c>
      <c r="F3699" s="63" t="s">
        <v>0</v>
      </c>
    </row>
    <row r="3700" spans="1:6" x14ac:dyDescent="0.25">
      <c r="A3700" s="62">
        <v>44419</v>
      </c>
      <c r="B3700" s="62" t="s">
        <v>3144</v>
      </c>
      <c r="C3700" s="23">
        <v>-259700</v>
      </c>
      <c r="D3700" s="24" t="s">
        <v>206</v>
      </c>
      <c r="E3700" s="24" t="s">
        <v>2123</v>
      </c>
      <c r="F3700" s="63" t="s">
        <v>0</v>
      </c>
    </row>
    <row r="3701" spans="1:6" x14ac:dyDescent="0.25">
      <c r="A3701" s="62">
        <v>44419</v>
      </c>
      <c r="B3701" s="62" t="s">
        <v>3145</v>
      </c>
      <c r="C3701" s="23">
        <v>-17813</v>
      </c>
      <c r="D3701" s="24" t="s">
        <v>49</v>
      </c>
      <c r="E3701" s="24" t="s">
        <v>56</v>
      </c>
      <c r="F3701" s="63" t="s">
        <v>0</v>
      </c>
    </row>
    <row r="3702" spans="1:6" x14ac:dyDescent="0.25">
      <c r="A3702" s="62">
        <v>44418</v>
      </c>
      <c r="B3702" s="62" t="s">
        <v>3146</v>
      </c>
      <c r="C3702" s="23">
        <v>-205918.68</v>
      </c>
      <c r="D3702" s="24" t="s">
        <v>46</v>
      </c>
      <c r="E3702" s="24" t="s">
        <v>10</v>
      </c>
      <c r="F3702" s="63" t="s">
        <v>0</v>
      </c>
    </row>
    <row r="3703" spans="1:6" x14ac:dyDescent="0.25">
      <c r="A3703" s="62">
        <v>44418</v>
      </c>
      <c r="B3703" s="62" t="s">
        <v>3147</v>
      </c>
      <c r="C3703" s="23">
        <v>-55886.11</v>
      </c>
      <c r="D3703" s="24" t="s">
        <v>46</v>
      </c>
      <c r="E3703" s="24" t="s">
        <v>10</v>
      </c>
      <c r="F3703" s="63" t="s">
        <v>0</v>
      </c>
    </row>
    <row r="3704" spans="1:6" x14ac:dyDescent="0.25">
      <c r="A3704" s="62">
        <v>44418</v>
      </c>
      <c r="B3704" s="62" t="s">
        <v>3146</v>
      </c>
      <c r="C3704" s="23">
        <v>205918.68</v>
      </c>
      <c r="D3704" s="24" t="s">
        <v>46</v>
      </c>
      <c r="E3704" s="24" t="s">
        <v>10</v>
      </c>
      <c r="F3704" s="63" t="s">
        <v>10</v>
      </c>
    </row>
    <row r="3705" spans="1:6" x14ac:dyDescent="0.25">
      <c r="A3705" s="62">
        <v>44418</v>
      </c>
      <c r="B3705" s="62" t="s">
        <v>3148</v>
      </c>
      <c r="C3705" s="23">
        <v>-584</v>
      </c>
      <c r="D3705" s="24" t="s">
        <v>72</v>
      </c>
      <c r="E3705" s="24" t="s">
        <v>197</v>
      </c>
      <c r="F3705" s="63" t="s">
        <v>0</v>
      </c>
    </row>
    <row r="3706" spans="1:6" x14ac:dyDescent="0.25">
      <c r="A3706" s="62">
        <v>44418</v>
      </c>
      <c r="B3706" s="62" t="s">
        <v>2956</v>
      </c>
      <c r="C3706" s="23">
        <v>-2150</v>
      </c>
      <c r="D3706" s="24" t="s">
        <v>52</v>
      </c>
      <c r="E3706" s="24" t="s">
        <v>53</v>
      </c>
      <c r="F3706" s="63" t="s">
        <v>0</v>
      </c>
    </row>
    <row r="3707" spans="1:6" x14ac:dyDescent="0.25">
      <c r="A3707" s="62">
        <v>44418</v>
      </c>
      <c r="B3707" s="62" t="s">
        <v>1280</v>
      </c>
      <c r="C3707" s="23">
        <v>-504</v>
      </c>
      <c r="D3707" s="24" t="s">
        <v>72</v>
      </c>
      <c r="E3707" s="24" t="s">
        <v>197</v>
      </c>
      <c r="F3707" s="63" t="s">
        <v>0</v>
      </c>
    </row>
    <row r="3708" spans="1:6" x14ac:dyDescent="0.25">
      <c r="A3708" s="62">
        <v>44418</v>
      </c>
      <c r="B3708" s="62" t="s">
        <v>3149</v>
      </c>
      <c r="C3708" s="23">
        <v>-794</v>
      </c>
      <c r="D3708" s="24" t="s">
        <v>46</v>
      </c>
      <c r="E3708" s="24" t="s">
        <v>61</v>
      </c>
      <c r="F3708" s="63" t="s">
        <v>0</v>
      </c>
    </row>
    <row r="3709" spans="1:6" x14ac:dyDescent="0.25">
      <c r="A3709" s="62">
        <v>44418</v>
      </c>
      <c r="B3709" s="62" t="s">
        <v>3150</v>
      </c>
      <c r="C3709" s="23">
        <v>-2606</v>
      </c>
      <c r="D3709" s="24" t="s">
        <v>46</v>
      </c>
      <c r="E3709" s="24" t="s">
        <v>61</v>
      </c>
      <c r="F3709" s="63" t="s">
        <v>0</v>
      </c>
    </row>
    <row r="3710" spans="1:6" x14ac:dyDescent="0.25">
      <c r="A3710" s="62">
        <v>44418</v>
      </c>
      <c r="B3710" s="62" t="s">
        <v>1651</v>
      </c>
      <c r="C3710" s="23">
        <v>667410</v>
      </c>
      <c r="D3710" s="24" t="s">
        <v>58</v>
      </c>
      <c r="E3710" s="24" t="s">
        <v>58</v>
      </c>
      <c r="F3710" s="63" t="s">
        <v>0</v>
      </c>
    </row>
    <row r="3711" spans="1:6" x14ac:dyDescent="0.25">
      <c r="A3711" s="62">
        <v>44417</v>
      </c>
      <c r="B3711" s="62" t="s">
        <v>3151</v>
      </c>
      <c r="C3711" s="23">
        <v>-4405</v>
      </c>
      <c r="D3711" s="24" t="s">
        <v>49</v>
      </c>
      <c r="E3711" s="24" t="s">
        <v>56</v>
      </c>
      <c r="F3711" s="63" t="s">
        <v>0</v>
      </c>
    </row>
    <row r="3712" spans="1:6" x14ac:dyDescent="0.25">
      <c r="A3712" s="62">
        <v>44417</v>
      </c>
      <c r="B3712" s="62" t="s">
        <v>3152</v>
      </c>
      <c r="C3712" s="23">
        <v>-1315</v>
      </c>
      <c r="D3712" s="24" t="s">
        <v>49</v>
      </c>
      <c r="E3712" s="24" t="s">
        <v>56</v>
      </c>
      <c r="F3712" s="63" t="s">
        <v>0</v>
      </c>
    </row>
    <row r="3713" spans="1:6" x14ac:dyDescent="0.25">
      <c r="A3713" s="62">
        <v>44417</v>
      </c>
      <c r="B3713" s="62" t="s">
        <v>3153</v>
      </c>
      <c r="C3713" s="23">
        <v>-25585</v>
      </c>
      <c r="D3713" s="24" t="s">
        <v>49</v>
      </c>
      <c r="E3713" s="24" t="s">
        <v>213</v>
      </c>
      <c r="F3713" s="63" t="s">
        <v>0</v>
      </c>
    </row>
    <row r="3714" spans="1:6" x14ac:dyDescent="0.25">
      <c r="A3714" s="62">
        <v>44417</v>
      </c>
      <c r="B3714" s="62" t="s">
        <v>3154</v>
      </c>
      <c r="C3714" s="23">
        <v>-16730</v>
      </c>
      <c r="D3714" s="24" t="s">
        <v>49</v>
      </c>
      <c r="E3714" s="24" t="s">
        <v>56</v>
      </c>
      <c r="F3714" s="63" t="s">
        <v>0</v>
      </c>
    </row>
    <row r="3715" spans="1:6" x14ac:dyDescent="0.25">
      <c r="A3715" s="62">
        <v>44417</v>
      </c>
      <c r="B3715" s="62" t="s">
        <v>3155</v>
      </c>
      <c r="C3715" s="23">
        <v>-12437</v>
      </c>
      <c r="D3715" s="24" t="s">
        <v>49</v>
      </c>
      <c r="E3715" s="24" t="s">
        <v>56</v>
      </c>
      <c r="F3715" s="63" t="s">
        <v>0</v>
      </c>
    </row>
    <row r="3716" spans="1:6" x14ac:dyDescent="0.25">
      <c r="A3716" s="62">
        <v>44417</v>
      </c>
      <c r="B3716" s="62" t="s">
        <v>3156</v>
      </c>
      <c r="C3716" s="23">
        <v>-22584</v>
      </c>
      <c r="D3716" s="24" t="s">
        <v>49</v>
      </c>
      <c r="E3716" s="24" t="s">
        <v>56</v>
      </c>
      <c r="F3716" s="63" t="s">
        <v>0</v>
      </c>
    </row>
    <row r="3717" spans="1:6" x14ac:dyDescent="0.25">
      <c r="A3717" s="62">
        <v>44417</v>
      </c>
      <c r="B3717" s="62" t="s">
        <v>3157</v>
      </c>
      <c r="C3717" s="23">
        <v>-4923</v>
      </c>
      <c r="D3717" s="24" t="s">
        <v>49</v>
      </c>
      <c r="E3717" s="24" t="s">
        <v>56</v>
      </c>
      <c r="F3717" s="63" t="s">
        <v>0</v>
      </c>
    </row>
    <row r="3718" spans="1:6" x14ac:dyDescent="0.25">
      <c r="A3718" s="62">
        <v>44417</v>
      </c>
      <c r="B3718" s="62" t="s">
        <v>3158</v>
      </c>
      <c r="C3718" s="23">
        <v>-17686</v>
      </c>
      <c r="D3718" s="24" t="s">
        <v>46</v>
      </c>
      <c r="E3718" s="24" t="s">
        <v>61</v>
      </c>
      <c r="F3718" s="63" t="s">
        <v>0</v>
      </c>
    </row>
    <row r="3719" spans="1:6" x14ac:dyDescent="0.25">
      <c r="A3719" s="62">
        <v>44417</v>
      </c>
      <c r="B3719" s="62" t="s">
        <v>3159</v>
      </c>
      <c r="C3719" s="23">
        <v>-63745</v>
      </c>
      <c r="D3719" s="24" t="s">
        <v>46</v>
      </c>
      <c r="E3719" s="24" t="s">
        <v>428</v>
      </c>
      <c r="F3719" s="63" t="s">
        <v>0</v>
      </c>
    </row>
    <row r="3720" spans="1:6" x14ac:dyDescent="0.25">
      <c r="A3720" s="62">
        <v>44417</v>
      </c>
      <c r="B3720" s="62" t="s">
        <v>3160</v>
      </c>
      <c r="C3720" s="23">
        <v>-2305</v>
      </c>
      <c r="D3720" s="24" t="s">
        <v>49</v>
      </c>
      <c r="E3720" s="24" t="s">
        <v>56</v>
      </c>
      <c r="F3720" s="63" t="s">
        <v>0</v>
      </c>
    </row>
    <row r="3721" spans="1:6" x14ac:dyDescent="0.25">
      <c r="A3721" s="62">
        <v>44417</v>
      </c>
      <c r="B3721" s="62" t="s">
        <v>3161</v>
      </c>
      <c r="C3721" s="23">
        <v>-1380</v>
      </c>
      <c r="D3721" s="24" t="s">
        <v>49</v>
      </c>
      <c r="E3721" s="24" t="s">
        <v>56</v>
      </c>
      <c r="F3721" s="63" t="s">
        <v>0</v>
      </c>
    </row>
    <row r="3722" spans="1:6" x14ac:dyDescent="0.25">
      <c r="A3722" s="62">
        <v>44417</v>
      </c>
      <c r="B3722" s="62" t="s">
        <v>3162</v>
      </c>
      <c r="C3722" s="23">
        <v>-11704</v>
      </c>
      <c r="D3722" s="24" t="s">
        <v>46</v>
      </c>
      <c r="E3722" s="24" t="s">
        <v>61</v>
      </c>
      <c r="F3722" s="63" t="s">
        <v>0</v>
      </c>
    </row>
    <row r="3723" spans="1:6" x14ac:dyDescent="0.25">
      <c r="A3723" s="62">
        <v>44417</v>
      </c>
      <c r="B3723" s="62" t="s">
        <v>3163</v>
      </c>
      <c r="C3723" s="23">
        <v>-1340</v>
      </c>
      <c r="D3723" s="24" t="s">
        <v>52</v>
      </c>
      <c r="E3723" s="24" t="s">
        <v>53</v>
      </c>
      <c r="F3723" s="63" t="s">
        <v>0</v>
      </c>
    </row>
    <row r="3724" spans="1:6" x14ac:dyDescent="0.25">
      <c r="A3724" s="62">
        <v>44417</v>
      </c>
      <c r="B3724" s="62" t="s">
        <v>3164</v>
      </c>
      <c r="C3724" s="23">
        <v>-7080</v>
      </c>
      <c r="D3724" s="24" t="s">
        <v>49</v>
      </c>
      <c r="E3724" s="24" t="s">
        <v>67</v>
      </c>
      <c r="F3724" s="63" t="s">
        <v>0</v>
      </c>
    </row>
    <row r="3725" spans="1:6" x14ac:dyDescent="0.25">
      <c r="A3725" s="62">
        <v>44417</v>
      </c>
      <c r="B3725" s="62" t="s">
        <v>3165</v>
      </c>
      <c r="C3725" s="23">
        <v>35000</v>
      </c>
      <c r="D3725" s="24" t="s">
        <v>46</v>
      </c>
      <c r="E3725" s="24" t="s">
        <v>428</v>
      </c>
      <c r="F3725" s="63" t="s">
        <v>0</v>
      </c>
    </row>
    <row r="3726" spans="1:6" x14ac:dyDescent="0.25">
      <c r="A3726" s="62">
        <v>44414</v>
      </c>
      <c r="B3726" s="62" t="s">
        <v>3166</v>
      </c>
      <c r="C3726" s="23">
        <v>-151</v>
      </c>
      <c r="D3726" s="24" t="s">
        <v>49</v>
      </c>
      <c r="E3726" s="24" t="s">
        <v>56</v>
      </c>
      <c r="F3726" s="63" t="s">
        <v>0</v>
      </c>
    </row>
    <row r="3727" spans="1:6" x14ac:dyDescent="0.25">
      <c r="A3727" s="62">
        <v>44414</v>
      </c>
      <c r="B3727" s="62" t="s">
        <v>3167</v>
      </c>
      <c r="C3727" s="23">
        <v>-5250</v>
      </c>
      <c r="D3727" s="24" t="s">
        <v>90</v>
      </c>
      <c r="E3727" s="24" t="s">
        <v>106</v>
      </c>
      <c r="F3727" s="63" t="s">
        <v>0</v>
      </c>
    </row>
    <row r="3728" spans="1:6" x14ac:dyDescent="0.25">
      <c r="A3728" s="62">
        <v>44414</v>
      </c>
      <c r="B3728" s="62" t="s">
        <v>3168</v>
      </c>
      <c r="C3728" s="23">
        <v>-1500</v>
      </c>
      <c r="D3728" s="24" t="s">
        <v>90</v>
      </c>
      <c r="E3728" s="24" t="s">
        <v>106</v>
      </c>
      <c r="F3728" s="63" t="s">
        <v>0</v>
      </c>
    </row>
    <row r="3729" spans="1:6" x14ac:dyDescent="0.25">
      <c r="A3729" s="62">
        <v>44413</v>
      </c>
      <c r="B3729" s="62" t="s">
        <v>2924</v>
      </c>
      <c r="C3729" s="23">
        <v>266000</v>
      </c>
      <c r="D3729" s="24" t="s">
        <v>58</v>
      </c>
      <c r="E3729" s="24" t="s">
        <v>58</v>
      </c>
      <c r="F3729" s="63" t="s">
        <v>0</v>
      </c>
    </row>
    <row r="3730" spans="1:6" x14ac:dyDescent="0.25">
      <c r="A3730" s="62">
        <v>44413</v>
      </c>
      <c r="B3730" s="62" t="s">
        <v>171</v>
      </c>
      <c r="C3730" s="23">
        <v>1550</v>
      </c>
      <c r="D3730" s="24" t="s">
        <v>167</v>
      </c>
      <c r="E3730" s="24" t="s">
        <v>168</v>
      </c>
      <c r="F3730" s="63" t="s">
        <v>0</v>
      </c>
    </row>
    <row r="3731" spans="1:6" x14ac:dyDescent="0.25">
      <c r="A3731" s="62">
        <v>44413</v>
      </c>
      <c r="B3731" s="62" t="s">
        <v>3169</v>
      </c>
      <c r="C3731" s="23">
        <v>-2470</v>
      </c>
      <c r="D3731" s="24" t="s">
        <v>52</v>
      </c>
      <c r="E3731" s="24" t="s">
        <v>52</v>
      </c>
      <c r="F3731" s="63" t="s">
        <v>0</v>
      </c>
    </row>
    <row r="3732" spans="1:6" x14ac:dyDescent="0.25">
      <c r="A3732" s="62">
        <v>44413</v>
      </c>
      <c r="B3732" s="62" t="s">
        <v>2336</v>
      </c>
      <c r="C3732" s="23">
        <v>-419</v>
      </c>
      <c r="D3732" s="24" t="s">
        <v>72</v>
      </c>
      <c r="E3732" s="24" t="s">
        <v>197</v>
      </c>
      <c r="F3732" s="63" t="s">
        <v>0</v>
      </c>
    </row>
    <row r="3733" spans="1:6" x14ac:dyDescent="0.25">
      <c r="A3733" s="62">
        <v>44412</v>
      </c>
      <c r="B3733" s="62" t="s">
        <v>3170</v>
      </c>
      <c r="C3733" s="23">
        <v>-15390</v>
      </c>
      <c r="D3733" s="24" t="s">
        <v>90</v>
      </c>
      <c r="E3733" s="24" t="s">
        <v>106</v>
      </c>
      <c r="F3733" s="63" t="s">
        <v>0</v>
      </c>
    </row>
    <row r="3734" spans="1:6" x14ac:dyDescent="0.25">
      <c r="A3734" s="62">
        <v>44412</v>
      </c>
      <c r="B3734" s="62" t="s">
        <v>3171</v>
      </c>
      <c r="C3734" s="23">
        <v>-25262</v>
      </c>
      <c r="D3734" s="24" t="s">
        <v>46</v>
      </c>
      <c r="E3734" s="24" t="s">
        <v>61</v>
      </c>
      <c r="F3734" s="63" t="s">
        <v>0</v>
      </c>
    </row>
    <row r="3735" spans="1:6" x14ac:dyDescent="0.25">
      <c r="A3735" s="62">
        <v>44412</v>
      </c>
      <c r="B3735" s="62" t="s">
        <v>3172</v>
      </c>
      <c r="C3735" s="23">
        <v>-5221</v>
      </c>
      <c r="D3735" s="24" t="s">
        <v>49</v>
      </c>
      <c r="E3735" s="24" t="s">
        <v>56</v>
      </c>
      <c r="F3735" s="63" t="s">
        <v>0</v>
      </c>
    </row>
    <row r="3736" spans="1:6" x14ac:dyDescent="0.25">
      <c r="A3736" s="62">
        <v>44412</v>
      </c>
      <c r="B3736" s="62" t="s">
        <v>3173</v>
      </c>
      <c r="C3736" s="23">
        <v>-4610</v>
      </c>
      <c r="D3736" s="24" t="s">
        <v>49</v>
      </c>
      <c r="E3736" s="24" t="s">
        <v>56</v>
      </c>
      <c r="F3736" s="63" t="s">
        <v>0</v>
      </c>
    </row>
    <row r="3737" spans="1:6" x14ac:dyDescent="0.25">
      <c r="A3737" s="62">
        <v>44412</v>
      </c>
      <c r="B3737" s="62" t="s">
        <v>3174</v>
      </c>
      <c r="C3737" s="23">
        <v>-3480</v>
      </c>
      <c r="D3737" s="24" t="s">
        <v>52</v>
      </c>
      <c r="E3737" s="24" t="s">
        <v>53</v>
      </c>
      <c r="F3737" s="63" t="s">
        <v>0</v>
      </c>
    </row>
    <row r="3738" spans="1:6" x14ac:dyDescent="0.25">
      <c r="A3738" s="62">
        <v>44411</v>
      </c>
      <c r="B3738" s="62" t="s">
        <v>3175</v>
      </c>
      <c r="C3738" s="23">
        <v>-2800</v>
      </c>
      <c r="D3738" s="24" t="s">
        <v>52</v>
      </c>
      <c r="E3738" s="24" t="s">
        <v>52</v>
      </c>
      <c r="F3738" s="63" t="s">
        <v>0</v>
      </c>
    </row>
    <row r="3739" spans="1:6" x14ac:dyDescent="0.25">
      <c r="A3739" s="62">
        <v>44411</v>
      </c>
      <c r="B3739" s="62" t="s">
        <v>3176</v>
      </c>
      <c r="C3739" s="23">
        <v>-15000</v>
      </c>
      <c r="D3739" s="24" t="s">
        <v>52</v>
      </c>
      <c r="E3739" s="24" t="s">
        <v>52</v>
      </c>
      <c r="F3739" s="63" t="s">
        <v>0</v>
      </c>
    </row>
    <row r="3740" spans="1:6" x14ac:dyDescent="0.25">
      <c r="A3740" s="62">
        <v>44410</v>
      </c>
      <c r="B3740" s="62" t="s">
        <v>3177</v>
      </c>
      <c r="C3740" s="23">
        <v>-1199</v>
      </c>
      <c r="D3740" s="24" t="s">
        <v>167</v>
      </c>
      <c r="E3740" s="24" t="s">
        <v>168</v>
      </c>
      <c r="F3740" s="63" t="s">
        <v>0</v>
      </c>
    </row>
    <row r="3741" spans="1:6" x14ac:dyDescent="0.25">
      <c r="A3741" s="62">
        <v>44410</v>
      </c>
      <c r="B3741" s="62" t="s">
        <v>3178</v>
      </c>
      <c r="C3741" s="23">
        <v>-15230</v>
      </c>
      <c r="D3741" s="24" t="s">
        <v>90</v>
      </c>
      <c r="E3741" s="24" t="s">
        <v>106</v>
      </c>
      <c r="F3741" s="63" t="s">
        <v>0</v>
      </c>
    </row>
    <row r="3742" spans="1:6" x14ac:dyDescent="0.25">
      <c r="A3742" s="62">
        <v>44410</v>
      </c>
      <c r="B3742" s="62" t="s">
        <v>3179</v>
      </c>
      <c r="C3742" s="23">
        <v>-6097</v>
      </c>
      <c r="D3742" s="24" t="s">
        <v>90</v>
      </c>
      <c r="E3742" s="24" t="s">
        <v>106</v>
      </c>
      <c r="F3742" s="63" t="s">
        <v>0</v>
      </c>
    </row>
    <row r="3743" spans="1:6" x14ac:dyDescent="0.25">
      <c r="A3743" s="62">
        <v>44410</v>
      </c>
      <c r="B3743" s="62" t="s">
        <v>3180</v>
      </c>
      <c r="C3743" s="23">
        <v>-5472</v>
      </c>
      <c r="D3743" s="24" t="s">
        <v>90</v>
      </c>
      <c r="E3743" s="24" t="s">
        <v>106</v>
      </c>
      <c r="F3743" s="63" t="s">
        <v>0</v>
      </c>
    </row>
    <row r="3744" spans="1:6" x14ac:dyDescent="0.25">
      <c r="A3744" s="62">
        <v>44410</v>
      </c>
      <c r="B3744" s="62" t="s">
        <v>3181</v>
      </c>
      <c r="C3744" s="23">
        <v>-7424</v>
      </c>
      <c r="D3744" s="24" t="s">
        <v>49</v>
      </c>
      <c r="E3744" s="24" t="s">
        <v>56</v>
      </c>
      <c r="F3744" s="63" t="s">
        <v>0</v>
      </c>
    </row>
    <row r="3745" spans="1:6" x14ac:dyDescent="0.25">
      <c r="A3745" s="62">
        <v>44410</v>
      </c>
      <c r="B3745" s="62" t="s">
        <v>3182</v>
      </c>
      <c r="C3745" s="23">
        <v>50000</v>
      </c>
      <c r="D3745" s="24" t="s">
        <v>46</v>
      </c>
      <c r="E3745" s="24" t="s">
        <v>3095</v>
      </c>
      <c r="F3745" s="63" t="s">
        <v>0</v>
      </c>
    </row>
    <row r="3746" spans="1:6" x14ac:dyDescent="0.25">
      <c r="A3746" s="62">
        <v>44410</v>
      </c>
      <c r="B3746" s="62" t="s">
        <v>3183</v>
      </c>
      <c r="C3746" s="23">
        <v>-1890</v>
      </c>
      <c r="D3746" s="24" t="s">
        <v>52</v>
      </c>
      <c r="E3746" s="24" t="s">
        <v>53</v>
      </c>
      <c r="F3746" s="63" t="s">
        <v>0</v>
      </c>
    </row>
    <row r="3747" spans="1:6" x14ac:dyDescent="0.25">
      <c r="A3747" s="62">
        <v>44410</v>
      </c>
      <c r="B3747" s="62" t="s">
        <v>3184</v>
      </c>
      <c r="C3747" s="23">
        <v>-295</v>
      </c>
      <c r="D3747" s="24" t="s">
        <v>52</v>
      </c>
      <c r="E3747" s="24" t="s">
        <v>134</v>
      </c>
      <c r="F3747" s="63" t="s">
        <v>0</v>
      </c>
    </row>
    <row r="3748" spans="1:6" x14ac:dyDescent="0.25">
      <c r="A3748" s="62">
        <v>44410</v>
      </c>
      <c r="B3748" s="62" t="s">
        <v>3185</v>
      </c>
      <c r="C3748" s="23">
        <v>-510</v>
      </c>
      <c r="D3748" s="24" t="s">
        <v>52</v>
      </c>
      <c r="E3748" s="24" t="s">
        <v>134</v>
      </c>
      <c r="F3748" s="63" t="s">
        <v>0</v>
      </c>
    </row>
    <row r="3749" spans="1:6" x14ac:dyDescent="0.25">
      <c r="A3749" s="62">
        <v>44410</v>
      </c>
      <c r="B3749" s="62" t="s">
        <v>1331</v>
      </c>
      <c r="C3749" s="23">
        <v>-584</v>
      </c>
      <c r="D3749" s="24" t="s">
        <v>72</v>
      </c>
      <c r="E3749" s="24" t="s">
        <v>197</v>
      </c>
      <c r="F3749" s="63" t="s">
        <v>0</v>
      </c>
    </row>
    <row r="3750" spans="1:6" x14ac:dyDescent="0.25">
      <c r="A3750" s="62">
        <v>44408</v>
      </c>
      <c r="B3750" s="62" t="s">
        <v>43</v>
      </c>
      <c r="C3750" s="23">
        <v>-1799</v>
      </c>
      <c r="D3750" s="24" t="s">
        <v>167</v>
      </c>
      <c r="E3750" s="24" t="s">
        <v>168</v>
      </c>
      <c r="F3750" s="63" t="s">
        <v>0</v>
      </c>
    </row>
    <row r="3751" spans="1:6" x14ac:dyDescent="0.25">
      <c r="A3751" s="62">
        <v>44407</v>
      </c>
      <c r="B3751" s="62" t="s">
        <v>3186</v>
      </c>
      <c r="C3751" s="23">
        <v>10.23</v>
      </c>
      <c r="D3751" s="24" t="s">
        <v>167</v>
      </c>
      <c r="E3751" s="24" t="s">
        <v>32</v>
      </c>
      <c r="F3751" s="63" t="s">
        <v>0</v>
      </c>
    </row>
    <row r="3752" spans="1:6" x14ac:dyDescent="0.25">
      <c r="A3752" s="62">
        <v>44407</v>
      </c>
      <c r="B3752" s="62" t="s">
        <v>3187</v>
      </c>
      <c r="C3752" s="23">
        <v>-103960</v>
      </c>
      <c r="D3752" s="24" t="s">
        <v>46</v>
      </c>
      <c r="E3752" s="24" t="s">
        <v>428</v>
      </c>
      <c r="F3752" s="63" t="s">
        <v>0</v>
      </c>
    </row>
    <row r="3753" spans="1:6" x14ac:dyDescent="0.25">
      <c r="A3753" s="62">
        <v>44407</v>
      </c>
      <c r="B3753" s="62" t="s">
        <v>3188</v>
      </c>
      <c r="C3753" s="23">
        <v>-13240</v>
      </c>
      <c r="D3753" s="24" t="s">
        <v>49</v>
      </c>
      <c r="E3753" s="24" t="s">
        <v>67</v>
      </c>
      <c r="F3753" s="63" t="s">
        <v>0</v>
      </c>
    </row>
    <row r="3754" spans="1:6" x14ac:dyDescent="0.25">
      <c r="A3754" s="62">
        <v>44407</v>
      </c>
      <c r="B3754" s="62" t="s">
        <v>3189</v>
      </c>
      <c r="C3754" s="23">
        <v>-3000</v>
      </c>
      <c r="D3754" s="24" t="s">
        <v>72</v>
      </c>
      <c r="E3754" s="24" t="s">
        <v>197</v>
      </c>
      <c r="F3754" s="63" t="s">
        <v>0</v>
      </c>
    </row>
    <row r="3755" spans="1:6" x14ac:dyDescent="0.25">
      <c r="A3755" s="62">
        <v>44407</v>
      </c>
      <c r="B3755" s="62" t="s">
        <v>1331</v>
      </c>
      <c r="C3755" s="23">
        <v>-584</v>
      </c>
      <c r="D3755" s="24" t="s">
        <v>72</v>
      </c>
      <c r="E3755" s="24" t="s">
        <v>197</v>
      </c>
      <c r="F3755" s="63" t="s">
        <v>0</v>
      </c>
    </row>
    <row r="3756" spans="1:6" x14ac:dyDescent="0.25">
      <c r="A3756" s="62">
        <v>44407</v>
      </c>
      <c r="B3756" s="62" t="s">
        <v>1331</v>
      </c>
      <c r="C3756" s="23">
        <v>-584</v>
      </c>
      <c r="D3756" s="24" t="s">
        <v>72</v>
      </c>
      <c r="E3756" s="24" t="s">
        <v>197</v>
      </c>
      <c r="F3756" s="63" t="s">
        <v>0</v>
      </c>
    </row>
    <row r="3757" spans="1:6" x14ac:dyDescent="0.25">
      <c r="A3757" s="62">
        <v>44406</v>
      </c>
      <c r="B3757" s="62" t="s">
        <v>3190</v>
      </c>
      <c r="C3757" s="23">
        <v>-357</v>
      </c>
      <c r="D3757" s="24" t="s">
        <v>49</v>
      </c>
      <c r="E3757" s="24" t="s">
        <v>56</v>
      </c>
      <c r="F3757" s="63" t="s">
        <v>0</v>
      </c>
    </row>
    <row r="3758" spans="1:6" x14ac:dyDescent="0.25">
      <c r="A3758" s="62">
        <v>44406</v>
      </c>
      <c r="B3758" s="62" t="s">
        <v>3191</v>
      </c>
      <c r="C3758" s="23">
        <v>-890</v>
      </c>
      <c r="D3758" s="24" t="s">
        <v>52</v>
      </c>
      <c r="E3758" s="24" t="s">
        <v>134</v>
      </c>
      <c r="F3758" s="63" t="s">
        <v>0</v>
      </c>
    </row>
    <row r="3759" spans="1:6" x14ac:dyDescent="0.25">
      <c r="A3759" s="62">
        <v>44406</v>
      </c>
      <c r="B3759" s="62" t="s">
        <v>3192</v>
      </c>
      <c r="C3759" s="23">
        <v>-2150</v>
      </c>
      <c r="D3759" s="24" t="s">
        <v>52</v>
      </c>
      <c r="E3759" s="24" t="s">
        <v>53</v>
      </c>
      <c r="F3759" s="63" t="s">
        <v>0</v>
      </c>
    </row>
    <row r="3760" spans="1:6" x14ac:dyDescent="0.25">
      <c r="A3760" s="62">
        <v>44406</v>
      </c>
      <c r="B3760" s="62" t="s">
        <v>3193</v>
      </c>
      <c r="C3760" s="23">
        <v>-2050</v>
      </c>
      <c r="D3760" s="24" t="s">
        <v>52</v>
      </c>
      <c r="E3760" s="24" t="s">
        <v>53</v>
      </c>
      <c r="F3760" s="63" t="s">
        <v>0</v>
      </c>
    </row>
    <row r="3761" spans="1:6" x14ac:dyDescent="0.25">
      <c r="A3761" s="62">
        <v>44406</v>
      </c>
      <c r="B3761" s="62" t="s">
        <v>3194</v>
      </c>
      <c r="C3761" s="23">
        <v>-175000</v>
      </c>
      <c r="D3761" s="24" t="s">
        <v>46</v>
      </c>
      <c r="E3761" s="24" t="s">
        <v>428</v>
      </c>
      <c r="F3761" s="63" t="s">
        <v>0</v>
      </c>
    </row>
    <row r="3762" spans="1:6" x14ac:dyDescent="0.25">
      <c r="A3762" s="62">
        <v>44406</v>
      </c>
      <c r="B3762" s="62" t="s">
        <v>3195</v>
      </c>
      <c r="C3762" s="23">
        <v>-1190</v>
      </c>
      <c r="D3762" s="24" t="s">
        <v>52</v>
      </c>
      <c r="E3762" s="24" t="s">
        <v>134</v>
      </c>
      <c r="F3762" s="63" t="s">
        <v>0</v>
      </c>
    </row>
    <row r="3763" spans="1:6" x14ac:dyDescent="0.25">
      <c r="A3763" s="62">
        <v>44405</v>
      </c>
      <c r="B3763" s="62" t="s">
        <v>3196</v>
      </c>
      <c r="C3763" s="23">
        <v>-674</v>
      </c>
      <c r="D3763" s="24" t="s">
        <v>72</v>
      </c>
      <c r="E3763" s="24" t="s">
        <v>197</v>
      </c>
      <c r="F3763" s="63" t="s">
        <v>0</v>
      </c>
    </row>
    <row r="3764" spans="1:6" x14ac:dyDescent="0.25">
      <c r="A3764" s="62">
        <v>44405</v>
      </c>
      <c r="B3764" s="62" t="s">
        <v>3197</v>
      </c>
      <c r="C3764" s="23">
        <v>-1965</v>
      </c>
      <c r="D3764" s="24" t="s">
        <v>49</v>
      </c>
      <c r="E3764" s="24" t="s">
        <v>56</v>
      </c>
      <c r="F3764" s="63" t="s">
        <v>0</v>
      </c>
    </row>
    <row r="3765" spans="1:6" x14ac:dyDescent="0.25">
      <c r="A3765" s="62">
        <v>44405</v>
      </c>
      <c r="B3765" s="62" t="s">
        <v>3198</v>
      </c>
      <c r="C3765" s="23">
        <v>-790</v>
      </c>
      <c r="D3765" s="24" t="s">
        <v>90</v>
      </c>
      <c r="E3765" s="24" t="s">
        <v>59</v>
      </c>
      <c r="F3765" s="63" t="s">
        <v>0</v>
      </c>
    </row>
    <row r="3766" spans="1:6" x14ac:dyDescent="0.25">
      <c r="A3766" s="62">
        <v>44405</v>
      </c>
      <c r="B3766" s="62" t="s">
        <v>3199</v>
      </c>
      <c r="C3766" s="23">
        <v>-15000</v>
      </c>
      <c r="D3766" s="24" t="s">
        <v>46</v>
      </c>
      <c r="E3766" s="24" t="s">
        <v>428</v>
      </c>
      <c r="F3766" s="63" t="s">
        <v>0</v>
      </c>
    </row>
    <row r="3767" spans="1:6" x14ac:dyDescent="0.25">
      <c r="A3767" s="62">
        <v>44405</v>
      </c>
      <c r="B3767" s="62" t="s">
        <v>3200</v>
      </c>
      <c r="C3767" s="23">
        <v>-674</v>
      </c>
      <c r="D3767" s="24" t="s">
        <v>72</v>
      </c>
      <c r="E3767" s="24" t="s">
        <v>197</v>
      </c>
      <c r="F3767" s="63" t="s">
        <v>0</v>
      </c>
    </row>
    <row r="3768" spans="1:6" x14ac:dyDescent="0.25">
      <c r="A3768" s="62">
        <v>44405</v>
      </c>
      <c r="B3768" s="62" t="s">
        <v>3201</v>
      </c>
      <c r="C3768" s="23">
        <v>-53970</v>
      </c>
      <c r="D3768" s="24" t="s">
        <v>46</v>
      </c>
      <c r="E3768" s="24" t="s">
        <v>428</v>
      </c>
      <c r="F3768" s="63" t="s">
        <v>0</v>
      </c>
    </row>
    <row r="3769" spans="1:6" x14ac:dyDescent="0.25">
      <c r="A3769" s="62">
        <v>44405</v>
      </c>
      <c r="B3769" s="62" t="s">
        <v>3202</v>
      </c>
      <c r="C3769" s="23">
        <v>-16214</v>
      </c>
      <c r="D3769" s="24" t="s">
        <v>72</v>
      </c>
      <c r="E3769" s="24" t="s">
        <v>109</v>
      </c>
      <c r="F3769" s="63" t="s">
        <v>0</v>
      </c>
    </row>
    <row r="3770" spans="1:6" x14ac:dyDescent="0.25">
      <c r="A3770" s="62">
        <v>44405</v>
      </c>
      <c r="B3770" s="62" t="s">
        <v>3203</v>
      </c>
      <c r="C3770" s="23">
        <v>-81646</v>
      </c>
      <c r="D3770" s="24" t="s">
        <v>46</v>
      </c>
      <c r="E3770" s="24" t="s">
        <v>61</v>
      </c>
      <c r="F3770" s="63" t="s">
        <v>0</v>
      </c>
    </row>
    <row r="3771" spans="1:6" x14ac:dyDescent="0.25">
      <c r="A3771" s="62">
        <v>44405</v>
      </c>
      <c r="B3771" s="62" t="s">
        <v>2941</v>
      </c>
      <c r="C3771" s="23">
        <v>-3990</v>
      </c>
      <c r="D3771" s="24" t="s">
        <v>46</v>
      </c>
      <c r="E3771" s="24" t="s">
        <v>63</v>
      </c>
      <c r="F3771" s="63" t="s">
        <v>0</v>
      </c>
    </row>
    <row r="3772" spans="1:6" x14ac:dyDescent="0.25">
      <c r="A3772" s="62">
        <v>44404</v>
      </c>
      <c r="B3772" s="62" t="s">
        <v>3204</v>
      </c>
      <c r="C3772" s="23">
        <v>-1240</v>
      </c>
      <c r="D3772" s="24" t="s">
        <v>52</v>
      </c>
      <c r="E3772" s="24" t="s">
        <v>53</v>
      </c>
      <c r="F3772" s="63" t="s">
        <v>0</v>
      </c>
    </row>
    <row r="3773" spans="1:6" x14ac:dyDescent="0.25">
      <c r="A3773" s="62">
        <v>44404</v>
      </c>
      <c r="B3773" s="62" t="s">
        <v>3205</v>
      </c>
      <c r="C3773" s="23">
        <v>-2000</v>
      </c>
      <c r="D3773" s="24" t="s">
        <v>46</v>
      </c>
      <c r="E3773" s="24" t="s">
        <v>428</v>
      </c>
      <c r="F3773" s="63" t="s">
        <v>0</v>
      </c>
    </row>
    <row r="3774" spans="1:6" x14ac:dyDescent="0.25">
      <c r="A3774" s="62">
        <v>44403</v>
      </c>
      <c r="B3774" s="62" t="s">
        <v>3206</v>
      </c>
      <c r="C3774" s="23">
        <v>-74</v>
      </c>
      <c r="D3774" s="24" t="s">
        <v>167</v>
      </c>
      <c r="E3774" s="24" t="s">
        <v>168</v>
      </c>
      <c r="F3774" s="63" t="s">
        <v>0</v>
      </c>
    </row>
    <row r="3775" spans="1:6" x14ac:dyDescent="0.25">
      <c r="A3775" s="62">
        <v>44403</v>
      </c>
      <c r="B3775" s="62" t="s">
        <v>3207</v>
      </c>
      <c r="C3775" s="23">
        <v>-1760</v>
      </c>
      <c r="D3775" s="24" t="s">
        <v>167</v>
      </c>
      <c r="E3775" s="24" t="s">
        <v>168</v>
      </c>
      <c r="F3775" s="63" t="s">
        <v>0</v>
      </c>
    </row>
    <row r="3776" spans="1:6" x14ac:dyDescent="0.25">
      <c r="A3776" s="62">
        <v>44403</v>
      </c>
      <c r="B3776" s="62" t="s">
        <v>3208</v>
      </c>
      <c r="C3776" s="23">
        <v>-929</v>
      </c>
      <c r="D3776" s="24" t="s">
        <v>167</v>
      </c>
      <c r="E3776" s="24" t="s">
        <v>168</v>
      </c>
      <c r="F3776" s="63" t="s">
        <v>0</v>
      </c>
    </row>
    <row r="3777" spans="1:6" x14ac:dyDescent="0.25">
      <c r="A3777" s="62">
        <v>44403</v>
      </c>
      <c r="B3777" s="62" t="s">
        <v>3209</v>
      </c>
      <c r="C3777" s="23">
        <v>-35000</v>
      </c>
      <c r="D3777" s="24" t="s">
        <v>46</v>
      </c>
      <c r="E3777" s="24" t="s">
        <v>428</v>
      </c>
      <c r="F3777" s="63" t="s">
        <v>0</v>
      </c>
    </row>
    <row r="3778" spans="1:6" x14ac:dyDescent="0.25">
      <c r="A3778" s="62">
        <v>44403</v>
      </c>
      <c r="B3778" s="62" t="s">
        <v>3210</v>
      </c>
      <c r="C3778" s="23">
        <v>-24101</v>
      </c>
      <c r="D3778" s="24" t="s">
        <v>46</v>
      </c>
      <c r="E3778" s="24" t="s">
        <v>61</v>
      </c>
      <c r="F3778" s="63" t="s">
        <v>0</v>
      </c>
    </row>
    <row r="3779" spans="1:6" x14ac:dyDescent="0.25">
      <c r="A3779" s="62">
        <v>44403</v>
      </c>
      <c r="B3779" s="62" t="s">
        <v>3211</v>
      </c>
      <c r="C3779" s="23">
        <v>-584</v>
      </c>
      <c r="D3779" s="24" t="s">
        <v>72</v>
      </c>
      <c r="E3779" s="24" t="s">
        <v>197</v>
      </c>
      <c r="F3779" s="63" t="s">
        <v>0</v>
      </c>
    </row>
    <row r="3780" spans="1:6" x14ac:dyDescent="0.25">
      <c r="A3780" s="62">
        <v>44400</v>
      </c>
      <c r="B3780" s="62" t="s">
        <v>3212</v>
      </c>
      <c r="C3780" s="23">
        <v>-586</v>
      </c>
      <c r="D3780" s="24" t="s">
        <v>72</v>
      </c>
      <c r="E3780" s="24" t="s">
        <v>197</v>
      </c>
      <c r="F3780" s="63" t="s">
        <v>0</v>
      </c>
    </row>
    <row r="3781" spans="1:6" x14ac:dyDescent="0.25">
      <c r="A3781" s="62">
        <v>44400</v>
      </c>
      <c r="B3781" s="62" t="s">
        <v>3213</v>
      </c>
      <c r="C3781" s="23">
        <v>-3130</v>
      </c>
      <c r="D3781" s="24" t="s">
        <v>90</v>
      </c>
      <c r="E3781" s="24" t="s">
        <v>111</v>
      </c>
      <c r="F3781" s="63" t="s">
        <v>0</v>
      </c>
    </row>
    <row r="3782" spans="1:6" x14ac:dyDescent="0.25">
      <c r="A3782" s="62">
        <v>44400</v>
      </c>
      <c r="B3782" s="62" t="s">
        <v>1952</v>
      </c>
      <c r="C3782" s="23">
        <v>-1900</v>
      </c>
      <c r="D3782" s="24" t="s">
        <v>52</v>
      </c>
      <c r="E3782" s="24" t="s">
        <v>53</v>
      </c>
      <c r="F3782" s="63" t="s">
        <v>0</v>
      </c>
    </row>
    <row r="3783" spans="1:6" x14ac:dyDescent="0.25">
      <c r="A3783" s="62">
        <v>44399</v>
      </c>
      <c r="B3783" s="62" t="s">
        <v>3214</v>
      </c>
      <c r="C3783" s="23">
        <v>-35657</v>
      </c>
      <c r="D3783" s="24" t="s">
        <v>72</v>
      </c>
      <c r="E3783" s="24" t="s">
        <v>728</v>
      </c>
      <c r="F3783" s="63" t="s">
        <v>0</v>
      </c>
    </row>
    <row r="3784" spans="1:6" x14ac:dyDescent="0.25">
      <c r="A3784" s="62">
        <v>44398</v>
      </c>
      <c r="B3784" s="62" t="s">
        <v>139</v>
      </c>
      <c r="C3784" s="23">
        <v>19275</v>
      </c>
      <c r="D3784" s="24" t="s">
        <v>58</v>
      </c>
      <c r="E3784" s="24" t="s">
        <v>58</v>
      </c>
      <c r="F3784" s="63" t="s">
        <v>4</v>
      </c>
    </row>
    <row r="3785" spans="1:6" x14ac:dyDescent="0.25">
      <c r="A3785" s="62">
        <v>44398</v>
      </c>
      <c r="B3785" s="62" t="s">
        <v>139</v>
      </c>
      <c r="C3785" s="23">
        <v>14274</v>
      </c>
      <c r="D3785" s="24" t="s">
        <v>58</v>
      </c>
      <c r="E3785" s="24" t="s">
        <v>58</v>
      </c>
      <c r="F3785" s="63" t="s">
        <v>4</v>
      </c>
    </row>
    <row r="3786" spans="1:6" x14ac:dyDescent="0.25">
      <c r="A3786" s="62">
        <v>44398</v>
      </c>
      <c r="B3786" s="62" t="s">
        <v>3215</v>
      </c>
      <c r="C3786" s="23">
        <v>-100</v>
      </c>
      <c r="D3786" s="24" t="s">
        <v>167</v>
      </c>
      <c r="E3786" s="24" t="s">
        <v>168</v>
      </c>
      <c r="F3786" s="63" t="s">
        <v>5</v>
      </c>
    </row>
    <row r="3787" spans="1:6" x14ac:dyDescent="0.25">
      <c r="A3787" s="62">
        <v>44398</v>
      </c>
      <c r="B3787" s="62" t="s">
        <v>3216</v>
      </c>
      <c r="C3787" s="23">
        <v>-2208</v>
      </c>
      <c r="D3787" s="24" t="s">
        <v>49</v>
      </c>
      <c r="E3787" s="24" t="s">
        <v>56</v>
      </c>
      <c r="F3787" s="63" t="s">
        <v>0</v>
      </c>
    </row>
    <row r="3788" spans="1:6" x14ac:dyDescent="0.25">
      <c r="A3788" s="62">
        <v>44398</v>
      </c>
      <c r="B3788" s="62" t="s">
        <v>3217</v>
      </c>
      <c r="C3788" s="23">
        <v>-2947</v>
      </c>
      <c r="D3788" s="24" t="s">
        <v>49</v>
      </c>
      <c r="E3788" s="24" t="s">
        <v>56</v>
      </c>
      <c r="F3788" s="63" t="s">
        <v>0</v>
      </c>
    </row>
    <row r="3789" spans="1:6" x14ac:dyDescent="0.25">
      <c r="A3789" s="62">
        <v>44398</v>
      </c>
      <c r="B3789" s="62" t="s">
        <v>3218</v>
      </c>
      <c r="C3789" s="23">
        <v>-1995</v>
      </c>
      <c r="D3789" s="24" t="s">
        <v>49</v>
      </c>
      <c r="E3789" s="24" t="s">
        <v>56</v>
      </c>
      <c r="F3789" s="63" t="s">
        <v>0</v>
      </c>
    </row>
    <row r="3790" spans="1:6" x14ac:dyDescent="0.25">
      <c r="A3790" s="62">
        <v>44398</v>
      </c>
      <c r="B3790" s="62" t="s">
        <v>3219</v>
      </c>
      <c r="C3790" s="23">
        <v>-362</v>
      </c>
      <c r="D3790" s="24" t="s">
        <v>72</v>
      </c>
      <c r="E3790" s="24" t="s">
        <v>73</v>
      </c>
      <c r="F3790" s="63" t="s">
        <v>0</v>
      </c>
    </row>
    <row r="3791" spans="1:6" x14ac:dyDescent="0.25">
      <c r="A3791" s="62">
        <v>44398</v>
      </c>
      <c r="B3791" s="62" t="s">
        <v>3220</v>
      </c>
      <c r="C3791" s="23">
        <v>-893</v>
      </c>
      <c r="D3791" s="24" t="s">
        <v>72</v>
      </c>
      <c r="E3791" s="24" t="s">
        <v>73</v>
      </c>
      <c r="F3791" s="63" t="s">
        <v>0</v>
      </c>
    </row>
    <row r="3792" spans="1:6" x14ac:dyDescent="0.25">
      <c r="A3792" s="62">
        <v>44398</v>
      </c>
      <c r="B3792" s="62" t="s">
        <v>3221</v>
      </c>
      <c r="C3792" s="23">
        <v>-6205</v>
      </c>
      <c r="D3792" s="24" t="s">
        <v>46</v>
      </c>
      <c r="E3792" s="24" t="s">
        <v>61</v>
      </c>
      <c r="F3792" s="63" t="s">
        <v>0</v>
      </c>
    </row>
    <row r="3793" spans="1:6" x14ac:dyDescent="0.25">
      <c r="A3793" s="62">
        <v>44398</v>
      </c>
      <c r="B3793" s="62" t="s">
        <v>3222</v>
      </c>
      <c r="C3793" s="23">
        <v>-1999</v>
      </c>
      <c r="D3793" s="24" t="s">
        <v>46</v>
      </c>
      <c r="E3793" s="24" t="s">
        <v>61</v>
      </c>
      <c r="F3793" s="63" t="s">
        <v>0</v>
      </c>
    </row>
    <row r="3794" spans="1:6" x14ac:dyDescent="0.25">
      <c r="A3794" s="62">
        <v>44398</v>
      </c>
      <c r="B3794" s="62" t="s">
        <v>3223</v>
      </c>
      <c r="C3794" s="23">
        <v>-1458</v>
      </c>
      <c r="D3794" s="24" t="s">
        <v>46</v>
      </c>
      <c r="E3794" s="24" t="s">
        <v>61</v>
      </c>
      <c r="F3794" s="63" t="s">
        <v>0</v>
      </c>
    </row>
    <row r="3795" spans="1:6" x14ac:dyDescent="0.25">
      <c r="A3795" s="62">
        <v>44398</v>
      </c>
      <c r="B3795" s="62" t="s">
        <v>3224</v>
      </c>
      <c r="C3795" s="23">
        <v>-15972</v>
      </c>
      <c r="D3795" s="24" t="s">
        <v>72</v>
      </c>
      <c r="E3795" s="24" t="s">
        <v>109</v>
      </c>
      <c r="F3795" s="63" t="s">
        <v>0</v>
      </c>
    </row>
    <row r="3796" spans="1:6" x14ac:dyDescent="0.25">
      <c r="A3796" s="62">
        <v>44397</v>
      </c>
      <c r="B3796" s="62" t="s">
        <v>3225</v>
      </c>
      <c r="C3796" s="23">
        <v>-6103</v>
      </c>
      <c r="D3796" s="24" t="s">
        <v>46</v>
      </c>
      <c r="E3796" s="24" t="s">
        <v>61</v>
      </c>
      <c r="F3796" s="63" t="s">
        <v>0</v>
      </c>
    </row>
    <row r="3797" spans="1:6" x14ac:dyDescent="0.25">
      <c r="A3797" s="62">
        <v>44397</v>
      </c>
      <c r="B3797" s="62" t="s">
        <v>3226</v>
      </c>
      <c r="C3797" s="23">
        <v>-100000</v>
      </c>
      <c r="D3797" s="24" t="s">
        <v>206</v>
      </c>
      <c r="E3797" s="24" t="s">
        <v>830</v>
      </c>
      <c r="F3797" s="63" t="s">
        <v>0</v>
      </c>
    </row>
    <row r="3798" spans="1:6" x14ac:dyDescent="0.25">
      <c r="A3798" s="62">
        <v>44397</v>
      </c>
      <c r="B3798" s="62" t="s">
        <v>3227</v>
      </c>
      <c r="C3798" s="23">
        <v>-20938</v>
      </c>
      <c r="D3798" s="24" t="s">
        <v>46</v>
      </c>
      <c r="E3798" s="24" t="s">
        <v>61</v>
      </c>
      <c r="F3798" s="63" t="s">
        <v>0</v>
      </c>
    </row>
    <row r="3799" spans="1:6" x14ac:dyDescent="0.25">
      <c r="A3799" s="62">
        <v>44397</v>
      </c>
      <c r="B3799" s="62" t="s">
        <v>3228</v>
      </c>
      <c r="C3799" s="23">
        <v>-8488</v>
      </c>
      <c r="D3799" s="24" t="s">
        <v>46</v>
      </c>
      <c r="E3799" s="24" t="s">
        <v>61</v>
      </c>
      <c r="F3799" s="63" t="s">
        <v>0</v>
      </c>
    </row>
    <row r="3800" spans="1:6" x14ac:dyDescent="0.25">
      <c r="A3800" s="62">
        <v>44396</v>
      </c>
      <c r="B3800" s="62" t="s">
        <v>3229</v>
      </c>
      <c r="C3800" s="23">
        <v>-3735</v>
      </c>
      <c r="D3800" s="24" t="s">
        <v>46</v>
      </c>
      <c r="E3800" s="24" t="s">
        <v>428</v>
      </c>
      <c r="F3800" s="63" t="s">
        <v>0</v>
      </c>
    </row>
    <row r="3801" spans="1:6" x14ac:dyDescent="0.25">
      <c r="A3801" s="62">
        <v>44396</v>
      </c>
      <c r="B3801" s="62" t="s">
        <v>3230</v>
      </c>
      <c r="C3801" s="23">
        <v>-7065</v>
      </c>
      <c r="D3801" s="24" t="s">
        <v>46</v>
      </c>
      <c r="E3801" s="24" t="s">
        <v>61</v>
      </c>
      <c r="F3801" s="63" t="s">
        <v>0</v>
      </c>
    </row>
    <row r="3802" spans="1:6" x14ac:dyDescent="0.25">
      <c r="A3802" s="62">
        <v>44396</v>
      </c>
      <c r="B3802" s="62" t="s">
        <v>3231</v>
      </c>
      <c r="C3802" s="23">
        <v>-232760</v>
      </c>
      <c r="D3802" s="24" t="s">
        <v>46</v>
      </c>
      <c r="E3802" s="24" t="s">
        <v>428</v>
      </c>
      <c r="F3802" s="63" t="s">
        <v>0</v>
      </c>
    </row>
    <row r="3803" spans="1:6" x14ac:dyDescent="0.25">
      <c r="A3803" s="62">
        <v>44396</v>
      </c>
      <c r="B3803" s="62" t="s">
        <v>3232</v>
      </c>
      <c r="C3803" s="23">
        <v>-4987</v>
      </c>
      <c r="D3803" s="24" t="s">
        <v>49</v>
      </c>
      <c r="E3803" s="24" t="s">
        <v>56</v>
      </c>
      <c r="F3803" s="63" t="s">
        <v>0</v>
      </c>
    </row>
    <row r="3804" spans="1:6" x14ac:dyDescent="0.25">
      <c r="A3804" s="62">
        <v>44396</v>
      </c>
      <c r="B3804" s="62" t="s">
        <v>3233</v>
      </c>
      <c r="C3804" s="23">
        <v>-9566</v>
      </c>
      <c r="D3804" s="24" t="s">
        <v>46</v>
      </c>
      <c r="E3804" s="24" t="s">
        <v>61</v>
      </c>
      <c r="F3804" s="63" t="s">
        <v>0</v>
      </c>
    </row>
    <row r="3805" spans="1:6" x14ac:dyDescent="0.25">
      <c r="A3805" s="62">
        <v>44396</v>
      </c>
      <c r="B3805" s="62" t="s">
        <v>3234</v>
      </c>
      <c r="C3805" s="23">
        <v>-1100</v>
      </c>
      <c r="D3805" s="24" t="s">
        <v>52</v>
      </c>
      <c r="E3805" s="24" t="s">
        <v>53</v>
      </c>
      <c r="F3805" s="63" t="s">
        <v>0</v>
      </c>
    </row>
    <row r="3806" spans="1:6" x14ac:dyDescent="0.25">
      <c r="A3806" s="62">
        <v>44396</v>
      </c>
      <c r="B3806" s="62" t="s">
        <v>3211</v>
      </c>
      <c r="C3806" s="23">
        <v>-584</v>
      </c>
      <c r="D3806" s="24" t="s">
        <v>72</v>
      </c>
      <c r="E3806" s="24" t="s">
        <v>73</v>
      </c>
      <c r="F3806" s="63" t="s">
        <v>0</v>
      </c>
    </row>
    <row r="3807" spans="1:6" x14ac:dyDescent="0.25">
      <c r="A3807" s="62">
        <v>44396</v>
      </c>
      <c r="B3807" s="62" t="s">
        <v>3235</v>
      </c>
      <c r="C3807" s="23">
        <v>-5000</v>
      </c>
      <c r="D3807" s="24" t="s">
        <v>49</v>
      </c>
      <c r="E3807" s="24" t="s">
        <v>1165</v>
      </c>
      <c r="F3807" s="63" t="s">
        <v>0</v>
      </c>
    </row>
    <row r="3808" spans="1:6" x14ac:dyDescent="0.25">
      <c r="A3808" s="62">
        <v>44393</v>
      </c>
      <c r="B3808" s="62" t="s">
        <v>3236</v>
      </c>
      <c r="C3808" s="23">
        <v>-987</v>
      </c>
      <c r="D3808" s="24" t="s">
        <v>49</v>
      </c>
      <c r="E3808" s="24" t="s">
        <v>56</v>
      </c>
      <c r="F3808" s="63" t="s">
        <v>0</v>
      </c>
    </row>
    <row r="3809" spans="1:6" x14ac:dyDescent="0.25">
      <c r="A3809" s="62">
        <v>44393</v>
      </c>
      <c r="B3809" s="62" t="s">
        <v>3237</v>
      </c>
      <c r="C3809" s="23">
        <v>-485</v>
      </c>
      <c r="D3809" s="24" t="s">
        <v>49</v>
      </c>
      <c r="E3809" s="24" t="s">
        <v>56</v>
      </c>
      <c r="F3809" s="63" t="s">
        <v>0</v>
      </c>
    </row>
    <row r="3810" spans="1:6" x14ac:dyDescent="0.25">
      <c r="A3810" s="62">
        <v>44392</v>
      </c>
      <c r="B3810" s="62" t="s">
        <v>3238</v>
      </c>
      <c r="C3810" s="23">
        <v>-270</v>
      </c>
      <c r="D3810" s="24" t="s">
        <v>49</v>
      </c>
      <c r="E3810" s="24" t="s">
        <v>56</v>
      </c>
      <c r="F3810" s="63" t="s">
        <v>0</v>
      </c>
    </row>
    <row r="3811" spans="1:6" x14ac:dyDescent="0.25">
      <c r="A3811" s="62">
        <v>44392</v>
      </c>
      <c r="B3811" s="62" t="s">
        <v>3239</v>
      </c>
      <c r="C3811" s="23">
        <v>-110000</v>
      </c>
      <c r="D3811" s="24" t="s">
        <v>46</v>
      </c>
      <c r="E3811" s="24" t="s">
        <v>61</v>
      </c>
      <c r="F3811" s="63" t="s">
        <v>0</v>
      </c>
    </row>
    <row r="3812" spans="1:6" x14ac:dyDescent="0.25">
      <c r="A3812" s="62">
        <v>44392</v>
      </c>
      <c r="B3812" s="62" t="s">
        <v>3240</v>
      </c>
      <c r="C3812" s="23">
        <v>-210000</v>
      </c>
      <c r="D3812" s="24" t="s">
        <v>46</v>
      </c>
      <c r="E3812" s="24" t="s">
        <v>61</v>
      </c>
      <c r="F3812" s="63" t="s">
        <v>0</v>
      </c>
    </row>
    <row r="3813" spans="1:6" x14ac:dyDescent="0.25">
      <c r="A3813" s="62">
        <v>44392</v>
      </c>
      <c r="B3813" s="62" t="s">
        <v>3241</v>
      </c>
      <c r="C3813" s="23">
        <v>-15015</v>
      </c>
      <c r="D3813" s="24" t="s">
        <v>72</v>
      </c>
      <c r="E3813" s="24" t="s">
        <v>109</v>
      </c>
      <c r="F3813" s="63" t="s">
        <v>0</v>
      </c>
    </row>
    <row r="3814" spans="1:6" x14ac:dyDescent="0.25">
      <c r="A3814" s="62">
        <v>44392</v>
      </c>
      <c r="B3814" s="62" t="s">
        <v>3242</v>
      </c>
      <c r="C3814" s="23">
        <v>-30295</v>
      </c>
      <c r="D3814" s="24" t="s">
        <v>46</v>
      </c>
      <c r="E3814" s="24" t="s">
        <v>428</v>
      </c>
      <c r="F3814" s="63" t="s">
        <v>0</v>
      </c>
    </row>
    <row r="3815" spans="1:6" x14ac:dyDescent="0.25">
      <c r="A3815" s="62">
        <v>44392</v>
      </c>
      <c r="B3815" s="62" t="s">
        <v>3243</v>
      </c>
      <c r="C3815" s="23">
        <v>-1644</v>
      </c>
      <c r="D3815" s="24" t="s">
        <v>46</v>
      </c>
      <c r="E3815" s="24" t="s">
        <v>61</v>
      </c>
      <c r="F3815" s="63" t="s">
        <v>0</v>
      </c>
    </row>
    <row r="3816" spans="1:6" x14ac:dyDescent="0.25">
      <c r="A3816" s="62">
        <v>44391</v>
      </c>
      <c r="B3816" s="62" t="s">
        <v>3244</v>
      </c>
      <c r="C3816" s="23">
        <v>-22822</v>
      </c>
      <c r="D3816" s="24" t="s">
        <v>72</v>
      </c>
      <c r="E3816" s="24" t="s">
        <v>109</v>
      </c>
      <c r="F3816" s="63" t="s">
        <v>0</v>
      </c>
    </row>
    <row r="3817" spans="1:6" x14ac:dyDescent="0.25">
      <c r="A3817" s="62">
        <v>44389</v>
      </c>
      <c r="B3817" s="62" t="s">
        <v>3245</v>
      </c>
      <c r="C3817" s="23">
        <v>-12990</v>
      </c>
      <c r="D3817" s="24" t="s">
        <v>206</v>
      </c>
      <c r="E3817" s="24" t="s">
        <v>2123</v>
      </c>
      <c r="F3817" s="63" t="s">
        <v>0</v>
      </c>
    </row>
    <row r="3818" spans="1:6" x14ac:dyDescent="0.25">
      <c r="A3818" s="62">
        <v>44389</v>
      </c>
      <c r="B3818" s="62" t="s">
        <v>3246</v>
      </c>
      <c r="C3818" s="23">
        <v>-171990</v>
      </c>
      <c r="D3818" s="24" t="s">
        <v>46</v>
      </c>
      <c r="E3818" s="24" t="s">
        <v>428</v>
      </c>
      <c r="F3818" s="63" t="s">
        <v>0</v>
      </c>
    </row>
    <row r="3819" spans="1:6" x14ac:dyDescent="0.25">
      <c r="A3819" s="62">
        <v>44389</v>
      </c>
      <c r="B3819" s="62" t="s">
        <v>3247</v>
      </c>
      <c r="C3819" s="23">
        <v>-13990</v>
      </c>
      <c r="D3819" s="24" t="s">
        <v>46</v>
      </c>
      <c r="E3819" s="24" t="s">
        <v>428</v>
      </c>
      <c r="F3819" s="63" t="s">
        <v>0</v>
      </c>
    </row>
    <row r="3820" spans="1:6" x14ac:dyDescent="0.25">
      <c r="A3820" s="62">
        <v>44389</v>
      </c>
      <c r="B3820" s="62" t="s">
        <v>3248</v>
      </c>
      <c r="C3820" s="23">
        <v>-3197</v>
      </c>
      <c r="D3820" s="24" t="s">
        <v>49</v>
      </c>
      <c r="E3820" s="24" t="s">
        <v>56</v>
      </c>
      <c r="F3820" s="63" t="s">
        <v>0</v>
      </c>
    </row>
    <row r="3821" spans="1:6" x14ac:dyDescent="0.25">
      <c r="A3821" s="62">
        <v>44389</v>
      </c>
      <c r="B3821" s="62" t="s">
        <v>3249</v>
      </c>
      <c r="C3821" s="23">
        <v>-2360</v>
      </c>
      <c r="D3821" s="24" t="s">
        <v>49</v>
      </c>
      <c r="E3821" s="24" t="s">
        <v>56</v>
      </c>
      <c r="F3821" s="63" t="s">
        <v>0</v>
      </c>
    </row>
    <row r="3822" spans="1:6" x14ac:dyDescent="0.25">
      <c r="A3822" s="62">
        <v>44389</v>
      </c>
      <c r="B3822" s="62" t="s">
        <v>1037</v>
      </c>
      <c r="C3822" s="23">
        <v>-784</v>
      </c>
      <c r="D3822" s="24" t="s">
        <v>167</v>
      </c>
      <c r="E3822" s="24" t="s">
        <v>168</v>
      </c>
      <c r="F3822" s="63" t="s">
        <v>0</v>
      </c>
    </row>
    <row r="3823" spans="1:6" x14ac:dyDescent="0.25">
      <c r="A3823" s="62">
        <v>44389</v>
      </c>
      <c r="B3823" s="62" t="s">
        <v>1037</v>
      </c>
      <c r="C3823" s="23">
        <v>-784</v>
      </c>
      <c r="D3823" s="24" t="s">
        <v>167</v>
      </c>
      <c r="E3823" s="24" t="s">
        <v>168</v>
      </c>
      <c r="F3823" s="63" t="s">
        <v>0</v>
      </c>
    </row>
    <row r="3824" spans="1:6" x14ac:dyDescent="0.25">
      <c r="A3824" s="62">
        <v>44389</v>
      </c>
      <c r="B3824" s="62" t="s">
        <v>3250</v>
      </c>
      <c r="C3824" s="23">
        <v>-2880</v>
      </c>
      <c r="D3824" s="24" t="s">
        <v>52</v>
      </c>
      <c r="E3824" s="24" t="s">
        <v>53</v>
      </c>
      <c r="F3824" s="63" t="s">
        <v>0</v>
      </c>
    </row>
    <row r="3825" spans="1:6" x14ac:dyDescent="0.25">
      <c r="A3825" s="62">
        <v>44389</v>
      </c>
      <c r="B3825" s="62" t="s">
        <v>3251</v>
      </c>
      <c r="C3825" s="23">
        <v>-2199</v>
      </c>
      <c r="D3825" s="24" t="s">
        <v>46</v>
      </c>
      <c r="E3825" s="24" t="s">
        <v>61</v>
      </c>
      <c r="F3825" s="63" t="s">
        <v>0</v>
      </c>
    </row>
    <row r="3826" spans="1:6" x14ac:dyDescent="0.25">
      <c r="A3826" s="62">
        <v>44389</v>
      </c>
      <c r="B3826" s="62" t="s">
        <v>3252</v>
      </c>
      <c r="C3826" s="23">
        <v>-85000</v>
      </c>
      <c r="D3826" s="24" t="s">
        <v>52</v>
      </c>
      <c r="E3826" s="24" t="s">
        <v>52</v>
      </c>
      <c r="F3826" s="63" t="s">
        <v>0</v>
      </c>
    </row>
    <row r="3827" spans="1:6" x14ac:dyDescent="0.25">
      <c r="A3827" s="62">
        <v>44389</v>
      </c>
      <c r="B3827" s="62" t="s">
        <v>3253</v>
      </c>
      <c r="C3827" s="23">
        <v>-14997</v>
      </c>
      <c r="D3827" s="24" t="s">
        <v>49</v>
      </c>
      <c r="E3827" s="24" t="s">
        <v>56</v>
      </c>
      <c r="F3827" s="63" t="s">
        <v>0</v>
      </c>
    </row>
    <row r="3828" spans="1:6" x14ac:dyDescent="0.25">
      <c r="A3828" s="62">
        <v>44389</v>
      </c>
      <c r="B3828" s="62" t="s">
        <v>3254</v>
      </c>
      <c r="C3828" s="23">
        <v>-4502</v>
      </c>
      <c r="D3828" s="24" t="s">
        <v>49</v>
      </c>
      <c r="E3828" s="24" t="s">
        <v>56</v>
      </c>
      <c r="F3828" s="63" t="s">
        <v>0</v>
      </c>
    </row>
    <row r="3829" spans="1:6" x14ac:dyDescent="0.25">
      <c r="A3829" s="62">
        <v>44389</v>
      </c>
      <c r="B3829" s="62" t="s">
        <v>1037</v>
      </c>
      <c r="C3829" s="23">
        <v>100000</v>
      </c>
      <c r="D3829" s="24" t="s">
        <v>206</v>
      </c>
      <c r="E3829" s="24" t="s">
        <v>830</v>
      </c>
      <c r="F3829" s="63" t="s">
        <v>7</v>
      </c>
    </row>
    <row r="3830" spans="1:6" x14ac:dyDescent="0.25">
      <c r="A3830" s="62">
        <v>44389</v>
      </c>
      <c r="B3830" s="62" t="s">
        <v>1037</v>
      </c>
      <c r="C3830" s="23">
        <v>-100000</v>
      </c>
      <c r="D3830" s="24" t="s">
        <v>206</v>
      </c>
      <c r="E3830" s="24" t="s">
        <v>830</v>
      </c>
      <c r="F3830" s="63" t="s">
        <v>0</v>
      </c>
    </row>
    <row r="3831" spans="1:6" x14ac:dyDescent="0.25">
      <c r="A3831" s="62">
        <v>44389</v>
      </c>
      <c r="B3831" s="62" t="s">
        <v>3255</v>
      </c>
      <c r="C3831" s="23">
        <v>-24820</v>
      </c>
      <c r="D3831" s="24" t="s">
        <v>46</v>
      </c>
      <c r="E3831" s="24" t="s">
        <v>3256</v>
      </c>
      <c r="F3831" s="63" t="s">
        <v>0</v>
      </c>
    </row>
    <row r="3832" spans="1:6" x14ac:dyDescent="0.25">
      <c r="A3832" s="62">
        <v>44387</v>
      </c>
      <c r="B3832" s="62" t="s">
        <v>3257</v>
      </c>
      <c r="C3832" s="23">
        <v>-52280.56</v>
      </c>
      <c r="D3832" s="24" t="s">
        <v>46</v>
      </c>
      <c r="E3832" s="24" t="s">
        <v>10</v>
      </c>
      <c r="F3832" s="63" t="s">
        <v>0</v>
      </c>
    </row>
    <row r="3833" spans="1:6" x14ac:dyDescent="0.25">
      <c r="A3833" s="62">
        <v>44386</v>
      </c>
      <c r="B3833" s="62" t="s">
        <v>3258</v>
      </c>
      <c r="C3833" s="23">
        <v>-26488</v>
      </c>
      <c r="D3833" s="24" t="s">
        <v>72</v>
      </c>
      <c r="E3833" s="24" t="s">
        <v>109</v>
      </c>
      <c r="F3833" s="63" t="s">
        <v>0</v>
      </c>
    </row>
    <row r="3834" spans="1:6" x14ac:dyDescent="0.25">
      <c r="A3834" s="62">
        <v>44386</v>
      </c>
      <c r="B3834" s="62" t="s">
        <v>1651</v>
      </c>
      <c r="C3834" s="23">
        <v>1480477</v>
      </c>
      <c r="D3834" s="24" t="s">
        <v>58</v>
      </c>
      <c r="E3834" s="24" t="s">
        <v>58</v>
      </c>
      <c r="F3834" s="63" t="s">
        <v>0</v>
      </c>
    </row>
    <row r="3835" spans="1:6" x14ac:dyDescent="0.25">
      <c r="A3835" s="62">
        <v>44385</v>
      </c>
      <c r="B3835" s="62" t="s">
        <v>3259</v>
      </c>
      <c r="C3835" s="23">
        <v>-2130</v>
      </c>
      <c r="D3835" s="24" t="s">
        <v>52</v>
      </c>
      <c r="E3835" s="24" t="s">
        <v>53</v>
      </c>
      <c r="F3835" s="63" t="s">
        <v>0</v>
      </c>
    </row>
    <row r="3836" spans="1:6" x14ac:dyDescent="0.25">
      <c r="A3836" s="62">
        <v>44385</v>
      </c>
      <c r="B3836" s="62" t="s">
        <v>3260</v>
      </c>
      <c r="C3836" s="23">
        <v>-937</v>
      </c>
      <c r="D3836" s="24" t="s">
        <v>49</v>
      </c>
      <c r="E3836" s="24" t="s">
        <v>56</v>
      </c>
      <c r="F3836" s="63" t="s">
        <v>0</v>
      </c>
    </row>
    <row r="3837" spans="1:6" x14ac:dyDescent="0.25">
      <c r="A3837" s="62">
        <v>44385</v>
      </c>
      <c r="B3837" s="62" t="s">
        <v>3261</v>
      </c>
      <c r="C3837" s="23">
        <v>-15695</v>
      </c>
      <c r="D3837" s="24" t="s">
        <v>46</v>
      </c>
      <c r="E3837" s="24" t="s">
        <v>61</v>
      </c>
      <c r="F3837" s="63" t="s">
        <v>0</v>
      </c>
    </row>
    <row r="3838" spans="1:6" x14ac:dyDescent="0.25">
      <c r="A3838" s="62">
        <v>44385</v>
      </c>
      <c r="B3838" s="62" t="s">
        <v>3262</v>
      </c>
      <c r="C3838" s="23">
        <v>-8896</v>
      </c>
      <c r="D3838" s="24" t="s">
        <v>46</v>
      </c>
      <c r="E3838" s="24" t="s">
        <v>61</v>
      </c>
      <c r="F3838" s="63" t="s">
        <v>0</v>
      </c>
    </row>
    <row r="3839" spans="1:6" x14ac:dyDescent="0.25">
      <c r="A3839" s="62">
        <v>44385</v>
      </c>
      <c r="B3839" s="62" t="s">
        <v>3263</v>
      </c>
      <c r="C3839" s="23">
        <v>-1334</v>
      </c>
      <c r="D3839" s="24" t="s">
        <v>46</v>
      </c>
      <c r="E3839" s="24" t="s">
        <v>61</v>
      </c>
      <c r="F3839" s="63" t="s">
        <v>0</v>
      </c>
    </row>
    <row r="3840" spans="1:6" x14ac:dyDescent="0.25">
      <c r="A3840" s="62">
        <v>44384</v>
      </c>
      <c r="B3840" s="62" t="s">
        <v>3264</v>
      </c>
      <c r="C3840" s="23">
        <v>-24265</v>
      </c>
      <c r="D3840" s="24" t="s">
        <v>46</v>
      </c>
      <c r="E3840" s="24" t="s">
        <v>61</v>
      </c>
      <c r="F3840" s="63" t="s">
        <v>0</v>
      </c>
    </row>
    <row r="3841" spans="1:6" x14ac:dyDescent="0.25">
      <c r="A3841" s="62">
        <v>44384</v>
      </c>
      <c r="B3841" s="62" t="s">
        <v>3265</v>
      </c>
      <c r="C3841" s="23">
        <v>-3005</v>
      </c>
      <c r="D3841" s="24" t="s">
        <v>46</v>
      </c>
      <c r="E3841" s="24" t="s">
        <v>61</v>
      </c>
      <c r="F3841" s="63" t="s">
        <v>0</v>
      </c>
    </row>
    <row r="3842" spans="1:6" x14ac:dyDescent="0.25">
      <c r="A3842" s="62">
        <v>44383</v>
      </c>
      <c r="B3842" s="62" t="s">
        <v>3266</v>
      </c>
      <c r="C3842" s="23">
        <v>-5443</v>
      </c>
      <c r="D3842" s="24" t="s">
        <v>49</v>
      </c>
      <c r="E3842" s="24" t="s">
        <v>56</v>
      </c>
      <c r="F3842" s="63" t="s">
        <v>0</v>
      </c>
    </row>
    <row r="3843" spans="1:6" x14ac:dyDescent="0.25">
      <c r="A3843" s="62">
        <v>44383</v>
      </c>
      <c r="B3843" s="62" t="s">
        <v>3032</v>
      </c>
      <c r="C3843" s="23">
        <v>-202280</v>
      </c>
      <c r="D3843" s="24" t="s">
        <v>167</v>
      </c>
      <c r="E3843" s="24" t="s">
        <v>183</v>
      </c>
      <c r="F3843" s="63" t="s">
        <v>3</v>
      </c>
    </row>
    <row r="3844" spans="1:6" x14ac:dyDescent="0.25">
      <c r="A3844" s="62">
        <v>44383</v>
      </c>
      <c r="B3844" s="62" t="s">
        <v>3032</v>
      </c>
      <c r="C3844" s="23">
        <v>202280</v>
      </c>
      <c r="D3844" s="24" t="s">
        <v>167</v>
      </c>
      <c r="E3844" s="24" t="s">
        <v>183</v>
      </c>
      <c r="F3844" s="63" t="s">
        <v>0</v>
      </c>
    </row>
    <row r="3845" spans="1:6" x14ac:dyDescent="0.25">
      <c r="A3845" s="62">
        <v>44382</v>
      </c>
      <c r="B3845" s="62" t="s">
        <v>2924</v>
      </c>
      <c r="C3845" s="23">
        <v>258745</v>
      </c>
      <c r="D3845" s="24" t="s">
        <v>58</v>
      </c>
      <c r="E3845" s="24" t="s">
        <v>58</v>
      </c>
      <c r="F3845" s="63" t="s">
        <v>0</v>
      </c>
    </row>
    <row r="3846" spans="1:6" x14ac:dyDescent="0.25">
      <c r="A3846" s="62">
        <v>44382</v>
      </c>
      <c r="B3846" s="62" t="s">
        <v>3267</v>
      </c>
      <c r="C3846" s="23">
        <v>-674</v>
      </c>
      <c r="D3846" s="24" t="s">
        <v>72</v>
      </c>
      <c r="E3846" s="24" t="s">
        <v>197</v>
      </c>
      <c r="F3846" s="63" t="s">
        <v>0</v>
      </c>
    </row>
    <row r="3847" spans="1:6" x14ac:dyDescent="0.25">
      <c r="A3847" s="62">
        <v>44382</v>
      </c>
      <c r="B3847" s="62" t="s">
        <v>3268</v>
      </c>
      <c r="C3847" s="23">
        <v>-13055</v>
      </c>
      <c r="D3847" s="24" t="s">
        <v>49</v>
      </c>
      <c r="E3847" s="24" t="s">
        <v>213</v>
      </c>
      <c r="F3847" s="63" t="s">
        <v>0</v>
      </c>
    </row>
    <row r="3848" spans="1:6" x14ac:dyDescent="0.25">
      <c r="A3848" s="62">
        <v>44382</v>
      </c>
      <c r="B3848" s="62" t="s">
        <v>3269</v>
      </c>
      <c r="C3848" s="23">
        <v>-9290</v>
      </c>
      <c r="D3848" s="24" t="s">
        <v>49</v>
      </c>
      <c r="E3848" s="24" t="s">
        <v>56</v>
      </c>
      <c r="F3848" s="63" t="s">
        <v>0</v>
      </c>
    </row>
    <row r="3849" spans="1:6" x14ac:dyDescent="0.25">
      <c r="A3849" s="62">
        <v>44382</v>
      </c>
      <c r="B3849" s="62" t="s">
        <v>3270</v>
      </c>
      <c r="C3849" s="23">
        <v>-54483</v>
      </c>
      <c r="D3849" s="24" t="s">
        <v>46</v>
      </c>
      <c r="E3849" s="24" t="s">
        <v>61</v>
      </c>
      <c r="F3849" s="63" t="s">
        <v>0</v>
      </c>
    </row>
    <row r="3850" spans="1:6" x14ac:dyDescent="0.25">
      <c r="A3850" s="62">
        <v>44382</v>
      </c>
      <c r="B3850" s="62" t="s">
        <v>3271</v>
      </c>
      <c r="C3850" s="23">
        <v>-147871</v>
      </c>
      <c r="D3850" s="24" t="s">
        <v>46</v>
      </c>
      <c r="E3850" s="24" t="s">
        <v>61</v>
      </c>
      <c r="F3850" s="63" t="s">
        <v>0</v>
      </c>
    </row>
    <row r="3851" spans="1:6" x14ac:dyDescent="0.25">
      <c r="A3851" s="62">
        <v>44382</v>
      </c>
      <c r="B3851" s="62" t="s">
        <v>3272</v>
      </c>
      <c r="C3851" s="23">
        <v>-6001</v>
      </c>
      <c r="D3851" s="24" t="s">
        <v>46</v>
      </c>
      <c r="E3851" s="24" t="s">
        <v>61</v>
      </c>
      <c r="F3851" s="63" t="s">
        <v>0</v>
      </c>
    </row>
    <row r="3852" spans="1:6" x14ac:dyDescent="0.25">
      <c r="A3852" s="62">
        <v>44382</v>
      </c>
      <c r="B3852" s="62" t="s">
        <v>3273</v>
      </c>
      <c r="C3852" s="23">
        <v>-3250</v>
      </c>
      <c r="D3852" s="24" t="s">
        <v>46</v>
      </c>
      <c r="E3852" s="24" t="s">
        <v>61</v>
      </c>
      <c r="F3852" s="63" t="s">
        <v>0</v>
      </c>
    </row>
    <row r="3853" spans="1:6" x14ac:dyDescent="0.25">
      <c r="A3853" s="62">
        <v>44382</v>
      </c>
      <c r="B3853" s="62" t="s">
        <v>3274</v>
      </c>
      <c r="C3853" s="23">
        <v>-25769</v>
      </c>
      <c r="D3853" s="24" t="s">
        <v>72</v>
      </c>
      <c r="E3853" s="24" t="s">
        <v>109</v>
      </c>
      <c r="F3853" s="63" t="s">
        <v>0</v>
      </c>
    </row>
    <row r="3854" spans="1:6" x14ac:dyDescent="0.25">
      <c r="A3854" s="62">
        <v>44382</v>
      </c>
      <c r="B3854" s="62" t="s">
        <v>3275</v>
      </c>
      <c r="C3854" s="23">
        <v>-5000</v>
      </c>
      <c r="D3854" s="24" t="s">
        <v>49</v>
      </c>
      <c r="E3854" s="24" t="s">
        <v>67</v>
      </c>
      <c r="F3854" s="63" t="s">
        <v>0</v>
      </c>
    </row>
    <row r="3855" spans="1:6" x14ac:dyDescent="0.25">
      <c r="A3855" s="62">
        <v>44382</v>
      </c>
      <c r="B3855" s="62" t="s">
        <v>3276</v>
      </c>
      <c r="C3855" s="23">
        <v>-4970</v>
      </c>
      <c r="D3855" s="24" t="s">
        <v>46</v>
      </c>
      <c r="E3855" s="24" t="s">
        <v>61</v>
      </c>
      <c r="F3855" s="63" t="s">
        <v>0</v>
      </c>
    </row>
    <row r="3856" spans="1:6" x14ac:dyDescent="0.25">
      <c r="A3856" s="62">
        <v>44382</v>
      </c>
      <c r="B3856" s="62" t="s">
        <v>3277</v>
      </c>
      <c r="C3856" s="23">
        <v>-28747</v>
      </c>
      <c r="D3856" s="24" t="s">
        <v>46</v>
      </c>
      <c r="E3856" s="24" t="s">
        <v>3256</v>
      </c>
      <c r="F3856" s="63" t="s">
        <v>0</v>
      </c>
    </row>
    <row r="3857" spans="1:6" x14ac:dyDescent="0.25">
      <c r="A3857" s="62">
        <v>44379</v>
      </c>
      <c r="B3857" s="62" t="s">
        <v>3278</v>
      </c>
      <c r="C3857" s="23">
        <v>692</v>
      </c>
      <c r="D3857" s="24" t="s">
        <v>167</v>
      </c>
      <c r="E3857" s="24" t="s">
        <v>168</v>
      </c>
      <c r="F3857" s="63" t="s">
        <v>0</v>
      </c>
    </row>
    <row r="3858" spans="1:6" x14ac:dyDescent="0.25">
      <c r="A3858" s="62">
        <v>44379</v>
      </c>
      <c r="B3858" s="62" t="s">
        <v>3279</v>
      </c>
      <c r="C3858" s="23">
        <v>-1199</v>
      </c>
      <c r="D3858" s="24" t="s">
        <v>167</v>
      </c>
      <c r="E3858" s="24" t="s">
        <v>168</v>
      </c>
      <c r="F3858" s="63" t="s">
        <v>0</v>
      </c>
    </row>
    <row r="3859" spans="1:6" x14ac:dyDescent="0.25">
      <c r="A3859" s="62">
        <v>44379</v>
      </c>
      <c r="B3859" s="62" t="s">
        <v>3280</v>
      </c>
      <c r="C3859" s="23">
        <v>-4595</v>
      </c>
      <c r="D3859" s="24" t="s">
        <v>49</v>
      </c>
      <c r="E3859" s="24" t="s">
        <v>213</v>
      </c>
      <c r="F3859" s="63" t="s">
        <v>0</v>
      </c>
    </row>
    <row r="3860" spans="1:6" x14ac:dyDescent="0.25">
      <c r="A3860" s="62">
        <v>44378</v>
      </c>
      <c r="B3860" s="62" t="s">
        <v>3281</v>
      </c>
      <c r="C3860" s="23">
        <v>-3219</v>
      </c>
      <c r="D3860" s="24" t="s">
        <v>90</v>
      </c>
      <c r="E3860" s="24" t="s">
        <v>59</v>
      </c>
      <c r="F3860" s="63" t="s">
        <v>0</v>
      </c>
    </row>
    <row r="3861" spans="1:6" x14ac:dyDescent="0.25">
      <c r="A3861" s="62">
        <v>44378</v>
      </c>
      <c r="B3861" s="62" t="s">
        <v>3282</v>
      </c>
      <c r="C3861" s="23">
        <v>-13399</v>
      </c>
      <c r="D3861" s="24" t="s">
        <v>90</v>
      </c>
      <c r="E3861" s="24" t="s">
        <v>59</v>
      </c>
      <c r="F3861" s="63" t="s">
        <v>0</v>
      </c>
    </row>
    <row r="3862" spans="1:6" x14ac:dyDescent="0.25">
      <c r="A3862" s="62">
        <v>44378</v>
      </c>
      <c r="B3862" s="62" t="s">
        <v>3283</v>
      </c>
      <c r="C3862" s="23">
        <v>-6369</v>
      </c>
      <c r="D3862" s="24" t="s">
        <v>90</v>
      </c>
      <c r="E3862" s="24" t="s">
        <v>59</v>
      </c>
      <c r="F3862" s="63" t="s">
        <v>0</v>
      </c>
    </row>
    <row r="3863" spans="1:6" x14ac:dyDescent="0.25">
      <c r="A3863" s="62">
        <v>44378</v>
      </c>
      <c r="B3863" s="62" t="s">
        <v>3284</v>
      </c>
      <c r="C3863" s="23">
        <v>-11666</v>
      </c>
      <c r="D3863" s="24" t="s">
        <v>90</v>
      </c>
      <c r="E3863" s="24" t="s">
        <v>59</v>
      </c>
      <c r="F3863" s="63" t="s">
        <v>0</v>
      </c>
    </row>
    <row r="3864" spans="1:6" x14ac:dyDescent="0.25">
      <c r="A3864" s="62">
        <v>44378</v>
      </c>
      <c r="B3864" s="62" t="s">
        <v>3285</v>
      </c>
      <c r="C3864" s="23">
        <v>-4250</v>
      </c>
      <c r="D3864" s="24" t="s">
        <v>49</v>
      </c>
      <c r="E3864" s="24" t="s">
        <v>56</v>
      </c>
      <c r="F3864" s="63" t="s">
        <v>0</v>
      </c>
    </row>
    <row r="3865" spans="1:6" x14ac:dyDescent="0.25">
      <c r="A3865" s="62">
        <v>44378</v>
      </c>
      <c r="B3865" s="62" t="s">
        <v>3286</v>
      </c>
      <c r="C3865" s="23">
        <v>-5538</v>
      </c>
      <c r="D3865" s="24" t="s">
        <v>49</v>
      </c>
      <c r="E3865" s="24" t="s">
        <v>56</v>
      </c>
      <c r="F3865" s="63" t="s">
        <v>0</v>
      </c>
    </row>
    <row r="3866" spans="1:6" x14ac:dyDescent="0.25">
      <c r="A3866" s="62">
        <v>44378</v>
      </c>
      <c r="B3866" s="62" t="s">
        <v>3287</v>
      </c>
      <c r="C3866" s="23">
        <v>-2946</v>
      </c>
      <c r="D3866" s="24" t="s">
        <v>49</v>
      </c>
      <c r="E3866" s="24" t="s">
        <v>56</v>
      </c>
      <c r="F3866" s="63" t="s">
        <v>0</v>
      </c>
    </row>
    <row r="3867" spans="1:6" x14ac:dyDescent="0.25">
      <c r="A3867" s="62">
        <v>44378</v>
      </c>
      <c r="B3867" s="62" t="s">
        <v>3288</v>
      </c>
      <c r="C3867" s="23">
        <v>-2164</v>
      </c>
      <c r="D3867" s="24" t="s">
        <v>49</v>
      </c>
      <c r="E3867" s="24" t="s">
        <v>56</v>
      </c>
      <c r="F3867" s="63" t="s">
        <v>0</v>
      </c>
    </row>
    <row r="3868" spans="1:6" x14ac:dyDescent="0.25">
      <c r="A3868" s="62">
        <v>44378</v>
      </c>
      <c r="B3868" s="62" t="s">
        <v>3289</v>
      </c>
      <c r="C3868" s="23">
        <v>-72</v>
      </c>
      <c r="D3868" s="24" t="s">
        <v>167</v>
      </c>
      <c r="E3868" s="24" t="s">
        <v>168</v>
      </c>
      <c r="F3868" s="63" t="s">
        <v>0</v>
      </c>
    </row>
    <row r="3869" spans="1:6" x14ac:dyDescent="0.25">
      <c r="A3869" s="62">
        <v>44378</v>
      </c>
      <c r="B3869" s="62" t="s">
        <v>3290</v>
      </c>
      <c r="C3869" s="23">
        <v>-1540</v>
      </c>
      <c r="D3869" s="24" t="s">
        <v>52</v>
      </c>
      <c r="E3869" s="24" t="s">
        <v>53</v>
      </c>
      <c r="F3869" s="63" t="s">
        <v>0</v>
      </c>
    </row>
    <row r="3870" spans="1:6" x14ac:dyDescent="0.25">
      <c r="A3870" s="62">
        <v>44377</v>
      </c>
      <c r="B3870" s="62" t="s">
        <v>3291</v>
      </c>
      <c r="C3870" s="23">
        <v>621</v>
      </c>
      <c r="D3870" s="24" t="s">
        <v>167</v>
      </c>
      <c r="E3870" s="24" t="s">
        <v>32</v>
      </c>
      <c r="F3870" s="63" t="s">
        <v>5</v>
      </c>
    </row>
    <row r="3871" spans="1:6" x14ac:dyDescent="0.25">
      <c r="A3871" s="62">
        <v>44377</v>
      </c>
      <c r="B3871" s="62" t="s">
        <v>3292</v>
      </c>
      <c r="C3871" s="23">
        <v>4.46</v>
      </c>
      <c r="D3871" s="24" t="s">
        <v>167</v>
      </c>
      <c r="E3871" s="24" t="s">
        <v>32</v>
      </c>
      <c r="F3871" s="63" t="s">
        <v>0</v>
      </c>
    </row>
    <row r="3872" spans="1:6" x14ac:dyDescent="0.25">
      <c r="A3872" s="62">
        <v>44377</v>
      </c>
      <c r="B3872" s="62" t="s">
        <v>3293</v>
      </c>
      <c r="C3872" s="23">
        <v>-11523</v>
      </c>
      <c r="D3872" s="24" t="s">
        <v>90</v>
      </c>
      <c r="E3872" s="24" t="s">
        <v>106</v>
      </c>
      <c r="F3872" s="63" t="s">
        <v>0</v>
      </c>
    </row>
    <row r="3873" spans="1:6" x14ac:dyDescent="0.25">
      <c r="A3873" s="62">
        <v>44377</v>
      </c>
      <c r="B3873" s="62" t="s">
        <v>3294</v>
      </c>
      <c r="C3873" s="23">
        <v>-1198</v>
      </c>
      <c r="D3873" s="24" t="s">
        <v>49</v>
      </c>
      <c r="E3873" s="24" t="s">
        <v>56</v>
      </c>
      <c r="F3873" s="63" t="s">
        <v>0</v>
      </c>
    </row>
    <row r="3874" spans="1:6" x14ac:dyDescent="0.25">
      <c r="A3874" s="62">
        <v>44377</v>
      </c>
      <c r="B3874" s="62" t="s">
        <v>3295</v>
      </c>
      <c r="C3874" s="23">
        <v>-1200</v>
      </c>
      <c r="D3874" s="24" t="s">
        <v>46</v>
      </c>
      <c r="E3874" s="24" t="s">
        <v>61</v>
      </c>
      <c r="F3874" s="63" t="s">
        <v>0</v>
      </c>
    </row>
    <row r="3875" spans="1:6" x14ac:dyDescent="0.25">
      <c r="A3875" s="62">
        <v>44377</v>
      </c>
      <c r="B3875" s="62" t="s">
        <v>3296</v>
      </c>
      <c r="C3875" s="23">
        <v>-5090</v>
      </c>
      <c r="D3875" s="24" t="s">
        <v>90</v>
      </c>
      <c r="E3875" s="24" t="s">
        <v>59</v>
      </c>
      <c r="F3875" s="63" t="s">
        <v>0</v>
      </c>
    </row>
    <row r="3876" spans="1:6" x14ac:dyDescent="0.25">
      <c r="A3876" s="62">
        <v>44377</v>
      </c>
      <c r="B3876" s="62" t="s">
        <v>3297</v>
      </c>
      <c r="C3876" s="23">
        <v>2.29</v>
      </c>
      <c r="D3876" s="24" t="s">
        <v>167</v>
      </c>
      <c r="E3876" s="24" t="s">
        <v>168</v>
      </c>
      <c r="F3876" s="63" t="s">
        <v>0</v>
      </c>
    </row>
    <row r="3877" spans="1:6" x14ac:dyDescent="0.25">
      <c r="A3877" s="62">
        <v>44377</v>
      </c>
      <c r="B3877" s="62" t="s">
        <v>3298</v>
      </c>
      <c r="C3877" s="23">
        <v>-0.34</v>
      </c>
      <c r="D3877" s="24" t="s">
        <v>167</v>
      </c>
      <c r="E3877" s="24" t="s">
        <v>168</v>
      </c>
      <c r="F3877" s="63" t="s">
        <v>0</v>
      </c>
    </row>
    <row r="3878" spans="1:6" x14ac:dyDescent="0.25">
      <c r="A3878" s="62">
        <v>44377</v>
      </c>
      <c r="B3878" s="62" t="s">
        <v>3297</v>
      </c>
      <c r="C3878" s="23">
        <v>-23.93</v>
      </c>
      <c r="D3878" s="24" t="s">
        <v>167</v>
      </c>
      <c r="E3878" s="24" t="s">
        <v>168</v>
      </c>
      <c r="F3878" s="63" t="s">
        <v>0</v>
      </c>
    </row>
    <row r="3879" spans="1:6" x14ac:dyDescent="0.25">
      <c r="A3879" s="62">
        <v>44377</v>
      </c>
      <c r="B3879" s="62" t="s">
        <v>309</v>
      </c>
      <c r="C3879" s="23">
        <v>-5.31</v>
      </c>
      <c r="D3879" s="24" t="s">
        <v>167</v>
      </c>
      <c r="E3879" s="24" t="s">
        <v>32</v>
      </c>
      <c r="F3879" s="63" t="s">
        <v>0</v>
      </c>
    </row>
    <row r="3880" spans="1:6" x14ac:dyDescent="0.25">
      <c r="A3880" s="62">
        <v>44377</v>
      </c>
      <c r="B3880" s="62" t="s">
        <v>32</v>
      </c>
      <c r="C3880" s="23">
        <v>35.409999999999997</v>
      </c>
      <c r="D3880" s="24" t="s">
        <v>167</v>
      </c>
      <c r="E3880" s="24" t="s">
        <v>32</v>
      </c>
      <c r="F3880" s="63" t="s">
        <v>0</v>
      </c>
    </row>
    <row r="3881" spans="1:6" x14ac:dyDescent="0.25">
      <c r="A3881" s="62">
        <v>44376</v>
      </c>
      <c r="B3881" s="62" t="s">
        <v>3299</v>
      </c>
      <c r="C3881" s="23">
        <v>-3430</v>
      </c>
      <c r="D3881" s="24" t="s">
        <v>52</v>
      </c>
      <c r="E3881" s="24" t="s">
        <v>134</v>
      </c>
      <c r="F3881" s="63" t="s">
        <v>0</v>
      </c>
    </row>
    <row r="3882" spans="1:6" x14ac:dyDescent="0.25">
      <c r="A3882" s="62">
        <v>44375</v>
      </c>
      <c r="B3882" s="62" t="s">
        <v>3300</v>
      </c>
      <c r="C3882" s="23">
        <v>-9990</v>
      </c>
      <c r="D3882" s="24" t="s">
        <v>206</v>
      </c>
      <c r="E3882" s="24" t="s">
        <v>2123</v>
      </c>
      <c r="F3882" s="63" t="s">
        <v>0</v>
      </c>
    </row>
    <row r="3883" spans="1:6" x14ac:dyDescent="0.25">
      <c r="A3883" s="62">
        <v>44375</v>
      </c>
      <c r="B3883" s="62" t="s">
        <v>3301</v>
      </c>
      <c r="C3883" s="23">
        <v>-450</v>
      </c>
      <c r="D3883" s="24" t="s">
        <v>52</v>
      </c>
      <c r="E3883" s="24" t="s">
        <v>134</v>
      </c>
      <c r="F3883" s="63" t="s">
        <v>0</v>
      </c>
    </row>
    <row r="3884" spans="1:6" x14ac:dyDescent="0.25">
      <c r="A3884" s="62">
        <v>44375</v>
      </c>
      <c r="B3884" s="62" t="s">
        <v>3302</v>
      </c>
      <c r="C3884" s="23">
        <v>-1198</v>
      </c>
      <c r="D3884" s="24" t="s">
        <v>49</v>
      </c>
      <c r="E3884" s="24" t="s">
        <v>56</v>
      </c>
      <c r="F3884" s="63" t="s">
        <v>0</v>
      </c>
    </row>
    <row r="3885" spans="1:6" x14ac:dyDescent="0.25">
      <c r="A3885" s="62">
        <v>44375</v>
      </c>
      <c r="B3885" s="62" t="s">
        <v>3303</v>
      </c>
      <c r="C3885" s="23">
        <v>-6000</v>
      </c>
      <c r="D3885" s="24" t="s">
        <v>49</v>
      </c>
      <c r="E3885" s="24" t="s">
        <v>164</v>
      </c>
      <c r="F3885" s="63" t="s">
        <v>0</v>
      </c>
    </row>
    <row r="3886" spans="1:6" x14ac:dyDescent="0.25">
      <c r="A3886" s="62">
        <v>44375</v>
      </c>
      <c r="B3886" s="62" t="s">
        <v>3304</v>
      </c>
      <c r="C3886" s="23">
        <v>-390</v>
      </c>
      <c r="D3886" s="24" t="s">
        <v>49</v>
      </c>
      <c r="E3886" s="24" t="s">
        <v>67</v>
      </c>
      <c r="F3886" s="63" t="s">
        <v>0</v>
      </c>
    </row>
    <row r="3887" spans="1:6" x14ac:dyDescent="0.25">
      <c r="A3887" s="62">
        <v>44375</v>
      </c>
      <c r="B3887" s="62" t="s">
        <v>3305</v>
      </c>
      <c r="C3887" s="23">
        <v>-22888</v>
      </c>
      <c r="D3887" s="24" t="s">
        <v>72</v>
      </c>
      <c r="E3887" s="24" t="s">
        <v>109</v>
      </c>
      <c r="F3887" s="63" t="s">
        <v>0</v>
      </c>
    </row>
    <row r="3888" spans="1:6" x14ac:dyDescent="0.25">
      <c r="A3888" s="62">
        <v>44375</v>
      </c>
      <c r="B3888" s="62" t="s">
        <v>3306</v>
      </c>
      <c r="C3888" s="23">
        <v>-3990</v>
      </c>
      <c r="D3888" s="24" t="s">
        <v>46</v>
      </c>
      <c r="E3888" s="24" t="s">
        <v>63</v>
      </c>
      <c r="F3888" s="63" t="s">
        <v>0</v>
      </c>
    </row>
    <row r="3889" spans="1:6" x14ac:dyDescent="0.25">
      <c r="A3889" s="62">
        <v>44372</v>
      </c>
      <c r="B3889" s="62" t="s">
        <v>3307</v>
      </c>
      <c r="C3889" s="23">
        <v>-6370</v>
      </c>
      <c r="D3889" s="24" t="s">
        <v>52</v>
      </c>
      <c r="E3889" s="24" t="s">
        <v>53</v>
      </c>
      <c r="F3889" s="63" t="s">
        <v>4</v>
      </c>
    </row>
    <row r="3890" spans="1:6" x14ac:dyDescent="0.25">
      <c r="A3890" s="62">
        <v>44372</v>
      </c>
      <c r="B3890" s="62" t="s">
        <v>3308</v>
      </c>
      <c r="C3890" s="23">
        <v>1031598</v>
      </c>
      <c r="D3890" s="24" t="s">
        <v>167</v>
      </c>
      <c r="E3890" s="24" t="s">
        <v>555</v>
      </c>
      <c r="F3890" s="63" t="s">
        <v>0</v>
      </c>
    </row>
    <row r="3891" spans="1:6" x14ac:dyDescent="0.25">
      <c r="A3891" s="62">
        <v>44372</v>
      </c>
      <c r="B3891" s="62" t="s">
        <v>3309</v>
      </c>
      <c r="C3891" s="23">
        <v>-74</v>
      </c>
      <c r="D3891" s="24" t="s">
        <v>167</v>
      </c>
      <c r="E3891" s="24" t="s">
        <v>168</v>
      </c>
      <c r="F3891" s="63" t="s">
        <v>0</v>
      </c>
    </row>
    <row r="3892" spans="1:6" x14ac:dyDescent="0.25">
      <c r="A3892" s="62">
        <v>44372</v>
      </c>
      <c r="B3892" s="62" t="s">
        <v>3310</v>
      </c>
      <c r="C3892" s="23">
        <v>-704</v>
      </c>
      <c r="D3892" s="24" t="s">
        <v>167</v>
      </c>
      <c r="E3892" s="24" t="s">
        <v>168</v>
      </c>
      <c r="F3892" s="63" t="s">
        <v>0</v>
      </c>
    </row>
    <row r="3893" spans="1:6" x14ac:dyDescent="0.25">
      <c r="A3893" s="62">
        <v>44371</v>
      </c>
      <c r="B3893" s="62" t="s">
        <v>3311</v>
      </c>
      <c r="C3893" s="23">
        <v>-75000</v>
      </c>
      <c r="D3893" s="24" t="s">
        <v>46</v>
      </c>
      <c r="E3893" s="24" t="s">
        <v>428</v>
      </c>
      <c r="F3893" s="63" t="s">
        <v>0</v>
      </c>
    </row>
    <row r="3894" spans="1:6" x14ac:dyDescent="0.25">
      <c r="A3894" s="62">
        <v>44371</v>
      </c>
      <c r="B3894" s="62" t="s">
        <v>3312</v>
      </c>
      <c r="C3894" s="23">
        <v>-3990</v>
      </c>
      <c r="D3894" s="24" t="s">
        <v>46</v>
      </c>
      <c r="E3894" s="24" t="s">
        <v>63</v>
      </c>
      <c r="F3894" s="63" t="s">
        <v>0</v>
      </c>
    </row>
    <row r="3895" spans="1:6" x14ac:dyDescent="0.25">
      <c r="A3895" s="62">
        <v>44371</v>
      </c>
      <c r="B3895" s="62" t="s">
        <v>3313</v>
      </c>
      <c r="C3895" s="23">
        <v>-5960</v>
      </c>
      <c r="D3895" s="24" t="s">
        <v>46</v>
      </c>
      <c r="E3895" s="24" t="s">
        <v>61</v>
      </c>
      <c r="F3895" s="63" t="s">
        <v>0</v>
      </c>
    </row>
    <row r="3896" spans="1:6" x14ac:dyDescent="0.25">
      <c r="A3896" s="62">
        <v>44371</v>
      </c>
      <c r="B3896" s="62" t="s">
        <v>3314</v>
      </c>
      <c r="C3896" s="23">
        <v>-780</v>
      </c>
      <c r="D3896" s="24" t="s">
        <v>49</v>
      </c>
      <c r="E3896" s="24" t="s">
        <v>67</v>
      </c>
      <c r="F3896" s="63" t="s">
        <v>0</v>
      </c>
    </row>
    <row r="3897" spans="1:6" x14ac:dyDescent="0.25">
      <c r="A3897" s="62">
        <v>44371</v>
      </c>
      <c r="B3897" s="62" t="s">
        <v>3315</v>
      </c>
      <c r="C3897" s="23">
        <v>-3594</v>
      </c>
      <c r="D3897" s="24" t="s">
        <v>49</v>
      </c>
      <c r="E3897" s="24" t="s">
        <v>56</v>
      </c>
      <c r="F3897" s="63" t="s">
        <v>0</v>
      </c>
    </row>
    <row r="3898" spans="1:6" x14ac:dyDescent="0.25">
      <c r="A3898" s="62">
        <v>44370</v>
      </c>
      <c r="B3898" s="62" t="s">
        <v>2255</v>
      </c>
      <c r="C3898" s="23">
        <v>-15000</v>
      </c>
      <c r="D3898" s="24" t="s">
        <v>52</v>
      </c>
      <c r="E3898" s="24" t="s">
        <v>1865</v>
      </c>
      <c r="F3898" s="63" t="s">
        <v>4</v>
      </c>
    </row>
    <row r="3899" spans="1:6" x14ac:dyDescent="0.25">
      <c r="A3899" s="62">
        <v>44370</v>
      </c>
      <c r="B3899" s="62" t="s">
        <v>3316</v>
      </c>
      <c r="C3899" s="23">
        <v>19830.55</v>
      </c>
      <c r="D3899" s="24" t="s">
        <v>46</v>
      </c>
      <c r="E3899" s="24" t="s">
        <v>3095</v>
      </c>
      <c r="F3899" s="63" t="s">
        <v>0</v>
      </c>
    </row>
    <row r="3900" spans="1:6" x14ac:dyDescent="0.25">
      <c r="A3900" s="62">
        <v>44370</v>
      </c>
      <c r="B3900" s="62" t="s">
        <v>3317</v>
      </c>
      <c r="C3900" s="23">
        <v>-186000</v>
      </c>
      <c r="D3900" s="24" t="s">
        <v>46</v>
      </c>
      <c r="E3900" s="24" t="s">
        <v>428</v>
      </c>
      <c r="F3900" s="63" t="s">
        <v>0</v>
      </c>
    </row>
    <row r="3901" spans="1:6" x14ac:dyDescent="0.25">
      <c r="A3901" s="62">
        <v>44369</v>
      </c>
      <c r="B3901" s="62" t="s">
        <v>139</v>
      </c>
      <c r="C3901" s="23">
        <v>19275</v>
      </c>
      <c r="D3901" s="24" t="s">
        <v>58</v>
      </c>
      <c r="E3901" s="24" t="s">
        <v>58</v>
      </c>
      <c r="F3901" s="63" t="s">
        <v>4</v>
      </c>
    </row>
    <row r="3902" spans="1:6" x14ac:dyDescent="0.25">
      <c r="A3902" s="62">
        <v>44368</v>
      </c>
      <c r="B3902" s="62" t="s">
        <v>3318</v>
      </c>
      <c r="C3902" s="23">
        <v>-1000000</v>
      </c>
      <c r="D3902" s="24" t="s">
        <v>167</v>
      </c>
      <c r="E3902" s="24" t="s">
        <v>183</v>
      </c>
      <c r="F3902" s="63" t="s">
        <v>3</v>
      </c>
    </row>
    <row r="3903" spans="1:6" x14ac:dyDescent="0.25">
      <c r="A3903" s="62">
        <v>44368</v>
      </c>
      <c r="B3903" s="62" t="s">
        <v>3318</v>
      </c>
      <c r="C3903" s="23">
        <v>1000000</v>
      </c>
      <c r="D3903" s="24" t="s">
        <v>167</v>
      </c>
      <c r="E3903" s="24" t="s">
        <v>183</v>
      </c>
      <c r="F3903" s="63" t="s">
        <v>0</v>
      </c>
    </row>
    <row r="3904" spans="1:6" x14ac:dyDescent="0.25">
      <c r="A3904" s="62">
        <v>44368</v>
      </c>
      <c r="B3904" s="62" t="s">
        <v>3319</v>
      </c>
      <c r="C3904" s="23">
        <v>-596085</v>
      </c>
      <c r="D3904" s="24" t="s">
        <v>46</v>
      </c>
      <c r="E3904" s="24" t="s">
        <v>428</v>
      </c>
      <c r="F3904" s="63" t="s">
        <v>0</v>
      </c>
    </row>
    <row r="3905" spans="1:6" x14ac:dyDescent="0.25">
      <c r="A3905" s="62">
        <v>44368</v>
      </c>
      <c r="B3905" s="62" t="s">
        <v>3320</v>
      </c>
      <c r="C3905" s="23">
        <v>-5097</v>
      </c>
      <c r="D3905" s="24" t="s">
        <v>49</v>
      </c>
      <c r="E3905" s="24" t="s">
        <v>56</v>
      </c>
      <c r="F3905" s="63" t="s">
        <v>0</v>
      </c>
    </row>
    <row r="3906" spans="1:6" x14ac:dyDescent="0.25">
      <c r="A3906" s="62">
        <v>44368</v>
      </c>
      <c r="B3906" s="62" t="s">
        <v>3321</v>
      </c>
      <c r="C3906" s="23">
        <v>-4049</v>
      </c>
      <c r="D3906" s="24" t="s">
        <v>52</v>
      </c>
      <c r="E3906" s="24" t="s">
        <v>53</v>
      </c>
      <c r="F3906" s="63" t="s">
        <v>0</v>
      </c>
    </row>
    <row r="3907" spans="1:6" x14ac:dyDescent="0.25">
      <c r="A3907" s="62">
        <v>44368</v>
      </c>
      <c r="B3907" s="62" t="s">
        <v>3322</v>
      </c>
      <c r="C3907" s="23">
        <v>-24864</v>
      </c>
      <c r="D3907" s="24" t="s">
        <v>72</v>
      </c>
      <c r="E3907" s="24" t="s">
        <v>109</v>
      </c>
      <c r="F3907" s="63" t="s">
        <v>0</v>
      </c>
    </row>
    <row r="3908" spans="1:6" x14ac:dyDescent="0.25">
      <c r="A3908" s="62">
        <v>44368</v>
      </c>
      <c r="B3908" s="62" t="s">
        <v>3323</v>
      </c>
      <c r="C3908" s="23">
        <v>-590</v>
      </c>
      <c r="D3908" s="24" t="s">
        <v>46</v>
      </c>
      <c r="E3908" s="24" t="s">
        <v>428</v>
      </c>
      <c r="F3908" s="63" t="s">
        <v>0</v>
      </c>
    </row>
    <row r="3909" spans="1:6" x14ac:dyDescent="0.25">
      <c r="A3909" s="62">
        <v>44368</v>
      </c>
      <c r="B3909" s="62" t="s">
        <v>3324</v>
      </c>
      <c r="C3909" s="23">
        <v>-2880</v>
      </c>
      <c r="D3909" s="24" t="s">
        <v>46</v>
      </c>
      <c r="E3909" s="24" t="s">
        <v>428</v>
      </c>
      <c r="F3909" s="63" t="s">
        <v>0</v>
      </c>
    </row>
    <row r="3910" spans="1:6" x14ac:dyDescent="0.25">
      <c r="A3910" s="62">
        <v>44368</v>
      </c>
      <c r="B3910" s="62" t="s">
        <v>3325</v>
      </c>
      <c r="C3910" s="23">
        <v>-848</v>
      </c>
      <c r="D3910" s="24" t="s">
        <v>49</v>
      </c>
      <c r="E3910" s="24" t="s">
        <v>56</v>
      </c>
      <c r="F3910" s="63" t="s">
        <v>0</v>
      </c>
    </row>
    <row r="3911" spans="1:6" x14ac:dyDescent="0.25">
      <c r="A3911" s="62">
        <v>44368</v>
      </c>
      <c r="B3911" s="62" t="s">
        <v>3326</v>
      </c>
      <c r="C3911" s="23">
        <v>-2567</v>
      </c>
      <c r="D3911" s="24" t="s">
        <v>49</v>
      </c>
      <c r="E3911" s="24" t="s">
        <v>56</v>
      </c>
      <c r="F3911" s="63" t="s">
        <v>0</v>
      </c>
    </row>
    <row r="3912" spans="1:6" x14ac:dyDescent="0.25">
      <c r="A3912" s="62">
        <v>44368</v>
      </c>
      <c r="B3912" s="62" t="s">
        <v>3327</v>
      </c>
      <c r="C3912" s="23">
        <v>-139406</v>
      </c>
      <c r="D3912" s="24" t="s">
        <v>46</v>
      </c>
      <c r="E3912" s="24" t="s">
        <v>428</v>
      </c>
      <c r="F3912" s="63" t="s">
        <v>0</v>
      </c>
    </row>
    <row r="3913" spans="1:6" x14ac:dyDescent="0.25">
      <c r="A3913" s="62">
        <v>44368</v>
      </c>
      <c r="B3913" s="62" t="s">
        <v>3328</v>
      </c>
      <c r="C3913" s="23">
        <v>-4929</v>
      </c>
      <c r="D3913" s="24" t="s">
        <v>46</v>
      </c>
      <c r="E3913" s="24" t="s">
        <v>80</v>
      </c>
      <c r="F3913" s="63" t="s">
        <v>0</v>
      </c>
    </row>
    <row r="3914" spans="1:6" x14ac:dyDescent="0.25">
      <c r="A3914" s="62">
        <v>44365</v>
      </c>
      <c r="B3914" s="62" t="s">
        <v>3329</v>
      </c>
      <c r="C3914" s="23">
        <v>-100</v>
      </c>
      <c r="D3914" s="24" t="s">
        <v>167</v>
      </c>
      <c r="E3914" s="24" t="s">
        <v>168</v>
      </c>
      <c r="F3914" s="63" t="s">
        <v>5</v>
      </c>
    </row>
    <row r="3915" spans="1:6" x14ac:dyDescent="0.25">
      <c r="A3915" s="62">
        <v>44365</v>
      </c>
      <c r="B3915" s="62" t="s">
        <v>3330</v>
      </c>
      <c r="C3915" s="23">
        <v>-1037</v>
      </c>
      <c r="D3915" s="24" t="s">
        <v>49</v>
      </c>
      <c r="E3915" s="24" t="s">
        <v>56</v>
      </c>
      <c r="F3915" s="63" t="s">
        <v>0</v>
      </c>
    </row>
    <row r="3916" spans="1:6" x14ac:dyDescent="0.25">
      <c r="A3916" s="62">
        <v>44365</v>
      </c>
      <c r="B3916" s="62" t="s">
        <v>3331</v>
      </c>
      <c r="C3916" s="23">
        <v>-252000</v>
      </c>
      <c r="D3916" s="24" t="s">
        <v>46</v>
      </c>
      <c r="E3916" s="24" t="s">
        <v>428</v>
      </c>
      <c r="F3916" s="63" t="s">
        <v>0</v>
      </c>
    </row>
    <row r="3917" spans="1:6" x14ac:dyDescent="0.25">
      <c r="A3917" s="62">
        <v>44364</v>
      </c>
      <c r="B3917" s="62" t="s">
        <v>3307</v>
      </c>
      <c r="C3917" s="23">
        <v>-2390</v>
      </c>
      <c r="D3917" s="24" t="s">
        <v>52</v>
      </c>
      <c r="E3917" s="24" t="s">
        <v>53</v>
      </c>
      <c r="F3917" s="63" t="s">
        <v>4</v>
      </c>
    </row>
    <row r="3918" spans="1:6" x14ac:dyDescent="0.25">
      <c r="A3918" s="62">
        <v>44364</v>
      </c>
      <c r="B3918" s="62" t="s">
        <v>829</v>
      </c>
      <c r="C3918" s="23">
        <v>19000</v>
      </c>
      <c r="D3918" s="24" t="s">
        <v>206</v>
      </c>
      <c r="E3918" s="24" t="s">
        <v>830</v>
      </c>
      <c r="F3918" s="63" t="s">
        <v>7</v>
      </c>
    </row>
    <row r="3919" spans="1:6" x14ac:dyDescent="0.25">
      <c r="A3919" s="62">
        <v>44364</v>
      </c>
      <c r="B3919" s="62" t="s">
        <v>829</v>
      </c>
      <c r="C3919" s="23">
        <v>-19000</v>
      </c>
      <c r="D3919" s="24" t="s">
        <v>206</v>
      </c>
      <c r="E3919" s="24" t="s">
        <v>830</v>
      </c>
      <c r="F3919" s="63" t="s">
        <v>0</v>
      </c>
    </row>
    <row r="3920" spans="1:6" x14ac:dyDescent="0.25">
      <c r="A3920" s="62">
        <v>44363</v>
      </c>
      <c r="B3920" s="62" t="s">
        <v>3332</v>
      </c>
      <c r="C3920" s="23">
        <v>-3533</v>
      </c>
      <c r="D3920" s="24" t="s">
        <v>49</v>
      </c>
      <c r="E3920" s="24" t="s">
        <v>56</v>
      </c>
      <c r="F3920" s="63" t="s">
        <v>0</v>
      </c>
    </row>
    <row r="3921" spans="1:6" x14ac:dyDescent="0.25">
      <c r="A3921" s="62">
        <v>44361</v>
      </c>
      <c r="B3921" s="62" t="s">
        <v>3333</v>
      </c>
      <c r="C3921" s="23">
        <v>-9552</v>
      </c>
      <c r="D3921" s="24" t="s">
        <v>90</v>
      </c>
      <c r="E3921" s="24" t="s">
        <v>185</v>
      </c>
      <c r="F3921" s="63" t="s">
        <v>0</v>
      </c>
    </row>
    <row r="3922" spans="1:6" x14ac:dyDescent="0.25">
      <c r="A3922" s="62">
        <v>44361</v>
      </c>
      <c r="B3922" s="62" t="s">
        <v>3334</v>
      </c>
      <c r="C3922" s="23">
        <v>-3032</v>
      </c>
      <c r="D3922" s="24" t="s">
        <v>90</v>
      </c>
      <c r="E3922" s="24" t="s">
        <v>185</v>
      </c>
      <c r="F3922" s="63" t="s">
        <v>0</v>
      </c>
    </row>
    <row r="3923" spans="1:6" x14ac:dyDescent="0.25">
      <c r="A3923" s="62">
        <v>44361</v>
      </c>
      <c r="B3923" s="62" t="s">
        <v>3335</v>
      </c>
      <c r="C3923" s="23">
        <v>-11205</v>
      </c>
      <c r="D3923" s="24" t="s">
        <v>49</v>
      </c>
      <c r="E3923" s="24" t="s">
        <v>56</v>
      </c>
      <c r="F3923" s="63" t="s">
        <v>0</v>
      </c>
    </row>
    <row r="3924" spans="1:6" x14ac:dyDescent="0.25">
      <c r="A3924" s="62">
        <v>44361</v>
      </c>
      <c r="B3924" s="62" t="s">
        <v>3336</v>
      </c>
      <c r="C3924" s="23">
        <v>-1796</v>
      </c>
      <c r="D3924" s="24" t="s">
        <v>49</v>
      </c>
      <c r="E3924" s="24" t="s">
        <v>56</v>
      </c>
      <c r="F3924" s="63" t="s">
        <v>0</v>
      </c>
    </row>
    <row r="3925" spans="1:6" x14ac:dyDescent="0.25">
      <c r="A3925" s="62">
        <v>44361</v>
      </c>
      <c r="B3925" s="62" t="s">
        <v>2809</v>
      </c>
      <c r="C3925" s="23">
        <v>-5000</v>
      </c>
      <c r="D3925" s="24" t="s">
        <v>49</v>
      </c>
      <c r="E3925" s="24" t="s">
        <v>1165</v>
      </c>
      <c r="F3925" s="63" t="s">
        <v>0</v>
      </c>
    </row>
    <row r="3926" spans="1:6" x14ac:dyDescent="0.25">
      <c r="A3926" s="62">
        <v>44361</v>
      </c>
      <c r="B3926" s="62" t="s">
        <v>3337</v>
      </c>
      <c r="C3926" s="23">
        <v>-4857</v>
      </c>
      <c r="D3926" s="24" t="s">
        <v>49</v>
      </c>
      <c r="E3926" s="24" t="s">
        <v>56</v>
      </c>
      <c r="F3926" s="63" t="s">
        <v>0</v>
      </c>
    </row>
    <row r="3927" spans="1:6" x14ac:dyDescent="0.25">
      <c r="A3927" s="62">
        <v>44361</v>
      </c>
      <c r="B3927" s="62" t="s">
        <v>3338</v>
      </c>
      <c r="C3927" s="23">
        <v>-1850</v>
      </c>
      <c r="D3927" s="24" t="s">
        <v>52</v>
      </c>
      <c r="E3927" s="24" t="s">
        <v>134</v>
      </c>
      <c r="F3927" s="63" t="s">
        <v>0</v>
      </c>
    </row>
    <row r="3928" spans="1:6" x14ac:dyDescent="0.25">
      <c r="A3928" s="62">
        <v>44361</v>
      </c>
      <c r="B3928" s="62" t="s">
        <v>3339</v>
      </c>
      <c r="C3928" s="23">
        <v>-4700</v>
      </c>
      <c r="D3928" s="24" t="s">
        <v>52</v>
      </c>
      <c r="E3928" s="24" t="s">
        <v>53</v>
      </c>
      <c r="F3928" s="63" t="s">
        <v>0</v>
      </c>
    </row>
    <row r="3929" spans="1:6" x14ac:dyDescent="0.25">
      <c r="A3929" s="62">
        <v>44361</v>
      </c>
      <c r="B3929" s="62" t="s">
        <v>3340</v>
      </c>
      <c r="C3929" s="23">
        <v>-3839</v>
      </c>
      <c r="D3929" s="24" t="s">
        <v>46</v>
      </c>
      <c r="E3929" s="24" t="s">
        <v>47</v>
      </c>
      <c r="F3929" s="63" t="s">
        <v>0</v>
      </c>
    </row>
    <row r="3930" spans="1:6" x14ac:dyDescent="0.25">
      <c r="A3930" s="62">
        <v>44361</v>
      </c>
      <c r="B3930" s="62" t="s">
        <v>3341</v>
      </c>
      <c r="C3930" s="23">
        <v>-10557</v>
      </c>
      <c r="D3930" s="24" t="s">
        <v>49</v>
      </c>
      <c r="E3930" s="24" t="s">
        <v>56</v>
      </c>
      <c r="F3930" s="63" t="s">
        <v>0</v>
      </c>
    </row>
    <row r="3931" spans="1:6" x14ac:dyDescent="0.25">
      <c r="A3931" s="62">
        <v>44361</v>
      </c>
      <c r="B3931" s="62" t="s">
        <v>3342</v>
      </c>
      <c r="C3931" s="23">
        <v>-4095</v>
      </c>
      <c r="D3931" s="24" t="s">
        <v>49</v>
      </c>
      <c r="E3931" s="24" t="s">
        <v>56</v>
      </c>
      <c r="F3931" s="63" t="s">
        <v>0</v>
      </c>
    </row>
    <row r="3932" spans="1:6" x14ac:dyDescent="0.25">
      <c r="A3932" s="62">
        <v>44358</v>
      </c>
      <c r="B3932" s="62" t="s">
        <v>3343</v>
      </c>
      <c r="C3932" s="23">
        <v>-2960</v>
      </c>
      <c r="D3932" s="24" t="s">
        <v>52</v>
      </c>
      <c r="E3932" s="24" t="s">
        <v>53</v>
      </c>
      <c r="F3932" s="63" t="s">
        <v>0</v>
      </c>
    </row>
    <row r="3933" spans="1:6" x14ac:dyDescent="0.25">
      <c r="A3933" s="62">
        <v>44357</v>
      </c>
      <c r="B3933" s="62" t="s">
        <v>3344</v>
      </c>
      <c r="C3933" s="23">
        <v>-18027.77</v>
      </c>
      <c r="D3933" s="24" t="s">
        <v>46</v>
      </c>
      <c r="E3933" s="24" t="s">
        <v>10</v>
      </c>
      <c r="F3933" s="63" t="s">
        <v>0</v>
      </c>
    </row>
    <row r="3934" spans="1:6" x14ac:dyDescent="0.25">
      <c r="A3934" s="62">
        <v>44357</v>
      </c>
      <c r="B3934" s="62" t="s">
        <v>3345</v>
      </c>
      <c r="C3934" s="23">
        <v>-75000</v>
      </c>
      <c r="D3934" s="24" t="s">
        <v>90</v>
      </c>
      <c r="E3934" s="24" t="s">
        <v>111</v>
      </c>
      <c r="F3934" s="63" t="s">
        <v>0</v>
      </c>
    </row>
    <row r="3935" spans="1:6" x14ac:dyDescent="0.25">
      <c r="A3935" s="62">
        <v>44357</v>
      </c>
      <c r="B3935" s="62" t="s">
        <v>3346</v>
      </c>
      <c r="C3935" s="23">
        <v>-3240</v>
      </c>
      <c r="D3935" s="24" t="s">
        <v>52</v>
      </c>
      <c r="E3935" s="24" t="s">
        <v>53</v>
      </c>
      <c r="F3935" s="63" t="s">
        <v>0</v>
      </c>
    </row>
    <row r="3936" spans="1:6" x14ac:dyDescent="0.25">
      <c r="A3936" s="62">
        <v>44357</v>
      </c>
      <c r="B3936" s="62" t="s">
        <v>3347</v>
      </c>
      <c r="C3936" s="23">
        <v>-5539</v>
      </c>
      <c r="D3936" s="24" t="s">
        <v>49</v>
      </c>
      <c r="E3936" s="24" t="s">
        <v>56</v>
      </c>
      <c r="F3936" s="63" t="s">
        <v>0</v>
      </c>
    </row>
    <row r="3937" spans="1:6" x14ac:dyDescent="0.25">
      <c r="A3937" s="62">
        <v>44357</v>
      </c>
      <c r="B3937" s="62" t="s">
        <v>3348</v>
      </c>
      <c r="C3937" s="23">
        <v>-2598</v>
      </c>
      <c r="D3937" s="24" t="s">
        <v>49</v>
      </c>
      <c r="E3937" s="24" t="s">
        <v>56</v>
      </c>
      <c r="F3937" s="63" t="s">
        <v>0</v>
      </c>
    </row>
    <row r="3938" spans="1:6" x14ac:dyDescent="0.25">
      <c r="A3938" s="62">
        <v>44357</v>
      </c>
      <c r="B3938" s="62" t="s">
        <v>1651</v>
      </c>
      <c r="C3938" s="23">
        <v>673456</v>
      </c>
      <c r="D3938" s="24" t="s">
        <v>58</v>
      </c>
      <c r="E3938" s="24" t="s">
        <v>58</v>
      </c>
      <c r="F3938" s="63" t="s">
        <v>0</v>
      </c>
    </row>
    <row r="3939" spans="1:6" x14ac:dyDescent="0.25">
      <c r="A3939" s="62">
        <v>44356</v>
      </c>
      <c r="B3939" s="62" t="s">
        <v>3349</v>
      </c>
      <c r="C3939" s="23">
        <v>-11620</v>
      </c>
      <c r="D3939" s="24" t="s">
        <v>90</v>
      </c>
      <c r="E3939" s="24" t="s">
        <v>59</v>
      </c>
      <c r="F3939" s="63" t="s">
        <v>0</v>
      </c>
    </row>
    <row r="3940" spans="1:6" x14ac:dyDescent="0.25">
      <c r="A3940" s="62">
        <v>44356</v>
      </c>
      <c r="B3940" s="62" t="s">
        <v>3350</v>
      </c>
      <c r="C3940" s="23">
        <v>-21788</v>
      </c>
      <c r="D3940" s="24" t="s">
        <v>72</v>
      </c>
      <c r="E3940" s="24" t="s">
        <v>109</v>
      </c>
      <c r="F3940" s="63" t="s">
        <v>0</v>
      </c>
    </row>
    <row r="3941" spans="1:6" x14ac:dyDescent="0.25">
      <c r="A3941" s="62">
        <v>44356</v>
      </c>
      <c r="B3941" s="62" t="s">
        <v>3351</v>
      </c>
      <c r="C3941" s="23">
        <v>-1400</v>
      </c>
      <c r="D3941" s="24" t="s">
        <v>52</v>
      </c>
      <c r="E3941" s="24" t="s">
        <v>53</v>
      </c>
      <c r="F3941" s="63" t="s">
        <v>0</v>
      </c>
    </row>
    <row r="3942" spans="1:6" x14ac:dyDescent="0.25">
      <c r="A3942" s="62">
        <v>44356</v>
      </c>
      <c r="B3942" s="62" t="s">
        <v>3352</v>
      </c>
      <c r="C3942" s="23">
        <v>-3000</v>
      </c>
      <c r="D3942" s="24" t="s">
        <v>72</v>
      </c>
      <c r="E3942" s="24" t="s">
        <v>197</v>
      </c>
      <c r="F3942" s="63" t="s">
        <v>0</v>
      </c>
    </row>
    <row r="3943" spans="1:6" x14ac:dyDescent="0.25">
      <c r="A3943" s="62">
        <v>44355</v>
      </c>
      <c r="B3943" s="62" t="s">
        <v>3353</v>
      </c>
      <c r="C3943" s="23">
        <v>116200</v>
      </c>
      <c r="D3943" s="24" t="s">
        <v>167</v>
      </c>
      <c r="E3943" s="24" t="s">
        <v>1658</v>
      </c>
      <c r="F3943" s="63" t="s">
        <v>5</v>
      </c>
    </row>
    <row r="3944" spans="1:6" x14ac:dyDescent="0.25">
      <c r="A3944" s="62">
        <v>44355</v>
      </c>
      <c r="B3944" s="62" t="s">
        <v>3354</v>
      </c>
      <c r="C3944" s="23">
        <v>-8995</v>
      </c>
      <c r="D3944" s="24" t="s">
        <v>206</v>
      </c>
      <c r="E3944" s="24" t="s">
        <v>2123</v>
      </c>
      <c r="F3944" s="63" t="s">
        <v>0</v>
      </c>
    </row>
    <row r="3945" spans="1:6" x14ac:dyDescent="0.25">
      <c r="A3945" s="62">
        <v>44355</v>
      </c>
      <c r="B3945" s="62" t="s">
        <v>3023</v>
      </c>
      <c r="C3945" s="23">
        <v>-690</v>
      </c>
      <c r="D3945" s="24" t="s">
        <v>52</v>
      </c>
      <c r="E3945" s="24" t="s">
        <v>134</v>
      </c>
      <c r="F3945" s="63" t="s">
        <v>0</v>
      </c>
    </row>
    <row r="3946" spans="1:6" x14ac:dyDescent="0.25">
      <c r="A3946" s="62">
        <v>44355</v>
      </c>
      <c r="B3946" s="62" t="s">
        <v>3355</v>
      </c>
      <c r="C3946" s="23">
        <v>-1088</v>
      </c>
      <c r="D3946" s="24" t="s">
        <v>49</v>
      </c>
      <c r="E3946" s="24" t="s">
        <v>56</v>
      </c>
      <c r="F3946" s="63" t="s">
        <v>0</v>
      </c>
    </row>
    <row r="3947" spans="1:6" x14ac:dyDescent="0.25">
      <c r="A3947" s="62">
        <v>44354</v>
      </c>
      <c r="B3947" s="62" t="s">
        <v>3356</v>
      </c>
      <c r="C3947" s="23">
        <v>-6299</v>
      </c>
      <c r="D3947" s="24" t="s">
        <v>52</v>
      </c>
      <c r="E3947" s="24" t="s">
        <v>53</v>
      </c>
      <c r="F3947" s="63" t="s">
        <v>0</v>
      </c>
    </row>
    <row r="3948" spans="1:6" x14ac:dyDescent="0.25">
      <c r="A3948" s="62">
        <v>44354</v>
      </c>
      <c r="B3948" s="62" t="s">
        <v>3357</v>
      </c>
      <c r="C3948" s="23">
        <v>-10000</v>
      </c>
      <c r="D3948" s="24" t="s">
        <v>49</v>
      </c>
      <c r="E3948" s="24" t="s">
        <v>67</v>
      </c>
      <c r="F3948" s="63" t="s">
        <v>0</v>
      </c>
    </row>
    <row r="3949" spans="1:6" x14ac:dyDescent="0.25">
      <c r="A3949" s="62">
        <v>44354</v>
      </c>
      <c r="B3949" s="62" t="s">
        <v>3358</v>
      </c>
      <c r="C3949" s="23">
        <v>-5767</v>
      </c>
      <c r="D3949" s="24" t="s">
        <v>49</v>
      </c>
      <c r="E3949" s="24" t="s">
        <v>56</v>
      </c>
      <c r="F3949" s="63" t="s">
        <v>0</v>
      </c>
    </row>
    <row r="3950" spans="1:6" x14ac:dyDescent="0.25">
      <c r="A3950" s="62">
        <v>44354</v>
      </c>
      <c r="B3950" s="62" t="s">
        <v>3359</v>
      </c>
      <c r="C3950" s="23">
        <v>-2760</v>
      </c>
      <c r="D3950" s="24" t="s">
        <v>52</v>
      </c>
      <c r="E3950" s="24" t="s">
        <v>134</v>
      </c>
      <c r="F3950" s="63" t="s">
        <v>0</v>
      </c>
    </row>
    <row r="3951" spans="1:6" x14ac:dyDescent="0.25">
      <c r="A3951" s="62">
        <v>44354</v>
      </c>
      <c r="B3951" s="62" t="s">
        <v>3360</v>
      </c>
      <c r="C3951" s="23">
        <v>-1610</v>
      </c>
      <c r="D3951" s="24" t="s">
        <v>52</v>
      </c>
      <c r="E3951" s="24" t="s">
        <v>134</v>
      </c>
      <c r="F3951" s="63" t="s">
        <v>0</v>
      </c>
    </row>
    <row r="3952" spans="1:6" x14ac:dyDescent="0.25">
      <c r="A3952" s="62">
        <v>44354</v>
      </c>
      <c r="B3952" s="62" t="s">
        <v>3361</v>
      </c>
      <c r="C3952" s="23">
        <v>252050</v>
      </c>
      <c r="D3952" s="24" t="s">
        <v>167</v>
      </c>
      <c r="E3952" s="24" t="s">
        <v>2200</v>
      </c>
      <c r="F3952" s="63" t="s">
        <v>0</v>
      </c>
    </row>
    <row r="3953" spans="1:6" x14ac:dyDescent="0.25">
      <c r="A3953" s="62">
        <v>44354</v>
      </c>
      <c r="B3953" s="62" t="s">
        <v>3361</v>
      </c>
      <c r="C3953" s="23">
        <v>-252050</v>
      </c>
      <c r="D3953" s="24" t="s">
        <v>167</v>
      </c>
      <c r="E3953" s="24" t="s">
        <v>2200</v>
      </c>
      <c r="F3953" s="63" t="s">
        <v>2</v>
      </c>
    </row>
    <row r="3954" spans="1:6" x14ac:dyDescent="0.25">
      <c r="A3954" s="62">
        <v>44351</v>
      </c>
      <c r="B3954" s="62" t="s">
        <v>2924</v>
      </c>
      <c r="C3954" s="23">
        <v>266000</v>
      </c>
      <c r="D3954" s="24" t="s">
        <v>58</v>
      </c>
      <c r="E3954" s="24" t="s">
        <v>58</v>
      </c>
      <c r="F3954" s="63" t="s">
        <v>0</v>
      </c>
    </row>
    <row r="3955" spans="1:6" x14ac:dyDescent="0.25">
      <c r="A3955" s="62">
        <v>44351</v>
      </c>
      <c r="B3955" s="62" t="s">
        <v>3362</v>
      </c>
      <c r="C3955" s="23">
        <v>-20230</v>
      </c>
      <c r="D3955" s="24" t="s">
        <v>90</v>
      </c>
      <c r="E3955" s="24" t="s">
        <v>106</v>
      </c>
      <c r="F3955" s="63" t="s">
        <v>0</v>
      </c>
    </row>
    <row r="3956" spans="1:6" x14ac:dyDescent="0.25">
      <c r="A3956" s="62">
        <v>44351</v>
      </c>
      <c r="B3956" s="62" t="s">
        <v>3363</v>
      </c>
      <c r="C3956" s="23">
        <v>-8180</v>
      </c>
      <c r="D3956" s="24" t="s">
        <v>90</v>
      </c>
      <c r="E3956" s="24" t="s">
        <v>106</v>
      </c>
      <c r="F3956" s="63" t="s">
        <v>0</v>
      </c>
    </row>
    <row r="3957" spans="1:6" x14ac:dyDescent="0.25">
      <c r="A3957" s="62">
        <v>44351</v>
      </c>
      <c r="B3957" s="62" t="s">
        <v>3364</v>
      </c>
      <c r="C3957" s="23">
        <v>-15390</v>
      </c>
      <c r="D3957" s="24" t="s">
        <v>90</v>
      </c>
      <c r="E3957" s="24" t="s">
        <v>106</v>
      </c>
      <c r="F3957" s="63" t="s">
        <v>0</v>
      </c>
    </row>
    <row r="3958" spans="1:6" x14ac:dyDescent="0.25">
      <c r="A3958" s="62">
        <v>44351</v>
      </c>
      <c r="B3958" s="62" t="s">
        <v>3330</v>
      </c>
      <c r="C3958" s="23">
        <v>-1037</v>
      </c>
      <c r="D3958" s="24" t="s">
        <v>49</v>
      </c>
      <c r="E3958" s="24" t="s">
        <v>56</v>
      </c>
      <c r="F3958" s="63" t="s">
        <v>0</v>
      </c>
    </row>
    <row r="3959" spans="1:6" x14ac:dyDescent="0.25">
      <c r="A3959" s="62">
        <v>44350</v>
      </c>
      <c r="B3959" s="62" t="s">
        <v>3365</v>
      </c>
      <c r="C3959" s="23">
        <v>-2980</v>
      </c>
      <c r="D3959" s="24" t="s">
        <v>52</v>
      </c>
      <c r="E3959" s="24" t="s">
        <v>53</v>
      </c>
      <c r="F3959" s="63" t="s">
        <v>4</v>
      </c>
    </row>
    <row r="3960" spans="1:6" x14ac:dyDescent="0.25">
      <c r="A3960" s="62">
        <v>44350</v>
      </c>
      <c r="B3960" s="62" t="s">
        <v>3366</v>
      </c>
      <c r="C3960" s="23">
        <v>-2765</v>
      </c>
      <c r="D3960" s="24" t="s">
        <v>49</v>
      </c>
      <c r="E3960" s="24" t="s">
        <v>56</v>
      </c>
      <c r="F3960" s="63" t="s">
        <v>0</v>
      </c>
    </row>
    <row r="3961" spans="1:6" x14ac:dyDescent="0.25">
      <c r="A3961" s="62">
        <v>44350</v>
      </c>
      <c r="B3961" s="62" t="s">
        <v>3367</v>
      </c>
      <c r="C3961" s="23">
        <v>-3600</v>
      </c>
      <c r="D3961" s="24" t="s">
        <v>46</v>
      </c>
      <c r="E3961" s="24" t="s">
        <v>63</v>
      </c>
      <c r="F3961" s="63" t="s">
        <v>0</v>
      </c>
    </row>
    <row r="3962" spans="1:6" x14ac:dyDescent="0.25">
      <c r="A3962" s="62">
        <v>44349</v>
      </c>
      <c r="B3962" s="62" t="s">
        <v>3368</v>
      </c>
      <c r="C3962" s="23">
        <v>-1199</v>
      </c>
      <c r="D3962" s="24" t="s">
        <v>167</v>
      </c>
      <c r="E3962" s="24" t="s">
        <v>168</v>
      </c>
      <c r="F3962" s="63" t="s">
        <v>0</v>
      </c>
    </row>
    <row r="3963" spans="1:6" x14ac:dyDescent="0.25">
      <c r="A3963" s="62">
        <v>44348</v>
      </c>
      <c r="B3963" s="62" t="s">
        <v>3369</v>
      </c>
      <c r="C3963" s="23">
        <v>-27500000</v>
      </c>
      <c r="D3963" s="24" t="s">
        <v>46</v>
      </c>
      <c r="E3963" s="24" t="s">
        <v>10</v>
      </c>
      <c r="F3963" s="63" t="s">
        <v>10</v>
      </c>
    </row>
    <row r="3964" spans="1:6" x14ac:dyDescent="0.25">
      <c r="A3964" s="62">
        <v>44348</v>
      </c>
      <c r="B3964" s="62" t="s">
        <v>3369</v>
      </c>
      <c r="C3964" s="23">
        <v>-27500000</v>
      </c>
      <c r="D3964" s="24" t="s">
        <v>46</v>
      </c>
      <c r="E3964" s="24" t="s">
        <v>10</v>
      </c>
      <c r="F3964" s="63" t="s">
        <v>0</v>
      </c>
    </row>
    <row r="3965" spans="1:6" x14ac:dyDescent="0.25">
      <c r="A3965" s="62">
        <v>44348</v>
      </c>
      <c r="B3965" s="62" t="s">
        <v>3370</v>
      </c>
      <c r="C3965" s="23">
        <v>-600000</v>
      </c>
      <c r="D3965" s="24" t="s">
        <v>46</v>
      </c>
      <c r="E3965" s="24" t="s">
        <v>10</v>
      </c>
      <c r="F3965" s="63" t="s">
        <v>0</v>
      </c>
    </row>
    <row r="3966" spans="1:6" x14ac:dyDescent="0.25">
      <c r="A3966" s="62">
        <v>44348</v>
      </c>
      <c r="B3966" s="62" t="s">
        <v>3371</v>
      </c>
      <c r="C3966" s="23">
        <v>600000</v>
      </c>
      <c r="D3966" s="24" t="s">
        <v>46</v>
      </c>
      <c r="E3966" s="24" t="s">
        <v>10</v>
      </c>
      <c r="F3966" s="63" t="s">
        <v>0</v>
      </c>
    </row>
    <row r="3967" spans="1:6" x14ac:dyDescent="0.25">
      <c r="A3967" s="62">
        <v>44348</v>
      </c>
      <c r="B3967" s="62" t="s">
        <v>3370</v>
      </c>
      <c r="C3967" s="23">
        <v>600000</v>
      </c>
      <c r="D3967" s="24" t="s">
        <v>46</v>
      </c>
      <c r="E3967" s="24" t="s">
        <v>10</v>
      </c>
      <c r="F3967" s="63" t="s">
        <v>10</v>
      </c>
    </row>
    <row r="3968" spans="1:6" x14ac:dyDescent="0.25">
      <c r="A3968" s="62">
        <v>44348</v>
      </c>
      <c r="B3968" s="62" t="s">
        <v>3372</v>
      </c>
      <c r="C3968" s="23">
        <v>27500000</v>
      </c>
      <c r="D3968" s="24" t="s">
        <v>46</v>
      </c>
      <c r="E3968" s="24" t="s">
        <v>10</v>
      </c>
      <c r="F3968" s="63" t="s">
        <v>0</v>
      </c>
    </row>
    <row r="3969" spans="1:6" x14ac:dyDescent="0.25">
      <c r="A3969" s="62">
        <v>44348</v>
      </c>
      <c r="B3969" s="62" t="s">
        <v>2303</v>
      </c>
      <c r="C3969" s="23">
        <v>-1000</v>
      </c>
      <c r="D3969" s="24" t="s">
        <v>52</v>
      </c>
      <c r="E3969" s="24" t="s">
        <v>53</v>
      </c>
      <c r="F3969" s="63" t="s">
        <v>0</v>
      </c>
    </row>
    <row r="3970" spans="1:6" x14ac:dyDescent="0.25">
      <c r="A3970" s="62">
        <v>44347</v>
      </c>
      <c r="B3970" s="62" t="s">
        <v>3373</v>
      </c>
      <c r="C3970" s="23">
        <v>1.73</v>
      </c>
      <c r="D3970" s="24" t="s">
        <v>167</v>
      </c>
      <c r="E3970" s="24" t="s">
        <v>32</v>
      </c>
      <c r="F3970" s="63" t="s">
        <v>0</v>
      </c>
    </row>
    <row r="3971" spans="1:6" x14ac:dyDescent="0.25">
      <c r="A3971" s="62">
        <v>44347</v>
      </c>
      <c r="B3971" s="62" t="s">
        <v>3374</v>
      </c>
      <c r="C3971" s="23">
        <v>50000</v>
      </c>
      <c r="D3971" s="24" t="s">
        <v>206</v>
      </c>
      <c r="E3971" s="24" t="s">
        <v>830</v>
      </c>
      <c r="F3971" s="63" t="s">
        <v>7</v>
      </c>
    </row>
    <row r="3972" spans="1:6" x14ac:dyDescent="0.25">
      <c r="A3972" s="62">
        <v>44347</v>
      </c>
      <c r="B3972" s="62" t="s">
        <v>3374</v>
      </c>
      <c r="C3972" s="23">
        <v>-50000</v>
      </c>
      <c r="D3972" s="24" t="s">
        <v>206</v>
      </c>
      <c r="E3972" s="24" t="s">
        <v>830</v>
      </c>
      <c r="F3972" s="63" t="s">
        <v>0</v>
      </c>
    </row>
    <row r="3973" spans="1:6" x14ac:dyDescent="0.25">
      <c r="A3973" s="62">
        <v>44347</v>
      </c>
      <c r="B3973" s="62" t="s">
        <v>3375</v>
      </c>
      <c r="C3973" s="23">
        <v>-293</v>
      </c>
      <c r="D3973" s="24" t="s">
        <v>72</v>
      </c>
      <c r="E3973" s="24" t="s">
        <v>197</v>
      </c>
      <c r="F3973" s="63" t="s">
        <v>0</v>
      </c>
    </row>
    <row r="3974" spans="1:6" x14ac:dyDescent="0.25">
      <c r="A3974" s="62">
        <v>44347</v>
      </c>
      <c r="B3974" s="62" t="s">
        <v>3376</v>
      </c>
      <c r="C3974" s="23">
        <v>-10636</v>
      </c>
      <c r="D3974" s="24" t="s">
        <v>49</v>
      </c>
      <c r="E3974" s="24" t="s">
        <v>56</v>
      </c>
      <c r="F3974" s="63" t="s">
        <v>0</v>
      </c>
    </row>
    <row r="3975" spans="1:6" x14ac:dyDescent="0.25">
      <c r="A3975" s="62">
        <v>44347</v>
      </c>
      <c r="B3975" s="62" t="s">
        <v>3377</v>
      </c>
      <c r="C3975" s="23">
        <v>-8929.23</v>
      </c>
      <c r="D3975" s="24" t="s">
        <v>206</v>
      </c>
      <c r="E3975" s="24" t="s">
        <v>2123</v>
      </c>
      <c r="F3975" s="63" t="s">
        <v>0</v>
      </c>
    </row>
    <row r="3976" spans="1:6" x14ac:dyDescent="0.25">
      <c r="A3976" s="62">
        <v>44347</v>
      </c>
      <c r="B3976" s="62" t="s">
        <v>3378</v>
      </c>
      <c r="C3976" s="23">
        <v>100</v>
      </c>
      <c r="D3976" s="24" t="s">
        <v>167</v>
      </c>
      <c r="E3976" s="24" t="s">
        <v>555</v>
      </c>
      <c r="F3976" s="63" t="s">
        <v>0</v>
      </c>
    </row>
    <row r="3977" spans="1:6" x14ac:dyDescent="0.25">
      <c r="A3977" s="62">
        <v>44344</v>
      </c>
      <c r="B3977" s="62" t="s">
        <v>3379</v>
      </c>
      <c r="C3977" s="23">
        <v>-3990</v>
      </c>
      <c r="D3977" s="24" t="s">
        <v>46</v>
      </c>
      <c r="E3977" s="24" t="s">
        <v>63</v>
      </c>
      <c r="F3977" s="63" t="s">
        <v>0</v>
      </c>
    </row>
    <row r="3978" spans="1:6" x14ac:dyDescent="0.25">
      <c r="A3978" s="62">
        <v>44343</v>
      </c>
      <c r="B3978" s="62" t="s">
        <v>3380</v>
      </c>
      <c r="C3978" s="23">
        <v>-6722</v>
      </c>
      <c r="D3978" s="24" t="s">
        <v>49</v>
      </c>
      <c r="E3978" s="24" t="s">
        <v>56</v>
      </c>
      <c r="F3978" s="63" t="s">
        <v>0</v>
      </c>
    </row>
    <row r="3979" spans="1:6" x14ac:dyDescent="0.25">
      <c r="A3979" s="62">
        <v>44343</v>
      </c>
      <c r="B3979" s="62" t="s">
        <v>3381</v>
      </c>
      <c r="C3979" s="23">
        <v>-5496</v>
      </c>
      <c r="D3979" s="24" t="s">
        <v>49</v>
      </c>
      <c r="E3979" s="24" t="s">
        <v>56</v>
      </c>
      <c r="F3979" s="63" t="s">
        <v>0</v>
      </c>
    </row>
    <row r="3980" spans="1:6" x14ac:dyDescent="0.25">
      <c r="A3980" s="62">
        <v>44343</v>
      </c>
      <c r="B3980" s="62" t="s">
        <v>3382</v>
      </c>
      <c r="C3980" s="23">
        <v>-12600</v>
      </c>
      <c r="D3980" s="24" t="s">
        <v>46</v>
      </c>
      <c r="E3980" s="24" t="s">
        <v>3095</v>
      </c>
      <c r="F3980" s="63" t="s">
        <v>0</v>
      </c>
    </row>
    <row r="3981" spans="1:6" x14ac:dyDescent="0.25">
      <c r="A3981" s="62">
        <v>44343</v>
      </c>
      <c r="B3981" s="62" t="s">
        <v>3383</v>
      </c>
      <c r="C3981" s="23">
        <v>-100</v>
      </c>
      <c r="D3981" s="24" t="s">
        <v>167</v>
      </c>
      <c r="E3981" s="24" t="s">
        <v>555</v>
      </c>
      <c r="F3981" s="63" t="s">
        <v>0</v>
      </c>
    </row>
    <row r="3982" spans="1:6" x14ac:dyDescent="0.25">
      <c r="A3982" s="62">
        <v>44343</v>
      </c>
      <c r="B3982" s="62" t="s">
        <v>3384</v>
      </c>
      <c r="C3982" s="23">
        <v>-5000</v>
      </c>
      <c r="D3982" s="24" t="s">
        <v>49</v>
      </c>
      <c r="E3982" s="24" t="s">
        <v>1165</v>
      </c>
      <c r="F3982" s="63" t="s">
        <v>0</v>
      </c>
    </row>
    <row r="3983" spans="1:6" x14ac:dyDescent="0.25">
      <c r="A3983" s="62">
        <v>44342</v>
      </c>
      <c r="B3983" s="62" t="s">
        <v>746</v>
      </c>
      <c r="C3983" s="23">
        <v>-1450</v>
      </c>
      <c r="D3983" s="24" t="s">
        <v>52</v>
      </c>
      <c r="E3983" s="24" t="s">
        <v>53</v>
      </c>
      <c r="F3983" s="63" t="s">
        <v>4</v>
      </c>
    </row>
    <row r="3984" spans="1:6" x14ac:dyDescent="0.25">
      <c r="A3984" s="62">
        <v>44342</v>
      </c>
      <c r="B3984" s="62" t="s">
        <v>3312</v>
      </c>
      <c r="C3984" s="23">
        <v>-3990</v>
      </c>
      <c r="D3984" s="24" t="s">
        <v>46</v>
      </c>
      <c r="E3984" s="24" t="s">
        <v>63</v>
      </c>
      <c r="F3984" s="63" t="s">
        <v>0</v>
      </c>
    </row>
    <row r="3985" spans="1:6" x14ac:dyDescent="0.25">
      <c r="A3985" s="62">
        <v>44342</v>
      </c>
      <c r="B3985" s="62" t="s">
        <v>3385</v>
      </c>
      <c r="C3985" s="23">
        <v>-21737</v>
      </c>
      <c r="D3985" s="24" t="s">
        <v>49</v>
      </c>
      <c r="E3985" s="24" t="s">
        <v>56</v>
      </c>
      <c r="F3985" s="63" t="s">
        <v>0</v>
      </c>
    </row>
    <row r="3986" spans="1:6" x14ac:dyDescent="0.25">
      <c r="A3986" s="62">
        <v>44342</v>
      </c>
      <c r="B3986" s="62" t="s">
        <v>3386</v>
      </c>
      <c r="C3986" s="23">
        <v>-73604</v>
      </c>
      <c r="D3986" s="24" t="s">
        <v>46</v>
      </c>
      <c r="E3986" s="24" t="s">
        <v>3095</v>
      </c>
      <c r="F3986" s="63" t="s">
        <v>0</v>
      </c>
    </row>
    <row r="3987" spans="1:6" x14ac:dyDescent="0.25">
      <c r="A3987" s="62">
        <v>44341</v>
      </c>
      <c r="B3987" s="62" t="s">
        <v>3387</v>
      </c>
      <c r="C3987" s="23">
        <v>-72</v>
      </c>
      <c r="D3987" s="24" t="s">
        <v>167</v>
      </c>
      <c r="E3987" s="24" t="s">
        <v>168</v>
      </c>
      <c r="F3987" s="63" t="s">
        <v>0</v>
      </c>
    </row>
    <row r="3988" spans="1:6" x14ac:dyDescent="0.25">
      <c r="A3988" s="62">
        <v>44341</v>
      </c>
      <c r="B3988" s="62" t="s">
        <v>3388</v>
      </c>
      <c r="C3988" s="23">
        <v>-817</v>
      </c>
      <c r="D3988" s="24" t="s">
        <v>167</v>
      </c>
      <c r="E3988" s="24" t="s">
        <v>168</v>
      </c>
      <c r="F3988" s="63" t="s">
        <v>0</v>
      </c>
    </row>
    <row r="3989" spans="1:6" x14ac:dyDescent="0.25">
      <c r="A3989" s="62">
        <v>44341</v>
      </c>
      <c r="B3989" s="62" t="s">
        <v>3389</v>
      </c>
      <c r="C3989" s="23">
        <v>-12120</v>
      </c>
      <c r="D3989" s="24" t="s">
        <v>90</v>
      </c>
      <c r="E3989" s="24" t="s">
        <v>106</v>
      </c>
      <c r="F3989" s="63" t="s">
        <v>0</v>
      </c>
    </row>
    <row r="3990" spans="1:6" x14ac:dyDescent="0.25">
      <c r="A3990" s="62">
        <v>44341</v>
      </c>
      <c r="B3990" s="62" t="s">
        <v>3390</v>
      </c>
      <c r="C3990" s="23">
        <v>-199</v>
      </c>
      <c r="D3990" s="24" t="s">
        <v>49</v>
      </c>
      <c r="E3990" s="24" t="s">
        <v>56</v>
      </c>
      <c r="F3990" s="63" t="s">
        <v>0</v>
      </c>
    </row>
    <row r="3991" spans="1:6" x14ac:dyDescent="0.25">
      <c r="A3991" s="62">
        <v>44341</v>
      </c>
      <c r="B3991" s="62" t="s">
        <v>3391</v>
      </c>
      <c r="C3991" s="23">
        <v>-22258</v>
      </c>
      <c r="D3991" s="24" t="s">
        <v>46</v>
      </c>
      <c r="E3991" s="24" t="s">
        <v>1317</v>
      </c>
      <c r="F3991" s="63" t="s">
        <v>0</v>
      </c>
    </row>
    <row r="3992" spans="1:6" x14ac:dyDescent="0.25">
      <c r="A3992" s="62">
        <v>44341</v>
      </c>
      <c r="B3992" s="62" t="s">
        <v>3392</v>
      </c>
      <c r="C3992" s="23">
        <v>-19575</v>
      </c>
      <c r="D3992" s="24" t="s">
        <v>49</v>
      </c>
      <c r="E3992" s="24" t="s">
        <v>56</v>
      </c>
      <c r="F3992" s="63" t="s">
        <v>0</v>
      </c>
    </row>
    <row r="3993" spans="1:6" x14ac:dyDescent="0.25">
      <c r="A3993" s="62">
        <v>44338</v>
      </c>
      <c r="B3993" s="62" t="s">
        <v>3393</v>
      </c>
      <c r="C3993" s="23">
        <v>-5200</v>
      </c>
      <c r="D3993" s="24" t="s">
        <v>52</v>
      </c>
      <c r="E3993" s="24" t="s">
        <v>53</v>
      </c>
      <c r="F3993" s="63" t="s">
        <v>4</v>
      </c>
    </row>
    <row r="3994" spans="1:6" x14ac:dyDescent="0.25">
      <c r="A3994" s="62">
        <v>44337</v>
      </c>
      <c r="B3994" s="62" t="s">
        <v>3365</v>
      </c>
      <c r="C3994" s="23">
        <v>-1490</v>
      </c>
      <c r="D3994" s="24" t="s">
        <v>52</v>
      </c>
      <c r="E3994" s="24" t="s">
        <v>53</v>
      </c>
      <c r="F3994" s="63" t="s">
        <v>4</v>
      </c>
    </row>
    <row r="3995" spans="1:6" x14ac:dyDescent="0.25">
      <c r="A3995" s="62">
        <v>44337</v>
      </c>
      <c r="B3995" s="62" t="s">
        <v>139</v>
      </c>
      <c r="C3995" s="23">
        <v>19275</v>
      </c>
      <c r="D3995" s="24" t="s">
        <v>58</v>
      </c>
      <c r="E3995" s="24" t="s">
        <v>58</v>
      </c>
      <c r="F3995" s="63" t="s">
        <v>4</v>
      </c>
    </row>
    <row r="3996" spans="1:6" x14ac:dyDescent="0.25">
      <c r="A3996" s="62">
        <v>44337</v>
      </c>
      <c r="B3996" s="62" t="s">
        <v>3394</v>
      </c>
      <c r="C3996" s="23">
        <v>-918</v>
      </c>
      <c r="D3996" s="24" t="s">
        <v>49</v>
      </c>
      <c r="E3996" s="24" t="s">
        <v>56</v>
      </c>
      <c r="F3996" s="63" t="s">
        <v>0</v>
      </c>
    </row>
    <row r="3997" spans="1:6" x14ac:dyDescent="0.25">
      <c r="A3997" s="62">
        <v>44337</v>
      </c>
      <c r="B3997" s="62" t="s">
        <v>3395</v>
      </c>
      <c r="C3997" s="23">
        <v>-919</v>
      </c>
      <c r="D3997" s="24" t="s">
        <v>49</v>
      </c>
      <c r="E3997" s="24" t="s">
        <v>56</v>
      </c>
      <c r="F3997" s="63" t="s">
        <v>0</v>
      </c>
    </row>
    <row r="3998" spans="1:6" x14ac:dyDescent="0.25">
      <c r="A3998" s="62">
        <v>44337</v>
      </c>
      <c r="B3998" s="62" t="s">
        <v>3396</v>
      </c>
      <c r="C3998" s="23">
        <v>-5692</v>
      </c>
      <c r="D3998" s="24" t="s">
        <v>49</v>
      </c>
      <c r="E3998" s="24" t="s">
        <v>56</v>
      </c>
      <c r="F3998" s="63" t="s">
        <v>0</v>
      </c>
    </row>
    <row r="3999" spans="1:6" x14ac:dyDescent="0.25">
      <c r="A3999" s="62">
        <v>44336</v>
      </c>
      <c r="B3999" s="62" t="s">
        <v>3397</v>
      </c>
      <c r="C3999" s="23">
        <v>-3850</v>
      </c>
      <c r="D3999" s="24" t="s">
        <v>206</v>
      </c>
      <c r="E3999" s="24" t="s">
        <v>2123</v>
      </c>
      <c r="F3999" s="63" t="s">
        <v>0</v>
      </c>
    </row>
    <row r="4000" spans="1:6" x14ac:dyDescent="0.25">
      <c r="A4000" s="62">
        <v>44335</v>
      </c>
      <c r="B4000" s="62" t="s">
        <v>3398</v>
      </c>
      <c r="C4000" s="23">
        <v>-100</v>
      </c>
      <c r="D4000" s="24" t="s">
        <v>167</v>
      </c>
      <c r="E4000" s="24" t="s">
        <v>168</v>
      </c>
      <c r="F4000" s="63" t="s">
        <v>5</v>
      </c>
    </row>
    <row r="4001" spans="1:6" x14ac:dyDescent="0.25">
      <c r="A4001" s="62">
        <v>44335</v>
      </c>
      <c r="B4001" s="62" t="s">
        <v>3399</v>
      </c>
      <c r="C4001" s="23">
        <v>-5270</v>
      </c>
      <c r="D4001" s="24" t="s">
        <v>46</v>
      </c>
      <c r="E4001" s="24" t="s">
        <v>428</v>
      </c>
      <c r="F4001" s="63" t="s">
        <v>0</v>
      </c>
    </row>
    <row r="4002" spans="1:6" x14ac:dyDescent="0.25">
      <c r="A4002" s="62">
        <v>44335</v>
      </c>
      <c r="B4002" s="62" t="s">
        <v>3400</v>
      </c>
      <c r="C4002" s="23">
        <v>-1254</v>
      </c>
      <c r="D4002" s="24" t="s">
        <v>49</v>
      </c>
      <c r="E4002" s="24" t="s">
        <v>56</v>
      </c>
      <c r="F4002" s="63" t="s">
        <v>0</v>
      </c>
    </row>
    <row r="4003" spans="1:6" x14ac:dyDescent="0.25">
      <c r="A4003" s="62">
        <v>44335</v>
      </c>
      <c r="B4003" s="62" t="s">
        <v>3401</v>
      </c>
      <c r="C4003" s="23">
        <v>-650</v>
      </c>
      <c r="D4003" s="24" t="s">
        <v>52</v>
      </c>
      <c r="E4003" s="24" t="s">
        <v>134</v>
      </c>
      <c r="F4003" s="63" t="s">
        <v>0</v>
      </c>
    </row>
    <row r="4004" spans="1:6" x14ac:dyDescent="0.25">
      <c r="A4004" s="62">
        <v>44335</v>
      </c>
      <c r="B4004" s="62" t="s">
        <v>3402</v>
      </c>
      <c r="C4004" s="23">
        <v>-5500000</v>
      </c>
      <c r="D4004" s="24" t="s">
        <v>46</v>
      </c>
      <c r="E4004" s="24" t="s">
        <v>3095</v>
      </c>
      <c r="F4004" s="63" t="s">
        <v>0</v>
      </c>
    </row>
    <row r="4005" spans="1:6" x14ac:dyDescent="0.25">
      <c r="A4005" s="62">
        <v>44334</v>
      </c>
      <c r="B4005" s="62" t="s">
        <v>3403</v>
      </c>
      <c r="C4005" s="23">
        <v>-4599</v>
      </c>
      <c r="D4005" s="24" t="s">
        <v>52</v>
      </c>
      <c r="E4005" s="24" t="s">
        <v>53</v>
      </c>
      <c r="F4005" s="63" t="s">
        <v>0</v>
      </c>
    </row>
    <row r="4006" spans="1:6" x14ac:dyDescent="0.25">
      <c r="A4006" s="62">
        <v>44334</v>
      </c>
      <c r="B4006" s="62" t="s">
        <v>3404</v>
      </c>
      <c r="C4006" s="23">
        <v>-1363.13</v>
      </c>
      <c r="D4006" s="24" t="s">
        <v>206</v>
      </c>
      <c r="E4006" s="24" t="s">
        <v>2123</v>
      </c>
      <c r="F4006" s="63" t="s">
        <v>0</v>
      </c>
    </row>
    <row r="4007" spans="1:6" x14ac:dyDescent="0.25">
      <c r="A4007" s="62">
        <v>44334</v>
      </c>
      <c r="B4007" s="62" t="s">
        <v>3405</v>
      </c>
      <c r="C4007" s="23">
        <v>-4527.01</v>
      </c>
      <c r="D4007" s="24" t="s">
        <v>206</v>
      </c>
      <c r="E4007" s="24" t="s">
        <v>2123</v>
      </c>
      <c r="F4007" s="63" t="s">
        <v>0</v>
      </c>
    </row>
    <row r="4008" spans="1:6" x14ac:dyDescent="0.25">
      <c r="A4008" s="62">
        <v>44334</v>
      </c>
      <c r="B4008" s="62" t="s">
        <v>3406</v>
      </c>
      <c r="C4008" s="23">
        <v>-28217</v>
      </c>
      <c r="D4008" s="24" t="s">
        <v>46</v>
      </c>
      <c r="E4008" s="24" t="s">
        <v>3256</v>
      </c>
      <c r="F4008" s="63" t="s">
        <v>0</v>
      </c>
    </row>
    <row r="4009" spans="1:6" x14ac:dyDescent="0.25">
      <c r="A4009" s="62">
        <v>44334</v>
      </c>
      <c r="B4009" s="62" t="s">
        <v>3032</v>
      </c>
      <c r="C4009" s="23">
        <v>-3523450</v>
      </c>
      <c r="D4009" s="24" t="s">
        <v>167</v>
      </c>
      <c r="E4009" s="24" t="s">
        <v>183</v>
      </c>
      <c r="F4009" s="63" t="s">
        <v>3</v>
      </c>
    </row>
    <row r="4010" spans="1:6" x14ac:dyDescent="0.25">
      <c r="A4010" s="62">
        <v>44334</v>
      </c>
      <c r="B4010" s="62" t="s">
        <v>3032</v>
      </c>
      <c r="C4010" s="23">
        <v>3523450</v>
      </c>
      <c r="D4010" s="24" t="s">
        <v>167</v>
      </c>
      <c r="E4010" s="24" t="s">
        <v>183</v>
      </c>
      <c r="F4010" s="63" t="s">
        <v>0</v>
      </c>
    </row>
    <row r="4011" spans="1:6" x14ac:dyDescent="0.25">
      <c r="A4011" s="62">
        <v>44333</v>
      </c>
      <c r="B4011" s="62" t="s">
        <v>3407</v>
      </c>
      <c r="C4011" s="23">
        <v>-68070</v>
      </c>
      <c r="D4011" s="24" t="s">
        <v>90</v>
      </c>
      <c r="E4011" s="24" t="s">
        <v>111</v>
      </c>
      <c r="F4011" s="63" t="s">
        <v>0</v>
      </c>
    </row>
    <row r="4012" spans="1:6" x14ac:dyDescent="0.25">
      <c r="A4012" s="62">
        <v>44333</v>
      </c>
      <c r="B4012" s="62" t="s">
        <v>3408</v>
      </c>
      <c r="C4012" s="23">
        <v>-3240</v>
      </c>
      <c r="D4012" s="24" t="s">
        <v>52</v>
      </c>
      <c r="E4012" s="24" t="s">
        <v>53</v>
      </c>
      <c r="F4012" s="63" t="s">
        <v>0</v>
      </c>
    </row>
    <row r="4013" spans="1:6" x14ac:dyDescent="0.25">
      <c r="A4013" s="62">
        <v>44333</v>
      </c>
      <c r="B4013" s="62" t="s">
        <v>3060</v>
      </c>
      <c r="C4013" s="23">
        <v>-784</v>
      </c>
      <c r="D4013" s="24" t="s">
        <v>167</v>
      </c>
      <c r="E4013" s="24" t="s">
        <v>168</v>
      </c>
      <c r="F4013" s="63" t="s">
        <v>0</v>
      </c>
    </row>
    <row r="4014" spans="1:6" x14ac:dyDescent="0.25">
      <c r="A4014" s="62">
        <v>44333</v>
      </c>
      <c r="B4014" s="62" t="s">
        <v>3409</v>
      </c>
      <c r="C4014" s="23">
        <v>-23021</v>
      </c>
      <c r="D4014" s="24" t="s">
        <v>72</v>
      </c>
      <c r="E4014" s="24" t="s">
        <v>109</v>
      </c>
      <c r="F4014" s="63" t="s">
        <v>0</v>
      </c>
    </row>
    <row r="4015" spans="1:6" x14ac:dyDescent="0.25">
      <c r="A4015" s="62">
        <v>44333</v>
      </c>
      <c r="B4015" s="62" t="s">
        <v>3060</v>
      </c>
      <c r="C4015" s="23">
        <v>100000</v>
      </c>
      <c r="D4015" s="24" t="s">
        <v>206</v>
      </c>
      <c r="E4015" s="24" t="s">
        <v>830</v>
      </c>
      <c r="F4015" s="63" t="s">
        <v>7</v>
      </c>
    </row>
    <row r="4016" spans="1:6" x14ac:dyDescent="0.25">
      <c r="A4016" s="62">
        <v>44333</v>
      </c>
      <c r="B4016" s="62" t="s">
        <v>3060</v>
      </c>
      <c r="C4016" s="23">
        <v>100000</v>
      </c>
      <c r="D4016" s="24" t="s">
        <v>206</v>
      </c>
      <c r="E4016" s="24" t="s">
        <v>830</v>
      </c>
      <c r="F4016" s="63" t="s">
        <v>7</v>
      </c>
    </row>
    <row r="4017" spans="1:6" x14ac:dyDescent="0.25">
      <c r="A4017" s="62">
        <v>44333</v>
      </c>
      <c r="B4017" s="62" t="s">
        <v>3060</v>
      </c>
      <c r="C4017" s="23">
        <v>-100000</v>
      </c>
      <c r="D4017" s="24" t="s">
        <v>206</v>
      </c>
      <c r="E4017" s="24" t="s">
        <v>830</v>
      </c>
      <c r="F4017" s="63" t="s">
        <v>0</v>
      </c>
    </row>
    <row r="4018" spans="1:6" x14ac:dyDescent="0.25">
      <c r="A4018" s="62">
        <v>44333</v>
      </c>
      <c r="B4018" s="62" t="s">
        <v>3060</v>
      </c>
      <c r="C4018" s="23">
        <v>-100000</v>
      </c>
      <c r="D4018" s="24" t="s">
        <v>206</v>
      </c>
      <c r="E4018" s="24" t="s">
        <v>830</v>
      </c>
      <c r="F4018" s="63" t="s">
        <v>0</v>
      </c>
    </row>
    <row r="4019" spans="1:6" x14ac:dyDescent="0.25">
      <c r="A4019" s="62">
        <v>44333</v>
      </c>
      <c r="B4019" s="62" t="s">
        <v>3060</v>
      </c>
      <c r="C4019" s="23">
        <v>-110000</v>
      </c>
      <c r="D4019" s="24" t="s">
        <v>46</v>
      </c>
      <c r="E4019" s="24" t="s">
        <v>3410</v>
      </c>
      <c r="F4019" s="63" t="s">
        <v>7</v>
      </c>
    </row>
    <row r="4020" spans="1:6" x14ac:dyDescent="0.25">
      <c r="A4020" s="62">
        <v>44333</v>
      </c>
      <c r="B4020" s="62" t="s">
        <v>3411</v>
      </c>
      <c r="C4020" s="23">
        <v>-525</v>
      </c>
      <c r="D4020" s="24" t="s">
        <v>46</v>
      </c>
      <c r="E4020" s="24" t="s">
        <v>3095</v>
      </c>
      <c r="F4020" s="63" t="s">
        <v>0</v>
      </c>
    </row>
    <row r="4021" spans="1:6" x14ac:dyDescent="0.25">
      <c r="A4021" s="62">
        <v>44333</v>
      </c>
      <c r="B4021" s="62" t="s">
        <v>3412</v>
      </c>
      <c r="C4021" s="23">
        <v>-13799</v>
      </c>
      <c r="D4021" s="24" t="s">
        <v>49</v>
      </c>
      <c r="E4021" s="24" t="s">
        <v>56</v>
      </c>
      <c r="F4021" s="63" t="s">
        <v>0</v>
      </c>
    </row>
    <row r="4022" spans="1:6" x14ac:dyDescent="0.25">
      <c r="A4022" s="62">
        <v>44333</v>
      </c>
      <c r="B4022" s="62" t="s">
        <v>3413</v>
      </c>
      <c r="C4022" s="23">
        <v>-1018</v>
      </c>
      <c r="D4022" s="24" t="s">
        <v>49</v>
      </c>
      <c r="E4022" s="24" t="s">
        <v>56</v>
      </c>
      <c r="F4022" s="63" t="s">
        <v>0</v>
      </c>
    </row>
    <row r="4023" spans="1:6" x14ac:dyDescent="0.25">
      <c r="A4023" s="62">
        <v>44333</v>
      </c>
      <c r="B4023" s="62" t="s">
        <v>3414</v>
      </c>
      <c r="C4023" s="23">
        <v>-6748</v>
      </c>
      <c r="D4023" s="24" t="s">
        <v>46</v>
      </c>
      <c r="E4023" s="24" t="s">
        <v>80</v>
      </c>
      <c r="F4023" s="63" t="s">
        <v>0</v>
      </c>
    </row>
    <row r="4024" spans="1:6" x14ac:dyDescent="0.25">
      <c r="A4024" s="62">
        <v>44330</v>
      </c>
      <c r="B4024" s="62" t="s">
        <v>3415</v>
      </c>
      <c r="C4024" s="23">
        <v>-4842</v>
      </c>
      <c r="D4024" s="24" t="s">
        <v>72</v>
      </c>
      <c r="E4024" s="24" t="s">
        <v>109</v>
      </c>
      <c r="F4024" s="63" t="s">
        <v>0</v>
      </c>
    </row>
    <row r="4025" spans="1:6" x14ac:dyDescent="0.25">
      <c r="A4025" s="62">
        <v>44330</v>
      </c>
      <c r="B4025" s="62" t="s">
        <v>3416</v>
      </c>
      <c r="C4025" s="23">
        <v>2000</v>
      </c>
      <c r="D4025" s="24" t="s">
        <v>167</v>
      </c>
      <c r="E4025" s="24" t="s">
        <v>168</v>
      </c>
      <c r="F4025" s="63" t="s">
        <v>0</v>
      </c>
    </row>
    <row r="4026" spans="1:6" x14ac:dyDescent="0.25">
      <c r="A4026" s="62">
        <v>44328</v>
      </c>
      <c r="B4026" s="62" t="s">
        <v>746</v>
      </c>
      <c r="C4026" s="23">
        <v>-1800</v>
      </c>
      <c r="D4026" s="24" t="s">
        <v>52</v>
      </c>
      <c r="E4026" s="24" t="s">
        <v>53</v>
      </c>
      <c r="F4026" s="63" t="s">
        <v>4</v>
      </c>
    </row>
    <row r="4027" spans="1:6" x14ac:dyDescent="0.25">
      <c r="A4027" s="62">
        <v>44328</v>
      </c>
      <c r="B4027" s="62" t="s">
        <v>3417</v>
      </c>
      <c r="C4027" s="23">
        <v>-2570</v>
      </c>
      <c r="D4027" s="24" t="s">
        <v>49</v>
      </c>
      <c r="E4027" s="24" t="s">
        <v>56</v>
      </c>
      <c r="F4027" s="63" t="s">
        <v>0</v>
      </c>
    </row>
    <row r="4028" spans="1:6" x14ac:dyDescent="0.25">
      <c r="A4028" s="62">
        <v>44328</v>
      </c>
      <c r="B4028" s="62" t="s">
        <v>3418</v>
      </c>
      <c r="C4028" s="23">
        <v>-10828</v>
      </c>
      <c r="D4028" s="24" t="s">
        <v>49</v>
      </c>
      <c r="E4028" s="24" t="s">
        <v>56</v>
      </c>
      <c r="F4028" s="63" t="s">
        <v>0</v>
      </c>
    </row>
    <row r="4029" spans="1:6" x14ac:dyDescent="0.25">
      <c r="A4029" s="62">
        <v>44327</v>
      </c>
      <c r="B4029" s="62" t="s">
        <v>3419</v>
      </c>
      <c r="C4029" s="23">
        <v>20000</v>
      </c>
      <c r="D4029" s="24" t="s">
        <v>49</v>
      </c>
      <c r="E4029" s="24" t="s">
        <v>67</v>
      </c>
      <c r="F4029" s="63" t="s">
        <v>0</v>
      </c>
    </row>
    <row r="4030" spans="1:6" x14ac:dyDescent="0.25">
      <c r="A4030" s="62">
        <v>44326</v>
      </c>
      <c r="B4030" s="62" t="s">
        <v>3420</v>
      </c>
      <c r="C4030" s="23">
        <v>-5150</v>
      </c>
      <c r="D4030" s="24" t="s">
        <v>52</v>
      </c>
      <c r="E4030" s="24" t="s">
        <v>53</v>
      </c>
      <c r="F4030" s="63" t="s">
        <v>4</v>
      </c>
    </row>
    <row r="4031" spans="1:6" x14ac:dyDescent="0.25">
      <c r="A4031" s="62">
        <v>44326</v>
      </c>
      <c r="B4031" s="62" t="s">
        <v>3421</v>
      </c>
      <c r="C4031" s="23">
        <v>-1370</v>
      </c>
      <c r="D4031" s="24" t="s">
        <v>206</v>
      </c>
      <c r="E4031" s="24" t="s">
        <v>2123</v>
      </c>
      <c r="F4031" s="63" t="s">
        <v>0</v>
      </c>
    </row>
    <row r="4032" spans="1:6" x14ac:dyDescent="0.25">
      <c r="A4032" s="62">
        <v>44326</v>
      </c>
      <c r="B4032" s="62" t="s">
        <v>3422</v>
      </c>
      <c r="C4032" s="23">
        <v>-8846.49</v>
      </c>
      <c r="D4032" s="24" t="s">
        <v>206</v>
      </c>
      <c r="E4032" s="24" t="s">
        <v>2123</v>
      </c>
      <c r="F4032" s="63" t="s">
        <v>0</v>
      </c>
    </row>
    <row r="4033" spans="1:6" x14ac:dyDescent="0.25">
      <c r="A4033" s="62">
        <v>44326</v>
      </c>
      <c r="B4033" s="62" t="s">
        <v>3423</v>
      </c>
      <c r="C4033" s="23">
        <v>-7280</v>
      </c>
      <c r="D4033" s="24" t="s">
        <v>52</v>
      </c>
      <c r="E4033" s="24" t="s">
        <v>134</v>
      </c>
      <c r="F4033" s="63" t="s">
        <v>0</v>
      </c>
    </row>
    <row r="4034" spans="1:6" x14ac:dyDescent="0.25">
      <c r="A4034" s="62">
        <v>44326</v>
      </c>
      <c r="B4034" s="62" t="s">
        <v>3424</v>
      </c>
      <c r="C4034" s="23">
        <v>-4409</v>
      </c>
      <c r="D4034" s="24" t="s">
        <v>49</v>
      </c>
      <c r="E4034" s="24" t="s">
        <v>56</v>
      </c>
      <c r="F4034" s="63" t="s">
        <v>0</v>
      </c>
    </row>
    <row r="4035" spans="1:6" x14ac:dyDescent="0.25">
      <c r="A4035" s="62">
        <v>44326</v>
      </c>
      <c r="B4035" s="62" t="s">
        <v>3425</v>
      </c>
      <c r="C4035" s="23">
        <v>-568</v>
      </c>
      <c r="D4035" s="24" t="s">
        <v>49</v>
      </c>
      <c r="E4035" s="24" t="s">
        <v>56</v>
      </c>
      <c r="F4035" s="63" t="s">
        <v>0</v>
      </c>
    </row>
    <row r="4036" spans="1:6" x14ac:dyDescent="0.25">
      <c r="A4036" s="62">
        <v>44326</v>
      </c>
      <c r="B4036" s="62" t="s">
        <v>1651</v>
      </c>
      <c r="C4036" s="23">
        <v>668960</v>
      </c>
      <c r="D4036" s="24" t="s">
        <v>58</v>
      </c>
      <c r="E4036" s="24" t="s">
        <v>58</v>
      </c>
      <c r="F4036" s="63" t="s">
        <v>0</v>
      </c>
    </row>
    <row r="4037" spans="1:6" x14ac:dyDescent="0.25">
      <c r="A4037" s="62">
        <v>44326</v>
      </c>
      <c r="B4037" s="62" t="s">
        <v>3426</v>
      </c>
      <c r="C4037" s="23">
        <v>-250000</v>
      </c>
      <c r="D4037" s="24" t="s">
        <v>206</v>
      </c>
      <c r="E4037" s="24" t="s">
        <v>2123</v>
      </c>
      <c r="F4037" s="63" t="s">
        <v>0</v>
      </c>
    </row>
    <row r="4038" spans="1:6" x14ac:dyDescent="0.25">
      <c r="A4038" s="62">
        <v>44323</v>
      </c>
      <c r="B4038" s="62" t="s">
        <v>3427</v>
      </c>
      <c r="C4038" s="23">
        <v>-6499</v>
      </c>
      <c r="D4038" s="24" t="s">
        <v>52</v>
      </c>
      <c r="E4038" s="24" t="s">
        <v>53</v>
      </c>
      <c r="F4038" s="63" t="s">
        <v>0</v>
      </c>
    </row>
    <row r="4039" spans="1:6" x14ac:dyDescent="0.25">
      <c r="A4039" s="62">
        <v>44322</v>
      </c>
      <c r="B4039" s="62" t="s">
        <v>3428</v>
      </c>
      <c r="C4039" s="23">
        <v>-2822</v>
      </c>
      <c r="D4039" s="24" t="s">
        <v>49</v>
      </c>
      <c r="E4039" s="24" t="s">
        <v>56</v>
      </c>
      <c r="F4039" s="63" t="s">
        <v>0</v>
      </c>
    </row>
    <row r="4040" spans="1:6" x14ac:dyDescent="0.25">
      <c r="A4040" s="62">
        <v>44322</v>
      </c>
      <c r="B4040" s="62" t="s">
        <v>3429</v>
      </c>
      <c r="C4040" s="23">
        <v>-499</v>
      </c>
      <c r="D4040" s="24" t="s">
        <v>49</v>
      </c>
      <c r="E4040" s="24" t="s">
        <v>56</v>
      </c>
      <c r="F4040" s="63" t="s">
        <v>0</v>
      </c>
    </row>
    <row r="4041" spans="1:6" x14ac:dyDescent="0.25">
      <c r="A4041" s="62">
        <v>44321</v>
      </c>
      <c r="B4041" s="62" t="s">
        <v>2924</v>
      </c>
      <c r="C4041" s="23">
        <v>266000</v>
      </c>
      <c r="D4041" s="24" t="s">
        <v>58</v>
      </c>
      <c r="E4041" s="24" t="s">
        <v>58</v>
      </c>
      <c r="F4041" s="63" t="s">
        <v>0</v>
      </c>
    </row>
    <row r="4042" spans="1:6" x14ac:dyDescent="0.25">
      <c r="A4042" s="62">
        <v>44321</v>
      </c>
      <c r="B4042" s="62" t="s">
        <v>3430</v>
      </c>
      <c r="C4042" s="23">
        <v>-10000</v>
      </c>
      <c r="D4042" s="24" t="s">
        <v>90</v>
      </c>
      <c r="E4042" s="24" t="s">
        <v>91</v>
      </c>
      <c r="F4042" s="63" t="s">
        <v>0</v>
      </c>
    </row>
    <row r="4043" spans="1:6" x14ac:dyDescent="0.25">
      <c r="A4043" s="62">
        <v>44321</v>
      </c>
      <c r="B4043" s="62" t="s">
        <v>3431</v>
      </c>
      <c r="C4043" s="23">
        <v>-504</v>
      </c>
      <c r="D4043" s="24" t="s">
        <v>49</v>
      </c>
      <c r="E4043" s="24" t="s">
        <v>56</v>
      </c>
      <c r="F4043" s="63" t="s">
        <v>0</v>
      </c>
    </row>
    <row r="4044" spans="1:6" x14ac:dyDescent="0.25">
      <c r="A4044" s="62">
        <v>44321</v>
      </c>
      <c r="B4044" s="62" t="s">
        <v>3432</v>
      </c>
      <c r="C4044" s="23">
        <v>-1400</v>
      </c>
      <c r="D4044" s="24" t="s">
        <v>52</v>
      </c>
      <c r="E4044" s="24" t="s">
        <v>134</v>
      </c>
      <c r="F4044" s="63" t="s">
        <v>0</v>
      </c>
    </row>
    <row r="4045" spans="1:6" x14ac:dyDescent="0.25">
      <c r="A4045" s="62">
        <v>44321</v>
      </c>
      <c r="B4045" s="62" t="s">
        <v>3433</v>
      </c>
      <c r="C4045" s="23">
        <v>-30000</v>
      </c>
      <c r="D4045" s="24" t="s">
        <v>206</v>
      </c>
      <c r="E4045" s="24" t="s">
        <v>2123</v>
      </c>
      <c r="F4045" s="63" t="s">
        <v>0</v>
      </c>
    </row>
    <row r="4046" spans="1:6" x14ac:dyDescent="0.25">
      <c r="A4046" s="62">
        <v>44319</v>
      </c>
      <c r="B4046" s="62" t="s">
        <v>3434</v>
      </c>
      <c r="C4046" s="23">
        <v>692</v>
      </c>
      <c r="D4046" s="24" t="s">
        <v>167</v>
      </c>
      <c r="E4046" s="24" t="s">
        <v>168</v>
      </c>
      <c r="F4046" s="63" t="s">
        <v>0</v>
      </c>
    </row>
    <row r="4047" spans="1:6" x14ac:dyDescent="0.25">
      <c r="A4047" s="62">
        <v>44319</v>
      </c>
      <c r="B4047" s="62" t="s">
        <v>3435</v>
      </c>
      <c r="C4047" s="23">
        <v>-1199</v>
      </c>
      <c r="D4047" s="24" t="s">
        <v>167</v>
      </c>
      <c r="E4047" s="24" t="s">
        <v>168</v>
      </c>
      <c r="F4047" s="63" t="s">
        <v>0</v>
      </c>
    </row>
    <row r="4048" spans="1:6" x14ac:dyDescent="0.25">
      <c r="A4048" s="62">
        <v>44319</v>
      </c>
      <c r="B4048" s="62" t="s">
        <v>3436</v>
      </c>
      <c r="C4048" s="23">
        <v>-897</v>
      </c>
      <c r="D4048" s="24" t="s">
        <v>49</v>
      </c>
      <c r="E4048" s="24" t="s">
        <v>56</v>
      </c>
      <c r="F4048" s="63" t="s">
        <v>0</v>
      </c>
    </row>
    <row r="4049" spans="1:6" x14ac:dyDescent="0.25">
      <c r="A4049" s="62">
        <v>44319</v>
      </c>
      <c r="B4049" s="62" t="s">
        <v>3437</v>
      </c>
      <c r="C4049" s="23">
        <v>-6010</v>
      </c>
      <c r="D4049" s="24" t="s">
        <v>49</v>
      </c>
      <c r="E4049" s="24" t="s">
        <v>56</v>
      </c>
      <c r="F4049" s="63" t="s">
        <v>0</v>
      </c>
    </row>
    <row r="4050" spans="1:6" x14ac:dyDescent="0.25">
      <c r="A4050" s="62">
        <v>44319</v>
      </c>
      <c r="B4050" s="62" t="s">
        <v>3438</v>
      </c>
      <c r="C4050" s="23">
        <v>-22850</v>
      </c>
      <c r="D4050" s="24" t="s">
        <v>72</v>
      </c>
      <c r="E4050" s="24" t="s">
        <v>109</v>
      </c>
      <c r="F4050" s="63" t="s">
        <v>0</v>
      </c>
    </row>
    <row r="4051" spans="1:6" x14ac:dyDescent="0.25">
      <c r="A4051" s="62">
        <v>44316</v>
      </c>
      <c r="B4051" s="62" t="s">
        <v>3393</v>
      </c>
      <c r="C4051" s="23">
        <v>-3290</v>
      </c>
      <c r="D4051" s="24" t="s">
        <v>52</v>
      </c>
      <c r="E4051" s="24" t="s">
        <v>53</v>
      </c>
      <c r="F4051" s="63" t="s">
        <v>4</v>
      </c>
    </row>
    <row r="4052" spans="1:6" x14ac:dyDescent="0.25">
      <c r="A4052" s="62">
        <v>44315</v>
      </c>
      <c r="B4052" s="62" t="s">
        <v>3439</v>
      </c>
      <c r="C4052" s="23">
        <v>-17708</v>
      </c>
      <c r="D4052" s="24" t="s">
        <v>49</v>
      </c>
      <c r="E4052" s="24" t="s">
        <v>56</v>
      </c>
      <c r="F4052" s="63" t="s">
        <v>0</v>
      </c>
    </row>
    <row r="4053" spans="1:6" x14ac:dyDescent="0.25">
      <c r="A4053" s="62">
        <v>44314</v>
      </c>
      <c r="B4053" s="62" t="s">
        <v>3307</v>
      </c>
      <c r="C4053" s="23">
        <v>-2390</v>
      </c>
      <c r="D4053" s="24" t="s">
        <v>52</v>
      </c>
      <c r="E4053" s="24" t="s">
        <v>53</v>
      </c>
      <c r="F4053" s="63" t="s">
        <v>4</v>
      </c>
    </row>
    <row r="4054" spans="1:6" x14ac:dyDescent="0.25">
      <c r="A4054" s="62">
        <v>44314</v>
      </c>
      <c r="B4054" s="62" t="s">
        <v>3440</v>
      </c>
      <c r="C4054" s="23">
        <v>-100</v>
      </c>
      <c r="D4054" s="24" t="s">
        <v>167</v>
      </c>
      <c r="E4054" s="24" t="s">
        <v>168</v>
      </c>
      <c r="F4054" s="63" t="s">
        <v>5</v>
      </c>
    </row>
    <row r="4055" spans="1:6" x14ac:dyDescent="0.25">
      <c r="A4055" s="62">
        <v>44314</v>
      </c>
      <c r="B4055" s="62" t="s">
        <v>3441</v>
      </c>
      <c r="C4055" s="23">
        <v>-500</v>
      </c>
      <c r="D4055" s="24" t="s">
        <v>52</v>
      </c>
      <c r="E4055" s="24" t="s">
        <v>53</v>
      </c>
      <c r="F4055" s="63" t="s">
        <v>0</v>
      </c>
    </row>
    <row r="4056" spans="1:6" x14ac:dyDescent="0.25">
      <c r="A4056" s="62">
        <v>44314</v>
      </c>
      <c r="B4056" s="62" t="s">
        <v>3312</v>
      </c>
      <c r="C4056" s="23">
        <v>-3990</v>
      </c>
      <c r="D4056" s="24" t="s">
        <v>46</v>
      </c>
      <c r="E4056" s="24" t="s">
        <v>63</v>
      </c>
      <c r="F4056" s="63" t="s">
        <v>0</v>
      </c>
    </row>
    <row r="4057" spans="1:6" x14ac:dyDescent="0.25">
      <c r="A4057" s="62">
        <v>44314</v>
      </c>
      <c r="B4057" s="62" t="s">
        <v>3401</v>
      </c>
      <c r="C4057" s="23">
        <v>-650</v>
      </c>
      <c r="D4057" s="24" t="s">
        <v>52</v>
      </c>
      <c r="E4057" s="24" t="s">
        <v>134</v>
      </c>
      <c r="F4057" s="63" t="s">
        <v>0</v>
      </c>
    </row>
    <row r="4058" spans="1:6" x14ac:dyDescent="0.25">
      <c r="A4058" s="62">
        <v>44314</v>
      </c>
      <c r="B4058" s="62" t="s">
        <v>3442</v>
      </c>
      <c r="C4058" s="23">
        <v>-3990</v>
      </c>
      <c r="D4058" s="24" t="s">
        <v>46</v>
      </c>
      <c r="E4058" s="24" t="s">
        <v>63</v>
      </c>
      <c r="F4058" s="63" t="s">
        <v>0</v>
      </c>
    </row>
    <row r="4059" spans="1:6" x14ac:dyDescent="0.25">
      <c r="A4059" s="62">
        <v>44314</v>
      </c>
      <c r="B4059" s="62" t="s">
        <v>3443</v>
      </c>
      <c r="C4059" s="23">
        <v>-35048</v>
      </c>
      <c r="D4059" s="24" t="s">
        <v>46</v>
      </c>
      <c r="E4059" s="24" t="s">
        <v>3256</v>
      </c>
      <c r="F4059" s="63" t="s">
        <v>0</v>
      </c>
    </row>
    <row r="4060" spans="1:6" x14ac:dyDescent="0.25">
      <c r="A4060" s="62">
        <v>44312</v>
      </c>
      <c r="B4060" s="62" t="s">
        <v>3444</v>
      </c>
      <c r="C4060" s="23">
        <v>-920</v>
      </c>
      <c r="D4060" s="24" t="s">
        <v>52</v>
      </c>
      <c r="E4060" s="24" t="s">
        <v>53</v>
      </c>
      <c r="F4060" s="63" t="s">
        <v>0</v>
      </c>
    </row>
    <row r="4061" spans="1:6" x14ac:dyDescent="0.25">
      <c r="A4061" s="62">
        <v>44312</v>
      </c>
      <c r="B4061" s="62" t="s">
        <v>3445</v>
      </c>
      <c r="C4061" s="23">
        <v>-2140</v>
      </c>
      <c r="D4061" s="24" t="s">
        <v>52</v>
      </c>
      <c r="E4061" s="24" t="s">
        <v>134</v>
      </c>
      <c r="F4061" s="63" t="s">
        <v>0</v>
      </c>
    </row>
    <row r="4062" spans="1:6" x14ac:dyDescent="0.25">
      <c r="A4062" s="62">
        <v>44312</v>
      </c>
      <c r="B4062" s="62" t="s">
        <v>3446</v>
      </c>
      <c r="C4062" s="23">
        <v>-8850</v>
      </c>
      <c r="D4062" s="24" t="s">
        <v>49</v>
      </c>
      <c r="E4062" s="24" t="s">
        <v>67</v>
      </c>
      <c r="F4062" s="63" t="s">
        <v>0</v>
      </c>
    </row>
    <row r="4063" spans="1:6" x14ac:dyDescent="0.25">
      <c r="A4063" s="62">
        <v>44309</v>
      </c>
      <c r="B4063" s="62" t="s">
        <v>3447</v>
      </c>
      <c r="C4063" s="23">
        <v>-899</v>
      </c>
      <c r="D4063" s="24" t="s">
        <v>167</v>
      </c>
      <c r="E4063" s="24" t="s">
        <v>168</v>
      </c>
      <c r="F4063" s="63" t="s">
        <v>0</v>
      </c>
    </row>
    <row r="4064" spans="1:6" x14ac:dyDescent="0.25">
      <c r="A4064" s="62">
        <v>44307</v>
      </c>
      <c r="B4064" s="62" t="s">
        <v>139</v>
      </c>
      <c r="C4064" s="23">
        <v>19275</v>
      </c>
      <c r="D4064" s="24" t="s">
        <v>58</v>
      </c>
      <c r="E4064" s="24" t="s">
        <v>58</v>
      </c>
      <c r="F4064" s="63" t="s">
        <v>4</v>
      </c>
    </row>
    <row r="4065" spans="1:6" x14ac:dyDescent="0.25">
      <c r="A4065" s="62">
        <v>44307</v>
      </c>
      <c r="B4065" s="62" t="s">
        <v>139</v>
      </c>
      <c r="C4065" s="23">
        <v>14274</v>
      </c>
      <c r="D4065" s="24" t="s">
        <v>58</v>
      </c>
      <c r="E4065" s="24" t="s">
        <v>58</v>
      </c>
      <c r="F4065" s="63" t="s">
        <v>4</v>
      </c>
    </row>
    <row r="4066" spans="1:6" x14ac:dyDescent="0.25">
      <c r="A4066" s="62">
        <v>44307</v>
      </c>
      <c r="B4066" s="62" t="s">
        <v>3448</v>
      </c>
      <c r="C4066" s="23">
        <v>-16719</v>
      </c>
      <c r="D4066" s="24" t="s">
        <v>49</v>
      </c>
      <c r="E4066" s="24" t="s">
        <v>56</v>
      </c>
      <c r="F4066" s="63" t="s">
        <v>0</v>
      </c>
    </row>
    <row r="4067" spans="1:6" x14ac:dyDescent="0.25">
      <c r="A4067" s="62">
        <v>44305</v>
      </c>
      <c r="B4067" s="62" t="s">
        <v>3449</v>
      </c>
      <c r="C4067" s="23">
        <v>-2900</v>
      </c>
      <c r="D4067" s="24" t="s">
        <v>52</v>
      </c>
      <c r="E4067" s="24" t="s">
        <v>134</v>
      </c>
      <c r="F4067" s="63" t="s">
        <v>0</v>
      </c>
    </row>
    <row r="4068" spans="1:6" x14ac:dyDescent="0.25">
      <c r="A4068" s="62">
        <v>44305</v>
      </c>
      <c r="B4068" s="62" t="s">
        <v>3450</v>
      </c>
      <c r="C4068" s="23">
        <v>-33540</v>
      </c>
      <c r="D4068" s="24" t="s">
        <v>49</v>
      </c>
      <c r="E4068" s="24" t="s">
        <v>67</v>
      </c>
      <c r="F4068" s="63" t="s">
        <v>0</v>
      </c>
    </row>
    <row r="4069" spans="1:6" x14ac:dyDescent="0.25">
      <c r="A4069" s="62">
        <v>44305</v>
      </c>
      <c r="B4069" s="62" t="s">
        <v>3451</v>
      </c>
      <c r="C4069" s="23">
        <v>-2223</v>
      </c>
      <c r="D4069" s="24" t="s">
        <v>49</v>
      </c>
      <c r="E4069" s="24" t="s">
        <v>56</v>
      </c>
      <c r="F4069" s="63" t="s">
        <v>0</v>
      </c>
    </row>
    <row r="4070" spans="1:6" x14ac:dyDescent="0.25">
      <c r="A4070" s="62">
        <v>44305</v>
      </c>
      <c r="B4070" s="62" t="s">
        <v>3452</v>
      </c>
      <c r="C4070" s="23">
        <v>-20125</v>
      </c>
      <c r="D4070" s="24" t="s">
        <v>72</v>
      </c>
      <c r="E4070" s="24" t="s">
        <v>109</v>
      </c>
      <c r="F4070" s="63" t="s">
        <v>0</v>
      </c>
    </row>
    <row r="4071" spans="1:6" x14ac:dyDescent="0.25">
      <c r="A4071" s="62">
        <v>44301</v>
      </c>
      <c r="B4071" s="62" t="s">
        <v>2902</v>
      </c>
      <c r="C4071" s="23">
        <v>-1450</v>
      </c>
      <c r="D4071" s="24" t="s">
        <v>52</v>
      </c>
      <c r="E4071" s="24" t="s">
        <v>53</v>
      </c>
      <c r="F4071" s="63" t="s">
        <v>0</v>
      </c>
    </row>
    <row r="4072" spans="1:6" x14ac:dyDescent="0.25">
      <c r="A4072" s="62">
        <v>44299</v>
      </c>
      <c r="B4072" s="62" t="s">
        <v>3453</v>
      </c>
      <c r="C4072" s="23">
        <v>-2596</v>
      </c>
      <c r="D4072" s="24" t="s">
        <v>49</v>
      </c>
      <c r="E4072" s="24" t="s">
        <v>56</v>
      </c>
      <c r="F4072" s="63" t="s">
        <v>0</v>
      </c>
    </row>
    <row r="4073" spans="1:6" x14ac:dyDescent="0.25">
      <c r="A4073" s="62">
        <v>44299</v>
      </c>
      <c r="B4073" s="62" t="s">
        <v>3454</v>
      </c>
      <c r="C4073" s="23">
        <v>-4785</v>
      </c>
      <c r="D4073" s="24" t="s">
        <v>49</v>
      </c>
      <c r="E4073" s="24" t="s">
        <v>56</v>
      </c>
      <c r="F4073" s="63" t="s">
        <v>0</v>
      </c>
    </row>
    <row r="4074" spans="1:6" x14ac:dyDescent="0.25">
      <c r="A4074" s="62">
        <v>44299</v>
      </c>
      <c r="B4074" s="62" t="s">
        <v>3455</v>
      </c>
      <c r="C4074" s="23">
        <v>-2654</v>
      </c>
      <c r="D4074" s="24" t="s">
        <v>49</v>
      </c>
      <c r="E4074" s="24" t="s">
        <v>56</v>
      </c>
      <c r="F4074" s="63" t="s">
        <v>0</v>
      </c>
    </row>
    <row r="4075" spans="1:6" x14ac:dyDescent="0.25">
      <c r="A4075" s="62">
        <v>44298</v>
      </c>
      <c r="B4075" s="62" t="s">
        <v>3456</v>
      </c>
      <c r="C4075" s="23">
        <v>-1723</v>
      </c>
      <c r="D4075" s="24" t="s">
        <v>52</v>
      </c>
      <c r="E4075" s="24" t="s">
        <v>134</v>
      </c>
      <c r="F4075" s="63" t="s">
        <v>0</v>
      </c>
    </row>
    <row r="4076" spans="1:6" x14ac:dyDescent="0.25">
      <c r="A4076" s="62">
        <v>44298</v>
      </c>
      <c r="B4076" s="62" t="s">
        <v>3457</v>
      </c>
      <c r="C4076" s="23">
        <v>-2067</v>
      </c>
      <c r="D4076" s="24" t="s">
        <v>49</v>
      </c>
      <c r="E4076" s="24" t="s">
        <v>56</v>
      </c>
      <c r="F4076" s="63" t="s">
        <v>0</v>
      </c>
    </row>
    <row r="4077" spans="1:6" x14ac:dyDescent="0.25">
      <c r="A4077" s="62">
        <v>44298</v>
      </c>
      <c r="B4077" s="62" t="s">
        <v>3458</v>
      </c>
      <c r="C4077" s="23">
        <v>-25888</v>
      </c>
      <c r="D4077" s="24" t="s">
        <v>49</v>
      </c>
      <c r="E4077" s="24" t="s">
        <v>67</v>
      </c>
      <c r="F4077" s="63" t="s">
        <v>0</v>
      </c>
    </row>
    <row r="4078" spans="1:6" x14ac:dyDescent="0.25">
      <c r="A4078" s="62">
        <v>44298</v>
      </c>
      <c r="B4078" s="62" t="s">
        <v>3459</v>
      </c>
      <c r="C4078" s="23">
        <v>-10000</v>
      </c>
      <c r="D4078" s="24" t="s">
        <v>206</v>
      </c>
      <c r="E4078" s="24" t="s">
        <v>2123</v>
      </c>
      <c r="F4078" s="63" t="s">
        <v>0</v>
      </c>
    </row>
    <row r="4079" spans="1:6" x14ac:dyDescent="0.25">
      <c r="A4079" s="62">
        <v>44298</v>
      </c>
      <c r="B4079" s="62" t="s">
        <v>3460</v>
      </c>
      <c r="C4079" s="23">
        <v>-27800</v>
      </c>
      <c r="D4079" s="24" t="s">
        <v>46</v>
      </c>
      <c r="E4079" s="24" t="s">
        <v>80</v>
      </c>
      <c r="F4079" s="63" t="s">
        <v>0</v>
      </c>
    </row>
    <row r="4080" spans="1:6" x14ac:dyDescent="0.25">
      <c r="A4080" s="62">
        <v>44296</v>
      </c>
      <c r="B4080" s="62" t="s">
        <v>3461</v>
      </c>
      <c r="C4080" s="23">
        <v>-110000</v>
      </c>
      <c r="D4080" s="24" t="s">
        <v>46</v>
      </c>
      <c r="E4080" s="24" t="s">
        <v>3410</v>
      </c>
      <c r="F4080" s="63" t="s">
        <v>7</v>
      </c>
    </row>
    <row r="4081" spans="1:6" x14ac:dyDescent="0.25">
      <c r="A4081" s="62">
        <v>44295</v>
      </c>
      <c r="B4081" s="62" t="s">
        <v>1651</v>
      </c>
      <c r="C4081" s="23">
        <v>668960</v>
      </c>
      <c r="D4081" s="24" t="s">
        <v>58</v>
      </c>
      <c r="E4081" s="24" t="s">
        <v>58</v>
      </c>
      <c r="F4081" s="63" t="s">
        <v>0</v>
      </c>
    </row>
    <row r="4082" spans="1:6" x14ac:dyDescent="0.25">
      <c r="A4082" s="62">
        <v>44293</v>
      </c>
      <c r="B4082" s="62" t="s">
        <v>3462</v>
      </c>
      <c r="C4082" s="23">
        <v>-36500</v>
      </c>
      <c r="D4082" s="24" t="s">
        <v>46</v>
      </c>
      <c r="E4082" s="24" t="s">
        <v>3095</v>
      </c>
      <c r="F4082" s="63" t="s">
        <v>0</v>
      </c>
    </row>
    <row r="4083" spans="1:6" x14ac:dyDescent="0.25">
      <c r="A4083" s="62">
        <v>44292</v>
      </c>
      <c r="B4083" s="62" t="s">
        <v>3463</v>
      </c>
      <c r="C4083" s="23">
        <v>-2499</v>
      </c>
      <c r="D4083" s="24" t="s">
        <v>72</v>
      </c>
      <c r="E4083" s="24" t="s">
        <v>445</v>
      </c>
      <c r="F4083" s="63" t="s">
        <v>0</v>
      </c>
    </row>
    <row r="4084" spans="1:6" x14ac:dyDescent="0.25">
      <c r="A4084" s="62">
        <v>44292</v>
      </c>
      <c r="B4084" s="62" t="s">
        <v>3464</v>
      </c>
      <c r="C4084" s="23">
        <v>-18852</v>
      </c>
      <c r="D4084" s="24" t="s">
        <v>72</v>
      </c>
      <c r="E4084" s="24" t="s">
        <v>109</v>
      </c>
      <c r="F4084" s="63" t="s">
        <v>0</v>
      </c>
    </row>
    <row r="4085" spans="1:6" x14ac:dyDescent="0.25">
      <c r="A4085" s="62">
        <v>44292</v>
      </c>
      <c r="B4085" s="62" t="s">
        <v>3465</v>
      </c>
      <c r="C4085" s="23">
        <v>-549</v>
      </c>
      <c r="D4085" s="24" t="s">
        <v>46</v>
      </c>
      <c r="E4085" s="24" t="s">
        <v>47</v>
      </c>
      <c r="F4085" s="63" t="s">
        <v>0</v>
      </c>
    </row>
    <row r="4086" spans="1:6" x14ac:dyDescent="0.25">
      <c r="A4086" s="62">
        <v>44292</v>
      </c>
      <c r="B4086" s="62" t="s">
        <v>3466</v>
      </c>
      <c r="C4086" s="23">
        <v>-5899</v>
      </c>
      <c r="D4086" s="24" t="s">
        <v>49</v>
      </c>
      <c r="E4086" s="24" t="s">
        <v>56</v>
      </c>
      <c r="F4086" s="63" t="s">
        <v>0</v>
      </c>
    </row>
    <row r="4087" spans="1:6" x14ac:dyDescent="0.25">
      <c r="A4087" s="62">
        <v>44292</v>
      </c>
      <c r="B4087" s="62" t="s">
        <v>3467</v>
      </c>
      <c r="C4087" s="23">
        <v>-998</v>
      </c>
      <c r="D4087" s="24" t="s">
        <v>49</v>
      </c>
      <c r="E4087" s="24" t="s">
        <v>56</v>
      </c>
      <c r="F4087" s="63" t="s">
        <v>0</v>
      </c>
    </row>
    <row r="4088" spans="1:6" x14ac:dyDescent="0.25">
      <c r="A4088" s="62">
        <v>44292</v>
      </c>
      <c r="B4088" s="62" t="s">
        <v>3468</v>
      </c>
      <c r="C4088" s="23">
        <v>-4829</v>
      </c>
      <c r="D4088" s="24" t="s">
        <v>49</v>
      </c>
      <c r="E4088" s="24" t="s">
        <v>56</v>
      </c>
      <c r="F4088" s="63" t="s">
        <v>0</v>
      </c>
    </row>
    <row r="4089" spans="1:6" x14ac:dyDescent="0.25">
      <c r="A4089" s="62">
        <v>44292</v>
      </c>
      <c r="B4089" s="62" t="s">
        <v>3469</v>
      </c>
      <c r="C4089" s="23">
        <v>344250</v>
      </c>
      <c r="D4089" s="24" t="s">
        <v>58</v>
      </c>
      <c r="E4089" s="24" t="s">
        <v>58</v>
      </c>
      <c r="F4089" s="63" t="s">
        <v>0</v>
      </c>
    </row>
    <row r="4090" spans="1:6" x14ac:dyDescent="0.25">
      <c r="A4090" s="62">
        <v>44286</v>
      </c>
      <c r="B4090" s="62" t="s">
        <v>3470</v>
      </c>
      <c r="C4090" s="23">
        <v>2479</v>
      </c>
      <c r="D4090" s="24" t="s">
        <v>167</v>
      </c>
      <c r="E4090" s="24" t="s">
        <v>32</v>
      </c>
      <c r="F4090" s="63" t="s">
        <v>5</v>
      </c>
    </row>
    <row r="4091" spans="1:6" x14ac:dyDescent="0.25">
      <c r="A4091" s="62">
        <v>44286</v>
      </c>
      <c r="B4091" s="62" t="s">
        <v>3471</v>
      </c>
      <c r="C4091" s="23">
        <v>-4829</v>
      </c>
      <c r="D4091" s="24" t="s">
        <v>49</v>
      </c>
      <c r="E4091" s="24" t="s">
        <v>56</v>
      </c>
      <c r="F4091" s="63" t="s">
        <v>0</v>
      </c>
    </row>
    <row r="4092" spans="1:6" x14ac:dyDescent="0.25">
      <c r="A4092" s="62">
        <v>44286</v>
      </c>
      <c r="B4092" s="62" t="s">
        <v>309</v>
      </c>
      <c r="C4092" s="23">
        <v>-9.08</v>
      </c>
      <c r="D4092" s="24" t="s">
        <v>167</v>
      </c>
      <c r="E4092" s="24" t="s">
        <v>32</v>
      </c>
      <c r="F4092" s="63" t="s">
        <v>0</v>
      </c>
    </row>
    <row r="4093" spans="1:6" x14ac:dyDescent="0.25">
      <c r="A4093" s="62">
        <v>44286</v>
      </c>
      <c r="B4093" s="62" t="s">
        <v>32</v>
      </c>
      <c r="C4093" s="23">
        <v>60.55</v>
      </c>
      <c r="D4093" s="24" t="s">
        <v>167</v>
      </c>
      <c r="E4093" s="24" t="s">
        <v>32</v>
      </c>
      <c r="F4093" s="63" t="s">
        <v>0</v>
      </c>
    </row>
    <row r="4094" spans="1:6" x14ac:dyDescent="0.25">
      <c r="A4094" s="62">
        <v>44285</v>
      </c>
      <c r="B4094" s="62" t="s">
        <v>3307</v>
      </c>
      <c r="C4094" s="23">
        <v>-4880</v>
      </c>
      <c r="D4094" s="24" t="s">
        <v>52</v>
      </c>
      <c r="E4094" s="24" t="s">
        <v>53</v>
      </c>
      <c r="F4094" s="63" t="s">
        <v>4</v>
      </c>
    </row>
    <row r="4095" spans="1:6" x14ac:dyDescent="0.25">
      <c r="A4095" s="62">
        <v>44285</v>
      </c>
      <c r="B4095" s="62" t="s">
        <v>3472</v>
      </c>
      <c r="C4095" s="23">
        <v>-1699</v>
      </c>
      <c r="D4095" s="24" t="s">
        <v>46</v>
      </c>
      <c r="E4095" s="24" t="s">
        <v>47</v>
      </c>
      <c r="F4095" s="63" t="s">
        <v>0</v>
      </c>
    </row>
    <row r="4096" spans="1:6" x14ac:dyDescent="0.25">
      <c r="A4096" s="62">
        <v>44284</v>
      </c>
      <c r="B4096" s="62" t="s">
        <v>3473</v>
      </c>
      <c r="C4096" s="23">
        <v>-3990</v>
      </c>
      <c r="D4096" s="24" t="s">
        <v>46</v>
      </c>
      <c r="E4096" s="24" t="s">
        <v>63</v>
      </c>
      <c r="F4096" s="63" t="s">
        <v>0</v>
      </c>
    </row>
    <row r="4097" spans="1:6" x14ac:dyDescent="0.25">
      <c r="A4097" s="62">
        <v>44284</v>
      </c>
      <c r="B4097" s="62" t="s">
        <v>3474</v>
      </c>
      <c r="C4097" s="23">
        <v>-8650</v>
      </c>
      <c r="D4097" s="24" t="s">
        <v>52</v>
      </c>
      <c r="E4097" s="24" t="s">
        <v>134</v>
      </c>
      <c r="F4097" s="63" t="s">
        <v>0</v>
      </c>
    </row>
    <row r="4098" spans="1:6" x14ac:dyDescent="0.25">
      <c r="A4098" s="62">
        <v>44284</v>
      </c>
      <c r="B4098" s="62" t="s">
        <v>3475</v>
      </c>
      <c r="C4098" s="23">
        <v>-2303</v>
      </c>
      <c r="D4098" s="24" t="s">
        <v>49</v>
      </c>
      <c r="E4098" s="24" t="s">
        <v>56</v>
      </c>
      <c r="F4098" s="63" t="s">
        <v>0</v>
      </c>
    </row>
    <row r="4099" spans="1:6" x14ac:dyDescent="0.25">
      <c r="A4099" s="62">
        <v>44281</v>
      </c>
      <c r="B4099" s="62" t="s">
        <v>3476</v>
      </c>
      <c r="C4099" s="23">
        <v>-100</v>
      </c>
      <c r="D4099" s="24" t="s">
        <v>167</v>
      </c>
      <c r="E4099" s="24" t="s">
        <v>168</v>
      </c>
      <c r="F4099" s="63" t="s">
        <v>5</v>
      </c>
    </row>
    <row r="4100" spans="1:6" x14ac:dyDescent="0.25">
      <c r="A4100" s="62">
        <v>44280</v>
      </c>
      <c r="B4100" s="62" t="s">
        <v>3477</v>
      </c>
      <c r="C4100" s="23">
        <v>-25996</v>
      </c>
      <c r="D4100" s="24" t="s">
        <v>72</v>
      </c>
      <c r="E4100" s="24" t="s">
        <v>109</v>
      </c>
      <c r="F4100" s="63" t="s">
        <v>0</v>
      </c>
    </row>
    <row r="4101" spans="1:6" x14ac:dyDescent="0.25">
      <c r="A4101" s="62">
        <v>44279</v>
      </c>
      <c r="B4101" s="62" t="s">
        <v>3478</v>
      </c>
      <c r="C4101" s="23">
        <v>-9950</v>
      </c>
      <c r="D4101" s="24" t="s">
        <v>49</v>
      </c>
      <c r="E4101" s="24" t="s">
        <v>56</v>
      </c>
      <c r="F4101" s="63" t="s">
        <v>0</v>
      </c>
    </row>
    <row r="4102" spans="1:6" x14ac:dyDescent="0.25">
      <c r="A4102" s="62">
        <v>44279</v>
      </c>
      <c r="B4102" s="62" t="s">
        <v>3479</v>
      </c>
      <c r="C4102" s="23">
        <v>-3583</v>
      </c>
      <c r="D4102" s="24" t="s">
        <v>49</v>
      </c>
      <c r="E4102" s="24" t="s">
        <v>56</v>
      </c>
      <c r="F4102" s="63" t="s">
        <v>0</v>
      </c>
    </row>
    <row r="4103" spans="1:6" x14ac:dyDescent="0.25">
      <c r="A4103" s="62">
        <v>44278</v>
      </c>
      <c r="B4103" s="62" t="s">
        <v>3480</v>
      </c>
      <c r="C4103" s="23">
        <v>-318</v>
      </c>
      <c r="D4103" s="24" t="s">
        <v>49</v>
      </c>
      <c r="E4103" s="24" t="s">
        <v>56</v>
      </c>
      <c r="F4103" s="63" t="s">
        <v>0</v>
      </c>
    </row>
    <row r="4104" spans="1:6" x14ac:dyDescent="0.25">
      <c r="A4104" s="62">
        <v>44278</v>
      </c>
      <c r="B4104" s="62" t="s">
        <v>3481</v>
      </c>
      <c r="C4104" s="23">
        <v>-2954</v>
      </c>
      <c r="D4104" s="24" t="s">
        <v>49</v>
      </c>
      <c r="E4104" s="24" t="s">
        <v>56</v>
      </c>
      <c r="F4104" s="63" t="s">
        <v>0</v>
      </c>
    </row>
    <row r="4105" spans="1:6" x14ac:dyDescent="0.25">
      <c r="A4105" s="62">
        <v>44278</v>
      </c>
      <c r="B4105" s="62" t="s">
        <v>3443</v>
      </c>
      <c r="C4105" s="23">
        <v>-27717</v>
      </c>
      <c r="D4105" s="24" t="s">
        <v>46</v>
      </c>
      <c r="E4105" s="24" t="s">
        <v>3256</v>
      </c>
      <c r="F4105" s="63" t="s">
        <v>0</v>
      </c>
    </row>
    <row r="4106" spans="1:6" x14ac:dyDescent="0.25">
      <c r="A4106" s="62">
        <v>44277</v>
      </c>
      <c r="B4106" s="62" t="s">
        <v>139</v>
      </c>
      <c r="C4106" s="23">
        <v>19275</v>
      </c>
      <c r="D4106" s="24" t="s">
        <v>58</v>
      </c>
      <c r="E4106" s="24" t="s">
        <v>58</v>
      </c>
      <c r="F4106" s="63" t="s">
        <v>4</v>
      </c>
    </row>
    <row r="4107" spans="1:6" x14ac:dyDescent="0.25">
      <c r="A4107" s="62">
        <v>44274</v>
      </c>
      <c r="B4107" s="62" t="s">
        <v>3482</v>
      </c>
      <c r="C4107" s="23">
        <v>-200000</v>
      </c>
      <c r="D4107" s="24" t="s">
        <v>46</v>
      </c>
      <c r="E4107" s="24" t="s">
        <v>3095</v>
      </c>
      <c r="F4107" s="63" t="s">
        <v>0</v>
      </c>
    </row>
    <row r="4108" spans="1:6" x14ac:dyDescent="0.25">
      <c r="A4108" s="62">
        <v>44274</v>
      </c>
      <c r="B4108" s="62" t="s">
        <v>3483</v>
      </c>
      <c r="C4108" s="23">
        <v>-6600</v>
      </c>
      <c r="D4108" s="24" t="s">
        <v>46</v>
      </c>
      <c r="E4108" s="24" t="s">
        <v>3095</v>
      </c>
      <c r="F4108" s="63" t="s">
        <v>0</v>
      </c>
    </row>
    <row r="4109" spans="1:6" x14ac:dyDescent="0.25">
      <c r="A4109" s="62">
        <v>44273</v>
      </c>
      <c r="B4109" s="62" t="s">
        <v>3484</v>
      </c>
      <c r="C4109" s="23">
        <v>-3860</v>
      </c>
      <c r="D4109" s="24" t="s">
        <v>46</v>
      </c>
      <c r="E4109" s="24" t="s">
        <v>63</v>
      </c>
      <c r="F4109" s="63" t="s">
        <v>0</v>
      </c>
    </row>
    <row r="4110" spans="1:6" x14ac:dyDescent="0.25">
      <c r="A4110" s="62">
        <v>44273</v>
      </c>
      <c r="B4110" s="62" t="s">
        <v>3485</v>
      </c>
      <c r="C4110" s="23">
        <v>-8000000</v>
      </c>
      <c r="D4110" s="24" t="s">
        <v>46</v>
      </c>
      <c r="E4110" s="24" t="s">
        <v>3095</v>
      </c>
      <c r="F4110" s="63" t="s">
        <v>0</v>
      </c>
    </row>
    <row r="4111" spans="1:6" x14ac:dyDescent="0.25">
      <c r="A4111" s="62">
        <v>44271</v>
      </c>
      <c r="B4111" s="62" t="s">
        <v>3486</v>
      </c>
      <c r="C4111" s="23">
        <v>-2245</v>
      </c>
      <c r="D4111" s="24" t="s">
        <v>49</v>
      </c>
      <c r="E4111" s="24" t="s">
        <v>56</v>
      </c>
      <c r="F4111" s="63" t="s">
        <v>0</v>
      </c>
    </row>
    <row r="4112" spans="1:6" x14ac:dyDescent="0.25">
      <c r="A4112" s="62">
        <v>44271</v>
      </c>
      <c r="B4112" s="62" t="s">
        <v>3487</v>
      </c>
      <c r="C4112" s="23">
        <v>-1800</v>
      </c>
      <c r="D4112" s="24" t="s">
        <v>49</v>
      </c>
      <c r="E4112" s="24" t="s">
        <v>67</v>
      </c>
      <c r="F4112" s="63" t="s">
        <v>0</v>
      </c>
    </row>
    <row r="4113" spans="1:6" x14ac:dyDescent="0.25">
      <c r="A4113" s="62">
        <v>44271</v>
      </c>
      <c r="B4113" s="62" t="s">
        <v>3488</v>
      </c>
      <c r="C4113" s="23">
        <v>-1217</v>
      </c>
      <c r="D4113" s="24" t="s">
        <v>49</v>
      </c>
      <c r="E4113" s="24" t="s">
        <v>56</v>
      </c>
      <c r="F4113" s="63" t="s">
        <v>0</v>
      </c>
    </row>
    <row r="4114" spans="1:6" x14ac:dyDescent="0.25">
      <c r="A4114" s="62">
        <v>44271</v>
      </c>
      <c r="B4114" s="62" t="s">
        <v>3489</v>
      </c>
      <c r="C4114" s="23">
        <v>-13088</v>
      </c>
      <c r="D4114" s="24" t="s">
        <v>49</v>
      </c>
      <c r="E4114" s="24" t="s">
        <v>56</v>
      </c>
      <c r="F4114" s="63" t="s">
        <v>0</v>
      </c>
    </row>
    <row r="4115" spans="1:6" x14ac:dyDescent="0.25">
      <c r="A4115" s="62">
        <v>44271</v>
      </c>
      <c r="B4115" s="62" t="s">
        <v>3490</v>
      </c>
      <c r="C4115" s="23">
        <v>-1113772</v>
      </c>
      <c r="D4115" s="24" t="s">
        <v>167</v>
      </c>
      <c r="E4115" s="24" t="s">
        <v>2200</v>
      </c>
      <c r="F4115" s="63" t="s">
        <v>2</v>
      </c>
    </row>
    <row r="4116" spans="1:6" x14ac:dyDescent="0.25">
      <c r="A4116" s="62">
        <v>44271</v>
      </c>
      <c r="B4116" s="62" t="s">
        <v>3490</v>
      </c>
      <c r="C4116" s="23">
        <v>1113772</v>
      </c>
      <c r="D4116" s="24" t="s">
        <v>167</v>
      </c>
      <c r="E4116" s="24" t="s">
        <v>2200</v>
      </c>
      <c r="F4116" s="63" t="s">
        <v>0</v>
      </c>
    </row>
    <row r="4117" spans="1:6" x14ac:dyDescent="0.25">
      <c r="A4117" s="62">
        <v>44268</v>
      </c>
      <c r="B4117" s="62" t="s">
        <v>3307</v>
      </c>
      <c r="C4117" s="23">
        <v>-2590</v>
      </c>
      <c r="D4117" s="24" t="s">
        <v>52</v>
      </c>
      <c r="E4117" s="24" t="s">
        <v>53</v>
      </c>
      <c r="F4117" s="63" t="s">
        <v>4</v>
      </c>
    </row>
    <row r="4118" spans="1:6" x14ac:dyDescent="0.25">
      <c r="A4118" s="62">
        <v>44266</v>
      </c>
      <c r="B4118" s="62" t="s">
        <v>3491</v>
      </c>
      <c r="C4118" s="23">
        <v>-6228</v>
      </c>
      <c r="D4118" s="24" t="s">
        <v>49</v>
      </c>
      <c r="E4118" s="24" t="s">
        <v>56</v>
      </c>
      <c r="F4118" s="63" t="s">
        <v>0</v>
      </c>
    </row>
    <row r="4119" spans="1:6" x14ac:dyDescent="0.25">
      <c r="A4119" s="62">
        <v>44266</v>
      </c>
      <c r="B4119" s="62" t="s">
        <v>3492</v>
      </c>
      <c r="C4119" s="23">
        <v>-8370</v>
      </c>
      <c r="D4119" s="24" t="s">
        <v>49</v>
      </c>
      <c r="E4119" s="24" t="s">
        <v>56</v>
      </c>
      <c r="F4119" s="63" t="s">
        <v>0</v>
      </c>
    </row>
    <row r="4120" spans="1:6" x14ac:dyDescent="0.25">
      <c r="A4120" s="62">
        <v>44265</v>
      </c>
      <c r="B4120" s="62" t="s">
        <v>3461</v>
      </c>
      <c r="C4120" s="23">
        <v>-110000</v>
      </c>
      <c r="D4120" s="24" t="s">
        <v>46</v>
      </c>
      <c r="E4120" s="24" t="s">
        <v>3410</v>
      </c>
      <c r="F4120" s="63" t="s">
        <v>7</v>
      </c>
    </row>
    <row r="4121" spans="1:6" x14ac:dyDescent="0.25">
      <c r="A4121" s="62">
        <v>44265</v>
      </c>
      <c r="B4121" s="62" t="s">
        <v>1651</v>
      </c>
      <c r="C4121" s="23">
        <v>668960</v>
      </c>
      <c r="D4121" s="24" t="s">
        <v>58</v>
      </c>
      <c r="E4121" s="24" t="s">
        <v>58</v>
      </c>
      <c r="F4121" s="63" t="s">
        <v>0</v>
      </c>
    </row>
    <row r="4122" spans="1:6" x14ac:dyDescent="0.25">
      <c r="A4122" s="62">
        <v>44264</v>
      </c>
      <c r="B4122" s="62" t="s">
        <v>3493</v>
      </c>
      <c r="C4122" s="23">
        <v>-4000</v>
      </c>
      <c r="D4122" s="24" t="s">
        <v>52</v>
      </c>
      <c r="E4122" s="24" t="s">
        <v>53</v>
      </c>
      <c r="F4122" s="63" t="s">
        <v>4</v>
      </c>
    </row>
    <row r="4123" spans="1:6" x14ac:dyDescent="0.25">
      <c r="A4123" s="62">
        <v>44264</v>
      </c>
      <c r="B4123" s="62" t="s">
        <v>3494</v>
      </c>
      <c r="C4123" s="23">
        <v>-6030</v>
      </c>
      <c r="D4123" s="24" t="s">
        <v>52</v>
      </c>
      <c r="E4123" s="24" t="s">
        <v>53</v>
      </c>
      <c r="F4123" s="63" t="s">
        <v>0</v>
      </c>
    </row>
    <row r="4124" spans="1:6" x14ac:dyDescent="0.25">
      <c r="A4124" s="62">
        <v>44264</v>
      </c>
      <c r="B4124" s="62" t="s">
        <v>3032</v>
      </c>
      <c r="C4124" s="23">
        <v>-500500</v>
      </c>
      <c r="D4124" s="24" t="s">
        <v>167</v>
      </c>
      <c r="E4124" s="24" t="s">
        <v>183</v>
      </c>
      <c r="F4124" s="63" t="s">
        <v>3</v>
      </c>
    </row>
    <row r="4125" spans="1:6" x14ac:dyDescent="0.25">
      <c r="A4125" s="62">
        <v>44264</v>
      </c>
      <c r="B4125" s="62" t="s">
        <v>3032</v>
      </c>
      <c r="C4125" s="23">
        <v>-701610</v>
      </c>
      <c r="D4125" s="24" t="s">
        <v>167</v>
      </c>
      <c r="E4125" s="24" t="s">
        <v>183</v>
      </c>
      <c r="F4125" s="63" t="s">
        <v>3</v>
      </c>
    </row>
    <row r="4126" spans="1:6" x14ac:dyDescent="0.25">
      <c r="A4126" s="62">
        <v>44264</v>
      </c>
      <c r="B4126" s="62" t="s">
        <v>3032</v>
      </c>
      <c r="C4126" s="23">
        <v>-2534500</v>
      </c>
      <c r="D4126" s="24" t="s">
        <v>167</v>
      </c>
      <c r="E4126" s="24" t="s">
        <v>183</v>
      </c>
      <c r="F4126" s="63" t="s">
        <v>3</v>
      </c>
    </row>
    <row r="4127" spans="1:6" x14ac:dyDescent="0.25">
      <c r="A4127" s="62">
        <v>44264</v>
      </c>
      <c r="B4127" s="62" t="s">
        <v>3032</v>
      </c>
      <c r="C4127" s="23">
        <v>-2026400</v>
      </c>
      <c r="D4127" s="24" t="s">
        <v>167</v>
      </c>
      <c r="E4127" s="24" t="s">
        <v>183</v>
      </c>
      <c r="F4127" s="63" t="s">
        <v>3</v>
      </c>
    </row>
    <row r="4128" spans="1:6" x14ac:dyDescent="0.25">
      <c r="A4128" s="62">
        <v>44264</v>
      </c>
      <c r="B4128" s="62" t="s">
        <v>3032</v>
      </c>
      <c r="C4128" s="23">
        <v>-505550</v>
      </c>
      <c r="D4128" s="24" t="s">
        <v>167</v>
      </c>
      <c r="E4128" s="24" t="s">
        <v>183</v>
      </c>
      <c r="F4128" s="63" t="s">
        <v>3</v>
      </c>
    </row>
    <row r="4129" spans="1:6" x14ac:dyDescent="0.25">
      <c r="A4129" s="62">
        <v>44264</v>
      </c>
      <c r="B4129" s="62" t="s">
        <v>3032</v>
      </c>
      <c r="C4129" s="23">
        <v>500500</v>
      </c>
      <c r="D4129" s="24" t="s">
        <v>167</v>
      </c>
      <c r="E4129" s="24" t="s">
        <v>183</v>
      </c>
      <c r="F4129" s="63" t="s">
        <v>0</v>
      </c>
    </row>
    <row r="4130" spans="1:6" x14ac:dyDescent="0.25">
      <c r="A4130" s="62">
        <v>44264</v>
      </c>
      <c r="B4130" s="62" t="s">
        <v>3032</v>
      </c>
      <c r="C4130" s="23">
        <v>701610</v>
      </c>
      <c r="D4130" s="24" t="s">
        <v>167</v>
      </c>
      <c r="E4130" s="24" t="s">
        <v>183</v>
      </c>
      <c r="F4130" s="63" t="s">
        <v>0</v>
      </c>
    </row>
    <row r="4131" spans="1:6" x14ac:dyDescent="0.25">
      <c r="A4131" s="62">
        <v>44264</v>
      </c>
      <c r="B4131" s="62" t="s">
        <v>3032</v>
      </c>
      <c r="C4131" s="23">
        <v>2534500</v>
      </c>
      <c r="D4131" s="24" t="s">
        <v>167</v>
      </c>
      <c r="E4131" s="24" t="s">
        <v>183</v>
      </c>
      <c r="F4131" s="63" t="s">
        <v>0</v>
      </c>
    </row>
    <row r="4132" spans="1:6" x14ac:dyDescent="0.25">
      <c r="A4132" s="62">
        <v>44264</v>
      </c>
      <c r="B4132" s="62" t="s">
        <v>3032</v>
      </c>
      <c r="C4132" s="23">
        <v>2026400</v>
      </c>
      <c r="D4132" s="24" t="s">
        <v>167</v>
      </c>
      <c r="E4132" s="24" t="s">
        <v>183</v>
      </c>
      <c r="F4132" s="63" t="s">
        <v>0</v>
      </c>
    </row>
    <row r="4133" spans="1:6" x14ac:dyDescent="0.25">
      <c r="A4133" s="62">
        <v>44264</v>
      </c>
      <c r="B4133" s="62" t="s">
        <v>3032</v>
      </c>
      <c r="C4133" s="23">
        <v>505550</v>
      </c>
      <c r="D4133" s="24" t="s">
        <v>167</v>
      </c>
      <c r="E4133" s="24" t="s">
        <v>183</v>
      </c>
      <c r="F4133" s="63" t="s">
        <v>0</v>
      </c>
    </row>
    <row r="4134" spans="1:6" x14ac:dyDescent="0.25">
      <c r="A4134" s="62">
        <v>44263</v>
      </c>
      <c r="B4134" s="62" t="s">
        <v>3495</v>
      </c>
      <c r="C4134" s="23">
        <v>-22880</v>
      </c>
      <c r="D4134" s="24" t="s">
        <v>72</v>
      </c>
      <c r="E4134" s="24" t="s">
        <v>109</v>
      </c>
      <c r="F4134" s="63" t="s">
        <v>0</v>
      </c>
    </row>
    <row r="4135" spans="1:6" x14ac:dyDescent="0.25">
      <c r="A4135" s="62">
        <v>44263</v>
      </c>
      <c r="B4135" s="62" t="s">
        <v>3496</v>
      </c>
      <c r="C4135" s="23">
        <v>-1800</v>
      </c>
      <c r="D4135" s="24" t="s">
        <v>49</v>
      </c>
      <c r="E4135" s="24" t="s">
        <v>67</v>
      </c>
      <c r="F4135" s="63" t="s">
        <v>0</v>
      </c>
    </row>
    <row r="4136" spans="1:6" x14ac:dyDescent="0.25">
      <c r="A4136" s="62">
        <v>44263</v>
      </c>
      <c r="B4136" s="62" t="s">
        <v>3497</v>
      </c>
      <c r="C4136" s="23">
        <v>-155970</v>
      </c>
      <c r="D4136" s="24" t="s">
        <v>49</v>
      </c>
      <c r="E4136" s="24" t="s">
        <v>213</v>
      </c>
      <c r="F4136" s="63" t="s">
        <v>0</v>
      </c>
    </row>
    <row r="4137" spans="1:6" x14ac:dyDescent="0.25">
      <c r="A4137" s="62">
        <v>44263</v>
      </c>
      <c r="B4137" s="62" t="s">
        <v>3498</v>
      </c>
      <c r="C4137" s="23">
        <v>-610</v>
      </c>
      <c r="D4137" s="24" t="s">
        <v>52</v>
      </c>
      <c r="E4137" s="24" t="s">
        <v>53</v>
      </c>
      <c r="F4137" s="63" t="s">
        <v>0</v>
      </c>
    </row>
    <row r="4138" spans="1:6" x14ac:dyDescent="0.25">
      <c r="A4138" s="62">
        <v>44263</v>
      </c>
      <c r="B4138" s="62" t="s">
        <v>3499</v>
      </c>
      <c r="C4138" s="23">
        <v>-399</v>
      </c>
      <c r="D4138" s="24" t="s">
        <v>49</v>
      </c>
      <c r="E4138" s="24" t="s">
        <v>56</v>
      </c>
      <c r="F4138" s="63" t="s">
        <v>0</v>
      </c>
    </row>
    <row r="4139" spans="1:6" x14ac:dyDescent="0.25">
      <c r="A4139" s="62">
        <v>44263</v>
      </c>
      <c r="B4139" s="62" t="s">
        <v>3500</v>
      </c>
      <c r="C4139" s="23">
        <v>-5000</v>
      </c>
      <c r="D4139" s="24" t="s">
        <v>49</v>
      </c>
      <c r="E4139" s="24" t="s">
        <v>1165</v>
      </c>
      <c r="F4139" s="63" t="s">
        <v>0</v>
      </c>
    </row>
    <row r="4140" spans="1:6" x14ac:dyDescent="0.25">
      <c r="A4140" s="62">
        <v>44260</v>
      </c>
      <c r="B4140" s="62" t="s">
        <v>3501</v>
      </c>
      <c r="C4140" s="23">
        <v>-10000</v>
      </c>
      <c r="D4140" s="24" t="s">
        <v>90</v>
      </c>
      <c r="E4140" s="24" t="s">
        <v>91</v>
      </c>
      <c r="F4140" s="63" t="s">
        <v>0</v>
      </c>
    </row>
    <row r="4141" spans="1:6" x14ac:dyDescent="0.25">
      <c r="A4141" s="62">
        <v>44260</v>
      </c>
      <c r="B4141" s="62" t="s">
        <v>3502</v>
      </c>
      <c r="C4141" s="23">
        <v>344250</v>
      </c>
      <c r="D4141" s="24" t="s">
        <v>58</v>
      </c>
      <c r="E4141" s="24" t="s">
        <v>58</v>
      </c>
      <c r="F4141" s="63" t="s">
        <v>0</v>
      </c>
    </row>
    <row r="4142" spans="1:6" x14ac:dyDescent="0.25">
      <c r="A4142" s="62">
        <v>44259</v>
      </c>
      <c r="B4142" s="62" t="s">
        <v>3503</v>
      </c>
      <c r="C4142" s="23">
        <v>-12930</v>
      </c>
      <c r="D4142" s="24" t="s">
        <v>49</v>
      </c>
      <c r="E4142" s="24" t="s">
        <v>56</v>
      </c>
      <c r="F4142" s="63" t="s">
        <v>0</v>
      </c>
    </row>
    <row r="4143" spans="1:6" x14ac:dyDescent="0.25">
      <c r="A4143" s="62">
        <v>44259</v>
      </c>
      <c r="B4143" s="62" t="s">
        <v>3504</v>
      </c>
      <c r="C4143" s="23">
        <v>-950</v>
      </c>
      <c r="D4143" s="24" t="s">
        <v>49</v>
      </c>
      <c r="E4143" s="24" t="s">
        <v>67</v>
      </c>
      <c r="F4143" s="63" t="s">
        <v>0</v>
      </c>
    </row>
    <row r="4144" spans="1:6" x14ac:dyDescent="0.25">
      <c r="A4144" s="62">
        <v>44258</v>
      </c>
      <c r="B4144" s="62" t="s">
        <v>746</v>
      </c>
      <c r="C4144" s="23">
        <v>-1350</v>
      </c>
      <c r="D4144" s="24" t="s">
        <v>52</v>
      </c>
      <c r="E4144" s="24" t="s">
        <v>53</v>
      </c>
      <c r="F4144" s="63" t="s">
        <v>4</v>
      </c>
    </row>
    <row r="4145" spans="1:6" x14ac:dyDescent="0.25">
      <c r="A4145" s="62">
        <v>44258</v>
      </c>
      <c r="B4145" s="62" t="s">
        <v>3505</v>
      </c>
      <c r="C4145" s="23">
        <v>-1750</v>
      </c>
      <c r="D4145" s="24" t="s">
        <v>52</v>
      </c>
      <c r="E4145" s="24" t="s">
        <v>53</v>
      </c>
      <c r="F4145" s="63" t="s">
        <v>0</v>
      </c>
    </row>
    <row r="4146" spans="1:6" x14ac:dyDescent="0.25">
      <c r="A4146" s="62">
        <v>44258</v>
      </c>
      <c r="B4146" s="62" t="s">
        <v>3506</v>
      </c>
      <c r="C4146" s="23">
        <v>-695</v>
      </c>
      <c r="D4146" s="24" t="s">
        <v>49</v>
      </c>
      <c r="E4146" s="24" t="s">
        <v>56</v>
      </c>
      <c r="F4146" s="63" t="s">
        <v>0</v>
      </c>
    </row>
    <row r="4147" spans="1:6" x14ac:dyDescent="0.25">
      <c r="A4147" s="62">
        <v>44256</v>
      </c>
      <c r="B4147" s="62" t="s">
        <v>3393</v>
      </c>
      <c r="C4147" s="23">
        <v>-4970</v>
      </c>
      <c r="D4147" s="24" t="s">
        <v>52</v>
      </c>
      <c r="E4147" s="24" t="s">
        <v>53</v>
      </c>
      <c r="F4147" s="63" t="s">
        <v>4</v>
      </c>
    </row>
    <row r="4148" spans="1:6" x14ac:dyDescent="0.25">
      <c r="A4148" s="62">
        <v>44255</v>
      </c>
      <c r="B4148" s="62" t="s">
        <v>3507</v>
      </c>
      <c r="C4148" s="23">
        <v>-3990</v>
      </c>
      <c r="D4148" s="24" t="s">
        <v>46</v>
      </c>
      <c r="E4148" s="24" t="s">
        <v>63</v>
      </c>
      <c r="F4148" s="63" t="s">
        <v>0</v>
      </c>
    </row>
    <row r="4149" spans="1:6" x14ac:dyDescent="0.25">
      <c r="A4149" s="62">
        <v>44254</v>
      </c>
      <c r="B4149" s="62" t="s">
        <v>3508</v>
      </c>
      <c r="C4149" s="23">
        <v>-400000</v>
      </c>
      <c r="D4149" s="24" t="s">
        <v>46</v>
      </c>
      <c r="E4149" s="24" t="s">
        <v>3095</v>
      </c>
      <c r="F4149" s="63" t="s">
        <v>7</v>
      </c>
    </row>
    <row r="4150" spans="1:6" x14ac:dyDescent="0.25">
      <c r="A4150" s="62">
        <v>44254</v>
      </c>
      <c r="B4150" s="62" t="s">
        <v>3509</v>
      </c>
      <c r="C4150" s="23">
        <v>-9650</v>
      </c>
      <c r="D4150" s="24" t="s">
        <v>52</v>
      </c>
      <c r="E4150" s="24" t="s">
        <v>52</v>
      </c>
      <c r="F4150" s="63" t="s">
        <v>0</v>
      </c>
    </row>
    <row r="4151" spans="1:6" x14ac:dyDescent="0.25">
      <c r="A4151" s="62">
        <v>44253</v>
      </c>
      <c r="B4151" s="62" t="s">
        <v>3510</v>
      </c>
      <c r="C4151" s="23">
        <v>-3860</v>
      </c>
      <c r="D4151" s="24" t="s">
        <v>46</v>
      </c>
      <c r="E4151" s="24" t="s">
        <v>63</v>
      </c>
      <c r="F4151" s="63" t="s">
        <v>0</v>
      </c>
    </row>
    <row r="4152" spans="1:6" x14ac:dyDescent="0.25">
      <c r="A4152" s="62">
        <v>44253</v>
      </c>
      <c r="B4152" s="62" t="s">
        <v>3511</v>
      </c>
      <c r="C4152" s="23">
        <v>-4842</v>
      </c>
      <c r="D4152" s="24" t="s">
        <v>49</v>
      </c>
      <c r="E4152" s="24" t="s">
        <v>56</v>
      </c>
      <c r="F4152" s="63" t="s">
        <v>0</v>
      </c>
    </row>
    <row r="4153" spans="1:6" x14ac:dyDescent="0.25">
      <c r="A4153" s="62">
        <v>44253</v>
      </c>
      <c r="B4153" s="62" t="s">
        <v>3512</v>
      </c>
      <c r="C4153" s="23">
        <v>-1350</v>
      </c>
      <c r="D4153" s="24" t="s">
        <v>52</v>
      </c>
      <c r="E4153" s="24" t="s">
        <v>53</v>
      </c>
      <c r="F4153" s="63" t="s">
        <v>0</v>
      </c>
    </row>
    <row r="4154" spans="1:6" x14ac:dyDescent="0.25">
      <c r="A4154" s="62">
        <v>44253</v>
      </c>
      <c r="B4154" s="62" t="s">
        <v>3513</v>
      </c>
      <c r="C4154" s="23">
        <v>-1040</v>
      </c>
      <c r="D4154" s="24" t="s">
        <v>52</v>
      </c>
      <c r="E4154" s="24" t="s">
        <v>134</v>
      </c>
      <c r="F4154" s="63" t="s">
        <v>0</v>
      </c>
    </row>
    <row r="4155" spans="1:6" x14ac:dyDescent="0.25">
      <c r="A4155" s="62">
        <v>44253</v>
      </c>
      <c r="B4155" s="62" t="s">
        <v>3514</v>
      </c>
      <c r="C4155" s="23">
        <v>-30717</v>
      </c>
      <c r="D4155" s="24" t="s">
        <v>46</v>
      </c>
      <c r="E4155" s="24" t="s">
        <v>3256</v>
      </c>
      <c r="F4155" s="63" t="s">
        <v>0</v>
      </c>
    </row>
    <row r="4156" spans="1:6" x14ac:dyDescent="0.25">
      <c r="A4156" s="62">
        <v>44252</v>
      </c>
      <c r="B4156" s="62" t="s">
        <v>3515</v>
      </c>
      <c r="C4156" s="23">
        <v>-16700</v>
      </c>
      <c r="D4156" s="24" t="s">
        <v>90</v>
      </c>
      <c r="E4156" s="24" t="s">
        <v>91</v>
      </c>
      <c r="F4156" s="63" t="s">
        <v>0</v>
      </c>
    </row>
    <row r="4157" spans="1:6" x14ac:dyDescent="0.25">
      <c r="A4157" s="62">
        <v>44252</v>
      </c>
      <c r="B4157" s="62" t="s">
        <v>3516</v>
      </c>
      <c r="C4157" s="23">
        <v>-1590</v>
      </c>
      <c r="D4157" s="24" t="s">
        <v>52</v>
      </c>
      <c r="E4157" s="24" t="s">
        <v>134</v>
      </c>
      <c r="F4157" s="63" t="s">
        <v>0</v>
      </c>
    </row>
    <row r="4158" spans="1:6" x14ac:dyDescent="0.25">
      <c r="A4158" s="62">
        <v>44251</v>
      </c>
      <c r="B4158" s="62" t="s">
        <v>3493</v>
      </c>
      <c r="C4158" s="23">
        <v>-4040</v>
      </c>
      <c r="D4158" s="24" t="s">
        <v>52</v>
      </c>
      <c r="E4158" s="24" t="s">
        <v>53</v>
      </c>
      <c r="F4158" s="63" t="s">
        <v>4</v>
      </c>
    </row>
    <row r="4159" spans="1:6" x14ac:dyDescent="0.25">
      <c r="A4159" s="62">
        <v>44250</v>
      </c>
      <c r="B4159" s="62" t="s">
        <v>3517</v>
      </c>
      <c r="C4159" s="23">
        <v>-100</v>
      </c>
      <c r="D4159" s="24" t="s">
        <v>167</v>
      </c>
      <c r="E4159" s="24" t="s">
        <v>168</v>
      </c>
      <c r="F4159" s="63" t="s">
        <v>5</v>
      </c>
    </row>
    <row r="4160" spans="1:6" x14ac:dyDescent="0.25">
      <c r="A4160" s="62">
        <v>44249</v>
      </c>
      <c r="B4160" s="62" t="s">
        <v>139</v>
      </c>
      <c r="C4160" s="23">
        <v>19275</v>
      </c>
      <c r="D4160" s="24" t="s">
        <v>58</v>
      </c>
      <c r="E4160" s="24" t="s">
        <v>58</v>
      </c>
      <c r="F4160" s="63" t="s">
        <v>4</v>
      </c>
    </row>
    <row r="4161" spans="1:6" x14ac:dyDescent="0.25">
      <c r="A4161" s="62">
        <v>44249</v>
      </c>
      <c r="B4161" s="62" t="s">
        <v>3518</v>
      </c>
      <c r="C4161" s="23">
        <v>-22512</v>
      </c>
      <c r="D4161" s="24" t="s">
        <v>72</v>
      </c>
      <c r="E4161" s="24" t="s">
        <v>109</v>
      </c>
      <c r="F4161" s="63" t="s">
        <v>0</v>
      </c>
    </row>
    <row r="4162" spans="1:6" x14ac:dyDescent="0.25">
      <c r="A4162" s="62">
        <v>44249</v>
      </c>
      <c r="B4162" s="62" t="s">
        <v>3519</v>
      </c>
      <c r="C4162" s="23">
        <v>-5296</v>
      </c>
      <c r="D4162" s="24" t="s">
        <v>49</v>
      </c>
      <c r="E4162" s="24" t="s">
        <v>56</v>
      </c>
      <c r="F4162" s="63" t="s">
        <v>0</v>
      </c>
    </row>
    <row r="4163" spans="1:6" x14ac:dyDescent="0.25">
      <c r="A4163" s="62">
        <v>44249</v>
      </c>
      <c r="B4163" s="62" t="s">
        <v>3520</v>
      </c>
      <c r="C4163" s="23">
        <v>-8613</v>
      </c>
      <c r="D4163" s="24" t="s">
        <v>46</v>
      </c>
      <c r="E4163" s="24" t="s">
        <v>47</v>
      </c>
      <c r="F4163" s="63" t="s">
        <v>0</v>
      </c>
    </row>
    <row r="4164" spans="1:6" x14ac:dyDescent="0.25">
      <c r="A4164" s="62">
        <v>44249</v>
      </c>
      <c r="B4164" s="62" t="s">
        <v>3521</v>
      </c>
      <c r="C4164" s="23">
        <v>-795</v>
      </c>
      <c r="D4164" s="24" t="s">
        <v>49</v>
      </c>
      <c r="E4164" s="24" t="s">
        <v>56</v>
      </c>
      <c r="F4164" s="63" t="s">
        <v>0</v>
      </c>
    </row>
    <row r="4165" spans="1:6" x14ac:dyDescent="0.25">
      <c r="A4165" s="62">
        <v>44249</v>
      </c>
      <c r="B4165" s="62" t="s">
        <v>3522</v>
      </c>
      <c r="C4165" s="23">
        <v>-1890</v>
      </c>
      <c r="D4165" s="24" t="s">
        <v>72</v>
      </c>
      <c r="E4165" s="24" t="s">
        <v>126</v>
      </c>
      <c r="F4165" s="63" t="s">
        <v>0</v>
      </c>
    </row>
    <row r="4166" spans="1:6" x14ac:dyDescent="0.25">
      <c r="A4166" s="62">
        <v>44245</v>
      </c>
      <c r="B4166" s="62" t="s">
        <v>3523</v>
      </c>
      <c r="C4166" s="23">
        <v>-863</v>
      </c>
      <c r="D4166" s="24" t="s">
        <v>49</v>
      </c>
      <c r="E4166" s="24" t="s">
        <v>56</v>
      </c>
      <c r="F4166" s="63" t="s">
        <v>0</v>
      </c>
    </row>
    <row r="4167" spans="1:6" x14ac:dyDescent="0.25">
      <c r="A4167" s="62">
        <v>44244</v>
      </c>
      <c r="B4167" s="62" t="s">
        <v>3307</v>
      </c>
      <c r="C4167" s="23">
        <v>-2390</v>
      </c>
      <c r="D4167" s="24" t="s">
        <v>52</v>
      </c>
      <c r="E4167" s="24" t="s">
        <v>53</v>
      </c>
      <c r="F4167" s="63" t="s">
        <v>4</v>
      </c>
    </row>
    <row r="4168" spans="1:6" x14ac:dyDescent="0.25">
      <c r="A4168" s="62">
        <v>44244</v>
      </c>
      <c r="B4168" s="62" t="s">
        <v>3524</v>
      </c>
      <c r="C4168" s="23">
        <v>-6088</v>
      </c>
      <c r="D4168" s="24" t="s">
        <v>49</v>
      </c>
      <c r="E4168" s="24" t="s">
        <v>56</v>
      </c>
      <c r="F4168" s="63" t="s">
        <v>0</v>
      </c>
    </row>
    <row r="4169" spans="1:6" x14ac:dyDescent="0.25">
      <c r="A4169" s="62">
        <v>44244</v>
      </c>
      <c r="B4169" s="62" t="s">
        <v>3525</v>
      </c>
      <c r="C4169" s="23">
        <v>-5994</v>
      </c>
      <c r="D4169" s="24" t="s">
        <v>46</v>
      </c>
      <c r="E4169" s="24" t="s">
        <v>80</v>
      </c>
      <c r="F4169" s="63" t="s">
        <v>0</v>
      </c>
    </row>
    <row r="4170" spans="1:6" x14ac:dyDescent="0.25">
      <c r="A4170" s="62">
        <v>44242</v>
      </c>
      <c r="B4170" s="62" t="s">
        <v>3526</v>
      </c>
      <c r="C4170" s="23">
        <v>-2665</v>
      </c>
      <c r="D4170" s="24" t="s">
        <v>49</v>
      </c>
      <c r="E4170" s="24" t="s">
        <v>56</v>
      </c>
      <c r="F4170" s="63" t="s">
        <v>0</v>
      </c>
    </row>
    <row r="4171" spans="1:6" x14ac:dyDescent="0.25">
      <c r="A4171" s="62">
        <v>44242</v>
      </c>
      <c r="B4171" s="62" t="s">
        <v>3527</v>
      </c>
      <c r="C4171" s="23">
        <v>-1476</v>
      </c>
      <c r="D4171" s="24" t="s">
        <v>49</v>
      </c>
      <c r="E4171" s="24" t="s">
        <v>56</v>
      </c>
      <c r="F4171" s="63" t="s">
        <v>0</v>
      </c>
    </row>
    <row r="4172" spans="1:6" x14ac:dyDescent="0.25">
      <c r="A4172" s="62">
        <v>44242</v>
      </c>
      <c r="B4172" s="62" t="s">
        <v>3528</v>
      </c>
      <c r="C4172" s="23">
        <v>-5690</v>
      </c>
      <c r="D4172" s="24" t="s">
        <v>52</v>
      </c>
      <c r="E4172" s="24" t="s">
        <v>52</v>
      </c>
      <c r="F4172" s="63" t="s">
        <v>0</v>
      </c>
    </row>
    <row r="4173" spans="1:6" x14ac:dyDescent="0.25">
      <c r="A4173" s="62">
        <v>44242</v>
      </c>
      <c r="B4173" s="62" t="s">
        <v>3529</v>
      </c>
      <c r="C4173" s="23">
        <v>-13180</v>
      </c>
      <c r="D4173" s="24" t="s">
        <v>49</v>
      </c>
      <c r="E4173" s="24" t="s">
        <v>67</v>
      </c>
      <c r="F4173" s="63" t="s">
        <v>0</v>
      </c>
    </row>
    <row r="4174" spans="1:6" x14ac:dyDescent="0.25">
      <c r="A4174" s="62">
        <v>44238</v>
      </c>
      <c r="B4174" s="62" t="s">
        <v>3530</v>
      </c>
      <c r="C4174" s="23">
        <v>-1098</v>
      </c>
      <c r="D4174" s="24" t="s">
        <v>49</v>
      </c>
      <c r="E4174" s="24" t="s">
        <v>56</v>
      </c>
      <c r="F4174" s="63" t="s">
        <v>0</v>
      </c>
    </row>
    <row r="4175" spans="1:6" x14ac:dyDescent="0.25">
      <c r="A4175" s="62">
        <v>44237</v>
      </c>
      <c r="B4175" s="62" t="s">
        <v>1651</v>
      </c>
      <c r="C4175" s="23">
        <v>668960</v>
      </c>
      <c r="D4175" s="24" t="s">
        <v>58</v>
      </c>
      <c r="E4175" s="24" t="s">
        <v>58</v>
      </c>
      <c r="F4175" s="63" t="s">
        <v>0</v>
      </c>
    </row>
    <row r="4176" spans="1:6" x14ac:dyDescent="0.25">
      <c r="A4176" s="62">
        <v>44236</v>
      </c>
      <c r="B4176" s="62" t="s">
        <v>3307</v>
      </c>
      <c r="C4176" s="23">
        <v>-2150</v>
      </c>
      <c r="D4176" s="24" t="s">
        <v>52</v>
      </c>
      <c r="E4176" s="24" t="s">
        <v>53</v>
      </c>
      <c r="F4176" s="63" t="s">
        <v>4</v>
      </c>
    </row>
    <row r="4177" spans="1:6" x14ac:dyDescent="0.25">
      <c r="A4177" s="62">
        <v>44236</v>
      </c>
      <c r="B4177" s="62" t="s">
        <v>3531</v>
      </c>
      <c r="C4177" s="23">
        <v>-300</v>
      </c>
      <c r="D4177" s="24" t="s">
        <v>72</v>
      </c>
      <c r="E4177" s="24" t="s">
        <v>73</v>
      </c>
      <c r="F4177" s="63" t="s">
        <v>0</v>
      </c>
    </row>
    <row r="4178" spans="1:6" x14ac:dyDescent="0.25">
      <c r="A4178" s="62">
        <v>44235</v>
      </c>
      <c r="B4178" s="62" t="s">
        <v>3307</v>
      </c>
      <c r="C4178" s="23">
        <v>-2790</v>
      </c>
      <c r="D4178" s="24" t="s">
        <v>52</v>
      </c>
      <c r="E4178" s="24" t="s">
        <v>53</v>
      </c>
      <c r="F4178" s="63" t="s">
        <v>4</v>
      </c>
    </row>
    <row r="4179" spans="1:6" x14ac:dyDescent="0.25">
      <c r="A4179" s="62">
        <v>44235</v>
      </c>
      <c r="B4179" s="62" t="s">
        <v>3532</v>
      </c>
      <c r="C4179" s="23">
        <v>-599</v>
      </c>
      <c r="D4179" s="24" t="s">
        <v>46</v>
      </c>
      <c r="E4179" s="24" t="s">
        <v>47</v>
      </c>
      <c r="F4179" s="63" t="s">
        <v>0</v>
      </c>
    </row>
    <row r="4180" spans="1:6" x14ac:dyDescent="0.25">
      <c r="A4180" s="62">
        <v>44235</v>
      </c>
      <c r="B4180" s="62" t="s">
        <v>3533</v>
      </c>
      <c r="C4180" s="23">
        <v>-1776</v>
      </c>
      <c r="D4180" s="24" t="s">
        <v>49</v>
      </c>
      <c r="E4180" s="24" t="s">
        <v>56</v>
      </c>
      <c r="F4180" s="63" t="s">
        <v>0</v>
      </c>
    </row>
    <row r="4181" spans="1:6" x14ac:dyDescent="0.25">
      <c r="A4181" s="62">
        <v>44235</v>
      </c>
      <c r="B4181" s="62" t="s">
        <v>3487</v>
      </c>
      <c r="C4181" s="23">
        <v>-1800</v>
      </c>
      <c r="D4181" s="24" t="s">
        <v>49</v>
      </c>
      <c r="E4181" s="24" t="s">
        <v>67</v>
      </c>
      <c r="F4181" s="63" t="s">
        <v>0</v>
      </c>
    </row>
    <row r="4182" spans="1:6" x14ac:dyDescent="0.25">
      <c r="A4182" s="62">
        <v>44235</v>
      </c>
      <c r="B4182" s="62" t="s">
        <v>3534</v>
      </c>
      <c r="C4182" s="23">
        <v>-23954</v>
      </c>
      <c r="D4182" s="24" t="s">
        <v>72</v>
      </c>
      <c r="E4182" s="24" t="s">
        <v>109</v>
      </c>
      <c r="F4182" s="63" t="s">
        <v>0</v>
      </c>
    </row>
    <row r="4183" spans="1:6" x14ac:dyDescent="0.25">
      <c r="A4183" s="62">
        <v>44232</v>
      </c>
      <c r="B4183" s="62" t="s">
        <v>3535</v>
      </c>
      <c r="C4183" s="23">
        <v>344250</v>
      </c>
      <c r="D4183" s="24" t="s">
        <v>58</v>
      </c>
      <c r="E4183" s="24" t="s">
        <v>58</v>
      </c>
      <c r="F4183" s="63" t="s">
        <v>0</v>
      </c>
    </row>
    <row r="4184" spans="1:6" x14ac:dyDescent="0.25">
      <c r="A4184" s="62">
        <v>44229</v>
      </c>
      <c r="B4184" s="62" t="s">
        <v>3536</v>
      </c>
      <c r="C4184" s="23">
        <v>-10000</v>
      </c>
      <c r="D4184" s="24" t="s">
        <v>90</v>
      </c>
      <c r="E4184" s="24" t="s">
        <v>91</v>
      </c>
      <c r="F4184" s="63" t="s">
        <v>0</v>
      </c>
    </row>
    <row r="4185" spans="1:6" x14ac:dyDescent="0.25">
      <c r="A4185" s="62">
        <v>44229</v>
      </c>
      <c r="B4185" s="62" t="s">
        <v>3537</v>
      </c>
      <c r="C4185" s="23">
        <v>-700</v>
      </c>
      <c r="D4185" s="24" t="s">
        <v>52</v>
      </c>
      <c r="E4185" s="24" t="s">
        <v>134</v>
      </c>
      <c r="F4185" s="63" t="s">
        <v>0</v>
      </c>
    </row>
    <row r="4186" spans="1:6" x14ac:dyDescent="0.25">
      <c r="A4186" s="62">
        <v>44228</v>
      </c>
      <c r="B4186" s="62" t="s">
        <v>3538</v>
      </c>
      <c r="C4186" s="23">
        <v>-937</v>
      </c>
      <c r="D4186" s="24" t="s">
        <v>49</v>
      </c>
      <c r="E4186" s="24" t="s">
        <v>56</v>
      </c>
      <c r="F4186" s="63" t="s">
        <v>0</v>
      </c>
    </row>
    <row r="4187" spans="1:6" x14ac:dyDescent="0.25">
      <c r="A4187" s="62">
        <v>44228</v>
      </c>
      <c r="B4187" s="62" t="s">
        <v>3539</v>
      </c>
      <c r="C4187" s="23">
        <v>-2326</v>
      </c>
      <c r="D4187" s="24" t="s">
        <v>49</v>
      </c>
      <c r="E4187" s="24" t="s">
        <v>56</v>
      </c>
      <c r="F4187" s="63" t="s">
        <v>0</v>
      </c>
    </row>
    <row r="4188" spans="1:6" x14ac:dyDescent="0.25">
      <c r="A4188" s="62">
        <v>44228</v>
      </c>
      <c r="B4188" s="62" t="s">
        <v>3540</v>
      </c>
      <c r="C4188" s="23">
        <v>-110000</v>
      </c>
      <c r="D4188" s="24" t="s">
        <v>46</v>
      </c>
      <c r="E4188" s="24" t="s">
        <v>3410</v>
      </c>
      <c r="F4188" s="63" t="s">
        <v>7</v>
      </c>
    </row>
    <row r="4189" spans="1:6" x14ac:dyDescent="0.25">
      <c r="A4189" s="62">
        <v>44225</v>
      </c>
      <c r="B4189" s="62" t="s">
        <v>3541</v>
      </c>
      <c r="C4189" s="23">
        <v>500000</v>
      </c>
      <c r="D4189" s="24" t="s">
        <v>167</v>
      </c>
      <c r="E4189" s="24" t="s">
        <v>183</v>
      </c>
      <c r="F4189" s="63" t="s">
        <v>3</v>
      </c>
    </row>
    <row r="4190" spans="1:6" x14ac:dyDescent="0.25">
      <c r="A4190" s="62">
        <v>44225</v>
      </c>
      <c r="B4190" s="62" t="s">
        <v>3541</v>
      </c>
      <c r="C4190" s="23">
        <v>-500000</v>
      </c>
      <c r="D4190" s="24" t="s">
        <v>167</v>
      </c>
      <c r="E4190" s="24" t="s">
        <v>183</v>
      </c>
      <c r="F4190" s="63" t="s">
        <v>0</v>
      </c>
    </row>
    <row r="4191" spans="1:6" x14ac:dyDescent="0.25">
      <c r="A4191" s="62">
        <v>44225</v>
      </c>
      <c r="B4191" s="62" t="s">
        <v>3542</v>
      </c>
      <c r="C4191" s="23">
        <v>-12470</v>
      </c>
      <c r="D4191" s="24" t="s">
        <v>49</v>
      </c>
      <c r="E4191" s="24" t="s">
        <v>56</v>
      </c>
      <c r="F4191" s="63" t="s">
        <v>0</v>
      </c>
    </row>
    <row r="4192" spans="1:6" x14ac:dyDescent="0.25">
      <c r="A4192" s="62">
        <v>44224</v>
      </c>
      <c r="B4192" s="62" t="s">
        <v>3543</v>
      </c>
      <c r="C4192" s="23">
        <v>-5839</v>
      </c>
      <c r="D4192" s="24" t="s">
        <v>52</v>
      </c>
      <c r="E4192" s="24" t="s">
        <v>53</v>
      </c>
      <c r="F4192" s="63" t="s">
        <v>0</v>
      </c>
    </row>
    <row r="4193" spans="1:6" x14ac:dyDescent="0.25">
      <c r="A4193" s="62">
        <v>44224</v>
      </c>
      <c r="B4193" s="62" t="s">
        <v>3544</v>
      </c>
      <c r="C4193" s="23">
        <v>-3990</v>
      </c>
      <c r="D4193" s="24" t="s">
        <v>46</v>
      </c>
      <c r="E4193" s="24" t="s">
        <v>63</v>
      </c>
      <c r="F4193" s="63" t="s">
        <v>0</v>
      </c>
    </row>
    <row r="4194" spans="1:6" x14ac:dyDescent="0.25">
      <c r="A4194" s="62">
        <v>44221</v>
      </c>
      <c r="B4194" s="62" t="s">
        <v>3545</v>
      </c>
      <c r="C4194" s="23">
        <v>-699</v>
      </c>
      <c r="D4194" s="24" t="s">
        <v>49</v>
      </c>
      <c r="E4194" s="24" t="s">
        <v>56</v>
      </c>
      <c r="F4194" s="63" t="s">
        <v>0</v>
      </c>
    </row>
    <row r="4195" spans="1:6" x14ac:dyDescent="0.25">
      <c r="A4195" s="62">
        <v>44221</v>
      </c>
      <c r="B4195" s="62" t="s">
        <v>3546</v>
      </c>
      <c r="C4195" s="23">
        <v>-1041</v>
      </c>
      <c r="D4195" s="24" t="s">
        <v>49</v>
      </c>
      <c r="E4195" s="24" t="s">
        <v>56</v>
      </c>
      <c r="F4195" s="63" t="s">
        <v>0</v>
      </c>
    </row>
    <row r="4196" spans="1:6" x14ac:dyDescent="0.25">
      <c r="A4196" s="62">
        <v>44221</v>
      </c>
      <c r="B4196" s="62" t="s">
        <v>3547</v>
      </c>
      <c r="C4196" s="23">
        <v>-11097</v>
      </c>
      <c r="D4196" s="24" t="s">
        <v>49</v>
      </c>
      <c r="E4196" s="24" t="s">
        <v>56</v>
      </c>
      <c r="F4196" s="63" t="s">
        <v>0</v>
      </c>
    </row>
    <row r="4197" spans="1:6" x14ac:dyDescent="0.25">
      <c r="A4197" s="62">
        <v>44221</v>
      </c>
      <c r="B4197" s="62" t="s">
        <v>3548</v>
      </c>
      <c r="C4197" s="23">
        <v>-169</v>
      </c>
      <c r="D4197" s="24" t="s">
        <v>49</v>
      </c>
      <c r="E4197" s="24" t="s">
        <v>56</v>
      </c>
      <c r="F4197" s="63" t="s">
        <v>0</v>
      </c>
    </row>
    <row r="4198" spans="1:6" x14ac:dyDescent="0.25">
      <c r="A4198" s="62">
        <v>44218</v>
      </c>
      <c r="B4198" s="62" t="s">
        <v>3549</v>
      </c>
      <c r="C4198" s="23">
        <v>-899</v>
      </c>
      <c r="D4198" s="24" t="s">
        <v>167</v>
      </c>
      <c r="E4198" s="24" t="s">
        <v>168</v>
      </c>
      <c r="F4198" s="63" t="s">
        <v>0</v>
      </c>
    </row>
    <row r="4199" spans="1:6" x14ac:dyDescent="0.25">
      <c r="A4199" s="62">
        <v>44218</v>
      </c>
      <c r="B4199" s="62" t="s">
        <v>3550</v>
      </c>
      <c r="C4199" s="23">
        <v>-33497</v>
      </c>
      <c r="D4199" s="24" t="s">
        <v>46</v>
      </c>
      <c r="E4199" s="24" t="s">
        <v>3256</v>
      </c>
      <c r="F4199" s="63" t="s">
        <v>0</v>
      </c>
    </row>
    <row r="4200" spans="1:6" x14ac:dyDescent="0.25">
      <c r="A4200" s="62">
        <v>44217</v>
      </c>
      <c r="B4200" s="62" t="s">
        <v>3536</v>
      </c>
      <c r="C4200" s="23">
        <v>-10000</v>
      </c>
      <c r="D4200" s="24" t="s">
        <v>90</v>
      </c>
      <c r="E4200" s="24" t="s">
        <v>91</v>
      </c>
      <c r="F4200" s="63" t="s">
        <v>0</v>
      </c>
    </row>
    <row r="4201" spans="1:6" x14ac:dyDescent="0.25">
      <c r="A4201" s="62">
        <v>44217</v>
      </c>
      <c r="B4201" s="62" t="s">
        <v>3551</v>
      </c>
      <c r="C4201" s="23">
        <v>-3000</v>
      </c>
      <c r="D4201" s="24" t="s">
        <v>49</v>
      </c>
      <c r="E4201" s="24" t="s">
        <v>1165</v>
      </c>
      <c r="F4201" s="63" t="s">
        <v>0</v>
      </c>
    </row>
    <row r="4202" spans="1:6" x14ac:dyDescent="0.25">
      <c r="A4202" s="62">
        <v>44216</v>
      </c>
      <c r="B4202" s="62" t="s">
        <v>3552</v>
      </c>
      <c r="C4202" s="23">
        <v>-100</v>
      </c>
      <c r="D4202" s="24" t="s">
        <v>167</v>
      </c>
      <c r="E4202" s="24" t="s">
        <v>168</v>
      </c>
      <c r="F4202" s="63" t="s">
        <v>5</v>
      </c>
    </row>
    <row r="4203" spans="1:6" x14ac:dyDescent="0.25">
      <c r="A4203" s="62">
        <v>44215</v>
      </c>
      <c r="B4203" s="62" t="s">
        <v>3553</v>
      </c>
      <c r="C4203" s="23">
        <v>-22042</v>
      </c>
      <c r="D4203" s="24" t="s">
        <v>72</v>
      </c>
      <c r="E4203" s="24" t="s">
        <v>109</v>
      </c>
      <c r="F4203" s="63" t="s">
        <v>0</v>
      </c>
    </row>
    <row r="4204" spans="1:6" x14ac:dyDescent="0.25">
      <c r="A4204" s="62">
        <v>44215</v>
      </c>
      <c r="B4204" s="62" t="s">
        <v>3554</v>
      </c>
      <c r="C4204" s="23">
        <v>-17170</v>
      </c>
      <c r="D4204" s="24" t="s">
        <v>72</v>
      </c>
      <c r="E4204" s="24" t="s">
        <v>445</v>
      </c>
      <c r="F4204" s="63" t="s">
        <v>0</v>
      </c>
    </row>
    <row r="4205" spans="1:6" x14ac:dyDescent="0.25">
      <c r="A4205" s="62">
        <v>44215</v>
      </c>
      <c r="B4205" s="62" t="s">
        <v>3555</v>
      </c>
      <c r="C4205" s="23">
        <v>-7359</v>
      </c>
      <c r="D4205" s="24" t="s">
        <v>49</v>
      </c>
      <c r="E4205" s="24" t="s">
        <v>56</v>
      </c>
      <c r="F4205" s="63" t="s">
        <v>0</v>
      </c>
    </row>
    <row r="4206" spans="1:6" x14ac:dyDescent="0.25">
      <c r="A4206" s="62">
        <v>44215</v>
      </c>
      <c r="B4206" s="62" t="s">
        <v>3556</v>
      </c>
      <c r="C4206" s="23">
        <v>-2780</v>
      </c>
      <c r="D4206" s="24" t="s">
        <v>52</v>
      </c>
      <c r="E4206" s="24" t="s">
        <v>53</v>
      </c>
      <c r="F4206" s="63" t="s">
        <v>0</v>
      </c>
    </row>
    <row r="4207" spans="1:6" x14ac:dyDescent="0.25">
      <c r="A4207" s="62">
        <v>44215</v>
      </c>
      <c r="B4207" s="62" t="s">
        <v>3557</v>
      </c>
      <c r="C4207" s="23">
        <v>-700</v>
      </c>
      <c r="D4207" s="24" t="s">
        <v>52</v>
      </c>
      <c r="E4207" s="24" t="s">
        <v>134</v>
      </c>
      <c r="F4207" s="63" t="s">
        <v>0</v>
      </c>
    </row>
    <row r="4208" spans="1:6" x14ac:dyDescent="0.25">
      <c r="A4208" s="62">
        <v>44215</v>
      </c>
      <c r="B4208" s="62" t="s">
        <v>468</v>
      </c>
      <c r="C4208" s="23">
        <v>-372</v>
      </c>
      <c r="D4208" s="24" t="s">
        <v>72</v>
      </c>
      <c r="E4208" s="24" t="s">
        <v>445</v>
      </c>
      <c r="F4208" s="63" t="s">
        <v>0</v>
      </c>
    </row>
    <row r="4209" spans="1:6" x14ac:dyDescent="0.25">
      <c r="A4209" s="62">
        <v>44214</v>
      </c>
      <c r="B4209" s="62" t="s">
        <v>3558</v>
      </c>
      <c r="C4209" s="23">
        <v>-439</v>
      </c>
      <c r="D4209" s="24" t="s">
        <v>49</v>
      </c>
      <c r="E4209" s="24" t="s">
        <v>56</v>
      </c>
      <c r="F4209" s="63" t="s">
        <v>0</v>
      </c>
    </row>
    <row r="4210" spans="1:6" x14ac:dyDescent="0.25">
      <c r="A4210" s="62">
        <v>44214</v>
      </c>
      <c r="B4210" s="62" t="s">
        <v>3559</v>
      </c>
      <c r="C4210" s="23">
        <v>-1510</v>
      </c>
      <c r="D4210" s="24" t="s">
        <v>49</v>
      </c>
      <c r="E4210" s="24" t="s">
        <v>56</v>
      </c>
      <c r="F4210" s="63" t="s">
        <v>0</v>
      </c>
    </row>
    <row r="4211" spans="1:6" x14ac:dyDescent="0.25">
      <c r="A4211" s="62">
        <v>44214</v>
      </c>
      <c r="B4211" s="62" t="s">
        <v>3560</v>
      </c>
      <c r="C4211" s="23">
        <v>-2810</v>
      </c>
      <c r="D4211" s="24" t="s">
        <v>49</v>
      </c>
      <c r="E4211" s="24" t="s">
        <v>56</v>
      </c>
      <c r="F4211" s="63" t="s">
        <v>0</v>
      </c>
    </row>
    <row r="4212" spans="1:6" x14ac:dyDescent="0.25">
      <c r="A4212" s="62">
        <v>44214</v>
      </c>
      <c r="B4212" s="62" t="s">
        <v>3512</v>
      </c>
      <c r="C4212" s="23">
        <v>-1350</v>
      </c>
      <c r="D4212" s="24" t="s">
        <v>52</v>
      </c>
      <c r="E4212" s="24" t="s">
        <v>53</v>
      </c>
      <c r="F4212" s="63" t="s">
        <v>0</v>
      </c>
    </row>
    <row r="4213" spans="1:6" x14ac:dyDescent="0.25">
      <c r="A4213" s="62">
        <v>44214</v>
      </c>
      <c r="B4213" s="62" t="s">
        <v>3401</v>
      </c>
      <c r="C4213" s="23">
        <v>-650</v>
      </c>
      <c r="D4213" s="24" t="s">
        <v>52</v>
      </c>
      <c r="E4213" s="24" t="s">
        <v>134</v>
      </c>
      <c r="F4213" s="63" t="s">
        <v>0</v>
      </c>
    </row>
    <row r="4214" spans="1:6" x14ac:dyDescent="0.25">
      <c r="A4214" s="62">
        <v>44214</v>
      </c>
      <c r="B4214" s="62" t="s">
        <v>3561</v>
      </c>
      <c r="C4214" s="23">
        <v>-1299</v>
      </c>
      <c r="D4214" s="24" t="s">
        <v>49</v>
      </c>
      <c r="E4214" s="24" t="s">
        <v>56</v>
      </c>
      <c r="F4214" s="63" t="s">
        <v>0</v>
      </c>
    </row>
    <row r="4215" spans="1:6" x14ac:dyDescent="0.25">
      <c r="A4215" s="62">
        <v>44214</v>
      </c>
      <c r="B4215" s="62" t="s">
        <v>3562</v>
      </c>
      <c r="C4215" s="23">
        <v>14377</v>
      </c>
      <c r="D4215" s="24" t="s">
        <v>72</v>
      </c>
      <c r="E4215" s="24" t="s">
        <v>445</v>
      </c>
      <c r="F4215" s="63" t="s">
        <v>0</v>
      </c>
    </row>
    <row r="4216" spans="1:6" x14ac:dyDescent="0.25">
      <c r="A4216" s="62">
        <v>44210</v>
      </c>
      <c r="B4216" s="62" t="s">
        <v>3541</v>
      </c>
      <c r="C4216" s="23">
        <v>200000</v>
      </c>
      <c r="D4216" s="24" t="s">
        <v>167</v>
      </c>
      <c r="E4216" s="24" t="s">
        <v>183</v>
      </c>
      <c r="F4216" s="63" t="s">
        <v>3</v>
      </c>
    </row>
    <row r="4217" spans="1:6" x14ac:dyDescent="0.25">
      <c r="A4217" s="62">
        <v>44210</v>
      </c>
      <c r="B4217" s="62" t="s">
        <v>3563</v>
      </c>
      <c r="C4217" s="23">
        <v>-200000</v>
      </c>
      <c r="D4217" s="24" t="s">
        <v>167</v>
      </c>
      <c r="E4217" s="24" t="s">
        <v>183</v>
      </c>
      <c r="F4217" s="63" t="s">
        <v>0</v>
      </c>
    </row>
    <row r="4218" spans="1:6" x14ac:dyDescent="0.25">
      <c r="A4218" s="62">
        <v>44210</v>
      </c>
      <c r="B4218" s="62" t="s">
        <v>3541</v>
      </c>
      <c r="C4218" s="23">
        <v>500000</v>
      </c>
      <c r="D4218" s="24" t="s">
        <v>167</v>
      </c>
      <c r="E4218" s="24" t="s">
        <v>183</v>
      </c>
      <c r="F4218" s="63" t="s">
        <v>3</v>
      </c>
    </row>
    <row r="4219" spans="1:6" x14ac:dyDescent="0.25">
      <c r="A4219" s="62">
        <v>44210</v>
      </c>
      <c r="B4219" s="62" t="s">
        <v>3541</v>
      </c>
      <c r="C4219" s="23">
        <v>-500000</v>
      </c>
      <c r="D4219" s="24" t="s">
        <v>167</v>
      </c>
      <c r="E4219" s="24" t="s">
        <v>183</v>
      </c>
      <c r="F4219" s="63" t="s">
        <v>0</v>
      </c>
    </row>
    <row r="4220" spans="1:6" x14ac:dyDescent="0.25">
      <c r="A4220" s="62">
        <v>44210</v>
      </c>
      <c r="B4220" s="62" t="s">
        <v>3564</v>
      </c>
      <c r="C4220" s="23">
        <v>-3017.68</v>
      </c>
      <c r="D4220" s="24" t="s">
        <v>72</v>
      </c>
      <c r="E4220" s="24" t="s">
        <v>445</v>
      </c>
      <c r="F4220" s="63" t="s">
        <v>0</v>
      </c>
    </row>
    <row r="4221" spans="1:6" x14ac:dyDescent="0.25">
      <c r="A4221" s="62">
        <v>44208</v>
      </c>
      <c r="B4221" s="62" t="s">
        <v>3565</v>
      </c>
      <c r="C4221" s="23">
        <v>-48990</v>
      </c>
      <c r="D4221" s="24" t="s">
        <v>46</v>
      </c>
      <c r="E4221" s="24" t="s">
        <v>428</v>
      </c>
      <c r="F4221" s="63" t="s">
        <v>0</v>
      </c>
    </row>
    <row r="4222" spans="1:6" x14ac:dyDescent="0.25">
      <c r="A4222" s="62">
        <v>44207</v>
      </c>
      <c r="B4222" s="62" t="s">
        <v>3566</v>
      </c>
      <c r="C4222" s="23">
        <v>-7906</v>
      </c>
      <c r="D4222" s="24" t="s">
        <v>49</v>
      </c>
      <c r="E4222" s="24" t="s">
        <v>56</v>
      </c>
      <c r="F4222" s="63" t="s">
        <v>0</v>
      </c>
    </row>
    <row r="4223" spans="1:6" x14ac:dyDescent="0.25">
      <c r="A4223" s="62">
        <v>44207</v>
      </c>
      <c r="B4223" s="62" t="s">
        <v>3567</v>
      </c>
      <c r="C4223" s="23">
        <v>-9141.4599999999991</v>
      </c>
      <c r="D4223" s="24" t="s">
        <v>72</v>
      </c>
      <c r="E4223" s="24" t="s">
        <v>266</v>
      </c>
      <c r="F4223" s="63" t="s">
        <v>0</v>
      </c>
    </row>
    <row r="4224" spans="1:6" x14ac:dyDescent="0.25">
      <c r="A4224" s="62">
        <v>44207</v>
      </c>
      <c r="B4224" s="62" t="s">
        <v>3568</v>
      </c>
      <c r="C4224" s="23">
        <v>-1298</v>
      </c>
      <c r="D4224" s="24" t="s">
        <v>49</v>
      </c>
      <c r="E4224" s="24" t="s">
        <v>56</v>
      </c>
      <c r="F4224" s="63" t="s">
        <v>0</v>
      </c>
    </row>
    <row r="4225" spans="1:6" x14ac:dyDescent="0.25">
      <c r="A4225" s="62">
        <v>44207</v>
      </c>
      <c r="B4225" s="62" t="s">
        <v>3569</v>
      </c>
      <c r="C4225" s="23">
        <v>-5113</v>
      </c>
      <c r="D4225" s="24" t="s">
        <v>49</v>
      </c>
      <c r="E4225" s="24" t="s">
        <v>56</v>
      </c>
      <c r="F4225" s="63" t="s">
        <v>0</v>
      </c>
    </row>
    <row r="4226" spans="1:6" x14ac:dyDescent="0.25">
      <c r="A4226" s="62">
        <v>44206</v>
      </c>
      <c r="B4226" s="62" t="s">
        <v>3540</v>
      </c>
      <c r="C4226" s="23">
        <v>-110000</v>
      </c>
      <c r="D4226" s="24" t="s">
        <v>46</v>
      </c>
      <c r="E4226" s="24" t="s">
        <v>3410</v>
      </c>
      <c r="F4226" s="63" t="s">
        <v>7</v>
      </c>
    </row>
    <row r="4227" spans="1:6" x14ac:dyDescent="0.25">
      <c r="A4227" s="62">
        <v>44204</v>
      </c>
      <c r="B4227" s="62" t="s">
        <v>1651</v>
      </c>
      <c r="C4227" s="23">
        <v>665000</v>
      </c>
      <c r="D4227" s="24" t="s">
        <v>58</v>
      </c>
      <c r="E4227" s="24" t="s">
        <v>58</v>
      </c>
      <c r="F4227" s="63" t="s">
        <v>0</v>
      </c>
    </row>
    <row r="4228" spans="1:6" x14ac:dyDescent="0.25">
      <c r="A4228" s="62">
        <v>44204</v>
      </c>
      <c r="B4228" s="62" t="s">
        <v>3570</v>
      </c>
      <c r="C4228" s="23">
        <v>344250</v>
      </c>
      <c r="D4228" s="24" t="s">
        <v>58</v>
      </c>
      <c r="E4228" s="24" t="s">
        <v>58</v>
      </c>
      <c r="F4228" s="63" t="s">
        <v>0</v>
      </c>
    </row>
    <row r="4229" spans="1:6" x14ac:dyDescent="0.25">
      <c r="A4229" s="62">
        <v>44201</v>
      </c>
      <c r="B4229" s="62" t="s">
        <v>3571</v>
      </c>
      <c r="C4229" s="23">
        <v>-4273</v>
      </c>
      <c r="D4229" s="24" t="s">
        <v>49</v>
      </c>
      <c r="E4229" s="24" t="s">
        <v>56</v>
      </c>
      <c r="F4229" s="63" t="s">
        <v>0</v>
      </c>
    </row>
    <row r="4230" spans="1:6" x14ac:dyDescent="0.25">
      <c r="A4230" s="62">
        <v>44201</v>
      </c>
      <c r="B4230" s="62" t="s">
        <v>3572</v>
      </c>
      <c r="C4230" s="23">
        <v>200000</v>
      </c>
      <c r="D4230" s="24" t="s">
        <v>167</v>
      </c>
      <c r="E4230" s="24" t="s">
        <v>2200</v>
      </c>
      <c r="F4230" s="63" t="s">
        <v>2</v>
      </c>
    </row>
    <row r="4231" spans="1:6" x14ac:dyDescent="0.25">
      <c r="A4231" s="62">
        <v>44201</v>
      </c>
      <c r="B4231" s="62" t="s">
        <v>3572</v>
      </c>
      <c r="C4231" s="23">
        <v>-200000</v>
      </c>
      <c r="D4231" s="24" t="s">
        <v>167</v>
      </c>
      <c r="E4231" s="24" t="s">
        <v>2200</v>
      </c>
      <c r="F4231" s="63" t="s">
        <v>0</v>
      </c>
    </row>
    <row r="4232" spans="1:6" x14ac:dyDescent="0.25">
      <c r="A4232" s="62">
        <v>44201</v>
      </c>
      <c r="B4232" s="62" t="s">
        <v>3573</v>
      </c>
      <c r="C4232" s="23">
        <v>437.65</v>
      </c>
      <c r="D4232" s="24" t="s">
        <v>49</v>
      </c>
      <c r="E4232" s="24" t="s">
        <v>232</v>
      </c>
      <c r="F4232" s="63" t="s">
        <v>0</v>
      </c>
    </row>
    <row r="4233" spans="1:6" x14ac:dyDescent="0.25">
      <c r="A4233" s="62">
        <v>44200</v>
      </c>
      <c r="B4233" s="62" t="s">
        <v>3574</v>
      </c>
      <c r="C4233" s="23">
        <v>-5460</v>
      </c>
      <c r="D4233" s="24" t="s">
        <v>72</v>
      </c>
      <c r="E4233" s="24" t="s">
        <v>506</v>
      </c>
      <c r="F4233" s="63" t="s">
        <v>0</v>
      </c>
    </row>
    <row r="4234" spans="1:6" x14ac:dyDescent="0.25">
      <c r="A4234" s="62">
        <v>44200</v>
      </c>
      <c r="B4234" s="62" t="s">
        <v>3574</v>
      </c>
      <c r="C4234" s="23">
        <v>-5460</v>
      </c>
      <c r="D4234" s="24" t="s">
        <v>72</v>
      </c>
      <c r="E4234" s="24" t="s">
        <v>506</v>
      </c>
      <c r="F4234" s="63" t="s">
        <v>0</v>
      </c>
    </row>
    <row r="4235" spans="1:6" x14ac:dyDescent="0.25">
      <c r="A4235" s="62">
        <v>44200</v>
      </c>
      <c r="B4235" s="62" t="s">
        <v>3575</v>
      </c>
      <c r="C4235" s="23">
        <v>-5365</v>
      </c>
      <c r="D4235" s="24" t="s">
        <v>49</v>
      </c>
      <c r="E4235" s="24" t="s">
        <v>56</v>
      </c>
      <c r="F4235" s="63" t="s">
        <v>0</v>
      </c>
    </row>
    <row r="4236" spans="1:6" x14ac:dyDescent="0.25">
      <c r="A4236" s="62">
        <v>44200</v>
      </c>
      <c r="B4236" s="62" t="s">
        <v>3576</v>
      </c>
      <c r="C4236" s="23">
        <v>-14003</v>
      </c>
      <c r="D4236" s="24" t="s">
        <v>72</v>
      </c>
      <c r="E4236" s="24" t="s">
        <v>109</v>
      </c>
      <c r="F4236" s="63" t="s">
        <v>0</v>
      </c>
    </row>
    <row r="4237" spans="1:6" x14ac:dyDescent="0.25">
      <c r="A4237" s="62">
        <v>44196</v>
      </c>
      <c r="B4237" s="62" t="s">
        <v>3577</v>
      </c>
      <c r="C4237" s="23">
        <v>736</v>
      </c>
      <c r="D4237" s="24" t="s">
        <v>167</v>
      </c>
      <c r="E4237" s="24" t="s">
        <v>32</v>
      </c>
      <c r="F4237" s="63" t="s">
        <v>5</v>
      </c>
    </row>
    <row r="4238" spans="1:6" x14ac:dyDescent="0.25">
      <c r="A4238" s="62">
        <v>44196</v>
      </c>
      <c r="B4238" s="62" t="s">
        <v>3578</v>
      </c>
      <c r="C4238" s="23">
        <v>5365</v>
      </c>
      <c r="D4238" s="24" t="s">
        <v>49</v>
      </c>
      <c r="E4238" s="24" t="s">
        <v>56</v>
      </c>
      <c r="F4238" s="63" t="s">
        <v>0</v>
      </c>
    </row>
    <row r="4239" spans="1:6" x14ac:dyDescent="0.25">
      <c r="A4239" s="62">
        <v>44196</v>
      </c>
      <c r="B4239" s="62" t="s">
        <v>3579</v>
      </c>
      <c r="C4239" s="23">
        <v>-5860</v>
      </c>
      <c r="D4239" s="24" t="s">
        <v>52</v>
      </c>
      <c r="E4239" s="24" t="s">
        <v>53</v>
      </c>
      <c r="F4239" s="63" t="s">
        <v>0</v>
      </c>
    </row>
    <row r="4240" spans="1:6" x14ac:dyDescent="0.25">
      <c r="A4240" s="62">
        <v>44196</v>
      </c>
      <c r="B4240" s="62" t="s">
        <v>3580</v>
      </c>
      <c r="C4240" s="23">
        <v>-2680</v>
      </c>
      <c r="D4240" s="24" t="s">
        <v>49</v>
      </c>
      <c r="E4240" s="24" t="s">
        <v>56</v>
      </c>
      <c r="F4240" s="63" t="s">
        <v>0</v>
      </c>
    </row>
    <row r="4241" spans="1:6" x14ac:dyDescent="0.25">
      <c r="A4241" s="62">
        <v>44195</v>
      </c>
      <c r="B4241" s="62" t="s">
        <v>3581</v>
      </c>
      <c r="C4241" s="23">
        <v>-8146</v>
      </c>
      <c r="D4241" s="24" t="s">
        <v>49</v>
      </c>
      <c r="E4241" s="24" t="s">
        <v>56</v>
      </c>
      <c r="F4241" s="63" t="s">
        <v>0</v>
      </c>
    </row>
    <row r="4242" spans="1:6" x14ac:dyDescent="0.25">
      <c r="A4242" s="62">
        <v>44193</v>
      </c>
      <c r="B4242" s="62" t="s">
        <v>3582</v>
      </c>
      <c r="C4242" s="23">
        <v>462000</v>
      </c>
      <c r="D4242" s="24" t="s">
        <v>167</v>
      </c>
      <c r="E4242" s="24" t="s">
        <v>1658</v>
      </c>
      <c r="F4242" s="63" t="s">
        <v>5</v>
      </c>
    </row>
    <row r="4243" spans="1:6" x14ac:dyDescent="0.25">
      <c r="A4243" s="62">
        <v>44193</v>
      </c>
      <c r="B4243" s="62" t="s">
        <v>3582</v>
      </c>
      <c r="C4243" s="23">
        <v>-462000</v>
      </c>
      <c r="D4243" s="24" t="s">
        <v>167</v>
      </c>
      <c r="E4243" s="24" t="s">
        <v>1658</v>
      </c>
      <c r="F4243" s="63" t="s">
        <v>5</v>
      </c>
    </row>
    <row r="4244" spans="1:6" x14ac:dyDescent="0.25">
      <c r="A4244" s="62">
        <v>44193</v>
      </c>
      <c r="B4244" s="62" t="s">
        <v>3583</v>
      </c>
      <c r="C4244" s="23">
        <v>-3576</v>
      </c>
      <c r="D4244" s="24" t="s">
        <v>49</v>
      </c>
      <c r="E4244" s="24" t="s">
        <v>56</v>
      </c>
      <c r="F4244" s="63" t="s">
        <v>0</v>
      </c>
    </row>
    <row r="4245" spans="1:6" x14ac:dyDescent="0.25">
      <c r="A4245" s="62">
        <v>44193</v>
      </c>
      <c r="B4245" s="62" t="s">
        <v>3584</v>
      </c>
      <c r="C4245" s="23">
        <v>-3140</v>
      </c>
      <c r="D4245" s="24" t="s">
        <v>72</v>
      </c>
      <c r="E4245" s="24" t="s">
        <v>126</v>
      </c>
      <c r="F4245" s="63" t="s">
        <v>0</v>
      </c>
    </row>
    <row r="4246" spans="1:6" x14ac:dyDescent="0.25">
      <c r="A4246" s="62">
        <v>44193</v>
      </c>
      <c r="B4246" s="62" t="s">
        <v>3484</v>
      </c>
      <c r="C4246" s="23">
        <v>-3860</v>
      </c>
      <c r="D4246" s="24" t="s">
        <v>46</v>
      </c>
      <c r="E4246" s="24" t="s">
        <v>63</v>
      </c>
      <c r="F4246" s="63" t="s">
        <v>0</v>
      </c>
    </row>
    <row r="4247" spans="1:6" x14ac:dyDescent="0.25">
      <c r="A4247" s="62">
        <v>44193</v>
      </c>
      <c r="B4247" s="62" t="s">
        <v>3585</v>
      </c>
      <c r="C4247" s="23">
        <v>-17535</v>
      </c>
      <c r="D4247" s="24" t="s">
        <v>72</v>
      </c>
      <c r="E4247" s="24" t="s">
        <v>109</v>
      </c>
      <c r="F4247" s="63" t="s">
        <v>0</v>
      </c>
    </row>
    <row r="4248" spans="1:6" x14ac:dyDescent="0.25">
      <c r="A4248" s="62">
        <v>44193</v>
      </c>
      <c r="B4248" s="62" t="s">
        <v>3586</v>
      </c>
      <c r="C4248" s="23">
        <v>-699</v>
      </c>
      <c r="D4248" s="24" t="s">
        <v>49</v>
      </c>
      <c r="E4248" s="24" t="s">
        <v>56</v>
      </c>
      <c r="F4248" s="63" t="s">
        <v>0</v>
      </c>
    </row>
    <row r="4249" spans="1:6" x14ac:dyDescent="0.25">
      <c r="A4249" s="62">
        <v>44193</v>
      </c>
      <c r="B4249" s="62" t="s">
        <v>3587</v>
      </c>
      <c r="C4249" s="23">
        <v>-3990</v>
      </c>
      <c r="D4249" s="24" t="s">
        <v>46</v>
      </c>
      <c r="E4249" s="24" t="s">
        <v>63</v>
      </c>
      <c r="F4249" s="63" t="s">
        <v>0</v>
      </c>
    </row>
    <row r="4250" spans="1:6" x14ac:dyDescent="0.25">
      <c r="A4250" s="62">
        <v>44193</v>
      </c>
      <c r="B4250" s="62" t="s">
        <v>3588</v>
      </c>
      <c r="C4250" s="23">
        <v>-7189</v>
      </c>
      <c r="D4250" s="24" t="s">
        <v>49</v>
      </c>
      <c r="E4250" s="24" t="s">
        <v>67</v>
      </c>
      <c r="F4250" s="63" t="s">
        <v>0</v>
      </c>
    </row>
    <row r="4251" spans="1:6" x14ac:dyDescent="0.25">
      <c r="A4251" s="62">
        <v>44193</v>
      </c>
      <c r="B4251" s="62" t="s">
        <v>3589</v>
      </c>
      <c r="C4251" s="23">
        <v>-14377</v>
      </c>
      <c r="D4251" s="24" t="s">
        <v>72</v>
      </c>
      <c r="E4251" s="24" t="s">
        <v>445</v>
      </c>
      <c r="F4251" s="63" t="s">
        <v>0</v>
      </c>
    </row>
    <row r="4252" spans="1:6" x14ac:dyDescent="0.25">
      <c r="A4252" s="62">
        <v>44193</v>
      </c>
      <c r="B4252" s="62" t="s">
        <v>3590</v>
      </c>
      <c r="C4252" s="23">
        <v>-44977</v>
      </c>
      <c r="D4252" s="24" t="s">
        <v>46</v>
      </c>
      <c r="E4252" s="24" t="s">
        <v>3256</v>
      </c>
      <c r="F4252" s="63" t="s">
        <v>0</v>
      </c>
    </row>
    <row r="4253" spans="1:6" x14ac:dyDescent="0.25">
      <c r="A4253" s="62">
        <v>44193</v>
      </c>
      <c r="B4253" s="62" t="s">
        <v>3591</v>
      </c>
      <c r="C4253" s="23">
        <v>-5993</v>
      </c>
      <c r="D4253" s="24" t="s">
        <v>46</v>
      </c>
      <c r="E4253" s="24" t="s">
        <v>80</v>
      </c>
      <c r="F4253" s="63" t="s">
        <v>0</v>
      </c>
    </row>
    <row r="4254" spans="1:6" x14ac:dyDescent="0.25">
      <c r="A4254" s="62">
        <v>44188</v>
      </c>
      <c r="B4254" s="62" t="s">
        <v>3592</v>
      </c>
      <c r="C4254" s="23">
        <v>-75000</v>
      </c>
      <c r="D4254" s="24" t="s">
        <v>72</v>
      </c>
      <c r="E4254" s="24" t="s">
        <v>445</v>
      </c>
      <c r="F4254" s="63" t="s">
        <v>7</v>
      </c>
    </row>
    <row r="4255" spans="1:6" x14ac:dyDescent="0.25">
      <c r="A4255" s="62">
        <v>44188</v>
      </c>
      <c r="B4255" s="62" t="s">
        <v>3593</v>
      </c>
      <c r="C4255" s="23">
        <v>-5287</v>
      </c>
      <c r="D4255" s="24" t="s">
        <v>49</v>
      </c>
      <c r="E4255" s="24" t="s">
        <v>164</v>
      </c>
      <c r="F4255" s="63" t="s">
        <v>0</v>
      </c>
    </row>
    <row r="4256" spans="1:6" x14ac:dyDescent="0.25">
      <c r="A4256" s="62">
        <v>44188</v>
      </c>
      <c r="B4256" s="62" t="s">
        <v>3594</v>
      </c>
      <c r="C4256" s="23">
        <v>-1670</v>
      </c>
      <c r="D4256" s="24" t="s">
        <v>52</v>
      </c>
      <c r="E4256" s="24" t="s">
        <v>53</v>
      </c>
      <c r="F4256" s="63" t="s">
        <v>0</v>
      </c>
    </row>
    <row r="4257" spans="1:6" x14ac:dyDescent="0.25">
      <c r="A4257" s="62">
        <v>44188</v>
      </c>
      <c r="B4257" s="62" t="s">
        <v>3595</v>
      </c>
      <c r="C4257" s="23">
        <v>-3083</v>
      </c>
      <c r="D4257" s="24" t="s">
        <v>49</v>
      </c>
      <c r="E4257" s="24" t="s">
        <v>56</v>
      </c>
      <c r="F4257" s="63" t="s">
        <v>0</v>
      </c>
    </row>
    <row r="4258" spans="1:6" x14ac:dyDescent="0.25">
      <c r="A4258" s="62">
        <v>44188</v>
      </c>
      <c r="B4258" s="62" t="s">
        <v>3596</v>
      </c>
      <c r="C4258" s="23">
        <v>-5660</v>
      </c>
      <c r="D4258" s="24" t="s">
        <v>49</v>
      </c>
      <c r="E4258" s="24" t="s">
        <v>56</v>
      </c>
      <c r="F4258" s="63" t="s">
        <v>0</v>
      </c>
    </row>
    <row r="4259" spans="1:6" x14ac:dyDescent="0.25">
      <c r="A4259" s="62">
        <v>44187</v>
      </c>
      <c r="B4259" s="62" t="s">
        <v>3597</v>
      </c>
      <c r="C4259" s="23">
        <v>-895</v>
      </c>
      <c r="D4259" s="24" t="s">
        <v>46</v>
      </c>
      <c r="E4259" s="24" t="s">
        <v>47</v>
      </c>
      <c r="F4259" s="63" t="s">
        <v>0</v>
      </c>
    </row>
    <row r="4260" spans="1:6" x14ac:dyDescent="0.25">
      <c r="A4260" s="62">
        <v>44187</v>
      </c>
      <c r="B4260" s="62" t="s">
        <v>3598</v>
      </c>
      <c r="C4260" s="23">
        <v>150000</v>
      </c>
      <c r="D4260" s="24" t="s">
        <v>206</v>
      </c>
      <c r="E4260" s="24" t="s">
        <v>830</v>
      </c>
      <c r="F4260" s="63" t="s">
        <v>7</v>
      </c>
    </row>
    <row r="4261" spans="1:6" x14ac:dyDescent="0.25">
      <c r="A4261" s="62">
        <v>44187</v>
      </c>
      <c r="B4261" s="62" t="s">
        <v>3598</v>
      </c>
      <c r="C4261" s="23">
        <v>-150000</v>
      </c>
      <c r="D4261" s="24" t="s">
        <v>206</v>
      </c>
      <c r="E4261" s="24" t="s">
        <v>830</v>
      </c>
      <c r="F4261" s="63" t="s">
        <v>0</v>
      </c>
    </row>
    <row r="4262" spans="1:6" x14ac:dyDescent="0.25">
      <c r="A4262" s="62">
        <v>44187</v>
      </c>
      <c r="B4262" s="62" t="s">
        <v>3599</v>
      </c>
      <c r="C4262" s="23">
        <v>-5000</v>
      </c>
      <c r="D4262" s="24" t="s">
        <v>72</v>
      </c>
      <c r="E4262" s="24" t="s">
        <v>126</v>
      </c>
      <c r="F4262" s="63" t="s">
        <v>0</v>
      </c>
    </row>
    <row r="4263" spans="1:6" x14ac:dyDescent="0.25">
      <c r="A4263" s="62">
        <v>44186</v>
      </c>
      <c r="B4263" s="62" t="s">
        <v>3600</v>
      </c>
      <c r="C4263" s="23">
        <v>-100</v>
      </c>
      <c r="D4263" s="24" t="s">
        <v>167</v>
      </c>
      <c r="E4263" s="24" t="s">
        <v>168</v>
      </c>
      <c r="F4263" s="63" t="s">
        <v>5</v>
      </c>
    </row>
    <row r="4264" spans="1:6" x14ac:dyDescent="0.25">
      <c r="A4264" s="62">
        <v>44186</v>
      </c>
      <c r="B4264" s="62" t="s">
        <v>3601</v>
      </c>
      <c r="C4264" s="23">
        <v>9241</v>
      </c>
      <c r="D4264" s="24" t="s">
        <v>58</v>
      </c>
      <c r="E4264" s="24" t="s">
        <v>58</v>
      </c>
      <c r="F4264" s="63" t="s">
        <v>4</v>
      </c>
    </row>
    <row r="4265" spans="1:6" x14ac:dyDescent="0.25">
      <c r="A4265" s="62">
        <v>44186</v>
      </c>
      <c r="B4265" s="62" t="s">
        <v>3602</v>
      </c>
      <c r="C4265" s="23">
        <v>12000</v>
      </c>
      <c r="D4265" s="24" t="s">
        <v>58</v>
      </c>
      <c r="E4265" s="24" t="s">
        <v>58</v>
      </c>
      <c r="F4265" s="63" t="s">
        <v>4</v>
      </c>
    </row>
    <row r="4266" spans="1:6" x14ac:dyDescent="0.25">
      <c r="A4266" s="62">
        <v>44186</v>
      </c>
      <c r="B4266" s="62" t="s">
        <v>3603</v>
      </c>
      <c r="C4266" s="23">
        <v>-7311</v>
      </c>
      <c r="D4266" s="24" t="s">
        <v>49</v>
      </c>
      <c r="E4266" s="24" t="s">
        <v>56</v>
      </c>
      <c r="F4266" s="63" t="s">
        <v>0</v>
      </c>
    </row>
    <row r="4267" spans="1:6" x14ac:dyDescent="0.25">
      <c r="A4267" s="62">
        <v>44186</v>
      </c>
      <c r="B4267" s="62" t="s">
        <v>3604</v>
      </c>
      <c r="C4267" s="23">
        <v>-6021</v>
      </c>
      <c r="D4267" s="24" t="s">
        <v>49</v>
      </c>
      <c r="E4267" s="24" t="s">
        <v>56</v>
      </c>
      <c r="F4267" s="63" t="s">
        <v>0</v>
      </c>
    </row>
    <row r="4268" spans="1:6" x14ac:dyDescent="0.25">
      <c r="A4268" s="62">
        <v>44186</v>
      </c>
      <c r="B4268" s="62" t="s">
        <v>3605</v>
      </c>
      <c r="C4268" s="23">
        <v>-9543</v>
      </c>
      <c r="D4268" s="24" t="s">
        <v>49</v>
      </c>
      <c r="E4268" s="24" t="s">
        <v>56</v>
      </c>
      <c r="F4268" s="63" t="s">
        <v>0</v>
      </c>
    </row>
    <row r="4269" spans="1:6" x14ac:dyDescent="0.25">
      <c r="A4269" s="62">
        <v>44186</v>
      </c>
      <c r="B4269" s="62" t="s">
        <v>3606</v>
      </c>
      <c r="C4269" s="23">
        <v>-1520</v>
      </c>
      <c r="D4269" s="24" t="s">
        <v>52</v>
      </c>
      <c r="E4269" s="24" t="s">
        <v>53</v>
      </c>
      <c r="F4269" s="63" t="s">
        <v>0</v>
      </c>
    </row>
    <row r="4270" spans="1:6" x14ac:dyDescent="0.25">
      <c r="A4270" s="62">
        <v>44182</v>
      </c>
      <c r="B4270" s="62" t="s">
        <v>3607</v>
      </c>
      <c r="C4270" s="23">
        <v>-12430</v>
      </c>
      <c r="D4270" s="24" t="s">
        <v>72</v>
      </c>
      <c r="E4270" s="24" t="s">
        <v>109</v>
      </c>
      <c r="F4270" s="63" t="s">
        <v>0</v>
      </c>
    </row>
    <row r="4271" spans="1:6" x14ac:dyDescent="0.25">
      <c r="A4271" s="62">
        <v>44182</v>
      </c>
      <c r="B4271" s="62" t="s">
        <v>3608</v>
      </c>
      <c r="C4271" s="23">
        <v>-7439</v>
      </c>
      <c r="D4271" s="24" t="s">
        <v>49</v>
      </c>
      <c r="E4271" s="24" t="s">
        <v>1165</v>
      </c>
      <c r="F4271" s="63" t="s">
        <v>0</v>
      </c>
    </row>
    <row r="4272" spans="1:6" x14ac:dyDescent="0.25">
      <c r="A4272" s="62">
        <v>44181</v>
      </c>
      <c r="B4272" s="62" t="s">
        <v>3609</v>
      </c>
      <c r="C4272" s="23">
        <v>-1550</v>
      </c>
      <c r="D4272" s="24" t="s">
        <v>72</v>
      </c>
      <c r="E4272" s="24" t="s">
        <v>266</v>
      </c>
      <c r="F4272" s="63" t="s">
        <v>0</v>
      </c>
    </row>
    <row r="4273" spans="1:6" x14ac:dyDescent="0.25">
      <c r="A4273" s="62">
        <v>44180</v>
      </c>
      <c r="B4273" s="62" t="s">
        <v>3610</v>
      </c>
      <c r="C4273" s="23">
        <v>-6870</v>
      </c>
      <c r="D4273" s="24" t="s">
        <v>52</v>
      </c>
      <c r="E4273" s="24" t="s">
        <v>53</v>
      </c>
      <c r="F4273" s="63" t="s">
        <v>4</v>
      </c>
    </row>
    <row r="4274" spans="1:6" x14ac:dyDescent="0.25">
      <c r="A4274" s="62">
        <v>44180</v>
      </c>
      <c r="B4274" s="62" t="s">
        <v>3592</v>
      </c>
      <c r="C4274" s="23">
        <v>-130000</v>
      </c>
      <c r="D4274" s="24" t="s">
        <v>72</v>
      </c>
      <c r="E4274" s="24" t="s">
        <v>445</v>
      </c>
      <c r="F4274" s="63" t="s">
        <v>7</v>
      </c>
    </row>
    <row r="4275" spans="1:6" x14ac:dyDescent="0.25">
      <c r="A4275" s="62">
        <v>44179</v>
      </c>
      <c r="B4275" s="62" t="s">
        <v>3611</v>
      </c>
      <c r="C4275" s="23">
        <v>-5450</v>
      </c>
      <c r="D4275" s="24" t="s">
        <v>72</v>
      </c>
      <c r="E4275" s="24" t="s">
        <v>445</v>
      </c>
      <c r="F4275" s="63" t="s">
        <v>0</v>
      </c>
    </row>
    <row r="4276" spans="1:6" x14ac:dyDescent="0.25">
      <c r="A4276" s="62">
        <v>44177</v>
      </c>
      <c r="B4276" s="62" t="s">
        <v>3410</v>
      </c>
      <c r="C4276" s="23">
        <v>-110000</v>
      </c>
      <c r="D4276" s="24" t="s">
        <v>46</v>
      </c>
      <c r="E4276" s="24" t="s">
        <v>3410</v>
      </c>
      <c r="F4276" s="63" t="s">
        <v>7</v>
      </c>
    </row>
    <row r="4277" spans="1:6" x14ac:dyDescent="0.25">
      <c r="A4277" s="62">
        <v>44177</v>
      </c>
      <c r="B4277" s="62" t="s">
        <v>3598</v>
      </c>
      <c r="C4277" s="23">
        <v>150000</v>
      </c>
      <c r="D4277" s="24" t="s">
        <v>206</v>
      </c>
      <c r="E4277" s="24" t="s">
        <v>830</v>
      </c>
      <c r="F4277" s="63" t="s">
        <v>7</v>
      </c>
    </row>
    <row r="4278" spans="1:6" x14ac:dyDescent="0.25">
      <c r="A4278" s="62">
        <v>44177</v>
      </c>
      <c r="B4278" s="62" t="s">
        <v>3598</v>
      </c>
      <c r="C4278" s="23">
        <v>-150000</v>
      </c>
      <c r="D4278" s="24" t="s">
        <v>206</v>
      </c>
      <c r="E4278" s="24" t="s">
        <v>830</v>
      </c>
      <c r="F4278" s="63" t="s">
        <v>0</v>
      </c>
    </row>
    <row r="4279" spans="1:6" x14ac:dyDescent="0.25">
      <c r="A4279" s="62">
        <v>44177</v>
      </c>
      <c r="B4279" s="62" t="s">
        <v>3612</v>
      </c>
      <c r="C4279" s="23">
        <v>-4298</v>
      </c>
      <c r="D4279" s="24" t="s">
        <v>49</v>
      </c>
      <c r="E4279" s="24" t="s">
        <v>56</v>
      </c>
      <c r="F4279" s="63" t="s">
        <v>0</v>
      </c>
    </row>
    <row r="4280" spans="1:6" x14ac:dyDescent="0.25">
      <c r="A4280" s="62">
        <v>44177</v>
      </c>
      <c r="B4280" s="62" t="s">
        <v>3613</v>
      </c>
      <c r="C4280" s="23">
        <v>-990</v>
      </c>
      <c r="D4280" s="24" t="s">
        <v>49</v>
      </c>
      <c r="E4280" s="24" t="s">
        <v>56</v>
      </c>
      <c r="F4280" s="63" t="s">
        <v>0</v>
      </c>
    </row>
    <row r="4281" spans="1:6" x14ac:dyDescent="0.25">
      <c r="A4281" s="62">
        <v>44177</v>
      </c>
      <c r="B4281" s="62" t="s">
        <v>3614</v>
      </c>
      <c r="C4281" s="23">
        <v>-4560</v>
      </c>
      <c r="D4281" s="24" t="s">
        <v>46</v>
      </c>
      <c r="E4281" s="24" t="s">
        <v>47</v>
      </c>
      <c r="F4281" s="63" t="s">
        <v>0</v>
      </c>
    </row>
    <row r="4282" spans="1:6" x14ac:dyDescent="0.25">
      <c r="A4282" s="62">
        <v>44177</v>
      </c>
      <c r="B4282" s="62" t="s">
        <v>3615</v>
      </c>
      <c r="C4282" s="23">
        <v>-1527</v>
      </c>
      <c r="D4282" s="24" t="s">
        <v>49</v>
      </c>
      <c r="E4282" s="24" t="s">
        <v>56</v>
      </c>
      <c r="F4282" s="63" t="s">
        <v>0</v>
      </c>
    </row>
    <row r="4283" spans="1:6" x14ac:dyDescent="0.25">
      <c r="A4283" s="62">
        <v>44176</v>
      </c>
      <c r="B4283" s="62" t="s">
        <v>3616</v>
      </c>
      <c r="C4283" s="23">
        <v>-1247</v>
      </c>
      <c r="D4283" s="24" t="s">
        <v>49</v>
      </c>
      <c r="E4283" s="24" t="s">
        <v>56</v>
      </c>
      <c r="F4283" s="63" t="s">
        <v>0</v>
      </c>
    </row>
    <row r="4284" spans="1:6" x14ac:dyDescent="0.25">
      <c r="A4284" s="62">
        <v>44175</v>
      </c>
      <c r="B4284" s="62" t="s">
        <v>3617</v>
      </c>
      <c r="C4284" s="23">
        <v>-1650</v>
      </c>
      <c r="D4284" s="24" t="s">
        <v>52</v>
      </c>
      <c r="E4284" s="24" t="s">
        <v>53</v>
      </c>
      <c r="F4284" s="63" t="s">
        <v>0</v>
      </c>
    </row>
    <row r="4285" spans="1:6" x14ac:dyDescent="0.25">
      <c r="A4285" s="62">
        <v>44175</v>
      </c>
      <c r="B4285" s="62" t="s">
        <v>3618</v>
      </c>
      <c r="C4285" s="23">
        <v>-535</v>
      </c>
      <c r="D4285" s="24" t="s">
        <v>49</v>
      </c>
      <c r="E4285" s="24" t="s">
        <v>56</v>
      </c>
      <c r="F4285" s="63" t="s">
        <v>0</v>
      </c>
    </row>
    <row r="4286" spans="1:6" x14ac:dyDescent="0.25">
      <c r="A4286" s="62">
        <v>44175</v>
      </c>
      <c r="B4286" s="62" t="s">
        <v>1651</v>
      </c>
      <c r="C4286" s="23">
        <v>665000</v>
      </c>
      <c r="D4286" s="24" t="s">
        <v>58</v>
      </c>
      <c r="E4286" s="24" t="s">
        <v>58</v>
      </c>
      <c r="F4286" s="63" t="s">
        <v>0</v>
      </c>
    </row>
    <row r="4287" spans="1:6" x14ac:dyDescent="0.25">
      <c r="A4287" s="62">
        <v>44173</v>
      </c>
      <c r="B4287" s="62" t="s">
        <v>3610</v>
      </c>
      <c r="C4287" s="23">
        <v>-2240</v>
      </c>
      <c r="D4287" s="24" t="s">
        <v>52</v>
      </c>
      <c r="E4287" s="24" t="s">
        <v>53</v>
      </c>
      <c r="F4287" s="63" t="s">
        <v>4</v>
      </c>
    </row>
    <row r="4288" spans="1:6" x14ac:dyDescent="0.25">
      <c r="A4288" s="62">
        <v>44173</v>
      </c>
      <c r="B4288" s="62" t="s">
        <v>3496</v>
      </c>
      <c r="C4288" s="23">
        <v>-1800</v>
      </c>
      <c r="D4288" s="24" t="s">
        <v>49</v>
      </c>
      <c r="E4288" s="24" t="s">
        <v>67</v>
      </c>
      <c r="F4288" s="63" t="s">
        <v>0</v>
      </c>
    </row>
    <row r="4289" spans="1:6" x14ac:dyDescent="0.25">
      <c r="A4289" s="62">
        <v>44173</v>
      </c>
      <c r="B4289" s="62" t="s">
        <v>3619</v>
      </c>
      <c r="C4289" s="23">
        <v>-4975</v>
      </c>
      <c r="D4289" s="24" t="s">
        <v>49</v>
      </c>
      <c r="E4289" s="24" t="s">
        <v>56</v>
      </c>
      <c r="F4289" s="63" t="s">
        <v>0</v>
      </c>
    </row>
    <row r="4290" spans="1:6" x14ac:dyDescent="0.25">
      <c r="A4290" s="62">
        <v>44173</v>
      </c>
      <c r="B4290" s="62" t="s">
        <v>3620</v>
      </c>
      <c r="C4290" s="23">
        <v>-3754</v>
      </c>
      <c r="D4290" s="24" t="s">
        <v>72</v>
      </c>
      <c r="E4290" s="24" t="s">
        <v>266</v>
      </c>
      <c r="F4290" s="63" t="s">
        <v>0</v>
      </c>
    </row>
    <row r="4291" spans="1:6" x14ac:dyDescent="0.25">
      <c r="A4291" s="62">
        <v>44172</v>
      </c>
      <c r="B4291" s="62" t="s">
        <v>3621</v>
      </c>
      <c r="C4291" s="23">
        <v>-4960</v>
      </c>
      <c r="D4291" s="24" t="s">
        <v>46</v>
      </c>
      <c r="E4291" s="24" t="s">
        <v>47</v>
      </c>
      <c r="F4291" s="63" t="s">
        <v>0</v>
      </c>
    </row>
    <row r="4292" spans="1:6" x14ac:dyDescent="0.25">
      <c r="A4292" s="62">
        <v>44172</v>
      </c>
      <c r="B4292" s="62" t="s">
        <v>3622</v>
      </c>
      <c r="C4292" s="23">
        <v>-1800</v>
      </c>
      <c r="D4292" s="24" t="s">
        <v>52</v>
      </c>
      <c r="E4292" s="24" t="s">
        <v>134</v>
      </c>
      <c r="F4292" s="63" t="s">
        <v>0</v>
      </c>
    </row>
    <row r="4293" spans="1:6" x14ac:dyDescent="0.25">
      <c r="A4293" s="62">
        <v>44172</v>
      </c>
      <c r="B4293" s="62" t="s">
        <v>3623</v>
      </c>
      <c r="C4293" s="23">
        <v>19082</v>
      </c>
      <c r="D4293" s="24" t="s">
        <v>49</v>
      </c>
      <c r="E4293" s="24" t="s">
        <v>67</v>
      </c>
      <c r="F4293" s="63" t="s">
        <v>0</v>
      </c>
    </row>
    <row r="4294" spans="1:6" x14ac:dyDescent="0.25">
      <c r="A4294" s="62">
        <v>44170</v>
      </c>
      <c r="B4294" s="62" t="s">
        <v>3610</v>
      </c>
      <c r="C4294" s="23">
        <v>-2790</v>
      </c>
      <c r="D4294" s="24" t="s">
        <v>52</v>
      </c>
      <c r="E4294" s="24" t="s">
        <v>53</v>
      </c>
      <c r="F4294" s="63" t="s">
        <v>4</v>
      </c>
    </row>
    <row r="4295" spans="1:6" x14ac:dyDescent="0.25">
      <c r="A4295" s="62">
        <v>44169</v>
      </c>
      <c r="B4295" s="62" t="s">
        <v>3624</v>
      </c>
      <c r="C4295" s="23">
        <v>-11890</v>
      </c>
      <c r="D4295" s="24" t="s">
        <v>49</v>
      </c>
      <c r="E4295" s="24" t="s">
        <v>56</v>
      </c>
      <c r="F4295" s="63" t="s">
        <v>0</v>
      </c>
    </row>
    <row r="4296" spans="1:6" x14ac:dyDescent="0.25">
      <c r="A4296" s="62">
        <v>44169</v>
      </c>
      <c r="B4296" s="62" t="s">
        <v>3625</v>
      </c>
      <c r="C4296" s="23">
        <v>344250</v>
      </c>
      <c r="D4296" s="24" t="s">
        <v>58</v>
      </c>
      <c r="E4296" s="24" t="s">
        <v>58</v>
      </c>
      <c r="F4296" s="63" t="s">
        <v>0</v>
      </c>
    </row>
    <row r="4297" spans="1:6" x14ac:dyDescent="0.25">
      <c r="A4297" s="62">
        <v>44168</v>
      </c>
      <c r="B4297" s="62" t="s">
        <v>3626</v>
      </c>
      <c r="C4297" s="23">
        <v>-1137</v>
      </c>
      <c r="D4297" s="24" t="s">
        <v>49</v>
      </c>
      <c r="E4297" s="24" t="s">
        <v>56</v>
      </c>
      <c r="F4297" s="63" t="s">
        <v>0</v>
      </c>
    </row>
    <row r="4298" spans="1:6" x14ac:dyDescent="0.25">
      <c r="A4298" s="62">
        <v>44168</v>
      </c>
      <c r="B4298" s="62" t="s">
        <v>3627</v>
      </c>
      <c r="C4298" s="23">
        <v>333950</v>
      </c>
      <c r="D4298" s="24" t="s">
        <v>167</v>
      </c>
      <c r="E4298" s="24" t="s">
        <v>1658</v>
      </c>
      <c r="F4298" s="63" t="s">
        <v>5</v>
      </c>
    </row>
    <row r="4299" spans="1:6" x14ac:dyDescent="0.25">
      <c r="A4299" s="62">
        <v>44168</v>
      </c>
      <c r="B4299" s="62" t="s">
        <v>3627</v>
      </c>
      <c r="C4299" s="23">
        <v>-350000</v>
      </c>
      <c r="D4299" s="24" t="s">
        <v>167</v>
      </c>
      <c r="E4299" s="24" t="s">
        <v>1658</v>
      </c>
      <c r="F4299" s="63" t="s">
        <v>0</v>
      </c>
    </row>
    <row r="4300" spans="1:6" x14ac:dyDescent="0.25">
      <c r="A4300" s="62">
        <v>44167</v>
      </c>
      <c r="B4300" s="62" t="s">
        <v>3628</v>
      </c>
      <c r="C4300" s="23">
        <v>-1990</v>
      </c>
      <c r="D4300" s="24" t="s">
        <v>52</v>
      </c>
      <c r="E4300" s="24" t="s">
        <v>53</v>
      </c>
      <c r="F4300" s="63" t="s">
        <v>0</v>
      </c>
    </row>
    <row r="4301" spans="1:6" x14ac:dyDescent="0.25">
      <c r="A4301" s="62">
        <v>44167</v>
      </c>
      <c r="B4301" s="62" t="s">
        <v>3629</v>
      </c>
      <c r="C4301" s="23">
        <v>-209</v>
      </c>
      <c r="D4301" s="24" t="s">
        <v>49</v>
      </c>
      <c r="E4301" s="24" t="s">
        <v>56</v>
      </c>
      <c r="F4301" s="63" t="s">
        <v>0</v>
      </c>
    </row>
    <row r="4302" spans="1:6" x14ac:dyDescent="0.25">
      <c r="A4302" s="62">
        <v>44167</v>
      </c>
      <c r="B4302" s="62" t="s">
        <v>3630</v>
      </c>
      <c r="C4302" s="23">
        <v>-16309.42</v>
      </c>
      <c r="D4302" s="24" t="s">
        <v>49</v>
      </c>
      <c r="E4302" s="24" t="s">
        <v>67</v>
      </c>
      <c r="F4302" s="63" t="s">
        <v>0</v>
      </c>
    </row>
    <row r="4303" spans="1:6" x14ac:dyDescent="0.25">
      <c r="A4303" s="62">
        <v>44166</v>
      </c>
      <c r="B4303" s="62" t="s">
        <v>3631</v>
      </c>
      <c r="C4303" s="23">
        <v>-2773.41</v>
      </c>
      <c r="D4303" s="24" t="s">
        <v>49</v>
      </c>
      <c r="E4303" s="24" t="s">
        <v>67</v>
      </c>
      <c r="F4303" s="63" t="s">
        <v>0</v>
      </c>
    </row>
    <row r="4304" spans="1:6" x14ac:dyDescent="0.25">
      <c r="A4304" s="62">
        <v>44165</v>
      </c>
      <c r="B4304" s="62" t="s">
        <v>3632</v>
      </c>
      <c r="C4304" s="23">
        <v>-6304</v>
      </c>
      <c r="D4304" s="24" t="s">
        <v>49</v>
      </c>
      <c r="E4304" s="24" t="s">
        <v>56</v>
      </c>
      <c r="F4304" s="63" t="s">
        <v>0</v>
      </c>
    </row>
    <row r="4305" spans="1:6" x14ac:dyDescent="0.25">
      <c r="A4305" s="62">
        <v>44165</v>
      </c>
      <c r="B4305" s="62" t="s">
        <v>3633</v>
      </c>
      <c r="C4305" s="23">
        <v>-11680</v>
      </c>
      <c r="D4305" s="24" t="s">
        <v>72</v>
      </c>
      <c r="E4305" s="24" t="s">
        <v>109</v>
      </c>
      <c r="F4305" s="63" t="s">
        <v>0</v>
      </c>
    </row>
    <row r="4306" spans="1:6" x14ac:dyDescent="0.25">
      <c r="A4306" s="62">
        <v>44165</v>
      </c>
      <c r="B4306" s="62" t="s">
        <v>3634</v>
      </c>
      <c r="C4306" s="23">
        <v>-468</v>
      </c>
      <c r="D4306" s="24" t="s">
        <v>49</v>
      </c>
      <c r="E4306" s="24" t="s">
        <v>56</v>
      </c>
      <c r="F4306" s="63" t="s">
        <v>0</v>
      </c>
    </row>
    <row r="4307" spans="1:6" x14ac:dyDescent="0.25">
      <c r="A4307" s="62">
        <v>44165</v>
      </c>
      <c r="B4307" s="62" t="s">
        <v>3635</v>
      </c>
      <c r="C4307" s="23">
        <v>-7008</v>
      </c>
      <c r="D4307" s="24" t="s">
        <v>49</v>
      </c>
      <c r="E4307" s="24" t="s">
        <v>1165</v>
      </c>
      <c r="F4307" s="63" t="s">
        <v>0</v>
      </c>
    </row>
    <row r="4308" spans="1:6" x14ac:dyDescent="0.25">
      <c r="A4308" s="62">
        <v>44165</v>
      </c>
      <c r="B4308" s="62" t="s">
        <v>3636</v>
      </c>
      <c r="C4308" s="23">
        <v>-3990</v>
      </c>
      <c r="D4308" s="24" t="s">
        <v>46</v>
      </c>
      <c r="E4308" s="24" t="s">
        <v>63</v>
      </c>
      <c r="F4308" s="63" t="s">
        <v>0</v>
      </c>
    </row>
    <row r="4309" spans="1:6" x14ac:dyDescent="0.25">
      <c r="A4309" s="62">
        <v>44162</v>
      </c>
      <c r="B4309" s="62" t="s">
        <v>3637</v>
      </c>
      <c r="C4309" s="23">
        <v>-1150</v>
      </c>
      <c r="D4309" s="24" t="s">
        <v>52</v>
      </c>
      <c r="E4309" s="24" t="s">
        <v>53</v>
      </c>
      <c r="F4309" s="63" t="s">
        <v>0</v>
      </c>
    </row>
    <row r="4310" spans="1:6" x14ac:dyDescent="0.25">
      <c r="A4310" s="62">
        <v>44162</v>
      </c>
      <c r="B4310" s="62" t="s">
        <v>3401</v>
      </c>
      <c r="C4310" s="23">
        <v>-650</v>
      </c>
      <c r="D4310" s="24" t="s">
        <v>52</v>
      </c>
      <c r="E4310" s="24" t="s">
        <v>134</v>
      </c>
      <c r="F4310" s="63" t="s">
        <v>0</v>
      </c>
    </row>
    <row r="4311" spans="1:6" x14ac:dyDescent="0.25">
      <c r="A4311" s="62">
        <v>44162</v>
      </c>
      <c r="B4311" s="62" t="s">
        <v>3638</v>
      </c>
      <c r="C4311" s="23">
        <v>-16717</v>
      </c>
      <c r="D4311" s="24" t="s">
        <v>46</v>
      </c>
      <c r="E4311" s="24" t="s">
        <v>3410</v>
      </c>
      <c r="F4311" s="63" t="s">
        <v>0</v>
      </c>
    </row>
    <row r="4312" spans="1:6" x14ac:dyDescent="0.25">
      <c r="A4312" s="62">
        <v>44161</v>
      </c>
      <c r="B4312" s="62" t="s">
        <v>3639</v>
      </c>
      <c r="C4312" s="23">
        <v>-1424</v>
      </c>
      <c r="D4312" s="24" t="s">
        <v>49</v>
      </c>
      <c r="E4312" s="24" t="s">
        <v>56</v>
      </c>
      <c r="F4312" s="63" t="s">
        <v>0</v>
      </c>
    </row>
    <row r="4313" spans="1:6" x14ac:dyDescent="0.25">
      <c r="A4313" s="62">
        <v>44160</v>
      </c>
      <c r="B4313" s="62" t="s">
        <v>3640</v>
      </c>
      <c r="C4313" s="23">
        <v>-579</v>
      </c>
      <c r="D4313" s="24" t="s">
        <v>49</v>
      </c>
      <c r="E4313" s="24" t="s">
        <v>56</v>
      </c>
      <c r="F4313" s="63" t="s">
        <v>0</v>
      </c>
    </row>
    <row r="4314" spans="1:6" x14ac:dyDescent="0.25">
      <c r="A4314" s="62">
        <v>44160</v>
      </c>
      <c r="B4314" s="62" t="s">
        <v>3641</v>
      </c>
      <c r="C4314" s="23">
        <v>-6470</v>
      </c>
      <c r="D4314" s="24" t="s">
        <v>49</v>
      </c>
      <c r="E4314" s="24" t="s">
        <v>232</v>
      </c>
      <c r="F4314" s="63" t="s">
        <v>0</v>
      </c>
    </row>
    <row r="4315" spans="1:6" x14ac:dyDescent="0.25">
      <c r="A4315" s="62">
        <v>44159</v>
      </c>
      <c r="B4315" s="62" t="s">
        <v>3642</v>
      </c>
      <c r="C4315" s="23">
        <v>-100</v>
      </c>
      <c r="D4315" s="24" t="s">
        <v>167</v>
      </c>
      <c r="E4315" s="24" t="s">
        <v>168</v>
      </c>
      <c r="F4315" s="63" t="s">
        <v>5</v>
      </c>
    </row>
    <row r="4316" spans="1:6" x14ac:dyDescent="0.25">
      <c r="A4316" s="62">
        <v>44159</v>
      </c>
      <c r="B4316" s="62" t="s">
        <v>3610</v>
      </c>
      <c r="C4316" s="23">
        <v>-2240</v>
      </c>
      <c r="D4316" s="24" t="s">
        <v>52</v>
      </c>
      <c r="E4316" s="24" t="s">
        <v>53</v>
      </c>
      <c r="F4316" s="63" t="s">
        <v>4</v>
      </c>
    </row>
    <row r="4317" spans="1:6" x14ac:dyDescent="0.25">
      <c r="A4317" s="62">
        <v>44159</v>
      </c>
      <c r="B4317" s="62" t="s">
        <v>3643</v>
      </c>
      <c r="C4317" s="23">
        <v>-797</v>
      </c>
      <c r="D4317" s="24" t="s">
        <v>49</v>
      </c>
      <c r="E4317" s="24" t="s">
        <v>56</v>
      </c>
      <c r="F4317" s="63" t="s">
        <v>0</v>
      </c>
    </row>
    <row r="4318" spans="1:6" x14ac:dyDescent="0.25">
      <c r="A4318" s="62">
        <v>44158</v>
      </c>
      <c r="B4318" s="62" t="s">
        <v>3601</v>
      </c>
      <c r="C4318" s="23">
        <v>9240</v>
      </c>
      <c r="D4318" s="24" t="s">
        <v>58</v>
      </c>
      <c r="E4318" s="24" t="s">
        <v>58</v>
      </c>
      <c r="F4318" s="63" t="s">
        <v>4</v>
      </c>
    </row>
    <row r="4319" spans="1:6" x14ac:dyDescent="0.25">
      <c r="A4319" s="62">
        <v>44158</v>
      </c>
      <c r="B4319" s="62" t="s">
        <v>3602</v>
      </c>
      <c r="C4319" s="23">
        <v>12000</v>
      </c>
      <c r="D4319" s="24" t="s">
        <v>58</v>
      </c>
      <c r="E4319" s="24" t="s">
        <v>58</v>
      </c>
      <c r="F4319" s="63" t="s">
        <v>4</v>
      </c>
    </row>
    <row r="4320" spans="1:6" x14ac:dyDescent="0.25">
      <c r="A4320" s="62">
        <v>44154</v>
      </c>
      <c r="B4320" s="62" t="s">
        <v>3644</v>
      </c>
      <c r="C4320" s="23">
        <v>-3564</v>
      </c>
      <c r="D4320" s="24" t="s">
        <v>49</v>
      </c>
      <c r="E4320" s="24" t="s">
        <v>67</v>
      </c>
      <c r="F4320" s="63" t="s">
        <v>0</v>
      </c>
    </row>
    <row r="4321" spans="1:6" x14ac:dyDescent="0.25">
      <c r="A4321" s="62">
        <v>44153</v>
      </c>
      <c r="B4321" s="62" t="s">
        <v>3645</v>
      </c>
      <c r="C4321" s="23">
        <v>42430</v>
      </c>
      <c r="D4321" s="24" t="s">
        <v>83</v>
      </c>
      <c r="E4321" s="24" t="s">
        <v>2151</v>
      </c>
      <c r="F4321" s="63" t="s">
        <v>0</v>
      </c>
    </row>
    <row r="4322" spans="1:6" x14ac:dyDescent="0.25">
      <c r="A4322" s="62">
        <v>44152</v>
      </c>
      <c r="B4322" s="62" t="s">
        <v>3646</v>
      </c>
      <c r="C4322" s="23">
        <v>-649</v>
      </c>
      <c r="D4322" s="24" t="s">
        <v>49</v>
      </c>
      <c r="E4322" s="24" t="s">
        <v>56</v>
      </c>
      <c r="F4322" s="63" t="s">
        <v>0</v>
      </c>
    </row>
    <row r="4323" spans="1:6" x14ac:dyDescent="0.25">
      <c r="A4323" s="62">
        <v>44152</v>
      </c>
      <c r="B4323" s="62" t="s">
        <v>3647</v>
      </c>
      <c r="C4323" s="23">
        <v>-5107</v>
      </c>
      <c r="D4323" s="24" t="s">
        <v>49</v>
      </c>
      <c r="E4323" s="24" t="s">
        <v>56</v>
      </c>
      <c r="F4323" s="63" t="s">
        <v>0</v>
      </c>
    </row>
    <row r="4324" spans="1:6" x14ac:dyDescent="0.25">
      <c r="A4324" s="62">
        <v>44152</v>
      </c>
      <c r="B4324" s="62" t="s">
        <v>3648</v>
      </c>
      <c r="C4324" s="23">
        <v>3276.49</v>
      </c>
      <c r="D4324" s="24" t="s">
        <v>46</v>
      </c>
      <c r="E4324" s="24" t="s">
        <v>63</v>
      </c>
      <c r="F4324" s="63" t="s">
        <v>0</v>
      </c>
    </row>
    <row r="4325" spans="1:6" x14ac:dyDescent="0.25">
      <c r="A4325" s="62">
        <v>44151</v>
      </c>
      <c r="B4325" s="62" t="s">
        <v>3649</v>
      </c>
      <c r="C4325" s="23">
        <v>-1747</v>
      </c>
      <c r="D4325" s="24" t="s">
        <v>49</v>
      </c>
      <c r="E4325" s="24" t="s">
        <v>56</v>
      </c>
      <c r="F4325" s="63" t="s">
        <v>0</v>
      </c>
    </row>
    <row r="4326" spans="1:6" x14ac:dyDescent="0.25">
      <c r="A4326" s="62">
        <v>44151</v>
      </c>
      <c r="B4326" s="62" t="s">
        <v>3650</v>
      </c>
      <c r="C4326" s="23">
        <v>-1157</v>
      </c>
      <c r="D4326" s="24" t="s">
        <v>49</v>
      </c>
      <c r="E4326" s="24" t="s">
        <v>56</v>
      </c>
      <c r="F4326" s="63" t="s">
        <v>0</v>
      </c>
    </row>
    <row r="4327" spans="1:6" x14ac:dyDescent="0.25">
      <c r="A4327" s="62">
        <v>44151</v>
      </c>
      <c r="B4327" s="62" t="s">
        <v>3651</v>
      </c>
      <c r="C4327" s="23">
        <v>-1947</v>
      </c>
      <c r="D4327" s="24" t="s">
        <v>49</v>
      </c>
      <c r="E4327" s="24" t="s">
        <v>56</v>
      </c>
      <c r="F4327" s="63" t="s">
        <v>0</v>
      </c>
    </row>
    <row r="4328" spans="1:6" x14ac:dyDescent="0.25">
      <c r="A4328" s="62">
        <v>44148</v>
      </c>
      <c r="B4328" s="62" t="s">
        <v>3652</v>
      </c>
      <c r="C4328" s="23">
        <v>-4441</v>
      </c>
      <c r="D4328" s="24" t="s">
        <v>49</v>
      </c>
      <c r="E4328" s="24" t="s">
        <v>56</v>
      </c>
      <c r="F4328" s="63" t="s">
        <v>0</v>
      </c>
    </row>
    <row r="4329" spans="1:6" x14ac:dyDescent="0.25">
      <c r="A4329" s="62">
        <v>44148</v>
      </c>
      <c r="B4329" s="62" t="s">
        <v>3653</v>
      </c>
      <c r="C4329" s="23">
        <v>-3293.07</v>
      </c>
      <c r="D4329" s="24" t="s">
        <v>46</v>
      </c>
      <c r="E4329" s="24" t="s">
        <v>63</v>
      </c>
      <c r="F4329" s="63" t="s">
        <v>0</v>
      </c>
    </row>
    <row r="4330" spans="1:6" x14ac:dyDescent="0.25">
      <c r="A4330" s="62">
        <v>44147</v>
      </c>
      <c r="B4330" s="62" t="s">
        <v>3410</v>
      </c>
      <c r="C4330" s="23">
        <v>-110000</v>
      </c>
      <c r="D4330" s="24" t="s">
        <v>46</v>
      </c>
      <c r="E4330" s="24" t="s">
        <v>3410</v>
      </c>
      <c r="F4330" s="63" t="s">
        <v>7</v>
      </c>
    </row>
    <row r="4331" spans="1:6" x14ac:dyDescent="0.25">
      <c r="A4331" s="62">
        <v>44146</v>
      </c>
      <c r="B4331" s="62" t="s">
        <v>3610</v>
      </c>
      <c r="C4331" s="23">
        <v>-3540</v>
      </c>
      <c r="D4331" s="24" t="s">
        <v>52</v>
      </c>
      <c r="E4331" s="24" t="s">
        <v>53</v>
      </c>
      <c r="F4331" s="63" t="s">
        <v>4</v>
      </c>
    </row>
    <row r="4332" spans="1:6" x14ac:dyDescent="0.25">
      <c r="A4332" s="62">
        <v>44145</v>
      </c>
      <c r="B4332" s="62" t="s">
        <v>3654</v>
      </c>
      <c r="C4332" s="23">
        <v>-3399</v>
      </c>
      <c r="D4332" s="24" t="s">
        <v>72</v>
      </c>
      <c r="E4332" s="24" t="s">
        <v>445</v>
      </c>
      <c r="F4332" s="63" t="s">
        <v>0</v>
      </c>
    </row>
    <row r="4333" spans="1:6" x14ac:dyDescent="0.25">
      <c r="A4333" s="62">
        <v>44145</v>
      </c>
      <c r="B4333" s="62" t="s">
        <v>1651</v>
      </c>
      <c r="C4333" s="23">
        <v>668960</v>
      </c>
      <c r="D4333" s="24" t="s">
        <v>58</v>
      </c>
      <c r="E4333" s="24" t="s">
        <v>58</v>
      </c>
      <c r="F4333" s="63" t="s">
        <v>0</v>
      </c>
    </row>
    <row r="4334" spans="1:6" x14ac:dyDescent="0.25">
      <c r="A4334" s="62">
        <v>44144</v>
      </c>
      <c r="B4334" s="62" t="s">
        <v>3655</v>
      </c>
      <c r="C4334" s="23">
        <v>-9421</v>
      </c>
      <c r="D4334" s="24" t="s">
        <v>49</v>
      </c>
      <c r="E4334" s="24" t="s">
        <v>56</v>
      </c>
      <c r="F4334" s="63" t="s">
        <v>0</v>
      </c>
    </row>
    <row r="4335" spans="1:6" x14ac:dyDescent="0.25">
      <c r="A4335" s="62">
        <v>44144</v>
      </c>
      <c r="B4335" s="62" t="s">
        <v>3656</v>
      </c>
      <c r="C4335" s="23">
        <v>149000</v>
      </c>
      <c r="D4335" s="24" t="s">
        <v>206</v>
      </c>
      <c r="E4335" s="24" t="s">
        <v>830</v>
      </c>
      <c r="F4335" s="63" t="s">
        <v>7</v>
      </c>
    </row>
    <row r="4336" spans="1:6" x14ac:dyDescent="0.25">
      <c r="A4336" s="62">
        <v>44144</v>
      </c>
      <c r="B4336" s="62" t="s">
        <v>3656</v>
      </c>
      <c r="C4336" s="23">
        <v>-149000</v>
      </c>
      <c r="D4336" s="24" t="s">
        <v>206</v>
      </c>
      <c r="E4336" s="24" t="s">
        <v>830</v>
      </c>
      <c r="F4336" s="63" t="s">
        <v>0</v>
      </c>
    </row>
    <row r="4337" spans="1:6" x14ac:dyDescent="0.25">
      <c r="A4337" s="62">
        <v>44144</v>
      </c>
      <c r="B4337" s="62" t="s">
        <v>3657</v>
      </c>
      <c r="C4337" s="23">
        <v>-23078</v>
      </c>
      <c r="D4337" s="24" t="s">
        <v>72</v>
      </c>
      <c r="E4337" s="24" t="s">
        <v>109</v>
      </c>
      <c r="F4337" s="63" t="s">
        <v>0</v>
      </c>
    </row>
    <row r="4338" spans="1:6" x14ac:dyDescent="0.25">
      <c r="A4338" s="62">
        <v>44144</v>
      </c>
      <c r="B4338" s="62" t="s">
        <v>3658</v>
      </c>
      <c r="C4338" s="23">
        <v>-3030</v>
      </c>
      <c r="D4338" s="24" t="s">
        <v>46</v>
      </c>
      <c r="E4338" s="24" t="s">
        <v>47</v>
      </c>
      <c r="F4338" s="63" t="s">
        <v>0</v>
      </c>
    </row>
    <row r="4339" spans="1:6" x14ac:dyDescent="0.25">
      <c r="A4339" s="62">
        <v>44144</v>
      </c>
      <c r="B4339" s="62" t="s">
        <v>3659</v>
      </c>
      <c r="C4339" s="23">
        <v>-9122</v>
      </c>
      <c r="D4339" s="24" t="s">
        <v>49</v>
      </c>
      <c r="E4339" s="24" t="s">
        <v>56</v>
      </c>
      <c r="F4339" s="63" t="s">
        <v>0</v>
      </c>
    </row>
    <row r="4340" spans="1:6" x14ac:dyDescent="0.25">
      <c r="A4340" s="62">
        <v>44141</v>
      </c>
      <c r="B4340" s="62" t="s">
        <v>3592</v>
      </c>
      <c r="C4340" s="23">
        <v>-220000</v>
      </c>
      <c r="D4340" s="24" t="s">
        <v>72</v>
      </c>
      <c r="E4340" s="24" t="s">
        <v>445</v>
      </c>
      <c r="F4340" s="63" t="s">
        <v>7</v>
      </c>
    </row>
    <row r="4341" spans="1:6" x14ac:dyDescent="0.25">
      <c r="A4341" s="62">
        <v>44140</v>
      </c>
      <c r="B4341" s="62" t="s">
        <v>3610</v>
      </c>
      <c r="C4341" s="23">
        <v>-1990</v>
      </c>
      <c r="D4341" s="24" t="s">
        <v>52</v>
      </c>
      <c r="E4341" s="24" t="s">
        <v>53</v>
      </c>
      <c r="F4341" s="63" t="s">
        <v>4</v>
      </c>
    </row>
    <row r="4342" spans="1:6" x14ac:dyDescent="0.25">
      <c r="A4342" s="62">
        <v>44140</v>
      </c>
      <c r="B4342" s="62" t="s">
        <v>3660</v>
      </c>
      <c r="C4342" s="23">
        <v>344250</v>
      </c>
      <c r="D4342" s="24" t="s">
        <v>58</v>
      </c>
      <c r="E4342" s="24" t="s">
        <v>58</v>
      </c>
      <c r="F4342" s="63" t="s">
        <v>0</v>
      </c>
    </row>
    <row r="4343" spans="1:6" x14ac:dyDescent="0.25">
      <c r="A4343" s="62">
        <v>44139</v>
      </c>
      <c r="B4343" s="62" t="s">
        <v>3661</v>
      </c>
      <c r="C4343" s="23">
        <v>-750</v>
      </c>
      <c r="D4343" s="24" t="s">
        <v>52</v>
      </c>
      <c r="E4343" s="24" t="s">
        <v>134</v>
      </c>
      <c r="F4343" s="63" t="s">
        <v>0</v>
      </c>
    </row>
    <row r="4344" spans="1:6" x14ac:dyDescent="0.25">
      <c r="A4344" s="62">
        <v>44139</v>
      </c>
      <c r="B4344" s="62" t="s">
        <v>3662</v>
      </c>
      <c r="C4344" s="23">
        <v>-297</v>
      </c>
      <c r="D4344" s="24" t="s">
        <v>72</v>
      </c>
      <c r="E4344" s="24" t="s">
        <v>73</v>
      </c>
      <c r="F4344" s="63" t="s">
        <v>0</v>
      </c>
    </row>
    <row r="4345" spans="1:6" x14ac:dyDescent="0.25">
      <c r="A4345" s="62">
        <v>44137</v>
      </c>
      <c r="B4345" s="62" t="s">
        <v>3663</v>
      </c>
      <c r="C4345" s="23">
        <v>-3083</v>
      </c>
      <c r="D4345" s="24" t="s">
        <v>49</v>
      </c>
      <c r="E4345" s="24" t="s">
        <v>56</v>
      </c>
      <c r="F4345" s="63" t="s">
        <v>0</v>
      </c>
    </row>
    <row r="4346" spans="1:6" x14ac:dyDescent="0.25">
      <c r="A4346" s="62">
        <v>44134</v>
      </c>
      <c r="B4346" s="62" t="s">
        <v>3664</v>
      </c>
      <c r="C4346" s="23">
        <v>-750</v>
      </c>
      <c r="D4346" s="24" t="s">
        <v>52</v>
      </c>
      <c r="E4346" s="24" t="s">
        <v>134</v>
      </c>
      <c r="F4346" s="63" t="s">
        <v>0</v>
      </c>
    </row>
    <row r="4347" spans="1:6" x14ac:dyDescent="0.25">
      <c r="A4347" s="62">
        <v>44133</v>
      </c>
      <c r="B4347" s="62" t="s">
        <v>3610</v>
      </c>
      <c r="C4347" s="23">
        <v>-2390</v>
      </c>
      <c r="D4347" s="24" t="s">
        <v>52</v>
      </c>
      <c r="E4347" s="24" t="s">
        <v>53</v>
      </c>
      <c r="F4347" s="63" t="s">
        <v>4</v>
      </c>
    </row>
    <row r="4348" spans="1:6" x14ac:dyDescent="0.25">
      <c r="A4348" s="62">
        <v>44133</v>
      </c>
      <c r="B4348" s="62" t="s">
        <v>3665</v>
      </c>
      <c r="C4348" s="23">
        <v>-1450</v>
      </c>
      <c r="D4348" s="24" t="s">
        <v>52</v>
      </c>
      <c r="E4348" s="24" t="s">
        <v>53</v>
      </c>
      <c r="F4348" s="63" t="s">
        <v>0</v>
      </c>
    </row>
    <row r="4349" spans="1:6" x14ac:dyDescent="0.25">
      <c r="A4349" s="62">
        <v>44132</v>
      </c>
      <c r="B4349" s="62" t="s">
        <v>3666</v>
      </c>
      <c r="C4349" s="23">
        <v>-480</v>
      </c>
      <c r="D4349" s="24" t="s">
        <v>49</v>
      </c>
      <c r="E4349" s="24" t="s">
        <v>56</v>
      </c>
      <c r="F4349" s="63" t="s">
        <v>0</v>
      </c>
    </row>
    <row r="4350" spans="1:6" x14ac:dyDescent="0.25">
      <c r="A4350" s="62">
        <v>44132</v>
      </c>
      <c r="B4350" s="62" t="s">
        <v>3667</v>
      </c>
      <c r="C4350" s="23">
        <v>-13760</v>
      </c>
      <c r="D4350" s="24" t="s">
        <v>49</v>
      </c>
      <c r="E4350" s="24" t="s">
        <v>56</v>
      </c>
      <c r="F4350" s="63" t="s">
        <v>0</v>
      </c>
    </row>
    <row r="4351" spans="1:6" x14ac:dyDescent="0.25">
      <c r="A4351" s="62">
        <v>44132</v>
      </c>
      <c r="B4351" s="62" t="s">
        <v>3668</v>
      </c>
      <c r="C4351" s="23">
        <v>-3990</v>
      </c>
      <c r="D4351" s="24" t="s">
        <v>46</v>
      </c>
      <c r="E4351" s="24" t="s">
        <v>63</v>
      </c>
      <c r="F4351" s="63" t="s">
        <v>0</v>
      </c>
    </row>
    <row r="4352" spans="1:6" x14ac:dyDescent="0.25">
      <c r="A4352" s="62">
        <v>44131</v>
      </c>
      <c r="B4352" s="62" t="s">
        <v>3669</v>
      </c>
      <c r="C4352" s="23">
        <v>-1446</v>
      </c>
      <c r="D4352" s="24" t="s">
        <v>49</v>
      </c>
      <c r="E4352" s="24" t="s">
        <v>56</v>
      </c>
      <c r="F4352" s="63" t="s">
        <v>0</v>
      </c>
    </row>
    <row r="4353" spans="1:6" x14ac:dyDescent="0.25">
      <c r="A4353" s="62">
        <v>44130</v>
      </c>
      <c r="B4353" s="62" t="s">
        <v>3610</v>
      </c>
      <c r="C4353" s="23">
        <v>-2690</v>
      </c>
      <c r="D4353" s="24" t="s">
        <v>52</v>
      </c>
      <c r="E4353" s="24" t="s">
        <v>53</v>
      </c>
      <c r="F4353" s="63" t="s">
        <v>4</v>
      </c>
    </row>
    <row r="4354" spans="1:6" x14ac:dyDescent="0.25">
      <c r="A4354" s="62">
        <v>44130</v>
      </c>
      <c r="B4354" s="62" t="s">
        <v>3670</v>
      </c>
      <c r="C4354" s="23">
        <v>-927</v>
      </c>
      <c r="D4354" s="24" t="s">
        <v>167</v>
      </c>
      <c r="E4354" s="24" t="s">
        <v>168</v>
      </c>
      <c r="F4354" s="63" t="s">
        <v>0</v>
      </c>
    </row>
    <row r="4355" spans="1:6" x14ac:dyDescent="0.25">
      <c r="A4355" s="62">
        <v>44130</v>
      </c>
      <c r="B4355" s="62" t="s">
        <v>3671</v>
      </c>
      <c r="C4355" s="23">
        <v>-3860</v>
      </c>
      <c r="D4355" s="24" t="s">
        <v>46</v>
      </c>
      <c r="E4355" s="24" t="s">
        <v>63</v>
      </c>
      <c r="F4355" s="63" t="s">
        <v>0</v>
      </c>
    </row>
    <row r="4356" spans="1:6" x14ac:dyDescent="0.25">
      <c r="A4356" s="62">
        <v>44130</v>
      </c>
      <c r="B4356" s="62" t="s">
        <v>3671</v>
      </c>
      <c r="C4356" s="23">
        <v>-3860</v>
      </c>
      <c r="D4356" s="24" t="s">
        <v>46</v>
      </c>
      <c r="E4356" s="24" t="s">
        <v>63</v>
      </c>
      <c r="F4356" s="63" t="s">
        <v>0</v>
      </c>
    </row>
    <row r="4357" spans="1:6" x14ac:dyDescent="0.25">
      <c r="A4357" s="62">
        <v>44130</v>
      </c>
      <c r="B4357" s="62" t="s">
        <v>3672</v>
      </c>
      <c r="C4357" s="23">
        <v>-7008</v>
      </c>
      <c r="D4357" s="24" t="s">
        <v>49</v>
      </c>
      <c r="E4357" s="24" t="s">
        <v>1165</v>
      </c>
      <c r="F4357" s="63" t="s">
        <v>0</v>
      </c>
    </row>
    <row r="4358" spans="1:6" x14ac:dyDescent="0.25">
      <c r="A4358" s="62">
        <v>44130</v>
      </c>
      <c r="B4358" s="62" t="s">
        <v>3673</v>
      </c>
      <c r="C4358" s="23">
        <v>-27450</v>
      </c>
      <c r="D4358" s="24" t="s">
        <v>49</v>
      </c>
      <c r="E4358" s="24" t="s">
        <v>67</v>
      </c>
      <c r="F4358" s="63" t="s">
        <v>0</v>
      </c>
    </row>
    <row r="4359" spans="1:6" x14ac:dyDescent="0.25">
      <c r="A4359" s="62">
        <v>44130</v>
      </c>
      <c r="B4359" s="62" t="s">
        <v>3674</v>
      </c>
      <c r="C4359" s="23">
        <v>-1000</v>
      </c>
      <c r="D4359" s="24" t="s">
        <v>49</v>
      </c>
      <c r="E4359" s="24" t="s">
        <v>67</v>
      </c>
      <c r="F4359" s="63" t="s">
        <v>0</v>
      </c>
    </row>
    <row r="4360" spans="1:6" x14ac:dyDescent="0.25">
      <c r="A4360" s="62">
        <v>44130</v>
      </c>
      <c r="B4360" s="62" t="s">
        <v>3675</v>
      </c>
      <c r="C4360" s="23">
        <v>-1160</v>
      </c>
      <c r="D4360" s="24" t="s">
        <v>49</v>
      </c>
      <c r="E4360" s="24" t="s">
        <v>56</v>
      </c>
      <c r="F4360" s="63" t="s">
        <v>0</v>
      </c>
    </row>
    <row r="4361" spans="1:6" x14ac:dyDescent="0.25">
      <c r="A4361" s="62">
        <v>44130</v>
      </c>
      <c r="B4361" s="62" t="s">
        <v>3676</v>
      </c>
      <c r="C4361" s="23">
        <v>-25057</v>
      </c>
      <c r="D4361" s="24" t="s">
        <v>46</v>
      </c>
      <c r="E4361" s="24" t="s">
        <v>3256</v>
      </c>
      <c r="F4361" s="63" t="s">
        <v>0</v>
      </c>
    </row>
    <row r="4362" spans="1:6" x14ac:dyDescent="0.25">
      <c r="A4362" s="62">
        <v>44127</v>
      </c>
      <c r="B4362" s="62" t="s">
        <v>3677</v>
      </c>
      <c r="C4362" s="23">
        <v>-1490</v>
      </c>
      <c r="D4362" s="24" t="s">
        <v>52</v>
      </c>
      <c r="E4362" s="24" t="s">
        <v>53</v>
      </c>
      <c r="F4362" s="63" t="s">
        <v>4</v>
      </c>
    </row>
    <row r="4363" spans="1:6" x14ac:dyDescent="0.25">
      <c r="A4363" s="62">
        <v>44126</v>
      </c>
      <c r="B4363" s="62" t="s">
        <v>3678</v>
      </c>
      <c r="C4363" s="23">
        <v>-4889</v>
      </c>
      <c r="D4363" s="24" t="s">
        <v>1865</v>
      </c>
      <c r="E4363" s="24" t="s">
        <v>53</v>
      </c>
      <c r="F4363" s="63" t="s">
        <v>0</v>
      </c>
    </row>
    <row r="4364" spans="1:6" x14ac:dyDescent="0.25">
      <c r="A4364" s="62">
        <v>44126</v>
      </c>
      <c r="B4364" s="62" t="s">
        <v>3679</v>
      </c>
      <c r="C4364" s="23">
        <v>-7133</v>
      </c>
      <c r="D4364" s="24" t="s">
        <v>49</v>
      </c>
      <c r="E4364" s="24" t="s">
        <v>56</v>
      </c>
      <c r="F4364" s="63" t="s">
        <v>0</v>
      </c>
    </row>
    <row r="4365" spans="1:6" x14ac:dyDescent="0.25">
      <c r="A4365" s="62">
        <v>44126</v>
      </c>
      <c r="B4365" s="62" t="s">
        <v>3680</v>
      </c>
      <c r="C4365" s="23">
        <v>28000</v>
      </c>
      <c r="D4365" s="24" t="s">
        <v>49</v>
      </c>
      <c r="E4365" s="24" t="s">
        <v>67</v>
      </c>
      <c r="F4365" s="63" t="s">
        <v>0</v>
      </c>
    </row>
    <row r="4366" spans="1:6" x14ac:dyDescent="0.25">
      <c r="A4366" s="62">
        <v>44125</v>
      </c>
      <c r="B4366" s="62" t="s">
        <v>3601</v>
      </c>
      <c r="C4366" s="23">
        <v>9240</v>
      </c>
      <c r="D4366" s="24" t="s">
        <v>58</v>
      </c>
      <c r="E4366" s="24" t="s">
        <v>58</v>
      </c>
      <c r="F4366" s="63" t="s">
        <v>4</v>
      </c>
    </row>
    <row r="4367" spans="1:6" x14ac:dyDescent="0.25">
      <c r="A4367" s="62">
        <v>44125</v>
      </c>
      <c r="B4367" s="62" t="s">
        <v>3602</v>
      </c>
      <c r="C4367" s="23">
        <v>12000</v>
      </c>
      <c r="D4367" s="24" t="s">
        <v>58</v>
      </c>
      <c r="E4367" s="24" t="s">
        <v>58</v>
      </c>
      <c r="F4367" s="63" t="s">
        <v>4</v>
      </c>
    </row>
    <row r="4368" spans="1:6" x14ac:dyDescent="0.25">
      <c r="A4368" s="62">
        <v>44124</v>
      </c>
      <c r="B4368" s="62" t="s">
        <v>3681</v>
      </c>
      <c r="C4368" s="23">
        <v>-152</v>
      </c>
      <c r="D4368" s="24" t="s">
        <v>49</v>
      </c>
      <c r="E4368" s="24" t="s">
        <v>56</v>
      </c>
      <c r="F4368" s="63" t="s">
        <v>0</v>
      </c>
    </row>
    <row r="4369" spans="1:6" x14ac:dyDescent="0.25">
      <c r="A4369" s="62">
        <v>44123</v>
      </c>
      <c r="B4369" s="62" t="s">
        <v>3682</v>
      </c>
      <c r="C4369" s="23">
        <v>-100</v>
      </c>
      <c r="D4369" s="24" t="s">
        <v>167</v>
      </c>
      <c r="E4369" s="24" t="s">
        <v>168</v>
      </c>
      <c r="F4369" s="63" t="s">
        <v>5</v>
      </c>
    </row>
    <row r="4370" spans="1:6" x14ac:dyDescent="0.25">
      <c r="A4370" s="62">
        <v>44123</v>
      </c>
      <c r="B4370" s="62" t="s">
        <v>3683</v>
      </c>
      <c r="C4370" s="23">
        <v>-2210</v>
      </c>
      <c r="D4370" s="24" t="s">
        <v>72</v>
      </c>
      <c r="E4370" s="24" t="s">
        <v>3684</v>
      </c>
      <c r="F4370" s="63" t="s">
        <v>0</v>
      </c>
    </row>
    <row r="4371" spans="1:6" x14ac:dyDescent="0.25">
      <c r="A4371" s="62">
        <v>44123</v>
      </c>
      <c r="B4371" s="62" t="s">
        <v>3685</v>
      </c>
      <c r="C4371" s="23">
        <v>-19000</v>
      </c>
      <c r="D4371" s="24" t="s">
        <v>52</v>
      </c>
      <c r="E4371" s="24" t="s">
        <v>52</v>
      </c>
      <c r="F4371" s="63" t="s">
        <v>0</v>
      </c>
    </row>
    <row r="4372" spans="1:6" x14ac:dyDescent="0.25">
      <c r="A4372" s="62">
        <v>44123</v>
      </c>
      <c r="B4372" s="62" t="s">
        <v>3686</v>
      </c>
      <c r="C4372" s="23">
        <v>-4200</v>
      </c>
      <c r="D4372" s="24" t="s">
        <v>72</v>
      </c>
      <c r="E4372" s="24" t="s">
        <v>3684</v>
      </c>
      <c r="F4372" s="63" t="s">
        <v>0</v>
      </c>
    </row>
    <row r="4373" spans="1:6" x14ac:dyDescent="0.25">
      <c r="A4373" s="62">
        <v>44123</v>
      </c>
      <c r="B4373" s="62" t="s">
        <v>3687</v>
      </c>
      <c r="C4373" s="23">
        <v>-3600</v>
      </c>
      <c r="D4373" s="24" t="s">
        <v>46</v>
      </c>
      <c r="E4373" s="24" t="s">
        <v>63</v>
      </c>
      <c r="F4373" s="63" t="s">
        <v>0</v>
      </c>
    </row>
    <row r="4374" spans="1:6" x14ac:dyDescent="0.25">
      <c r="A4374" s="62">
        <v>44120</v>
      </c>
      <c r="B4374" s="62" t="s">
        <v>3610</v>
      </c>
      <c r="C4374" s="23">
        <v>-2390</v>
      </c>
      <c r="D4374" s="24" t="s">
        <v>52</v>
      </c>
      <c r="E4374" s="24" t="s">
        <v>53</v>
      </c>
      <c r="F4374" s="63" t="s">
        <v>4</v>
      </c>
    </row>
    <row r="4375" spans="1:6" x14ac:dyDescent="0.25">
      <c r="A4375" s="62">
        <v>44120</v>
      </c>
      <c r="B4375" s="62" t="s">
        <v>3677</v>
      </c>
      <c r="C4375" s="23">
        <v>-2780</v>
      </c>
      <c r="D4375" s="24" t="s">
        <v>52</v>
      </c>
      <c r="E4375" s="24" t="s">
        <v>53</v>
      </c>
      <c r="F4375" s="63" t="s">
        <v>4</v>
      </c>
    </row>
    <row r="4376" spans="1:6" x14ac:dyDescent="0.25">
      <c r="A4376" s="62">
        <v>44120</v>
      </c>
      <c r="B4376" s="62" t="s">
        <v>3688</v>
      </c>
      <c r="C4376" s="23">
        <v>-37424</v>
      </c>
      <c r="D4376" s="24" t="s">
        <v>49</v>
      </c>
      <c r="E4376" s="24" t="s">
        <v>232</v>
      </c>
      <c r="F4376" s="63" t="s">
        <v>0</v>
      </c>
    </row>
    <row r="4377" spans="1:6" x14ac:dyDescent="0.25">
      <c r="A4377" s="62">
        <v>44120</v>
      </c>
      <c r="B4377" s="62" t="s">
        <v>3689</v>
      </c>
      <c r="C4377" s="23">
        <v>-10532</v>
      </c>
      <c r="D4377" s="24" t="s">
        <v>49</v>
      </c>
      <c r="E4377" s="24" t="s">
        <v>56</v>
      </c>
      <c r="F4377" s="63" t="s">
        <v>0</v>
      </c>
    </row>
    <row r="4378" spans="1:6" x14ac:dyDescent="0.25">
      <c r="A4378" s="62">
        <v>44116</v>
      </c>
      <c r="B4378" s="62" t="s">
        <v>3610</v>
      </c>
      <c r="C4378" s="23">
        <v>-2790</v>
      </c>
      <c r="D4378" s="24" t="s">
        <v>52</v>
      </c>
      <c r="E4378" s="24" t="s">
        <v>53</v>
      </c>
      <c r="F4378" s="63" t="s">
        <v>4</v>
      </c>
    </row>
    <row r="4379" spans="1:6" x14ac:dyDescent="0.25">
      <c r="A4379" s="62">
        <v>44116</v>
      </c>
      <c r="B4379" s="62" t="s">
        <v>3690</v>
      </c>
      <c r="C4379" s="23">
        <v>-3199</v>
      </c>
      <c r="D4379" s="24" t="s">
        <v>90</v>
      </c>
      <c r="E4379" s="24" t="s">
        <v>59</v>
      </c>
      <c r="F4379" s="63" t="s">
        <v>0</v>
      </c>
    </row>
    <row r="4380" spans="1:6" x14ac:dyDescent="0.25">
      <c r="A4380" s="62">
        <v>44116</v>
      </c>
      <c r="B4380" s="62" t="s">
        <v>3691</v>
      </c>
      <c r="C4380" s="23">
        <v>-1506</v>
      </c>
      <c r="D4380" s="24" t="s">
        <v>49</v>
      </c>
      <c r="E4380" s="24" t="s">
        <v>56</v>
      </c>
      <c r="F4380" s="63" t="s">
        <v>0</v>
      </c>
    </row>
    <row r="4381" spans="1:6" x14ac:dyDescent="0.25">
      <c r="A4381" s="62">
        <v>44116</v>
      </c>
      <c r="B4381" s="62" t="s">
        <v>3692</v>
      </c>
      <c r="C4381" s="23">
        <v>-3000</v>
      </c>
      <c r="D4381" s="24" t="s">
        <v>72</v>
      </c>
      <c r="E4381" s="24" t="s">
        <v>197</v>
      </c>
      <c r="F4381" s="63" t="s">
        <v>0</v>
      </c>
    </row>
    <row r="4382" spans="1:6" x14ac:dyDescent="0.25">
      <c r="A4382" s="62">
        <v>44116</v>
      </c>
      <c r="B4382" s="62" t="s">
        <v>3693</v>
      </c>
      <c r="C4382" s="23">
        <v>999224</v>
      </c>
      <c r="D4382" s="24" t="s">
        <v>167</v>
      </c>
      <c r="E4382" s="24" t="s">
        <v>183</v>
      </c>
      <c r="F4382" s="63" t="s">
        <v>3</v>
      </c>
    </row>
    <row r="4383" spans="1:6" x14ac:dyDescent="0.25">
      <c r="A4383" s="62">
        <v>44116</v>
      </c>
      <c r="B4383" s="62" t="s">
        <v>3693</v>
      </c>
      <c r="C4383" s="23">
        <v>-500000</v>
      </c>
      <c r="D4383" s="24" t="s">
        <v>167</v>
      </c>
      <c r="E4383" s="24" t="s">
        <v>183</v>
      </c>
      <c r="F4383" s="63" t="s">
        <v>0</v>
      </c>
    </row>
    <row r="4384" spans="1:6" x14ac:dyDescent="0.25">
      <c r="A4384" s="62">
        <v>44116</v>
      </c>
      <c r="B4384" s="62" t="s">
        <v>3694</v>
      </c>
      <c r="C4384" s="23">
        <v>-499224</v>
      </c>
      <c r="D4384" s="24" t="s">
        <v>167</v>
      </c>
      <c r="E4384" s="24" t="s">
        <v>183</v>
      </c>
      <c r="F4384" s="63" t="s">
        <v>0</v>
      </c>
    </row>
    <row r="4385" spans="1:6" x14ac:dyDescent="0.25">
      <c r="A4385" s="62">
        <v>44116</v>
      </c>
      <c r="B4385" s="62" t="s">
        <v>3410</v>
      </c>
      <c r="C4385" s="23">
        <v>-110000</v>
      </c>
      <c r="D4385" s="24" t="s">
        <v>46</v>
      </c>
      <c r="E4385" s="24" t="s">
        <v>3410</v>
      </c>
      <c r="F4385" s="63" t="s">
        <v>7</v>
      </c>
    </row>
    <row r="4386" spans="1:6" x14ac:dyDescent="0.25">
      <c r="A4386" s="62">
        <v>44116</v>
      </c>
      <c r="B4386" s="62" t="s">
        <v>3695</v>
      </c>
      <c r="C4386" s="23">
        <v>4000</v>
      </c>
      <c r="D4386" s="24" t="s">
        <v>206</v>
      </c>
      <c r="E4386" s="24" t="s">
        <v>830</v>
      </c>
      <c r="F4386" s="63" t="s">
        <v>7</v>
      </c>
    </row>
    <row r="4387" spans="1:6" x14ac:dyDescent="0.25">
      <c r="A4387" s="62">
        <v>44116</v>
      </c>
      <c r="B4387" s="62" t="s">
        <v>3695</v>
      </c>
      <c r="C4387" s="23">
        <v>-4000</v>
      </c>
      <c r="D4387" s="24" t="s">
        <v>206</v>
      </c>
      <c r="E4387" s="24" t="s">
        <v>830</v>
      </c>
      <c r="F4387" s="63" t="s">
        <v>7</v>
      </c>
    </row>
    <row r="4388" spans="1:6" x14ac:dyDescent="0.25">
      <c r="A4388" s="62">
        <v>44116</v>
      </c>
      <c r="B4388" s="62" t="s">
        <v>3695</v>
      </c>
      <c r="C4388" s="23">
        <v>-45000</v>
      </c>
      <c r="D4388" s="24" t="s">
        <v>46</v>
      </c>
      <c r="E4388" s="24" t="s">
        <v>3696</v>
      </c>
      <c r="F4388" s="63" t="s">
        <v>0</v>
      </c>
    </row>
    <row r="4389" spans="1:6" x14ac:dyDescent="0.25">
      <c r="A4389" s="62">
        <v>44116</v>
      </c>
      <c r="B4389" s="62" t="s">
        <v>3697</v>
      </c>
      <c r="C4389" s="23">
        <v>-40220</v>
      </c>
      <c r="D4389" s="24" t="s">
        <v>49</v>
      </c>
      <c r="E4389" s="24" t="s">
        <v>164</v>
      </c>
      <c r="F4389" s="63" t="s">
        <v>0</v>
      </c>
    </row>
    <row r="4390" spans="1:6" x14ac:dyDescent="0.25">
      <c r="A4390" s="62">
        <v>44113</v>
      </c>
      <c r="B4390" s="62" t="s">
        <v>3698</v>
      </c>
      <c r="C4390" s="23">
        <v>668960</v>
      </c>
      <c r="D4390" s="24" t="s">
        <v>58</v>
      </c>
      <c r="E4390" s="24" t="s">
        <v>58</v>
      </c>
      <c r="F4390" s="63" t="s">
        <v>0</v>
      </c>
    </row>
    <row r="4391" spans="1:6" x14ac:dyDescent="0.25">
      <c r="A4391" s="62">
        <v>44112</v>
      </c>
      <c r="B4391" s="62" t="s">
        <v>3699</v>
      </c>
      <c r="C4391" s="23">
        <v>344250</v>
      </c>
      <c r="D4391" s="24" t="s">
        <v>58</v>
      </c>
      <c r="E4391" s="24" t="s">
        <v>58</v>
      </c>
      <c r="F4391" s="63" t="s">
        <v>0</v>
      </c>
    </row>
    <row r="4392" spans="1:6" x14ac:dyDescent="0.25">
      <c r="A4392" s="62">
        <v>44110</v>
      </c>
      <c r="B4392" s="62" t="s">
        <v>3700</v>
      </c>
      <c r="C4392" s="23">
        <v>-2265</v>
      </c>
      <c r="D4392" s="24" t="s">
        <v>49</v>
      </c>
      <c r="E4392" s="24" t="s">
        <v>67</v>
      </c>
      <c r="F4392" s="63" t="s">
        <v>0</v>
      </c>
    </row>
    <row r="4393" spans="1:6" x14ac:dyDescent="0.25">
      <c r="A4393" s="62">
        <v>44110</v>
      </c>
      <c r="B4393" s="62" t="s">
        <v>3701</v>
      </c>
      <c r="C4393" s="23">
        <v>-499</v>
      </c>
      <c r="D4393" s="24" t="s">
        <v>49</v>
      </c>
      <c r="E4393" s="24" t="s">
        <v>56</v>
      </c>
      <c r="F4393" s="63" t="s">
        <v>0</v>
      </c>
    </row>
    <row r="4394" spans="1:6" x14ac:dyDescent="0.25">
      <c r="A4394" s="62">
        <v>44110</v>
      </c>
      <c r="B4394" s="62" t="s">
        <v>3702</v>
      </c>
      <c r="C4394" s="23">
        <v>-14796</v>
      </c>
      <c r="D4394" s="24" t="s">
        <v>49</v>
      </c>
      <c r="E4394" s="24" t="s">
        <v>56</v>
      </c>
      <c r="F4394" s="63" t="s">
        <v>0</v>
      </c>
    </row>
    <row r="4395" spans="1:6" x14ac:dyDescent="0.25">
      <c r="A4395" s="62">
        <v>44110</v>
      </c>
      <c r="B4395" s="62" t="s">
        <v>3703</v>
      </c>
      <c r="C4395" s="23">
        <v>-5400</v>
      </c>
      <c r="D4395" s="24" t="s">
        <v>52</v>
      </c>
      <c r="E4395" s="24" t="s">
        <v>134</v>
      </c>
      <c r="F4395" s="63" t="s">
        <v>0</v>
      </c>
    </row>
    <row r="4396" spans="1:6" x14ac:dyDescent="0.25">
      <c r="A4396" s="62">
        <v>44109</v>
      </c>
      <c r="B4396" s="62" t="s">
        <v>3704</v>
      </c>
      <c r="C4396" s="23">
        <v>-14040</v>
      </c>
      <c r="D4396" s="24" t="s">
        <v>49</v>
      </c>
      <c r="E4396" s="24" t="s">
        <v>56</v>
      </c>
      <c r="F4396" s="63" t="s">
        <v>0</v>
      </c>
    </row>
    <row r="4397" spans="1:6" x14ac:dyDescent="0.25">
      <c r="A4397" s="62">
        <v>44109</v>
      </c>
      <c r="B4397" s="62" t="s">
        <v>3705</v>
      </c>
      <c r="C4397" s="23">
        <v>-6101</v>
      </c>
      <c r="D4397" s="24" t="s">
        <v>46</v>
      </c>
      <c r="E4397" s="24" t="s">
        <v>63</v>
      </c>
      <c r="F4397" s="63" t="s">
        <v>0</v>
      </c>
    </row>
    <row r="4398" spans="1:6" x14ac:dyDescent="0.25">
      <c r="A4398" s="62">
        <v>44106</v>
      </c>
      <c r="B4398" s="62" t="s">
        <v>3610</v>
      </c>
      <c r="C4398" s="23">
        <v>-2980</v>
      </c>
      <c r="D4398" s="24" t="s">
        <v>52</v>
      </c>
      <c r="E4398" s="24" t="s">
        <v>53</v>
      </c>
      <c r="F4398" s="63" t="s">
        <v>4</v>
      </c>
    </row>
    <row r="4399" spans="1:6" x14ac:dyDescent="0.25">
      <c r="A4399" s="62">
        <v>44105</v>
      </c>
      <c r="B4399" s="62" t="s">
        <v>3706</v>
      </c>
      <c r="C4399" s="23">
        <v>-4596</v>
      </c>
      <c r="D4399" s="24" t="s">
        <v>49</v>
      </c>
      <c r="E4399" s="24" t="s">
        <v>56</v>
      </c>
      <c r="F4399" s="63" t="s">
        <v>0</v>
      </c>
    </row>
    <row r="4400" spans="1:6" x14ac:dyDescent="0.25">
      <c r="A4400" s="62">
        <v>44104</v>
      </c>
      <c r="B4400" s="62" t="s">
        <v>3707</v>
      </c>
      <c r="C4400" s="23">
        <v>344</v>
      </c>
      <c r="D4400" s="24" t="s">
        <v>167</v>
      </c>
      <c r="E4400" s="24" t="s">
        <v>32</v>
      </c>
      <c r="F4400" s="63" t="s">
        <v>5</v>
      </c>
    </row>
    <row r="4401" spans="1:6" x14ac:dyDescent="0.25">
      <c r="A4401" s="62">
        <v>44104</v>
      </c>
      <c r="B4401" s="62" t="s">
        <v>3708</v>
      </c>
      <c r="C4401" s="23">
        <v>-13.26</v>
      </c>
      <c r="D4401" s="24" t="s">
        <v>167</v>
      </c>
      <c r="E4401" s="24" t="s">
        <v>32</v>
      </c>
      <c r="F4401" s="63" t="s">
        <v>0</v>
      </c>
    </row>
    <row r="4402" spans="1:6" x14ac:dyDescent="0.25">
      <c r="A4402" s="62">
        <v>44104</v>
      </c>
      <c r="B4402" s="62" t="s">
        <v>3709</v>
      </c>
      <c r="C4402" s="23">
        <v>-2000</v>
      </c>
      <c r="D4402" s="24" t="s">
        <v>52</v>
      </c>
      <c r="E4402" s="24" t="s">
        <v>53</v>
      </c>
      <c r="F4402" s="63" t="s">
        <v>0</v>
      </c>
    </row>
    <row r="4403" spans="1:6" x14ac:dyDescent="0.25">
      <c r="A4403" s="62">
        <v>44104</v>
      </c>
      <c r="B4403" s="62" t="s">
        <v>3710</v>
      </c>
      <c r="C4403" s="23">
        <v>88.42</v>
      </c>
      <c r="D4403" s="24" t="s">
        <v>167</v>
      </c>
      <c r="E4403" s="24" t="s">
        <v>32</v>
      </c>
      <c r="F4403" s="63" t="s">
        <v>0</v>
      </c>
    </row>
    <row r="4404" spans="1:6" x14ac:dyDescent="0.25">
      <c r="A4404" s="62">
        <v>44103</v>
      </c>
      <c r="B4404" s="62" t="s">
        <v>3711</v>
      </c>
      <c r="C4404" s="23">
        <v>-4683</v>
      </c>
      <c r="D4404" s="24" t="s">
        <v>49</v>
      </c>
      <c r="E4404" s="24" t="s">
        <v>56</v>
      </c>
      <c r="F4404" s="63" t="s">
        <v>0</v>
      </c>
    </row>
    <row r="4405" spans="1:6" x14ac:dyDescent="0.25">
      <c r="A4405" s="62">
        <v>44102</v>
      </c>
      <c r="B4405" s="62" t="s">
        <v>3671</v>
      </c>
      <c r="C4405" s="23">
        <v>-3860</v>
      </c>
      <c r="D4405" s="24" t="s">
        <v>46</v>
      </c>
      <c r="E4405" s="24" t="s">
        <v>63</v>
      </c>
      <c r="F4405" s="63" t="s">
        <v>0</v>
      </c>
    </row>
    <row r="4406" spans="1:6" x14ac:dyDescent="0.25">
      <c r="A4406" s="62">
        <v>44102</v>
      </c>
      <c r="B4406" s="62" t="s">
        <v>3712</v>
      </c>
      <c r="C4406" s="23">
        <v>-7403</v>
      </c>
      <c r="D4406" s="24" t="s">
        <v>49</v>
      </c>
      <c r="E4406" s="24" t="s">
        <v>1165</v>
      </c>
      <c r="F4406" s="63" t="s">
        <v>0</v>
      </c>
    </row>
    <row r="4407" spans="1:6" x14ac:dyDescent="0.25">
      <c r="A4407" s="62">
        <v>44102</v>
      </c>
      <c r="B4407" s="62" t="s">
        <v>3713</v>
      </c>
      <c r="C4407" s="23">
        <v>-3990</v>
      </c>
      <c r="D4407" s="24" t="s">
        <v>46</v>
      </c>
      <c r="E4407" s="24" t="s">
        <v>63</v>
      </c>
      <c r="F4407" s="63" t="s">
        <v>0</v>
      </c>
    </row>
    <row r="4408" spans="1:6" x14ac:dyDescent="0.25">
      <c r="A4408" s="62">
        <v>44099</v>
      </c>
      <c r="B4408" s="62" t="s">
        <v>3676</v>
      </c>
      <c r="C4408" s="23">
        <v>-23317</v>
      </c>
      <c r="D4408" s="24" t="s">
        <v>46</v>
      </c>
      <c r="E4408" s="24" t="s">
        <v>3256</v>
      </c>
      <c r="F4408" s="63" t="s">
        <v>0</v>
      </c>
    </row>
    <row r="4409" spans="1:6" x14ac:dyDescent="0.25">
      <c r="A4409" s="62">
        <v>44098</v>
      </c>
      <c r="B4409" s="62" t="s">
        <v>3714</v>
      </c>
      <c r="C4409" s="23">
        <v>-1430</v>
      </c>
      <c r="D4409" s="24" t="s">
        <v>52</v>
      </c>
      <c r="E4409" s="24" t="s">
        <v>53</v>
      </c>
      <c r="F4409" s="63" t="s">
        <v>0</v>
      </c>
    </row>
    <row r="4410" spans="1:6" x14ac:dyDescent="0.25">
      <c r="A4410" s="62">
        <v>44098</v>
      </c>
      <c r="B4410" s="62" t="s">
        <v>3715</v>
      </c>
      <c r="C4410" s="23">
        <v>39580.76</v>
      </c>
      <c r="D4410" s="24" t="s">
        <v>83</v>
      </c>
      <c r="E4410" s="24" t="s">
        <v>2151</v>
      </c>
      <c r="F4410" s="63" t="s">
        <v>0</v>
      </c>
    </row>
    <row r="4411" spans="1:6" x14ac:dyDescent="0.25">
      <c r="A4411" s="62">
        <v>44098</v>
      </c>
      <c r="B4411" s="62" t="s">
        <v>3716</v>
      </c>
      <c r="C4411" s="23">
        <v>-5000</v>
      </c>
      <c r="D4411" s="24" t="s">
        <v>206</v>
      </c>
      <c r="E4411" s="24" t="s">
        <v>206</v>
      </c>
      <c r="F4411" s="63" t="s">
        <v>0</v>
      </c>
    </row>
    <row r="4412" spans="1:6" x14ac:dyDescent="0.25">
      <c r="A4412" s="62">
        <v>44097</v>
      </c>
      <c r="B4412" s="62" t="s">
        <v>3693</v>
      </c>
      <c r="C4412" s="23">
        <v>2000000</v>
      </c>
      <c r="D4412" s="24" t="s">
        <v>167</v>
      </c>
      <c r="E4412" s="24" t="s">
        <v>183</v>
      </c>
      <c r="F4412" s="63" t="s">
        <v>3</v>
      </c>
    </row>
    <row r="4413" spans="1:6" x14ac:dyDescent="0.25">
      <c r="A4413" s="62">
        <v>44097</v>
      </c>
      <c r="B4413" s="62" t="s">
        <v>3693</v>
      </c>
      <c r="C4413" s="23">
        <v>-500000</v>
      </c>
      <c r="D4413" s="24" t="s">
        <v>167</v>
      </c>
      <c r="E4413" s="24" t="s">
        <v>183</v>
      </c>
      <c r="F4413" s="63" t="s">
        <v>0</v>
      </c>
    </row>
    <row r="4414" spans="1:6" x14ac:dyDescent="0.25">
      <c r="A4414" s="62">
        <v>44097</v>
      </c>
      <c r="B4414" s="62" t="s">
        <v>3693</v>
      </c>
      <c r="C4414" s="23">
        <v>-500000</v>
      </c>
      <c r="D4414" s="24" t="s">
        <v>167</v>
      </c>
      <c r="E4414" s="24" t="s">
        <v>183</v>
      </c>
      <c r="F4414" s="63" t="s">
        <v>0</v>
      </c>
    </row>
    <row r="4415" spans="1:6" x14ac:dyDescent="0.25">
      <c r="A4415" s="62">
        <v>44097</v>
      </c>
      <c r="B4415" s="62" t="s">
        <v>3693</v>
      </c>
      <c r="C4415" s="23">
        <v>-500000</v>
      </c>
      <c r="D4415" s="24" t="s">
        <v>167</v>
      </c>
      <c r="E4415" s="24" t="s">
        <v>183</v>
      </c>
      <c r="F4415" s="63" t="s">
        <v>0</v>
      </c>
    </row>
    <row r="4416" spans="1:6" x14ac:dyDescent="0.25">
      <c r="A4416" s="62">
        <v>44097</v>
      </c>
      <c r="B4416" s="62" t="s">
        <v>3693</v>
      </c>
      <c r="C4416" s="23">
        <v>-500000</v>
      </c>
      <c r="D4416" s="24" t="s">
        <v>167</v>
      </c>
      <c r="E4416" s="24" t="s">
        <v>183</v>
      </c>
      <c r="F4416" s="63" t="s">
        <v>0</v>
      </c>
    </row>
    <row r="4417" spans="1:6" x14ac:dyDescent="0.25">
      <c r="A4417" s="62">
        <v>44097</v>
      </c>
      <c r="B4417" s="62" t="s">
        <v>3717</v>
      </c>
      <c r="C4417" s="23">
        <v>-2766</v>
      </c>
      <c r="D4417" s="24" t="s">
        <v>49</v>
      </c>
      <c r="E4417" s="24" t="s">
        <v>56</v>
      </c>
      <c r="F4417" s="63" t="s">
        <v>0</v>
      </c>
    </row>
    <row r="4418" spans="1:6" x14ac:dyDescent="0.25">
      <c r="A4418" s="62">
        <v>44097</v>
      </c>
      <c r="B4418" s="62" t="s">
        <v>3718</v>
      </c>
      <c r="C4418" s="23">
        <v>-3847</v>
      </c>
      <c r="D4418" s="24" t="s">
        <v>49</v>
      </c>
      <c r="E4418" s="24" t="s">
        <v>56</v>
      </c>
      <c r="F4418" s="63" t="s">
        <v>0</v>
      </c>
    </row>
    <row r="4419" spans="1:6" x14ac:dyDescent="0.25">
      <c r="A4419" s="62">
        <v>44097</v>
      </c>
      <c r="B4419" s="62" t="s">
        <v>3719</v>
      </c>
      <c r="C4419" s="23">
        <v>-8549</v>
      </c>
      <c r="D4419" s="24" t="s">
        <v>49</v>
      </c>
      <c r="E4419" s="24" t="s">
        <v>56</v>
      </c>
      <c r="F4419" s="63" t="s">
        <v>0</v>
      </c>
    </row>
    <row r="4420" spans="1:6" x14ac:dyDescent="0.25">
      <c r="A4420" s="62">
        <v>44095</v>
      </c>
      <c r="B4420" s="62" t="s">
        <v>3720</v>
      </c>
      <c r="C4420" s="23">
        <v>-100</v>
      </c>
      <c r="D4420" s="24" t="s">
        <v>167</v>
      </c>
      <c r="E4420" s="24" t="s">
        <v>168</v>
      </c>
      <c r="F4420" s="63" t="s">
        <v>5</v>
      </c>
    </row>
    <row r="4421" spans="1:6" x14ac:dyDescent="0.25">
      <c r="A4421" s="62">
        <v>44095</v>
      </c>
      <c r="B4421" s="62" t="s">
        <v>3601</v>
      </c>
      <c r="C4421" s="23">
        <v>9240</v>
      </c>
      <c r="D4421" s="24" t="s">
        <v>58</v>
      </c>
      <c r="E4421" s="24" t="s">
        <v>58</v>
      </c>
      <c r="F4421" s="63" t="s">
        <v>4</v>
      </c>
    </row>
    <row r="4422" spans="1:6" x14ac:dyDescent="0.25">
      <c r="A4422" s="62">
        <v>44095</v>
      </c>
      <c r="B4422" s="62" t="s">
        <v>3602</v>
      </c>
      <c r="C4422" s="23">
        <v>12000</v>
      </c>
      <c r="D4422" s="24" t="s">
        <v>58</v>
      </c>
      <c r="E4422" s="24" t="s">
        <v>58</v>
      </c>
      <c r="F4422" s="63" t="s">
        <v>4</v>
      </c>
    </row>
    <row r="4423" spans="1:6" x14ac:dyDescent="0.25">
      <c r="A4423" s="62">
        <v>44095</v>
      </c>
      <c r="B4423" s="62" t="s">
        <v>3721</v>
      </c>
      <c r="C4423" s="23">
        <v>-19728</v>
      </c>
      <c r="D4423" s="24" t="s">
        <v>72</v>
      </c>
      <c r="E4423" s="24" t="s">
        <v>109</v>
      </c>
      <c r="F4423" s="63" t="s">
        <v>0</v>
      </c>
    </row>
    <row r="4424" spans="1:6" x14ac:dyDescent="0.25">
      <c r="A4424" s="62">
        <v>44095</v>
      </c>
      <c r="B4424" s="62" t="s">
        <v>3722</v>
      </c>
      <c r="C4424" s="23">
        <v>100</v>
      </c>
      <c r="D4424" s="24" t="s">
        <v>72</v>
      </c>
      <c r="E4424" s="24" t="s">
        <v>73</v>
      </c>
      <c r="F4424" s="63" t="s">
        <v>0</v>
      </c>
    </row>
    <row r="4425" spans="1:6" x14ac:dyDescent="0.25">
      <c r="A4425" s="62">
        <v>44092</v>
      </c>
      <c r="B4425" s="62" t="s">
        <v>3693</v>
      </c>
      <c r="C4425" s="23">
        <v>3499208</v>
      </c>
      <c r="D4425" s="24" t="s">
        <v>167</v>
      </c>
      <c r="E4425" s="24" t="s">
        <v>183</v>
      </c>
      <c r="F4425" s="63" t="s">
        <v>3</v>
      </c>
    </row>
    <row r="4426" spans="1:6" x14ac:dyDescent="0.25">
      <c r="A4426" s="62">
        <v>44092</v>
      </c>
      <c r="B4426" s="62" t="s">
        <v>3693</v>
      </c>
      <c r="C4426" s="23">
        <v>-500000</v>
      </c>
      <c r="D4426" s="24" t="s">
        <v>167</v>
      </c>
      <c r="E4426" s="24" t="s">
        <v>183</v>
      </c>
      <c r="F4426" s="63" t="s">
        <v>0</v>
      </c>
    </row>
    <row r="4427" spans="1:6" x14ac:dyDescent="0.25">
      <c r="A4427" s="62">
        <v>44092</v>
      </c>
      <c r="B4427" s="62" t="s">
        <v>3693</v>
      </c>
      <c r="C4427" s="23">
        <v>-500000</v>
      </c>
      <c r="D4427" s="24" t="s">
        <v>167</v>
      </c>
      <c r="E4427" s="24" t="s">
        <v>183</v>
      </c>
      <c r="F4427" s="63" t="s">
        <v>0</v>
      </c>
    </row>
    <row r="4428" spans="1:6" x14ac:dyDescent="0.25">
      <c r="A4428" s="62">
        <v>44092</v>
      </c>
      <c r="B4428" s="62" t="s">
        <v>3693</v>
      </c>
      <c r="C4428" s="23">
        <v>-500000</v>
      </c>
      <c r="D4428" s="24" t="s">
        <v>167</v>
      </c>
      <c r="E4428" s="24" t="s">
        <v>183</v>
      </c>
      <c r="F4428" s="63" t="s">
        <v>0</v>
      </c>
    </row>
    <row r="4429" spans="1:6" x14ac:dyDescent="0.25">
      <c r="A4429" s="62">
        <v>44092</v>
      </c>
      <c r="B4429" s="62" t="s">
        <v>3693</v>
      </c>
      <c r="C4429" s="23">
        <v>-500000</v>
      </c>
      <c r="D4429" s="24" t="s">
        <v>167</v>
      </c>
      <c r="E4429" s="24" t="s">
        <v>183</v>
      </c>
      <c r="F4429" s="63" t="s">
        <v>0</v>
      </c>
    </row>
    <row r="4430" spans="1:6" x14ac:dyDescent="0.25">
      <c r="A4430" s="62">
        <v>44092</v>
      </c>
      <c r="B4430" s="62" t="s">
        <v>3723</v>
      </c>
      <c r="C4430" s="23">
        <v>-499604</v>
      </c>
      <c r="D4430" s="24" t="s">
        <v>167</v>
      </c>
      <c r="E4430" s="24" t="s">
        <v>183</v>
      </c>
      <c r="F4430" s="63" t="s">
        <v>0</v>
      </c>
    </row>
    <row r="4431" spans="1:6" x14ac:dyDescent="0.25">
      <c r="A4431" s="62">
        <v>44092</v>
      </c>
      <c r="B4431" s="62" t="s">
        <v>3723</v>
      </c>
      <c r="C4431" s="23">
        <v>-499604</v>
      </c>
      <c r="D4431" s="24" t="s">
        <v>167</v>
      </c>
      <c r="E4431" s="24" t="s">
        <v>183</v>
      </c>
      <c r="F4431" s="63" t="s">
        <v>0</v>
      </c>
    </row>
    <row r="4432" spans="1:6" x14ac:dyDescent="0.25">
      <c r="A4432" s="62">
        <v>44092</v>
      </c>
      <c r="B4432" s="62" t="s">
        <v>3693</v>
      </c>
      <c r="C4432" s="23">
        <v>-500000</v>
      </c>
      <c r="D4432" s="24" t="s">
        <v>167</v>
      </c>
      <c r="E4432" s="24" t="s">
        <v>183</v>
      </c>
      <c r="F4432" s="63" t="s">
        <v>0</v>
      </c>
    </row>
    <row r="4433" spans="1:6" x14ac:dyDescent="0.25">
      <c r="A4433" s="62">
        <v>44091</v>
      </c>
      <c r="B4433" s="62" t="s">
        <v>3724</v>
      </c>
      <c r="C4433" s="23">
        <v>-312</v>
      </c>
      <c r="D4433" s="24" t="s">
        <v>72</v>
      </c>
      <c r="E4433" s="24" t="s">
        <v>73</v>
      </c>
      <c r="F4433" s="63" t="s">
        <v>0</v>
      </c>
    </row>
    <row r="4434" spans="1:6" x14ac:dyDescent="0.25">
      <c r="A4434" s="62">
        <v>44091</v>
      </c>
      <c r="B4434" s="62" t="s">
        <v>3725</v>
      </c>
      <c r="C4434" s="23">
        <v>-100</v>
      </c>
      <c r="D4434" s="24" t="s">
        <v>72</v>
      </c>
      <c r="E4434" s="24" t="s">
        <v>73</v>
      </c>
      <c r="F4434" s="63" t="s">
        <v>0</v>
      </c>
    </row>
    <row r="4435" spans="1:6" x14ac:dyDescent="0.25">
      <c r="A4435" s="62">
        <v>44091</v>
      </c>
      <c r="B4435" s="62" t="s">
        <v>3726</v>
      </c>
      <c r="C4435" s="23">
        <v>-3920</v>
      </c>
      <c r="D4435" s="24" t="s">
        <v>52</v>
      </c>
      <c r="E4435" s="24" t="s">
        <v>53</v>
      </c>
      <c r="F4435" s="63" t="s">
        <v>0</v>
      </c>
    </row>
    <row r="4436" spans="1:6" x14ac:dyDescent="0.25">
      <c r="A4436" s="62">
        <v>44090</v>
      </c>
      <c r="B4436" s="62" t="s">
        <v>3610</v>
      </c>
      <c r="C4436" s="23">
        <v>-2790</v>
      </c>
      <c r="D4436" s="24" t="s">
        <v>52</v>
      </c>
      <c r="E4436" s="24" t="s">
        <v>53</v>
      </c>
      <c r="F4436" s="63" t="s">
        <v>4</v>
      </c>
    </row>
    <row r="4437" spans="1:6" x14ac:dyDescent="0.25">
      <c r="A4437" s="62">
        <v>44090</v>
      </c>
      <c r="B4437" s="62" t="s">
        <v>3727</v>
      </c>
      <c r="C4437" s="23">
        <v>-3000702.27</v>
      </c>
      <c r="D4437" s="24" t="s">
        <v>167</v>
      </c>
      <c r="E4437" s="24" t="s">
        <v>1</v>
      </c>
      <c r="F4437" s="63" t="s">
        <v>0</v>
      </c>
    </row>
    <row r="4438" spans="1:6" x14ac:dyDescent="0.25">
      <c r="A4438" s="62">
        <v>44090</v>
      </c>
      <c r="B4438" s="62" t="s">
        <v>3727</v>
      </c>
      <c r="C4438" s="23">
        <v>1000234.09</v>
      </c>
      <c r="D4438" s="24" t="s">
        <v>167</v>
      </c>
      <c r="E4438" s="24" t="s">
        <v>1</v>
      </c>
      <c r="F4438" s="63" t="s">
        <v>0</v>
      </c>
    </row>
    <row r="4439" spans="1:6" x14ac:dyDescent="0.25">
      <c r="A4439" s="62">
        <v>44090</v>
      </c>
      <c r="B4439" s="62" t="s">
        <v>3727</v>
      </c>
      <c r="C4439" s="23">
        <v>1000234.09</v>
      </c>
      <c r="D4439" s="24" t="s">
        <v>167</v>
      </c>
      <c r="E4439" s="24" t="s">
        <v>1</v>
      </c>
      <c r="F4439" s="63" t="s">
        <v>0</v>
      </c>
    </row>
    <row r="4440" spans="1:6" x14ac:dyDescent="0.25">
      <c r="A4440" s="62">
        <v>44090</v>
      </c>
      <c r="B4440" s="62" t="s">
        <v>3727</v>
      </c>
      <c r="C4440" s="23">
        <v>1000234.09</v>
      </c>
      <c r="D4440" s="24" t="s">
        <v>167</v>
      </c>
      <c r="E4440" s="24" t="s">
        <v>1</v>
      </c>
      <c r="F4440" s="63" t="s">
        <v>0</v>
      </c>
    </row>
    <row r="4441" spans="1:6" x14ac:dyDescent="0.25">
      <c r="A4441" s="62">
        <v>44089</v>
      </c>
      <c r="B4441" s="62" t="s">
        <v>3728</v>
      </c>
      <c r="C4441" s="23">
        <v>-478</v>
      </c>
      <c r="D4441" s="24" t="s">
        <v>49</v>
      </c>
      <c r="E4441" s="24" t="s">
        <v>56</v>
      </c>
      <c r="F4441" s="63" t="s">
        <v>0</v>
      </c>
    </row>
    <row r="4442" spans="1:6" x14ac:dyDescent="0.25">
      <c r="A4442" s="62">
        <v>44089</v>
      </c>
      <c r="B4442" s="62" t="s">
        <v>3729</v>
      </c>
      <c r="C4442" s="23">
        <v>-4400</v>
      </c>
      <c r="D4442" s="24" t="s">
        <v>83</v>
      </c>
      <c r="E4442" s="24" t="s">
        <v>2151</v>
      </c>
      <c r="F4442" s="63" t="s">
        <v>0</v>
      </c>
    </row>
    <row r="4443" spans="1:6" x14ac:dyDescent="0.25">
      <c r="A4443" s="62">
        <v>44089</v>
      </c>
      <c r="B4443" s="62" t="s">
        <v>3730</v>
      </c>
      <c r="C4443" s="23">
        <v>-40000</v>
      </c>
      <c r="D4443" s="24" t="s">
        <v>83</v>
      </c>
      <c r="E4443" s="24" t="s">
        <v>2151</v>
      </c>
      <c r="F4443" s="63" t="s">
        <v>0</v>
      </c>
    </row>
    <row r="4444" spans="1:6" x14ac:dyDescent="0.25">
      <c r="A4444" s="62">
        <v>44089</v>
      </c>
      <c r="B4444" s="62" t="s">
        <v>3731</v>
      </c>
      <c r="C4444" s="23">
        <v>-110000</v>
      </c>
      <c r="D4444" s="24" t="s">
        <v>46</v>
      </c>
      <c r="E4444" s="24" t="s">
        <v>3410</v>
      </c>
      <c r="F4444" s="63" t="s">
        <v>0</v>
      </c>
    </row>
    <row r="4445" spans="1:6" x14ac:dyDescent="0.25">
      <c r="A4445" s="62">
        <v>44089</v>
      </c>
      <c r="B4445" s="62" t="s">
        <v>3732</v>
      </c>
      <c r="C4445" s="23">
        <v>-4000</v>
      </c>
      <c r="D4445" s="24" t="s">
        <v>52</v>
      </c>
      <c r="E4445" s="24" t="s">
        <v>52</v>
      </c>
      <c r="F4445" s="63" t="s">
        <v>0</v>
      </c>
    </row>
    <row r="4446" spans="1:6" x14ac:dyDescent="0.25">
      <c r="A4446" s="62">
        <v>44089</v>
      </c>
      <c r="B4446" s="62" t="s">
        <v>3733</v>
      </c>
      <c r="C4446" s="23">
        <v>-4470</v>
      </c>
      <c r="D4446" s="24" t="s">
        <v>52</v>
      </c>
      <c r="E4446" s="24" t="s">
        <v>134</v>
      </c>
      <c r="F4446" s="63" t="s">
        <v>0</v>
      </c>
    </row>
    <row r="4447" spans="1:6" x14ac:dyDescent="0.25">
      <c r="A4447" s="62">
        <v>44089</v>
      </c>
      <c r="B4447" s="62" t="s">
        <v>3734</v>
      </c>
      <c r="C4447" s="23">
        <v>-590</v>
      </c>
      <c r="D4447" s="24" t="s">
        <v>49</v>
      </c>
      <c r="E4447" s="24" t="s">
        <v>56</v>
      </c>
      <c r="F4447" s="63" t="s">
        <v>0</v>
      </c>
    </row>
    <row r="4448" spans="1:6" x14ac:dyDescent="0.25">
      <c r="A4448" s="62">
        <v>44088</v>
      </c>
      <c r="B4448" s="62" t="s">
        <v>3735</v>
      </c>
      <c r="C4448" s="23">
        <v>-6000</v>
      </c>
      <c r="D4448" s="24" t="s">
        <v>52</v>
      </c>
      <c r="E4448" s="24" t="s">
        <v>134</v>
      </c>
      <c r="F4448" s="63" t="s">
        <v>0</v>
      </c>
    </row>
    <row r="4449" spans="1:6" x14ac:dyDescent="0.25">
      <c r="A4449" s="62">
        <v>44088</v>
      </c>
      <c r="B4449" s="62" t="s">
        <v>3736</v>
      </c>
      <c r="C4449" s="23">
        <v>-3000</v>
      </c>
      <c r="D4449" s="24" t="s">
        <v>83</v>
      </c>
      <c r="E4449" s="24" t="s">
        <v>2151</v>
      </c>
      <c r="F4449" s="63" t="s">
        <v>0</v>
      </c>
    </row>
    <row r="4450" spans="1:6" x14ac:dyDescent="0.25">
      <c r="A4450" s="62">
        <v>44088</v>
      </c>
      <c r="B4450" s="62" t="s">
        <v>3736</v>
      </c>
      <c r="C4450" s="23">
        <v>-3000</v>
      </c>
      <c r="D4450" s="24" t="s">
        <v>83</v>
      </c>
      <c r="E4450" s="24" t="s">
        <v>2151</v>
      </c>
      <c r="F4450" s="63" t="s">
        <v>0</v>
      </c>
    </row>
    <row r="4451" spans="1:6" x14ac:dyDescent="0.25">
      <c r="A4451" s="62">
        <v>44088</v>
      </c>
      <c r="B4451" s="62" t="s">
        <v>3737</v>
      </c>
      <c r="C4451" s="23">
        <v>-5000</v>
      </c>
      <c r="D4451" s="24" t="s">
        <v>83</v>
      </c>
      <c r="E4451" s="24" t="s">
        <v>2151</v>
      </c>
      <c r="F4451" s="63" t="s">
        <v>0</v>
      </c>
    </row>
    <row r="4452" spans="1:6" x14ac:dyDescent="0.25">
      <c r="A4452" s="62">
        <v>44088</v>
      </c>
      <c r="B4452" s="62" t="s">
        <v>3738</v>
      </c>
      <c r="C4452" s="23">
        <v>-2000</v>
      </c>
      <c r="D4452" s="24" t="s">
        <v>83</v>
      </c>
      <c r="E4452" s="24" t="s">
        <v>2151</v>
      </c>
      <c r="F4452" s="63" t="s">
        <v>0</v>
      </c>
    </row>
    <row r="4453" spans="1:6" x14ac:dyDescent="0.25">
      <c r="A4453" s="62">
        <v>44088</v>
      </c>
      <c r="B4453" s="62" t="s">
        <v>3739</v>
      </c>
      <c r="C4453" s="23">
        <v>-15640</v>
      </c>
      <c r="D4453" s="24" t="s">
        <v>52</v>
      </c>
      <c r="E4453" s="24" t="s">
        <v>52</v>
      </c>
      <c r="F4453" s="63" t="s">
        <v>0</v>
      </c>
    </row>
    <row r="4454" spans="1:6" x14ac:dyDescent="0.25">
      <c r="A4454" s="62">
        <v>44088</v>
      </c>
      <c r="B4454" s="62" t="s">
        <v>3740</v>
      </c>
      <c r="C4454" s="23">
        <v>-13000</v>
      </c>
      <c r="D4454" s="24" t="s">
        <v>52</v>
      </c>
      <c r="E4454" s="24" t="s">
        <v>52</v>
      </c>
      <c r="F4454" s="63" t="s">
        <v>0</v>
      </c>
    </row>
    <row r="4455" spans="1:6" x14ac:dyDescent="0.25">
      <c r="A4455" s="62">
        <v>44088</v>
      </c>
      <c r="B4455" s="62" t="s">
        <v>3741</v>
      </c>
      <c r="C4455" s="23">
        <v>-12551</v>
      </c>
      <c r="D4455" s="24" t="s">
        <v>72</v>
      </c>
      <c r="E4455" s="24" t="s">
        <v>109</v>
      </c>
      <c r="F4455" s="63" t="s">
        <v>0</v>
      </c>
    </row>
    <row r="4456" spans="1:6" x14ac:dyDescent="0.25">
      <c r="A4456" s="62">
        <v>44087</v>
      </c>
      <c r="B4456" s="62" t="s">
        <v>3742</v>
      </c>
      <c r="C4456" s="23">
        <v>-12000</v>
      </c>
      <c r="D4456" s="24" t="s">
        <v>52</v>
      </c>
      <c r="E4456" s="24" t="s">
        <v>53</v>
      </c>
      <c r="F4456" s="63" t="s">
        <v>4</v>
      </c>
    </row>
    <row r="4457" spans="1:6" x14ac:dyDescent="0.25">
      <c r="A4457" s="62">
        <v>44084</v>
      </c>
      <c r="B4457" s="62" t="s">
        <v>3698</v>
      </c>
      <c r="C4457" s="23">
        <v>668960</v>
      </c>
      <c r="D4457" s="24" t="s">
        <v>58</v>
      </c>
      <c r="E4457" s="24" t="s">
        <v>58</v>
      </c>
      <c r="F4457" s="63" t="s">
        <v>0</v>
      </c>
    </row>
    <row r="4458" spans="1:6" x14ac:dyDescent="0.25">
      <c r="A4458" s="62">
        <v>44083</v>
      </c>
      <c r="B4458" s="62" t="s">
        <v>3743</v>
      </c>
      <c r="C4458" s="23">
        <v>-1800</v>
      </c>
      <c r="D4458" s="24" t="s">
        <v>52</v>
      </c>
      <c r="E4458" s="24" t="s">
        <v>53</v>
      </c>
      <c r="F4458" s="63" t="s">
        <v>0</v>
      </c>
    </row>
    <row r="4459" spans="1:6" x14ac:dyDescent="0.25">
      <c r="A4459" s="62">
        <v>44083</v>
      </c>
      <c r="B4459" s="62" t="s">
        <v>3744</v>
      </c>
      <c r="C4459" s="23">
        <v>-10695</v>
      </c>
      <c r="D4459" s="24" t="s">
        <v>49</v>
      </c>
      <c r="E4459" s="24" t="s">
        <v>56</v>
      </c>
      <c r="F4459" s="63" t="s">
        <v>0</v>
      </c>
    </row>
    <row r="4460" spans="1:6" x14ac:dyDescent="0.25">
      <c r="A4460" s="62">
        <v>44082</v>
      </c>
      <c r="B4460" s="62" t="s">
        <v>3745</v>
      </c>
      <c r="C4460" s="23">
        <v>-199</v>
      </c>
      <c r="D4460" s="24" t="s">
        <v>49</v>
      </c>
      <c r="E4460" s="24" t="s">
        <v>56</v>
      </c>
      <c r="F4460" s="63" t="s">
        <v>0</v>
      </c>
    </row>
    <row r="4461" spans="1:6" x14ac:dyDescent="0.25">
      <c r="A4461" s="62">
        <v>44082</v>
      </c>
      <c r="B4461" s="62" t="s">
        <v>3746</v>
      </c>
      <c r="C4461" s="23">
        <v>-2987</v>
      </c>
      <c r="D4461" s="24" t="s">
        <v>49</v>
      </c>
      <c r="E4461" s="24" t="s">
        <v>56</v>
      </c>
      <c r="F4461" s="63" t="s">
        <v>0</v>
      </c>
    </row>
    <row r="4462" spans="1:6" x14ac:dyDescent="0.25">
      <c r="A4462" s="62">
        <v>44081</v>
      </c>
      <c r="B4462" s="62" t="s">
        <v>3747</v>
      </c>
      <c r="C4462" s="23">
        <v>-5800</v>
      </c>
      <c r="D4462" s="24" t="s">
        <v>52</v>
      </c>
      <c r="E4462" s="24" t="s">
        <v>134</v>
      </c>
      <c r="F4462" s="63" t="s">
        <v>0</v>
      </c>
    </row>
    <row r="4463" spans="1:6" x14ac:dyDescent="0.25">
      <c r="A4463" s="62">
        <v>44081</v>
      </c>
      <c r="B4463" s="62" t="s">
        <v>3748</v>
      </c>
      <c r="C4463" s="23">
        <v>-9450</v>
      </c>
      <c r="D4463" s="24" t="s">
        <v>72</v>
      </c>
      <c r="E4463" s="24" t="s">
        <v>728</v>
      </c>
      <c r="F4463" s="63" t="s">
        <v>0</v>
      </c>
    </row>
    <row r="4464" spans="1:6" x14ac:dyDescent="0.25">
      <c r="A4464" s="62">
        <v>44078</v>
      </c>
      <c r="B4464" s="62" t="s">
        <v>3749</v>
      </c>
      <c r="C4464" s="23">
        <v>-2294</v>
      </c>
      <c r="D4464" s="24" t="s">
        <v>49</v>
      </c>
      <c r="E4464" s="24" t="s">
        <v>56</v>
      </c>
      <c r="F4464" s="63" t="s">
        <v>0</v>
      </c>
    </row>
    <row r="4465" spans="1:6" x14ac:dyDescent="0.25">
      <c r="A4465" s="62">
        <v>44078</v>
      </c>
      <c r="B4465" s="62" t="s">
        <v>3750</v>
      </c>
      <c r="C4465" s="23">
        <v>344250</v>
      </c>
      <c r="D4465" s="24" t="s">
        <v>58</v>
      </c>
      <c r="E4465" s="24" t="s">
        <v>58</v>
      </c>
      <c r="F4465" s="63" t="s">
        <v>0</v>
      </c>
    </row>
    <row r="4466" spans="1:6" x14ac:dyDescent="0.25">
      <c r="A4466" s="62">
        <v>44077</v>
      </c>
      <c r="B4466" s="62" t="s">
        <v>3751</v>
      </c>
      <c r="C4466" s="23">
        <v>-528</v>
      </c>
      <c r="D4466" s="24" t="s">
        <v>49</v>
      </c>
      <c r="E4466" s="24" t="s">
        <v>56</v>
      </c>
      <c r="F4466" s="63" t="s">
        <v>0</v>
      </c>
    </row>
    <row r="4467" spans="1:6" x14ac:dyDescent="0.25">
      <c r="A4467" s="62">
        <v>44076</v>
      </c>
      <c r="B4467" s="62" t="s">
        <v>3752</v>
      </c>
      <c r="C4467" s="23">
        <v>-1500</v>
      </c>
      <c r="D4467" s="24" t="s">
        <v>52</v>
      </c>
      <c r="E4467" s="24" t="s">
        <v>53</v>
      </c>
      <c r="F4467" s="63" t="s">
        <v>4</v>
      </c>
    </row>
    <row r="4468" spans="1:6" x14ac:dyDescent="0.25">
      <c r="A4468" s="62">
        <v>44075</v>
      </c>
      <c r="B4468" s="62" t="s">
        <v>3753</v>
      </c>
      <c r="C4468" s="23">
        <v>-6400</v>
      </c>
      <c r="D4468" s="24" t="s">
        <v>83</v>
      </c>
      <c r="E4468" s="24" t="s">
        <v>84</v>
      </c>
      <c r="F4468" s="63" t="s">
        <v>0</v>
      </c>
    </row>
    <row r="4469" spans="1:6" x14ac:dyDescent="0.25">
      <c r="A4469" s="62">
        <v>44075</v>
      </c>
      <c r="B4469" s="62" t="s">
        <v>3754</v>
      </c>
      <c r="C4469" s="23">
        <v>-2150</v>
      </c>
      <c r="D4469" s="24" t="s">
        <v>83</v>
      </c>
      <c r="E4469" s="24" t="s">
        <v>84</v>
      </c>
      <c r="F4469" s="63" t="s">
        <v>0</v>
      </c>
    </row>
    <row r="4470" spans="1:6" x14ac:dyDescent="0.25">
      <c r="A4470" s="62">
        <v>44075</v>
      </c>
      <c r="B4470" s="62" t="s">
        <v>3755</v>
      </c>
      <c r="C4470" s="23">
        <v>-7542</v>
      </c>
      <c r="D4470" s="24" t="s">
        <v>49</v>
      </c>
      <c r="E4470" s="24" t="s">
        <v>56</v>
      </c>
      <c r="F4470" s="63" t="s">
        <v>0</v>
      </c>
    </row>
    <row r="4471" spans="1:6" x14ac:dyDescent="0.25">
      <c r="A4471" s="62">
        <v>44075</v>
      </c>
      <c r="B4471" s="62" t="s">
        <v>3756</v>
      </c>
      <c r="C4471" s="23">
        <v>-15006</v>
      </c>
      <c r="D4471" s="24" t="s">
        <v>72</v>
      </c>
      <c r="E4471" s="24" t="s">
        <v>109</v>
      </c>
      <c r="F4471" s="63" t="s">
        <v>0</v>
      </c>
    </row>
    <row r="4472" spans="1:6" x14ac:dyDescent="0.25">
      <c r="A4472" s="62">
        <v>44074</v>
      </c>
      <c r="B4472" s="62" t="s">
        <v>3410</v>
      </c>
      <c r="C4472" s="23">
        <v>-110000</v>
      </c>
      <c r="D4472" s="24" t="s">
        <v>46</v>
      </c>
      <c r="E4472" s="24" t="s">
        <v>3410</v>
      </c>
      <c r="F4472" s="63" t="s">
        <v>0</v>
      </c>
    </row>
    <row r="4473" spans="1:6" x14ac:dyDescent="0.25">
      <c r="A4473" s="62">
        <v>44074</v>
      </c>
      <c r="B4473" s="62" t="s">
        <v>3757</v>
      </c>
      <c r="C4473" s="23">
        <v>-3204</v>
      </c>
      <c r="D4473" s="24" t="s">
        <v>49</v>
      </c>
      <c r="E4473" s="24" t="s">
        <v>56</v>
      </c>
      <c r="F4473" s="63" t="s">
        <v>0</v>
      </c>
    </row>
    <row r="4474" spans="1:6" x14ac:dyDescent="0.25">
      <c r="A4474" s="62">
        <v>44072</v>
      </c>
      <c r="B4474" s="62" t="s">
        <v>3610</v>
      </c>
      <c r="C4474" s="23">
        <v>-2690</v>
      </c>
      <c r="D4474" s="24" t="s">
        <v>52</v>
      </c>
      <c r="E4474" s="24" t="s">
        <v>53</v>
      </c>
      <c r="F4474" s="63" t="s">
        <v>4</v>
      </c>
    </row>
    <row r="4475" spans="1:6" x14ac:dyDescent="0.25">
      <c r="A4475" s="62">
        <v>44072</v>
      </c>
      <c r="B4475" s="62" t="s">
        <v>3758</v>
      </c>
      <c r="C4475" s="23">
        <v>1000000</v>
      </c>
      <c r="D4475" s="24" t="s">
        <v>167</v>
      </c>
      <c r="E4475" s="24" t="s">
        <v>183</v>
      </c>
      <c r="F4475" s="63" t="s">
        <v>3</v>
      </c>
    </row>
    <row r="4476" spans="1:6" x14ac:dyDescent="0.25">
      <c r="A4476" s="62">
        <v>44072</v>
      </c>
      <c r="B4476" s="62" t="s">
        <v>3758</v>
      </c>
      <c r="C4476" s="23">
        <v>-1000000</v>
      </c>
      <c r="D4476" s="24" t="s">
        <v>167</v>
      </c>
      <c r="E4476" s="24" t="s">
        <v>183</v>
      </c>
      <c r="F4476" s="63" t="s">
        <v>0</v>
      </c>
    </row>
    <row r="4477" spans="1:6" x14ac:dyDescent="0.25">
      <c r="A4477" s="62">
        <v>44072</v>
      </c>
      <c r="B4477" s="62" t="s">
        <v>3759</v>
      </c>
      <c r="C4477" s="23">
        <v>-2180</v>
      </c>
      <c r="D4477" s="24" t="s">
        <v>52</v>
      </c>
      <c r="E4477" s="24" t="s">
        <v>53</v>
      </c>
      <c r="F4477" s="63" t="s">
        <v>0</v>
      </c>
    </row>
    <row r="4478" spans="1:6" x14ac:dyDescent="0.25">
      <c r="A4478" s="62">
        <v>44071</v>
      </c>
      <c r="B4478" s="62" t="s">
        <v>3677</v>
      </c>
      <c r="C4478" s="23">
        <v>-3000</v>
      </c>
      <c r="D4478" s="24" t="s">
        <v>52</v>
      </c>
      <c r="E4478" s="24" t="s">
        <v>53</v>
      </c>
      <c r="F4478" s="63" t="s">
        <v>4</v>
      </c>
    </row>
    <row r="4479" spans="1:6" x14ac:dyDescent="0.25">
      <c r="A4479" s="62">
        <v>44071</v>
      </c>
      <c r="B4479" s="62" t="s">
        <v>3610</v>
      </c>
      <c r="C4479" s="23">
        <v>-3280</v>
      </c>
      <c r="D4479" s="24" t="s">
        <v>52</v>
      </c>
      <c r="E4479" s="24" t="s">
        <v>53</v>
      </c>
      <c r="F4479" s="63" t="s">
        <v>4</v>
      </c>
    </row>
    <row r="4480" spans="1:6" x14ac:dyDescent="0.25">
      <c r="A4480" s="62">
        <v>44071</v>
      </c>
      <c r="B4480" s="62" t="s">
        <v>3760</v>
      </c>
      <c r="C4480" s="23">
        <v>-3990</v>
      </c>
      <c r="D4480" s="24" t="s">
        <v>46</v>
      </c>
      <c r="E4480" s="24" t="s">
        <v>63</v>
      </c>
      <c r="F4480" s="63" t="s">
        <v>0</v>
      </c>
    </row>
    <row r="4481" spans="1:6" x14ac:dyDescent="0.25">
      <c r="A4481" s="62">
        <v>44070</v>
      </c>
      <c r="B4481" s="62" t="s">
        <v>3761</v>
      </c>
      <c r="C4481" s="23">
        <v>-1500</v>
      </c>
      <c r="D4481" s="24" t="s">
        <v>49</v>
      </c>
      <c r="E4481" s="24" t="s">
        <v>56</v>
      </c>
      <c r="F4481" s="63" t="s">
        <v>0</v>
      </c>
    </row>
    <row r="4482" spans="1:6" x14ac:dyDescent="0.25">
      <c r="A4482" s="62">
        <v>44070</v>
      </c>
      <c r="B4482" s="62" t="s">
        <v>3762</v>
      </c>
      <c r="C4482" s="23">
        <v>-9412</v>
      </c>
      <c r="D4482" s="24" t="s">
        <v>49</v>
      </c>
      <c r="E4482" s="24" t="s">
        <v>1165</v>
      </c>
      <c r="F4482" s="63" t="s">
        <v>0</v>
      </c>
    </row>
    <row r="4483" spans="1:6" x14ac:dyDescent="0.25">
      <c r="A4483" s="62">
        <v>44070</v>
      </c>
      <c r="B4483" s="62" t="s">
        <v>3763</v>
      </c>
      <c r="C4483" s="23">
        <v>1000000</v>
      </c>
      <c r="D4483" s="24" t="s">
        <v>167</v>
      </c>
      <c r="E4483" s="24" t="s">
        <v>2200</v>
      </c>
      <c r="F4483" s="63" t="s">
        <v>0</v>
      </c>
    </row>
    <row r="4484" spans="1:6" x14ac:dyDescent="0.25">
      <c r="A4484" s="62">
        <v>44069</v>
      </c>
      <c r="B4484" s="62" t="s">
        <v>3764</v>
      </c>
      <c r="C4484" s="23">
        <v>-3860</v>
      </c>
      <c r="D4484" s="24" t="s">
        <v>46</v>
      </c>
      <c r="E4484" s="24" t="s">
        <v>63</v>
      </c>
      <c r="F4484" s="63" t="s">
        <v>0</v>
      </c>
    </row>
    <row r="4485" spans="1:6" x14ac:dyDescent="0.25">
      <c r="A4485" s="62">
        <v>44069</v>
      </c>
      <c r="B4485" s="62" t="s">
        <v>3765</v>
      </c>
      <c r="C4485" s="23">
        <v>-2450</v>
      </c>
      <c r="D4485" s="24" t="s">
        <v>52</v>
      </c>
      <c r="E4485" s="24" t="s">
        <v>134</v>
      </c>
      <c r="F4485" s="63" t="s">
        <v>0</v>
      </c>
    </row>
    <row r="4486" spans="1:6" x14ac:dyDescent="0.25">
      <c r="A4486" s="62">
        <v>44069</v>
      </c>
      <c r="B4486" s="62" t="s">
        <v>3766</v>
      </c>
      <c r="C4486" s="23">
        <v>-3069</v>
      </c>
      <c r="D4486" s="24" t="s">
        <v>49</v>
      </c>
      <c r="E4486" s="24" t="s">
        <v>56</v>
      </c>
      <c r="F4486" s="63" t="s">
        <v>0</v>
      </c>
    </row>
    <row r="4487" spans="1:6" x14ac:dyDescent="0.25">
      <c r="A4487" s="62">
        <v>44068</v>
      </c>
      <c r="B4487" s="62" t="s">
        <v>3767</v>
      </c>
      <c r="C4487" s="23">
        <v>-25417</v>
      </c>
      <c r="D4487" s="24" t="s">
        <v>46</v>
      </c>
      <c r="E4487" s="24" t="s">
        <v>3256</v>
      </c>
      <c r="F4487" s="63" t="s">
        <v>0</v>
      </c>
    </row>
    <row r="4488" spans="1:6" x14ac:dyDescent="0.25">
      <c r="A4488" s="62">
        <v>44067</v>
      </c>
      <c r="B4488" s="62" t="s">
        <v>3601</v>
      </c>
      <c r="C4488" s="23">
        <v>9240</v>
      </c>
      <c r="D4488" s="24" t="s">
        <v>58</v>
      </c>
      <c r="E4488" s="24" t="s">
        <v>58</v>
      </c>
      <c r="F4488" s="63" t="s">
        <v>4</v>
      </c>
    </row>
    <row r="4489" spans="1:6" x14ac:dyDescent="0.25">
      <c r="A4489" s="62">
        <v>44067</v>
      </c>
      <c r="B4489" s="62" t="s">
        <v>3602</v>
      </c>
      <c r="C4489" s="23">
        <v>12000</v>
      </c>
      <c r="D4489" s="24" t="s">
        <v>58</v>
      </c>
      <c r="E4489" s="24" t="s">
        <v>58</v>
      </c>
      <c r="F4489" s="63" t="s">
        <v>4</v>
      </c>
    </row>
    <row r="4490" spans="1:6" x14ac:dyDescent="0.25">
      <c r="A4490" s="62">
        <v>44067</v>
      </c>
      <c r="B4490" s="62" t="s">
        <v>3768</v>
      </c>
      <c r="C4490" s="23">
        <v>-2340</v>
      </c>
      <c r="D4490" s="24" t="s">
        <v>52</v>
      </c>
      <c r="E4490" s="24" t="s">
        <v>52</v>
      </c>
      <c r="F4490" s="63" t="s">
        <v>0</v>
      </c>
    </row>
    <row r="4491" spans="1:6" x14ac:dyDescent="0.25">
      <c r="A4491" s="62">
        <v>44067</v>
      </c>
      <c r="B4491" s="62" t="s">
        <v>3769</v>
      </c>
      <c r="C4491" s="23">
        <v>-20338</v>
      </c>
      <c r="D4491" s="24" t="s">
        <v>72</v>
      </c>
      <c r="E4491" s="24" t="s">
        <v>109</v>
      </c>
      <c r="F4491" s="63" t="s">
        <v>0</v>
      </c>
    </row>
    <row r="4492" spans="1:6" x14ac:dyDescent="0.25">
      <c r="A4492" s="62">
        <v>44067</v>
      </c>
      <c r="B4492" s="62" t="s">
        <v>3770</v>
      </c>
      <c r="C4492" s="23">
        <v>5000000</v>
      </c>
      <c r="D4492" s="24" t="s">
        <v>167</v>
      </c>
      <c r="E4492" s="24" t="s">
        <v>183</v>
      </c>
      <c r="F4492" s="63" t="s">
        <v>3</v>
      </c>
    </row>
    <row r="4493" spans="1:6" x14ac:dyDescent="0.25">
      <c r="A4493" s="62">
        <v>44067</v>
      </c>
      <c r="B4493" s="62" t="s">
        <v>3770</v>
      </c>
      <c r="C4493" s="23">
        <v>-5000000</v>
      </c>
      <c r="D4493" s="24" t="s">
        <v>167</v>
      </c>
      <c r="E4493" s="24" t="s">
        <v>183</v>
      </c>
      <c r="F4493" s="63" t="s">
        <v>0</v>
      </c>
    </row>
    <row r="4494" spans="1:6" x14ac:dyDescent="0.25">
      <c r="A4494" s="62">
        <v>44062</v>
      </c>
      <c r="B4494" s="62" t="s">
        <v>3610</v>
      </c>
      <c r="C4494" s="23">
        <v>-2590</v>
      </c>
      <c r="D4494" s="24" t="s">
        <v>52</v>
      </c>
      <c r="E4494" s="24" t="s">
        <v>53</v>
      </c>
      <c r="F4494" s="63" t="s">
        <v>4</v>
      </c>
    </row>
    <row r="4495" spans="1:6" x14ac:dyDescent="0.25">
      <c r="A4495" s="62">
        <v>44062</v>
      </c>
      <c r="B4495" s="62" t="s">
        <v>3771</v>
      </c>
      <c r="C4495" s="23">
        <v>-3015</v>
      </c>
      <c r="D4495" s="24" t="s">
        <v>49</v>
      </c>
      <c r="E4495" s="24" t="s">
        <v>56</v>
      </c>
      <c r="F4495" s="63" t="s">
        <v>0</v>
      </c>
    </row>
    <row r="4496" spans="1:6" x14ac:dyDescent="0.25">
      <c r="A4496" s="62">
        <v>44061</v>
      </c>
      <c r="B4496" s="62" t="s">
        <v>3772</v>
      </c>
      <c r="C4496" s="23">
        <v>-1000000</v>
      </c>
      <c r="D4496" s="24" t="s">
        <v>167</v>
      </c>
      <c r="E4496" s="24" t="s">
        <v>2200</v>
      </c>
      <c r="F4496" s="63" t="s">
        <v>0</v>
      </c>
    </row>
    <row r="4497" spans="1:6" x14ac:dyDescent="0.25">
      <c r="A4497" s="62">
        <v>44061</v>
      </c>
      <c r="B4497" s="62" t="s">
        <v>3773</v>
      </c>
      <c r="C4497" s="23">
        <v>-327</v>
      </c>
      <c r="D4497" s="24" t="s">
        <v>167</v>
      </c>
      <c r="E4497" s="24" t="s">
        <v>168</v>
      </c>
      <c r="F4497" s="63" t="s">
        <v>0</v>
      </c>
    </row>
    <row r="4498" spans="1:6" x14ac:dyDescent="0.25">
      <c r="A4498" s="62">
        <v>44061</v>
      </c>
      <c r="B4498" s="62" t="s">
        <v>3774</v>
      </c>
      <c r="C4498" s="23">
        <v>-2300</v>
      </c>
      <c r="D4498" s="24" t="s">
        <v>52</v>
      </c>
      <c r="E4498" s="24" t="s">
        <v>53</v>
      </c>
      <c r="F4498" s="63" t="s">
        <v>0</v>
      </c>
    </row>
    <row r="4499" spans="1:6" x14ac:dyDescent="0.25">
      <c r="A4499" s="62">
        <v>44061</v>
      </c>
      <c r="B4499" s="62" t="s">
        <v>3775</v>
      </c>
      <c r="C4499" s="23">
        <v>-2800</v>
      </c>
      <c r="D4499" s="24" t="s">
        <v>83</v>
      </c>
      <c r="E4499" s="24" t="s">
        <v>84</v>
      </c>
      <c r="F4499" s="63" t="s">
        <v>0</v>
      </c>
    </row>
    <row r="4500" spans="1:6" x14ac:dyDescent="0.25">
      <c r="A4500" s="62">
        <v>44061</v>
      </c>
      <c r="B4500" s="62" t="s">
        <v>3776</v>
      </c>
      <c r="C4500" s="23">
        <v>-2000000</v>
      </c>
      <c r="D4500" s="24" t="s">
        <v>167</v>
      </c>
      <c r="E4500" s="24" t="s">
        <v>1</v>
      </c>
      <c r="F4500" s="63" t="s">
        <v>0</v>
      </c>
    </row>
    <row r="4501" spans="1:6" x14ac:dyDescent="0.25">
      <c r="A4501" s="62">
        <v>44061</v>
      </c>
      <c r="B4501" s="62" t="s">
        <v>3776</v>
      </c>
      <c r="C4501" s="23">
        <v>2000000</v>
      </c>
      <c r="D4501" s="24" t="s">
        <v>167</v>
      </c>
      <c r="E4501" s="24" t="s">
        <v>1</v>
      </c>
      <c r="F4501" s="63" t="s">
        <v>0</v>
      </c>
    </row>
    <row r="4502" spans="1:6" x14ac:dyDescent="0.25">
      <c r="A4502" s="62">
        <v>44061</v>
      </c>
      <c r="B4502" s="62" t="s">
        <v>3777</v>
      </c>
      <c r="C4502" s="23">
        <v>2</v>
      </c>
      <c r="D4502" s="24" t="s">
        <v>167</v>
      </c>
      <c r="E4502" s="24" t="s">
        <v>2200</v>
      </c>
      <c r="F4502" s="63" t="s">
        <v>0</v>
      </c>
    </row>
    <row r="4503" spans="1:6" x14ac:dyDescent="0.25">
      <c r="A4503" s="62">
        <v>44061</v>
      </c>
      <c r="B4503" s="62" t="s">
        <v>3778</v>
      </c>
      <c r="C4503" s="23">
        <v>448236</v>
      </c>
      <c r="D4503" s="24" t="s">
        <v>167</v>
      </c>
      <c r="E4503" s="24" t="s">
        <v>2200</v>
      </c>
      <c r="F4503" s="63" t="s">
        <v>0</v>
      </c>
    </row>
    <row r="4504" spans="1:6" x14ac:dyDescent="0.25">
      <c r="A4504" s="62">
        <v>44061</v>
      </c>
      <c r="B4504" s="62" t="s">
        <v>3778</v>
      </c>
      <c r="C4504" s="23">
        <v>-448236</v>
      </c>
      <c r="D4504" s="24" t="s">
        <v>167</v>
      </c>
      <c r="E4504" s="24" t="s">
        <v>2200</v>
      </c>
      <c r="F4504" s="63" t="s">
        <v>2</v>
      </c>
    </row>
    <row r="4505" spans="1:6" x14ac:dyDescent="0.25">
      <c r="A4505" s="62">
        <v>44060</v>
      </c>
      <c r="B4505" s="62" t="s">
        <v>3779</v>
      </c>
      <c r="C4505" s="23">
        <v>-100</v>
      </c>
      <c r="D4505" s="24" t="s">
        <v>167</v>
      </c>
      <c r="E4505" s="24" t="s">
        <v>168</v>
      </c>
      <c r="F4505" s="63" t="s">
        <v>5</v>
      </c>
    </row>
    <row r="4506" spans="1:6" x14ac:dyDescent="0.25">
      <c r="A4506" s="62">
        <v>44060</v>
      </c>
      <c r="B4506" s="62" t="s">
        <v>3780</v>
      </c>
      <c r="C4506" s="23">
        <v>-5090</v>
      </c>
      <c r="D4506" s="24" t="s">
        <v>52</v>
      </c>
      <c r="E4506" s="24" t="s">
        <v>53</v>
      </c>
      <c r="F4506" s="63" t="s">
        <v>0</v>
      </c>
    </row>
    <row r="4507" spans="1:6" x14ac:dyDescent="0.25">
      <c r="A4507" s="62">
        <v>44060</v>
      </c>
      <c r="B4507" s="62" t="s">
        <v>3781</v>
      </c>
      <c r="C4507" s="23">
        <v>-15452</v>
      </c>
      <c r="D4507" s="24" t="s">
        <v>72</v>
      </c>
      <c r="E4507" s="24" t="s">
        <v>109</v>
      </c>
      <c r="F4507" s="63" t="s">
        <v>0</v>
      </c>
    </row>
    <row r="4508" spans="1:6" x14ac:dyDescent="0.25">
      <c r="A4508" s="62">
        <v>44060</v>
      </c>
      <c r="B4508" s="62" t="s">
        <v>3782</v>
      </c>
      <c r="C4508" s="23">
        <v>-3400</v>
      </c>
      <c r="D4508" s="24" t="s">
        <v>52</v>
      </c>
      <c r="E4508" s="24" t="s">
        <v>134</v>
      </c>
      <c r="F4508" s="63" t="s">
        <v>0</v>
      </c>
    </row>
    <row r="4509" spans="1:6" x14ac:dyDescent="0.25">
      <c r="A4509" s="62">
        <v>44060</v>
      </c>
      <c r="B4509" s="62" t="s">
        <v>3783</v>
      </c>
      <c r="C4509" s="23">
        <v>-650</v>
      </c>
      <c r="D4509" s="24" t="s">
        <v>52</v>
      </c>
      <c r="E4509" s="24" t="s">
        <v>53</v>
      </c>
      <c r="F4509" s="63" t="s">
        <v>0</v>
      </c>
    </row>
    <row r="4510" spans="1:6" x14ac:dyDescent="0.25">
      <c r="A4510" s="62">
        <v>44060</v>
      </c>
      <c r="B4510" s="62" t="s">
        <v>3784</v>
      </c>
      <c r="C4510" s="23">
        <v>-4657</v>
      </c>
      <c r="D4510" s="24" t="s">
        <v>49</v>
      </c>
      <c r="E4510" s="24" t="s">
        <v>56</v>
      </c>
      <c r="F4510" s="63" t="s">
        <v>0</v>
      </c>
    </row>
    <row r="4511" spans="1:6" x14ac:dyDescent="0.25">
      <c r="A4511" s="62">
        <v>44060</v>
      </c>
      <c r="B4511" s="62" t="s">
        <v>3785</v>
      </c>
      <c r="C4511" s="23">
        <v>-4200</v>
      </c>
      <c r="D4511" s="24" t="s">
        <v>83</v>
      </c>
      <c r="E4511" s="24" t="s">
        <v>2151</v>
      </c>
      <c r="F4511" s="63" t="s">
        <v>0</v>
      </c>
    </row>
    <row r="4512" spans="1:6" x14ac:dyDescent="0.25">
      <c r="A4512" s="62">
        <v>44060</v>
      </c>
      <c r="B4512" s="62" t="s">
        <v>3786</v>
      </c>
      <c r="C4512" s="23">
        <v>-3600</v>
      </c>
      <c r="D4512" s="24" t="s">
        <v>83</v>
      </c>
      <c r="E4512" s="24" t="s">
        <v>84</v>
      </c>
      <c r="F4512" s="63" t="s">
        <v>0</v>
      </c>
    </row>
    <row r="4513" spans="1:6" x14ac:dyDescent="0.25">
      <c r="A4513" s="62">
        <v>44060</v>
      </c>
      <c r="B4513" s="62" t="s">
        <v>3787</v>
      </c>
      <c r="C4513" s="23">
        <v>-249</v>
      </c>
      <c r="D4513" s="24" t="s">
        <v>49</v>
      </c>
      <c r="E4513" s="24" t="s">
        <v>56</v>
      </c>
      <c r="F4513" s="63" t="s">
        <v>0</v>
      </c>
    </row>
    <row r="4514" spans="1:6" x14ac:dyDescent="0.25">
      <c r="A4514" s="62">
        <v>44057</v>
      </c>
      <c r="B4514" s="62" t="s">
        <v>3785</v>
      </c>
      <c r="C4514" s="23">
        <v>-4200</v>
      </c>
      <c r="D4514" s="24" t="s">
        <v>83</v>
      </c>
      <c r="E4514" s="24" t="s">
        <v>2151</v>
      </c>
      <c r="F4514" s="63" t="s">
        <v>0</v>
      </c>
    </row>
    <row r="4515" spans="1:6" x14ac:dyDescent="0.25">
      <c r="A4515" s="62">
        <v>44057</v>
      </c>
      <c r="B4515" s="62" t="s">
        <v>3788</v>
      </c>
      <c r="C4515" s="23">
        <v>476342</v>
      </c>
      <c r="D4515" s="24" t="s">
        <v>167</v>
      </c>
      <c r="E4515" s="24" t="s">
        <v>2200</v>
      </c>
      <c r="F4515" s="63" t="s">
        <v>0</v>
      </c>
    </row>
    <row r="4516" spans="1:6" x14ac:dyDescent="0.25">
      <c r="A4516" s="62">
        <v>44057</v>
      </c>
      <c r="B4516" s="62" t="s">
        <v>3788</v>
      </c>
      <c r="C4516" s="23">
        <v>-476342</v>
      </c>
      <c r="D4516" s="24" t="s">
        <v>167</v>
      </c>
      <c r="E4516" s="24" t="s">
        <v>2200</v>
      </c>
      <c r="F4516" s="63" t="s">
        <v>2</v>
      </c>
    </row>
    <row r="4517" spans="1:6" x14ac:dyDescent="0.25">
      <c r="A4517" s="62">
        <v>44057</v>
      </c>
      <c r="B4517" s="62" t="s">
        <v>3789</v>
      </c>
      <c r="C4517" s="23">
        <v>-3790</v>
      </c>
      <c r="D4517" s="24" t="s">
        <v>52</v>
      </c>
      <c r="E4517" s="24" t="s">
        <v>53</v>
      </c>
      <c r="F4517" s="63" t="s">
        <v>4</v>
      </c>
    </row>
    <row r="4518" spans="1:6" x14ac:dyDescent="0.25">
      <c r="A4518" s="62">
        <v>44056</v>
      </c>
      <c r="B4518" s="62" t="s">
        <v>3790</v>
      </c>
      <c r="C4518" s="23">
        <v>-910</v>
      </c>
      <c r="D4518" s="24" t="s">
        <v>52</v>
      </c>
      <c r="E4518" s="24" t="s">
        <v>134</v>
      </c>
      <c r="F4518" s="63" t="s">
        <v>0</v>
      </c>
    </row>
    <row r="4519" spans="1:6" x14ac:dyDescent="0.25">
      <c r="A4519" s="62">
        <v>44054</v>
      </c>
      <c r="B4519" s="62" t="s">
        <v>3791</v>
      </c>
      <c r="C4519" s="23">
        <v>-2210</v>
      </c>
      <c r="D4519" s="24" t="s">
        <v>46</v>
      </c>
      <c r="E4519" s="24" t="s">
        <v>47</v>
      </c>
      <c r="F4519" s="63" t="s">
        <v>0</v>
      </c>
    </row>
    <row r="4520" spans="1:6" x14ac:dyDescent="0.25">
      <c r="A4520" s="62">
        <v>44053</v>
      </c>
      <c r="B4520" s="62" t="s">
        <v>3792</v>
      </c>
      <c r="C4520" s="23">
        <v>-11752</v>
      </c>
      <c r="D4520" s="24" t="s">
        <v>46</v>
      </c>
      <c r="E4520" s="24" t="s">
        <v>47</v>
      </c>
      <c r="F4520" s="63" t="s">
        <v>0</v>
      </c>
    </row>
    <row r="4521" spans="1:6" x14ac:dyDescent="0.25">
      <c r="A4521" s="62">
        <v>44053</v>
      </c>
      <c r="B4521" s="62" t="s">
        <v>3793</v>
      </c>
      <c r="C4521" s="23">
        <v>-8200</v>
      </c>
      <c r="D4521" s="24" t="s">
        <v>83</v>
      </c>
      <c r="E4521" s="24" t="s">
        <v>2151</v>
      </c>
      <c r="F4521" s="63" t="s">
        <v>0</v>
      </c>
    </row>
    <row r="4522" spans="1:6" x14ac:dyDescent="0.25">
      <c r="A4522" s="62">
        <v>44053</v>
      </c>
      <c r="B4522" s="62" t="s">
        <v>3794</v>
      </c>
      <c r="C4522" s="23">
        <v>-2290</v>
      </c>
      <c r="D4522" s="24" t="s">
        <v>52</v>
      </c>
      <c r="E4522" s="24" t="s">
        <v>53</v>
      </c>
      <c r="F4522" s="63" t="s">
        <v>0</v>
      </c>
    </row>
    <row r="4523" spans="1:6" x14ac:dyDescent="0.25">
      <c r="A4523" s="62">
        <v>44053</v>
      </c>
      <c r="B4523" s="62" t="s">
        <v>3795</v>
      </c>
      <c r="C4523" s="23">
        <v>2873692</v>
      </c>
      <c r="D4523" s="24" t="s">
        <v>206</v>
      </c>
      <c r="E4523" s="24" t="s">
        <v>206</v>
      </c>
      <c r="F4523" s="63" t="s">
        <v>0</v>
      </c>
    </row>
    <row r="4524" spans="1:6" x14ac:dyDescent="0.25">
      <c r="A4524" s="62">
        <v>44053</v>
      </c>
      <c r="B4524" s="62" t="s">
        <v>3698</v>
      </c>
      <c r="C4524" s="23">
        <v>668960</v>
      </c>
      <c r="D4524" s="24" t="s">
        <v>58</v>
      </c>
      <c r="E4524" s="24" t="s">
        <v>58</v>
      </c>
      <c r="F4524" s="63" t="s">
        <v>0</v>
      </c>
    </row>
    <row r="4525" spans="1:6" x14ac:dyDescent="0.25">
      <c r="A4525" s="62">
        <v>44050</v>
      </c>
      <c r="B4525" s="62" t="s">
        <v>3796</v>
      </c>
      <c r="C4525" s="23">
        <v>-4440</v>
      </c>
      <c r="D4525" s="24" t="s">
        <v>52</v>
      </c>
      <c r="E4525" s="24" t="s">
        <v>53</v>
      </c>
      <c r="F4525" s="63" t="s">
        <v>0</v>
      </c>
    </row>
    <row r="4526" spans="1:6" x14ac:dyDescent="0.25">
      <c r="A4526" s="62">
        <v>44050</v>
      </c>
      <c r="B4526" s="62" t="s">
        <v>3664</v>
      </c>
      <c r="C4526" s="23">
        <v>-750</v>
      </c>
      <c r="D4526" s="24" t="s">
        <v>52</v>
      </c>
      <c r="E4526" s="24" t="s">
        <v>134</v>
      </c>
      <c r="F4526" s="63" t="s">
        <v>0</v>
      </c>
    </row>
    <row r="4527" spans="1:6" x14ac:dyDescent="0.25">
      <c r="A4527" s="62">
        <v>44050</v>
      </c>
      <c r="B4527" s="62" t="s">
        <v>3797</v>
      </c>
      <c r="C4527" s="23">
        <v>344250</v>
      </c>
      <c r="D4527" s="24" t="s">
        <v>58</v>
      </c>
      <c r="E4527" s="24" t="s">
        <v>58</v>
      </c>
      <c r="F4527" s="63" t="s">
        <v>0</v>
      </c>
    </row>
    <row r="4528" spans="1:6" x14ac:dyDescent="0.25">
      <c r="A4528" s="62">
        <v>44048</v>
      </c>
      <c r="B4528" s="62" t="s">
        <v>3798</v>
      </c>
      <c r="C4528" s="23">
        <v>-21027</v>
      </c>
      <c r="D4528" s="24" t="s">
        <v>72</v>
      </c>
      <c r="E4528" s="24" t="s">
        <v>109</v>
      </c>
      <c r="F4528" s="63" t="s">
        <v>0</v>
      </c>
    </row>
    <row r="4529" spans="1:6" x14ac:dyDescent="0.25">
      <c r="A4529" s="62">
        <v>44048</v>
      </c>
      <c r="B4529" s="62" t="s">
        <v>3799</v>
      </c>
      <c r="C4529" s="23">
        <v>30000</v>
      </c>
      <c r="D4529" s="24" t="s">
        <v>167</v>
      </c>
      <c r="E4529" s="24" t="s">
        <v>2200</v>
      </c>
      <c r="F4529" s="63" t="s">
        <v>2</v>
      </c>
    </row>
    <row r="4530" spans="1:6" x14ac:dyDescent="0.25">
      <c r="A4530" s="62">
        <v>44048</v>
      </c>
      <c r="B4530" s="62" t="s">
        <v>3799</v>
      </c>
      <c r="C4530" s="23">
        <v>-15000</v>
      </c>
      <c r="D4530" s="24" t="s">
        <v>167</v>
      </c>
      <c r="E4530" s="24" t="s">
        <v>2200</v>
      </c>
      <c r="F4530" s="63" t="s">
        <v>0</v>
      </c>
    </row>
    <row r="4531" spans="1:6" x14ac:dyDescent="0.25">
      <c r="A4531" s="62">
        <v>44048</v>
      </c>
      <c r="B4531" s="62" t="s">
        <v>3799</v>
      </c>
      <c r="C4531" s="23">
        <v>-15000</v>
      </c>
      <c r="D4531" s="24" t="s">
        <v>167</v>
      </c>
      <c r="E4531" s="24" t="s">
        <v>2200</v>
      </c>
      <c r="F4531" s="63" t="s">
        <v>0</v>
      </c>
    </row>
    <row r="4532" spans="1:6" x14ac:dyDescent="0.25">
      <c r="A4532" s="62">
        <v>44047</v>
      </c>
      <c r="B4532" s="62" t="s">
        <v>3800</v>
      </c>
      <c r="C4532" s="23">
        <v>-19000</v>
      </c>
      <c r="D4532" s="24" t="s">
        <v>52</v>
      </c>
      <c r="E4532" s="24" t="s">
        <v>52</v>
      </c>
      <c r="F4532" s="63" t="s">
        <v>0</v>
      </c>
    </row>
    <row r="4533" spans="1:6" x14ac:dyDescent="0.25">
      <c r="A4533" s="62">
        <v>44046</v>
      </c>
      <c r="B4533" s="62" t="s">
        <v>309</v>
      </c>
      <c r="C4533" s="23">
        <v>-2.5499999999999998</v>
      </c>
      <c r="D4533" s="24" t="s">
        <v>167</v>
      </c>
      <c r="E4533" s="24" t="s">
        <v>32</v>
      </c>
      <c r="F4533" s="63" t="s">
        <v>0</v>
      </c>
    </row>
    <row r="4534" spans="1:6" x14ac:dyDescent="0.25">
      <c r="A4534" s="62">
        <v>44046</v>
      </c>
      <c r="B4534" s="62" t="s">
        <v>3801</v>
      </c>
      <c r="C4534" s="23">
        <v>-1350</v>
      </c>
      <c r="D4534" s="24" t="s">
        <v>52</v>
      </c>
      <c r="E4534" s="24" t="s">
        <v>53</v>
      </c>
      <c r="F4534" s="63" t="s">
        <v>0</v>
      </c>
    </row>
    <row r="4535" spans="1:6" x14ac:dyDescent="0.25">
      <c r="A4535" s="62">
        <v>44046</v>
      </c>
      <c r="B4535" s="62" t="s">
        <v>3802</v>
      </c>
      <c r="C4535" s="23">
        <v>-1990</v>
      </c>
      <c r="D4535" s="24" t="s">
        <v>52</v>
      </c>
      <c r="E4535" s="24" t="s">
        <v>53</v>
      </c>
      <c r="F4535" s="63" t="s">
        <v>0</v>
      </c>
    </row>
    <row r="4536" spans="1:6" x14ac:dyDescent="0.25">
      <c r="A4536" s="62">
        <v>44046</v>
      </c>
      <c r="B4536" s="62" t="s">
        <v>32</v>
      </c>
      <c r="C4536" s="23">
        <v>16.989999999999998</v>
      </c>
      <c r="D4536" s="24" t="s">
        <v>167</v>
      </c>
      <c r="E4536" s="24" t="s">
        <v>32</v>
      </c>
      <c r="F4536" s="63" t="s">
        <v>0</v>
      </c>
    </row>
    <row r="4537" spans="1:6" x14ac:dyDescent="0.25">
      <c r="A4537" s="62">
        <v>44043</v>
      </c>
      <c r="B4537" s="62" t="s">
        <v>3803</v>
      </c>
      <c r="C4537" s="23">
        <v>39000</v>
      </c>
      <c r="D4537" s="24" t="s">
        <v>206</v>
      </c>
      <c r="E4537" s="24" t="s">
        <v>830</v>
      </c>
      <c r="F4537" s="63" t="s">
        <v>7</v>
      </c>
    </row>
    <row r="4538" spans="1:6" x14ac:dyDescent="0.25">
      <c r="A4538" s="62">
        <v>44043</v>
      </c>
      <c r="B4538" s="62" t="s">
        <v>3803</v>
      </c>
      <c r="C4538" s="23">
        <v>-39000</v>
      </c>
      <c r="D4538" s="24" t="s">
        <v>206</v>
      </c>
      <c r="E4538" s="24" t="s">
        <v>830</v>
      </c>
      <c r="F4538" s="63" t="s">
        <v>0</v>
      </c>
    </row>
    <row r="4539" spans="1:6" x14ac:dyDescent="0.25">
      <c r="A4539" s="62">
        <v>44043</v>
      </c>
      <c r="B4539" s="62" t="s">
        <v>3804</v>
      </c>
      <c r="C4539" s="23">
        <v>-110000</v>
      </c>
      <c r="D4539" s="24" t="s">
        <v>46</v>
      </c>
      <c r="E4539" s="24" t="s">
        <v>3410</v>
      </c>
      <c r="F4539" s="63" t="s">
        <v>0</v>
      </c>
    </row>
    <row r="4540" spans="1:6" x14ac:dyDescent="0.25">
      <c r="A4540" s="62">
        <v>44043</v>
      </c>
      <c r="B4540" s="62" t="s">
        <v>3805</v>
      </c>
      <c r="C4540" s="23">
        <v>-3990</v>
      </c>
      <c r="D4540" s="24" t="s">
        <v>46</v>
      </c>
      <c r="E4540" s="24" t="s">
        <v>63</v>
      </c>
      <c r="F4540" s="63" t="s">
        <v>0</v>
      </c>
    </row>
    <row r="4541" spans="1:6" x14ac:dyDescent="0.25">
      <c r="A4541" s="62">
        <v>44041</v>
      </c>
      <c r="B4541" s="62" t="s">
        <v>3806</v>
      </c>
      <c r="C4541" s="23">
        <v>-899</v>
      </c>
      <c r="D4541" s="24" t="s">
        <v>167</v>
      </c>
      <c r="E4541" s="24" t="s">
        <v>2200</v>
      </c>
      <c r="F4541" s="63" t="s">
        <v>0</v>
      </c>
    </row>
    <row r="4542" spans="1:6" x14ac:dyDescent="0.25">
      <c r="A4542" s="62">
        <v>44041</v>
      </c>
      <c r="B4542" s="62" t="s">
        <v>3807</v>
      </c>
      <c r="C4542" s="23">
        <v>-42868</v>
      </c>
      <c r="D4542" s="24" t="s">
        <v>72</v>
      </c>
      <c r="E4542" s="24" t="s">
        <v>728</v>
      </c>
      <c r="F4542" s="63" t="s">
        <v>0</v>
      </c>
    </row>
    <row r="4543" spans="1:6" x14ac:dyDescent="0.25">
      <c r="A4543" s="62">
        <v>44041</v>
      </c>
      <c r="B4543" s="62" t="s">
        <v>3808</v>
      </c>
      <c r="C4543" s="23">
        <v>-1190</v>
      </c>
      <c r="D4543" s="24" t="s">
        <v>52</v>
      </c>
      <c r="E4543" s="24" t="s">
        <v>134</v>
      </c>
      <c r="F4543" s="63" t="s">
        <v>0</v>
      </c>
    </row>
    <row r="4544" spans="1:6" x14ac:dyDescent="0.25">
      <c r="A4544" s="62">
        <v>44041</v>
      </c>
      <c r="B4544" s="62" t="s">
        <v>3809</v>
      </c>
      <c r="C4544" s="23">
        <v>-7930</v>
      </c>
      <c r="D4544" s="24" t="s">
        <v>49</v>
      </c>
      <c r="E4544" s="24" t="s">
        <v>1165</v>
      </c>
      <c r="F4544" s="63" t="s">
        <v>0</v>
      </c>
    </row>
    <row r="4545" spans="1:6" x14ac:dyDescent="0.25">
      <c r="A4545" s="62">
        <v>44040</v>
      </c>
      <c r="B4545" s="62" t="s">
        <v>3789</v>
      </c>
      <c r="C4545" s="23">
        <v>-2490</v>
      </c>
      <c r="D4545" s="24" t="s">
        <v>52</v>
      </c>
      <c r="E4545" s="24" t="s">
        <v>53</v>
      </c>
      <c r="F4545" s="63" t="s">
        <v>4</v>
      </c>
    </row>
    <row r="4546" spans="1:6" x14ac:dyDescent="0.25">
      <c r="A4546" s="62">
        <v>44040</v>
      </c>
      <c r="B4546" s="62" t="s">
        <v>3764</v>
      </c>
      <c r="C4546" s="23">
        <v>-3860</v>
      </c>
      <c r="D4546" s="24" t="s">
        <v>46</v>
      </c>
      <c r="E4546" s="24" t="s">
        <v>63</v>
      </c>
      <c r="F4546" s="63" t="s">
        <v>0</v>
      </c>
    </row>
    <row r="4547" spans="1:6" x14ac:dyDescent="0.25">
      <c r="A4547" s="62">
        <v>44040</v>
      </c>
      <c r="B4547" s="62" t="s">
        <v>3810</v>
      </c>
      <c r="C4547" s="23">
        <v>-12671</v>
      </c>
      <c r="D4547" s="24" t="s">
        <v>49</v>
      </c>
      <c r="E4547" s="24" t="s">
        <v>56</v>
      </c>
      <c r="F4547" s="63" t="s">
        <v>0</v>
      </c>
    </row>
    <row r="4548" spans="1:6" x14ac:dyDescent="0.25">
      <c r="A4548" s="62">
        <v>44039</v>
      </c>
      <c r="B4548" s="62" t="s">
        <v>3811</v>
      </c>
      <c r="C4548" s="23">
        <v>-1250</v>
      </c>
      <c r="D4548" s="24" t="s">
        <v>52</v>
      </c>
      <c r="E4548" s="24" t="s">
        <v>53</v>
      </c>
      <c r="F4548" s="63" t="s">
        <v>0</v>
      </c>
    </row>
    <row r="4549" spans="1:6" x14ac:dyDescent="0.25">
      <c r="A4549" s="62">
        <v>44039</v>
      </c>
      <c r="B4549" s="62" t="s">
        <v>3812</v>
      </c>
      <c r="C4549" s="23">
        <v>-1480</v>
      </c>
      <c r="D4549" s="24" t="s">
        <v>52</v>
      </c>
      <c r="E4549" s="24" t="s">
        <v>53</v>
      </c>
      <c r="F4549" s="63" t="s">
        <v>0</v>
      </c>
    </row>
    <row r="4550" spans="1:6" x14ac:dyDescent="0.25">
      <c r="A4550" s="62">
        <v>44039</v>
      </c>
      <c r="B4550" s="62" t="s">
        <v>3813</v>
      </c>
      <c r="C4550" s="23">
        <v>-3180</v>
      </c>
      <c r="D4550" s="24" t="s">
        <v>46</v>
      </c>
      <c r="E4550" s="24" t="s">
        <v>47</v>
      </c>
      <c r="F4550" s="63" t="s">
        <v>0</v>
      </c>
    </row>
    <row r="4551" spans="1:6" x14ac:dyDescent="0.25">
      <c r="A4551" s="62">
        <v>44039</v>
      </c>
      <c r="B4551" s="62" t="s">
        <v>3814</v>
      </c>
      <c r="C4551" s="23">
        <v>-1990</v>
      </c>
      <c r="D4551" s="24" t="s">
        <v>52</v>
      </c>
      <c r="E4551" s="24" t="s">
        <v>134</v>
      </c>
      <c r="F4551" s="63" t="s">
        <v>0</v>
      </c>
    </row>
    <row r="4552" spans="1:6" x14ac:dyDescent="0.25">
      <c r="A4552" s="62">
        <v>44039</v>
      </c>
      <c r="B4552" s="62" t="s">
        <v>3815</v>
      </c>
      <c r="C4552" s="23">
        <v>-6926</v>
      </c>
      <c r="D4552" s="24" t="s">
        <v>49</v>
      </c>
      <c r="E4552" s="24" t="s">
        <v>56</v>
      </c>
      <c r="F4552" s="63" t="s">
        <v>0</v>
      </c>
    </row>
    <row r="4553" spans="1:6" x14ac:dyDescent="0.25">
      <c r="A4553" s="62">
        <v>44039</v>
      </c>
      <c r="B4553" s="62" t="s">
        <v>3816</v>
      </c>
      <c r="C4553" s="23">
        <v>-5993</v>
      </c>
      <c r="D4553" s="24" t="s">
        <v>46</v>
      </c>
      <c r="E4553" s="24" t="s">
        <v>80</v>
      </c>
      <c r="F4553" s="63" t="s">
        <v>0</v>
      </c>
    </row>
    <row r="4554" spans="1:6" x14ac:dyDescent="0.25">
      <c r="A4554" s="62">
        <v>44039</v>
      </c>
      <c r="B4554" s="62" t="s">
        <v>3676</v>
      </c>
      <c r="C4554" s="23">
        <v>-25416</v>
      </c>
      <c r="D4554" s="24" t="s">
        <v>46</v>
      </c>
      <c r="E4554" s="24" t="s">
        <v>3256</v>
      </c>
      <c r="F4554" s="63" t="s">
        <v>0</v>
      </c>
    </row>
    <row r="4555" spans="1:6" x14ac:dyDescent="0.25">
      <c r="A4555" s="62">
        <v>44036</v>
      </c>
      <c r="B4555" s="62" t="s">
        <v>3817</v>
      </c>
      <c r="C4555" s="23">
        <v>-10000</v>
      </c>
      <c r="D4555" s="24" t="s">
        <v>206</v>
      </c>
      <c r="E4555" s="24" t="s">
        <v>206</v>
      </c>
      <c r="F4555" s="63" t="s">
        <v>0</v>
      </c>
    </row>
    <row r="4556" spans="1:6" x14ac:dyDescent="0.25">
      <c r="A4556" s="62">
        <v>44035</v>
      </c>
      <c r="B4556" s="62" t="s">
        <v>3818</v>
      </c>
      <c r="C4556" s="23">
        <v>-4420</v>
      </c>
      <c r="D4556" s="24" t="s">
        <v>49</v>
      </c>
      <c r="E4556" s="24" t="s">
        <v>56</v>
      </c>
      <c r="F4556" s="63" t="s">
        <v>0</v>
      </c>
    </row>
    <row r="4557" spans="1:6" x14ac:dyDescent="0.25">
      <c r="A4557" s="62">
        <v>44034</v>
      </c>
      <c r="B4557" s="62" t="s">
        <v>3819</v>
      </c>
      <c r="C4557" s="23">
        <v>-25187</v>
      </c>
      <c r="D4557" s="24" t="s">
        <v>72</v>
      </c>
      <c r="E4557" s="24" t="s">
        <v>109</v>
      </c>
      <c r="F4557" s="63" t="s">
        <v>0</v>
      </c>
    </row>
    <row r="4558" spans="1:6" x14ac:dyDescent="0.25">
      <c r="A4558" s="62">
        <v>44034</v>
      </c>
      <c r="B4558" s="62" t="s">
        <v>3820</v>
      </c>
      <c r="C4558" s="23">
        <v>-2400</v>
      </c>
      <c r="D4558" s="24" t="s">
        <v>49</v>
      </c>
      <c r="E4558" s="24" t="s">
        <v>56</v>
      </c>
      <c r="F4558" s="63" t="s">
        <v>0</v>
      </c>
    </row>
    <row r="4559" spans="1:6" x14ac:dyDescent="0.25">
      <c r="A4559" s="62">
        <v>44034</v>
      </c>
      <c r="B4559" s="62" t="s">
        <v>3821</v>
      </c>
      <c r="C4559" s="23">
        <v>-3820</v>
      </c>
      <c r="D4559" s="24" t="s">
        <v>52</v>
      </c>
      <c r="E4559" s="24" t="s">
        <v>53</v>
      </c>
      <c r="F4559" s="63" t="s">
        <v>0</v>
      </c>
    </row>
    <row r="4560" spans="1:6" x14ac:dyDescent="0.25">
      <c r="A4560" s="62">
        <v>44033</v>
      </c>
      <c r="B4560" s="62" t="s">
        <v>3822</v>
      </c>
      <c r="C4560" s="23">
        <v>-7000</v>
      </c>
      <c r="D4560" s="24" t="s">
        <v>52</v>
      </c>
      <c r="E4560" s="24" t="s">
        <v>52</v>
      </c>
      <c r="F4560" s="63" t="s">
        <v>0</v>
      </c>
    </row>
    <row r="4561" spans="1:6" x14ac:dyDescent="0.25">
      <c r="A4561" s="62">
        <v>44032</v>
      </c>
      <c r="B4561" s="62" t="s">
        <v>3823</v>
      </c>
      <c r="C4561" s="23">
        <v>-2250</v>
      </c>
      <c r="D4561" s="24" t="s">
        <v>52</v>
      </c>
      <c r="E4561" s="24" t="s">
        <v>134</v>
      </c>
      <c r="F4561" s="63" t="s">
        <v>0</v>
      </c>
    </row>
    <row r="4562" spans="1:6" x14ac:dyDescent="0.25">
      <c r="A4562" s="62">
        <v>44032</v>
      </c>
      <c r="B4562" s="62" t="s">
        <v>3824</v>
      </c>
      <c r="C4562" s="23">
        <v>-1554</v>
      </c>
      <c r="D4562" s="24" t="s">
        <v>52</v>
      </c>
      <c r="E4562" s="24" t="s">
        <v>134</v>
      </c>
      <c r="F4562" s="63" t="s">
        <v>0</v>
      </c>
    </row>
    <row r="4563" spans="1:6" x14ac:dyDescent="0.25">
      <c r="A4563" s="62">
        <v>44032</v>
      </c>
      <c r="B4563" s="62" t="s">
        <v>3825</v>
      </c>
      <c r="C4563" s="23">
        <v>-1000</v>
      </c>
      <c r="D4563" s="24" t="s">
        <v>49</v>
      </c>
      <c r="E4563" s="24" t="s">
        <v>67</v>
      </c>
      <c r="F4563" s="63" t="s">
        <v>0</v>
      </c>
    </row>
    <row r="4564" spans="1:6" x14ac:dyDescent="0.25">
      <c r="A4564" s="62">
        <v>44032</v>
      </c>
      <c r="B4564" s="62" t="s">
        <v>3826</v>
      </c>
      <c r="C4564" s="23">
        <v>-3000</v>
      </c>
      <c r="D4564" s="24" t="s">
        <v>52</v>
      </c>
      <c r="E4564" s="24" t="s">
        <v>52</v>
      </c>
      <c r="F4564" s="63" t="s">
        <v>0</v>
      </c>
    </row>
    <row r="4565" spans="1:6" x14ac:dyDescent="0.25">
      <c r="A4565" s="62">
        <v>44032</v>
      </c>
      <c r="B4565" s="62" t="s">
        <v>3827</v>
      </c>
      <c r="C4565" s="23">
        <v>-4655</v>
      </c>
      <c r="D4565" s="24" t="s">
        <v>49</v>
      </c>
      <c r="E4565" s="24" t="s">
        <v>56</v>
      </c>
      <c r="F4565" s="63" t="s">
        <v>0</v>
      </c>
    </row>
    <row r="4566" spans="1:6" x14ac:dyDescent="0.25">
      <c r="A4566" s="62">
        <v>44032</v>
      </c>
      <c r="B4566" s="62" t="s">
        <v>3828</v>
      </c>
      <c r="C4566" s="23">
        <v>-19535</v>
      </c>
      <c r="D4566" s="24" t="s">
        <v>72</v>
      </c>
      <c r="E4566" s="24" t="s">
        <v>109</v>
      </c>
      <c r="F4566" s="63" t="s">
        <v>0</v>
      </c>
    </row>
    <row r="4567" spans="1:6" x14ac:dyDescent="0.25">
      <c r="A4567" s="62">
        <v>44029</v>
      </c>
      <c r="B4567" s="62" t="s">
        <v>3829</v>
      </c>
      <c r="C4567" s="23">
        <v>-100</v>
      </c>
      <c r="D4567" s="24" t="s">
        <v>167</v>
      </c>
      <c r="E4567" s="24" t="s">
        <v>168</v>
      </c>
      <c r="F4567" s="63" t="s">
        <v>5</v>
      </c>
    </row>
    <row r="4568" spans="1:6" x14ac:dyDescent="0.25">
      <c r="A4568" s="62">
        <v>44027</v>
      </c>
      <c r="B4568" s="62" t="s">
        <v>3830</v>
      </c>
      <c r="C4568" s="23">
        <v>-1237</v>
      </c>
      <c r="D4568" s="24" t="s">
        <v>49</v>
      </c>
      <c r="E4568" s="24" t="s">
        <v>56</v>
      </c>
      <c r="F4568" s="63" t="s">
        <v>0</v>
      </c>
    </row>
    <row r="4569" spans="1:6" x14ac:dyDescent="0.25">
      <c r="A4569" s="62">
        <v>44027</v>
      </c>
      <c r="B4569" s="62" t="s">
        <v>3831</v>
      </c>
      <c r="C4569" s="23">
        <v>-1450</v>
      </c>
      <c r="D4569" s="24" t="s">
        <v>52</v>
      </c>
      <c r="E4569" s="24" t="s">
        <v>53</v>
      </c>
      <c r="F4569" s="63" t="s">
        <v>0</v>
      </c>
    </row>
    <row r="4570" spans="1:6" x14ac:dyDescent="0.25">
      <c r="A4570" s="62">
        <v>44027</v>
      </c>
      <c r="B4570" s="62" t="s">
        <v>3832</v>
      </c>
      <c r="C4570" s="23">
        <v>-1358</v>
      </c>
      <c r="D4570" s="24" t="s">
        <v>49</v>
      </c>
      <c r="E4570" s="24" t="s">
        <v>56</v>
      </c>
      <c r="F4570" s="63" t="s">
        <v>0</v>
      </c>
    </row>
    <row r="4571" spans="1:6" x14ac:dyDescent="0.25">
      <c r="A4571" s="62">
        <v>44026</v>
      </c>
      <c r="B4571" s="62" t="s">
        <v>3833</v>
      </c>
      <c r="C4571" s="23">
        <v>-590</v>
      </c>
      <c r="D4571" s="24" t="s">
        <v>52</v>
      </c>
      <c r="E4571" s="24" t="s">
        <v>134</v>
      </c>
      <c r="F4571" s="63" t="s">
        <v>0</v>
      </c>
    </row>
    <row r="4572" spans="1:6" x14ac:dyDescent="0.25">
      <c r="A4572" s="62">
        <v>44026</v>
      </c>
      <c r="B4572" s="62" t="s">
        <v>3834</v>
      </c>
      <c r="C4572" s="23">
        <v>-798</v>
      </c>
      <c r="D4572" s="24" t="s">
        <v>49</v>
      </c>
      <c r="E4572" s="24" t="s">
        <v>56</v>
      </c>
      <c r="F4572" s="63" t="s">
        <v>0</v>
      </c>
    </row>
    <row r="4573" spans="1:6" x14ac:dyDescent="0.25">
      <c r="A4573" s="62">
        <v>44025</v>
      </c>
      <c r="B4573" s="62" t="s">
        <v>3835</v>
      </c>
      <c r="C4573" s="23">
        <v>-3199</v>
      </c>
      <c r="D4573" s="24" t="s">
        <v>90</v>
      </c>
      <c r="E4573" s="24" t="s">
        <v>59</v>
      </c>
      <c r="F4573" s="63" t="s">
        <v>5</v>
      </c>
    </row>
    <row r="4574" spans="1:6" x14ac:dyDescent="0.25">
      <c r="A4574" s="62">
        <v>44025</v>
      </c>
      <c r="B4574" s="62" t="s">
        <v>3836</v>
      </c>
      <c r="C4574" s="23">
        <v>-1470</v>
      </c>
      <c r="D4574" s="24" t="s">
        <v>52</v>
      </c>
      <c r="E4574" s="24" t="s">
        <v>53</v>
      </c>
      <c r="F4574" s="63" t="s">
        <v>0</v>
      </c>
    </row>
    <row r="4575" spans="1:6" x14ac:dyDescent="0.25">
      <c r="A4575" s="62">
        <v>44025</v>
      </c>
      <c r="B4575" s="62" t="s">
        <v>3837</v>
      </c>
      <c r="C4575" s="23">
        <v>-1410</v>
      </c>
      <c r="D4575" s="24" t="s">
        <v>52</v>
      </c>
      <c r="E4575" s="24" t="s">
        <v>134</v>
      </c>
      <c r="F4575" s="63" t="s">
        <v>0</v>
      </c>
    </row>
    <row r="4576" spans="1:6" x14ac:dyDescent="0.25">
      <c r="A4576" s="62">
        <v>44023</v>
      </c>
      <c r="B4576" s="62" t="s">
        <v>3789</v>
      </c>
      <c r="C4576" s="23">
        <v>-2390</v>
      </c>
      <c r="D4576" s="24" t="s">
        <v>52</v>
      </c>
      <c r="E4576" s="24" t="s">
        <v>53</v>
      </c>
      <c r="F4576" s="63" t="s">
        <v>4</v>
      </c>
    </row>
    <row r="4577" spans="1:6" x14ac:dyDescent="0.25">
      <c r="A4577" s="62">
        <v>44022</v>
      </c>
      <c r="B4577" s="62" t="s">
        <v>3838</v>
      </c>
      <c r="C4577" s="23">
        <v>-60000</v>
      </c>
      <c r="D4577" s="24" t="s">
        <v>206</v>
      </c>
      <c r="E4577" s="24" t="s">
        <v>234</v>
      </c>
      <c r="F4577" s="63" t="s">
        <v>0</v>
      </c>
    </row>
    <row r="4578" spans="1:6" x14ac:dyDescent="0.25">
      <c r="A4578" s="62">
        <v>44022</v>
      </c>
      <c r="B4578" s="62" t="s">
        <v>3698</v>
      </c>
      <c r="C4578" s="23">
        <v>665000</v>
      </c>
      <c r="D4578" s="24" t="s">
        <v>58</v>
      </c>
      <c r="E4578" s="24" t="s">
        <v>58</v>
      </c>
      <c r="F4578" s="63" t="s">
        <v>0</v>
      </c>
    </row>
    <row r="4579" spans="1:6" x14ac:dyDescent="0.25">
      <c r="A4579" s="62">
        <v>44022</v>
      </c>
      <c r="B4579" s="62" t="s">
        <v>3839</v>
      </c>
      <c r="C4579" s="23">
        <v>-918</v>
      </c>
      <c r="D4579" s="24" t="s">
        <v>49</v>
      </c>
      <c r="E4579" s="24" t="s">
        <v>56</v>
      </c>
      <c r="F4579" s="63" t="s">
        <v>0</v>
      </c>
    </row>
    <row r="4580" spans="1:6" x14ac:dyDescent="0.25">
      <c r="A4580" s="62">
        <v>44022</v>
      </c>
      <c r="B4580" s="62" t="s">
        <v>3664</v>
      </c>
      <c r="C4580" s="23">
        <v>-750</v>
      </c>
      <c r="D4580" s="24" t="s">
        <v>52</v>
      </c>
      <c r="E4580" s="24" t="s">
        <v>53</v>
      </c>
      <c r="F4580" s="63" t="s">
        <v>0</v>
      </c>
    </row>
    <row r="4581" spans="1:6" x14ac:dyDescent="0.25">
      <c r="A4581" s="62">
        <v>44021</v>
      </c>
      <c r="B4581" s="62" t="s">
        <v>3840</v>
      </c>
      <c r="C4581" s="23">
        <v>-9935</v>
      </c>
      <c r="D4581" s="24" t="s">
        <v>46</v>
      </c>
      <c r="E4581" s="24" t="s">
        <v>47</v>
      </c>
      <c r="F4581" s="63" t="s">
        <v>0</v>
      </c>
    </row>
    <row r="4582" spans="1:6" x14ac:dyDescent="0.25">
      <c r="A4582" s="62">
        <v>44021</v>
      </c>
      <c r="B4582" s="62" t="s">
        <v>3841</v>
      </c>
      <c r="C4582" s="23">
        <v>-1100</v>
      </c>
      <c r="D4582" s="24" t="s">
        <v>52</v>
      </c>
      <c r="E4582" s="24" t="s">
        <v>53</v>
      </c>
      <c r="F4582" s="63" t="s">
        <v>0</v>
      </c>
    </row>
    <row r="4583" spans="1:6" x14ac:dyDescent="0.25">
      <c r="A4583" s="62">
        <v>44020</v>
      </c>
      <c r="B4583" s="62" t="s">
        <v>3842</v>
      </c>
      <c r="C4583" s="23">
        <v>-1000</v>
      </c>
      <c r="D4583" s="24" t="s">
        <v>52</v>
      </c>
      <c r="E4583" s="24" t="s">
        <v>53</v>
      </c>
      <c r="F4583" s="63" t="s">
        <v>0</v>
      </c>
    </row>
    <row r="4584" spans="1:6" x14ac:dyDescent="0.25">
      <c r="A4584" s="62">
        <v>44018</v>
      </c>
      <c r="B4584" s="62" t="s">
        <v>3799</v>
      </c>
      <c r="C4584" s="23">
        <v>30000</v>
      </c>
      <c r="D4584" s="24" t="s">
        <v>167</v>
      </c>
      <c r="E4584" s="24" t="s">
        <v>2200</v>
      </c>
      <c r="F4584" s="63" t="s">
        <v>2</v>
      </c>
    </row>
    <row r="4585" spans="1:6" x14ac:dyDescent="0.25">
      <c r="A4585" s="62">
        <v>44018</v>
      </c>
      <c r="B4585" s="62" t="s">
        <v>3799</v>
      </c>
      <c r="C4585" s="23">
        <v>-15000</v>
      </c>
      <c r="D4585" s="24" t="s">
        <v>167</v>
      </c>
      <c r="E4585" s="24" t="s">
        <v>2200</v>
      </c>
      <c r="F4585" s="63" t="s">
        <v>0</v>
      </c>
    </row>
    <row r="4586" spans="1:6" x14ac:dyDescent="0.25">
      <c r="A4586" s="62">
        <v>44018</v>
      </c>
      <c r="B4586" s="62" t="s">
        <v>3799</v>
      </c>
      <c r="C4586" s="23">
        <v>-15000</v>
      </c>
      <c r="D4586" s="24" t="s">
        <v>167</v>
      </c>
      <c r="E4586" s="24" t="s">
        <v>2200</v>
      </c>
      <c r="F4586" s="63" t="s">
        <v>0</v>
      </c>
    </row>
    <row r="4587" spans="1:6" x14ac:dyDescent="0.25">
      <c r="A4587" s="62">
        <v>44018</v>
      </c>
      <c r="B4587" s="62" t="s">
        <v>3811</v>
      </c>
      <c r="C4587" s="23">
        <v>-1250</v>
      </c>
      <c r="D4587" s="24" t="s">
        <v>52</v>
      </c>
      <c r="E4587" s="24" t="s">
        <v>53</v>
      </c>
      <c r="F4587" s="63" t="s">
        <v>0</v>
      </c>
    </row>
    <row r="4588" spans="1:6" x14ac:dyDescent="0.25">
      <c r="A4588" s="62">
        <v>44018</v>
      </c>
      <c r="B4588" s="62" t="s">
        <v>3843</v>
      </c>
      <c r="C4588" s="23">
        <v>-699</v>
      </c>
      <c r="D4588" s="24" t="s">
        <v>49</v>
      </c>
      <c r="E4588" s="24" t="s">
        <v>56</v>
      </c>
      <c r="F4588" s="63" t="s">
        <v>0</v>
      </c>
    </row>
    <row r="4589" spans="1:6" x14ac:dyDescent="0.25">
      <c r="A4589" s="62">
        <v>44018</v>
      </c>
      <c r="B4589" s="62" t="s">
        <v>3844</v>
      </c>
      <c r="C4589" s="23">
        <v>-8222</v>
      </c>
      <c r="D4589" s="24" t="s">
        <v>46</v>
      </c>
      <c r="E4589" s="24" t="s">
        <v>47</v>
      </c>
      <c r="F4589" s="63" t="s">
        <v>0</v>
      </c>
    </row>
    <row r="4590" spans="1:6" x14ac:dyDescent="0.25">
      <c r="A4590" s="62">
        <v>44018</v>
      </c>
      <c r="B4590" s="62" t="s">
        <v>3845</v>
      </c>
      <c r="C4590" s="23">
        <v>-18344</v>
      </c>
      <c r="D4590" s="24" t="s">
        <v>72</v>
      </c>
      <c r="E4590" s="24" t="s">
        <v>109</v>
      </c>
      <c r="F4590" s="63" t="s">
        <v>0</v>
      </c>
    </row>
    <row r="4591" spans="1:6" x14ac:dyDescent="0.25">
      <c r="A4591" s="62">
        <v>44015</v>
      </c>
      <c r="B4591" s="62" t="s">
        <v>309</v>
      </c>
      <c r="C4591" s="23">
        <v>-2.4700000000000002</v>
      </c>
      <c r="D4591" s="24" t="s">
        <v>167</v>
      </c>
      <c r="E4591" s="24" t="s">
        <v>32</v>
      </c>
      <c r="F4591" s="63" t="s">
        <v>0</v>
      </c>
    </row>
    <row r="4592" spans="1:6" x14ac:dyDescent="0.25">
      <c r="A4592" s="62">
        <v>44015</v>
      </c>
      <c r="B4592" s="62" t="s">
        <v>32</v>
      </c>
      <c r="C4592" s="23">
        <v>16.440000000000001</v>
      </c>
      <c r="D4592" s="24" t="s">
        <v>167</v>
      </c>
      <c r="E4592" s="24" t="s">
        <v>32</v>
      </c>
      <c r="F4592" s="63" t="s">
        <v>0</v>
      </c>
    </row>
    <row r="4593" spans="1:6" x14ac:dyDescent="0.25">
      <c r="A4593" s="62">
        <v>44015</v>
      </c>
      <c r="B4593" s="62" t="s">
        <v>3846</v>
      </c>
      <c r="C4593" s="23">
        <v>-6114</v>
      </c>
      <c r="D4593" s="24" t="s">
        <v>49</v>
      </c>
      <c r="E4593" s="24" t="s">
        <v>56</v>
      </c>
      <c r="F4593" s="63" t="s">
        <v>0</v>
      </c>
    </row>
    <row r="4594" spans="1:6" x14ac:dyDescent="0.25">
      <c r="A4594" s="62">
        <v>44015</v>
      </c>
      <c r="B4594" s="62" t="s">
        <v>3847</v>
      </c>
      <c r="C4594" s="23">
        <v>-1395</v>
      </c>
      <c r="D4594" s="24" t="s">
        <v>46</v>
      </c>
      <c r="E4594" s="24" t="s">
        <v>47</v>
      </c>
      <c r="F4594" s="63" t="s">
        <v>0</v>
      </c>
    </row>
    <row r="4595" spans="1:6" x14ac:dyDescent="0.25">
      <c r="A4595" s="62">
        <v>44015</v>
      </c>
      <c r="B4595" s="62" t="s">
        <v>3848</v>
      </c>
      <c r="C4595" s="23">
        <v>344250</v>
      </c>
      <c r="D4595" s="24" t="s">
        <v>58</v>
      </c>
      <c r="E4595" s="24" t="s">
        <v>58</v>
      </c>
      <c r="F4595" s="63" t="s">
        <v>0</v>
      </c>
    </row>
    <row r="4596" spans="1:6" x14ac:dyDescent="0.25">
      <c r="A4596" s="62">
        <v>44014</v>
      </c>
      <c r="B4596" s="62" t="s">
        <v>3849</v>
      </c>
      <c r="C4596" s="23">
        <v>-29049</v>
      </c>
      <c r="D4596" s="24" t="s">
        <v>83</v>
      </c>
      <c r="E4596" s="24" t="s">
        <v>2151</v>
      </c>
      <c r="F4596" s="63" t="s">
        <v>4</v>
      </c>
    </row>
    <row r="4597" spans="1:6" x14ac:dyDescent="0.25">
      <c r="A4597" s="62">
        <v>44014</v>
      </c>
      <c r="B4597" s="62" t="s">
        <v>3850</v>
      </c>
      <c r="C4597" s="23">
        <v>-299</v>
      </c>
      <c r="D4597" s="24" t="s">
        <v>49</v>
      </c>
      <c r="E4597" s="24" t="s">
        <v>56</v>
      </c>
      <c r="F4597" s="63" t="s">
        <v>0</v>
      </c>
    </row>
    <row r="4598" spans="1:6" x14ac:dyDescent="0.25">
      <c r="A4598" s="62">
        <v>44012</v>
      </c>
      <c r="B4598" s="62" t="s">
        <v>3851</v>
      </c>
      <c r="C4598" s="23">
        <v>412</v>
      </c>
      <c r="D4598" s="24" t="s">
        <v>167</v>
      </c>
      <c r="E4598" s="24" t="s">
        <v>32</v>
      </c>
      <c r="F4598" s="63" t="s">
        <v>5</v>
      </c>
    </row>
    <row r="4599" spans="1:6" x14ac:dyDescent="0.25">
      <c r="A4599" s="62">
        <v>44012</v>
      </c>
      <c r="B4599" s="62" t="s">
        <v>3708</v>
      </c>
      <c r="C4599" s="23">
        <v>-5.7</v>
      </c>
      <c r="D4599" s="24" t="s">
        <v>167</v>
      </c>
      <c r="E4599" s="24" t="s">
        <v>32</v>
      </c>
      <c r="F4599" s="63" t="s">
        <v>0</v>
      </c>
    </row>
    <row r="4600" spans="1:6" x14ac:dyDescent="0.25">
      <c r="A4600" s="62">
        <v>44012</v>
      </c>
      <c r="B4600" s="62" t="s">
        <v>3852</v>
      </c>
      <c r="C4600" s="23">
        <v>-490</v>
      </c>
      <c r="D4600" s="24" t="s">
        <v>52</v>
      </c>
      <c r="E4600" s="24" t="s">
        <v>134</v>
      </c>
      <c r="F4600" s="63" t="s">
        <v>0</v>
      </c>
    </row>
    <row r="4601" spans="1:6" x14ac:dyDescent="0.25">
      <c r="A4601" s="62">
        <v>44012</v>
      </c>
      <c r="B4601" s="62" t="s">
        <v>3853</v>
      </c>
      <c r="C4601" s="23">
        <v>-4600</v>
      </c>
      <c r="D4601" s="24" t="s">
        <v>52</v>
      </c>
      <c r="E4601" s="24" t="s">
        <v>134</v>
      </c>
      <c r="F4601" s="63" t="s">
        <v>0</v>
      </c>
    </row>
    <row r="4602" spans="1:6" x14ac:dyDescent="0.25">
      <c r="A4602" s="62">
        <v>44012</v>
      </c>
      <c r="B4602" s="62" t="s">
        <v>3710</v>
      </c>
      <c r="C4602" s="23">
        <v>37.97</v>
      </c>
      <c r="D4602" s="24" t="s">
        <v>167</v>
      </c>
      <c r="E4602" s="24" t="s">
        <v>32</v>
      </c>
      <c r="F4602" s="63" t="s">
        <v>0</v>
      </c>
    </row>
    <row r="4603" spans="1:6" x14ac:dyDescent="0.25">
      <c r="A4603" s="62">
        <v>44011</v>
      </c>
      <c r="B4603" s="62" t="s">
        <v>3672</v>
      </c>
      <c r="C4603" s="23">
        <v>-7008</v>
      </c>
      <c r="D4603" s="24" t="s">
        <v>49</v>
      </c>
      <c r="E4603" s="24" t="s">
        <v>1165</v>
      </c>
      <c r="F4603" s="63" t="s">
        <v>0</v>
      </c>
    </row>
    <row r="4604" spans="1:6" x14ac:dyDescent="0.25">
      <c r="A4604" s="62">
        <v>44011</v>
      </c>
      <c r="B4604" s="62" t="s">
        <v>3854</v>
      </c>
      <c r="C4604" s="23">
        <v>-13983</v>
      </c>
      <c r="D4604" s="24" t="s">
        <v>46</v>
      </c>
      <c r="E4604" s="24" t="s">
        <v>47</v>
      </c>
      <c r="F4604" s="63" t="s">
        <v>0</v>
      </c>
    </row>
    <row r="4605" spans="1:6" x14ac:dyDescent="0.25">
      <c r="A4605" s="62">
        <v>44011</v>
      </c>
      <c r="B4605" s="62" t="s">
        <v>3855</v>
      </c>
      <c r="C4605" s="23">
        <v>-1520</v>
      </c>
      <c r="D4605" s="24" t="s">
        <v>52</v>
      </c>
      <c r="E4605" s="24" t="s">
        <v>53</v>
      </c>
      <c r="F4605" s="63" t="s">
        <v>0</v>
      </c>
    </row>
    <row r="4606" spans="1:6" x14ac:dyDescent="0.25">
      <c r="A4606" s="62">
        <v>44011</v>
      </c>
      <c r="B4606" s="62" t="s">
        <v>3856</v>
      </c>
      <c r="C4606" s="23">
        <v>-14000</v>
      </c>
      <c r="D4606" s="24" t="s">
        <v>52</v>
      </c>
      <c r="E4606" s="24" t="s">
        <v>52</v>
      </c>
      <c r="F4606" s="63" t="s">
        <v>0</v>
      </c>
    </row>
    <row r="4607" spans="1:6" x14ac:dyDescent="0.25">
      <c r="A4607" s="62">
        <v>44011</v>
      </c>
      <c r="B4607" s="62" t="s">
        <v>3857</v>
      </c>
      <c r="C4607" s="23">
        <v>-20379</v>
      </c>
      <c r="D4607" s="24" t="s">
        <v>72</v>
      </c>
      <c r="E4607" s="24" t="s">
        <v>109</v>
      </c>
      <c r="F4607" s="63" t="s">
        <v>0</v>
      </c>
    </row>
    <row r="4608" spans="1:6" x14ac:dyDescent="0.25">
      <c r="A4608" s="62">
        <v>44011</v>
      </c>
      <c r="B4608" s="62" t="s">
        <v>3858</v>
      </c>
      <c r="C4608" s="23">
        <v>-2369</v>
      </c>
      <c r="D4608" s="24" t="s">
        <v>49</v>
      </c>
      <c r="E4608" s="24" t="s">
        <v>56</v>
      </c>
      <c r="F4608" s="63" t="s">
        <v>0</v>
      </c>
    </row>
    <row r="4609" spans="1:6" x14ac:dyDescent="0.25">
      <c r="A4609" s="62">
        <v>44011</v>
      </c>
      <c r="B4609" s="62" t="s">
        <v>3859</v>
      </c>
      <c r="C4609" s="23">
        <v>-1300</v>
      </c>
      <c r="D4609" s="24" t="s">
        <v>52</v>
      </c>
      <c r="E4609" s="24" t="s">
        <v>134</v>
      </c>
      <c r="F4609" s="63" t="s">
        <v>0</v>
      </c>
    </row>
    <row r="4610" spans="1:6" x14ac:dyDescent="0.25">
      <c r="A4610" s="62">
        <v>44011</v>
      </c>
      <c r="B4610" s="62" t="s">
        <v>3860</v>
      </c>
      <c r="C4610" s="23">
        <v>-3990</v>
      </c>
      <c r="D4610" s="24" t="s">
        <v>46</v>
      </c>
      <c r="E4610" s="24" t="s">
        <v>63</v>
      </c>
      <c r="F4610" s="63" t="s">
        <v>0</v>
      </c>
    </row>
    <row r="4611" spans="1:6" x14ac:dyDescent="0.25">
      <c r="A4611" s="62">
        <v>44008</v>
      </c>
      <c r="B4611" s="62" t="s">
        <v>3861</v>
      </c>
      <c r="C4611" s="23">
        <v>-3040</v>
      </c>
      <c r="D4611" s="24" t="s">
        <v>72</v>
      </c>
      <c r="E4611" s="24" t="s">
        <v>126</v>
      </c>
      <c r="F4611" s="63" t="s">
        <v>0</v>
      </c>
    </row>
    <row r="4612" spans="1:6" x14ac:dyDescent="0.25">
      <c r="A4612" s="62">
        <v>44008</v>
      </c>
      <c r="B4612" s="62" t="s">
        <v>3764</v>
      </c>
      <c r="C4612" s="23">
        <v>-3860</v>
      </c>
      <c r="D4612" s="24" t="s">
        <v>46</v>
      </c>
      <c r="E4612" s="24" t="s">
        <v>63</v>
      </c>
      <c r="F4612" s="63" t="s">
        <v>0</v>
      </c>
    </row>
    <row r="4613" spans="1:6" x14ac:dyDescent="0.25">
      <c r="A4613" s="62">
        <v>44007</v>
      </c>
      <c r="B4613" s="62" t="s">
        <v>3789</v>
      </c>
      <c r="C4613" s="23">
        <v>-2590</v>
      </c>
      <c r="D4613" s="24" t="s">
        <v>52</v>
      </c>
      <c r="E4613" s="24" t="s">
        <v>53</v>
      </c>
      <c r="F4613" s="63" t="s">
        <v>4</v>
      </c>
    </row>
    <row r="4614" spans="1:6" x14ac:dyDescent="0.25">
      <c r="A4614" s="62">
        <v>44007</v>
      </c>
      <c r="B4614" s="62" t="s">
        <v>3695</v>
      </c>
      <c r="C4614" s="23">
        <v>39000</v>
      </c>
      <c r="D4614" s="24" t="s">
        <v>206</v>
      </c>
      <c r="E4614" s="24" t="s">
        <v>830</v>
      </c>
      <c r="F4614" s="63" t="s">
        <v>7</v>
      </c>
    </row>
    <row r="4615" spans="1:6" x14ac:dyDescent="0.25">
      <c r="A4615" s="62">
        <v>44007</v>
      </c>
      <c r="B4615" s="62" t="s">
        <v>3695</v>
      </c>
      <c r="C4615" s="23">
        <v>-39000</v>
      </c>
      <c r="D4615" s="24" t="s">
        <v>206</v>
      </c>
      <c r="E4615" s="24" t="s">
        <v>830</v>
      </c>
      <c r="F4615" s="63" t="s">
        <v>0</v>
      </c>
    </row>
    <row r="4616" spans="1:6" x14ac:dyDescent="0.25">
      <c r="A4616" s="62">
        <v>44007</v>
      </c>
      <c r="B4616" s="62" t="s">
        <v>3731</v>
      </c>
      <c r="C4616" s="23">
        <v>-110000</v>
      </c>
      <c r="D4616" s="24" t="s">
        <v>46</v>
      </c>
      <c r="E4616" s="24" t="s">
        <v>3410</v>
      </c>
      <c r="F4616" s="63" t="s">
        <v>0</v>
      </c>
    </row>
    <row r="4617" spans="1:6" x14ac:dyDescent="0.25">
      <c r="A4617" s="62">
        <v>44007</v>
      </c>
      <c r="B4617" s="62" t="s">
        <v>3862</v>
      </c>
      <c r="C4617" s="23">
        <v>-26327</v>
      </c>
      <c r="D4617" s="24" t="s">
        <v>46</v>
      </c>
      <c r="E4617" s="24" t="s">
        <v>3256</v>
      </c>
      <c r="F4617" s="63" t="s">
        <v>0</v>
      </c>
    </row>
    <row r="4618" spans="1:6" x14ac:dyDescent="0.25">
      <c r="A4618" s="62">
        <v>44006</v>
      </c>
      <c r="B4618" s="62" t="s">
        <v>3789</v>
      </c>
      <c r="C4618" s="23">
        <v>-2290</v>
      </c>
      <c r="D4618" s="24" t="s">
        <v>52</v>
      </c>
      <c r="E4618" s="24" t="s">
        <v>53</v>
      </c>
      <c r="F4618" s="63" t="s">
        <v>4</v>
      </c>
    </row>
    <row r="4619" spans="1:6" x14ac:dyDescent="0.25">
      <c r="A4619" s="62">
        <v>44005</v>
      </c>
      <c r="B4619" s="62" t="s">
        <v>3789</v>
      </c>
      <c r="C4619" s="23">
        <v>-2390</v>
      </c>
      <c r="D4619" s="24" t="s">
        <v>52</v>
      </c>
      <c r="E4619" s="24" t="s">
        <v>53</v>
      </c>
      <c r="F4619" s="63" t="s">
        <v>4</v>
      </c>
    </row>
    <row r="4620" spans="1:6" x14ac:dyDescent="0.25">
      <c r="A4620" s="62">
        <v>44005</v>
      </c>
      <c r="B4620" s="62" t="s">
        <v>3863</v>
      </c>
      <c r="C4620" s="23">
        <v>-1299</v>
      </c>
      <c r="D4620" s="24" t="s">
        <v>49</v>
      </c>
      <c r="E4620" s="24" t="s">
        <v>56</v>
      </c>
      <c r="F4620" s="63" t="s">
        <v>0</v>
      </c>
    </row>
    <row r="4621" spans="1:6" x14ac:dyDescent="0.25">
      <c r="A4621" s="62">
        <v>44005</v>
      </c>
      <c r="B4621" s="62" t="s">
        <v>3864</v>
      </c>
      <c r="C4621" s="23">
        <v>-15290</v>
      </c>
      <c r="D4621" s="24" t="s">
        <v>49</v>
      </c>
      <c r="E4621" s="24" t="s">
        <v>67</v>
      </c>
      <c r="F4621" s="63" t="s">
        <v>0</v>
      </c>
    </row>
    <row r="4622" spans="1:6" x14ac:dyDescent="0.25">
      <c r="A4622" s="62">
        <v>44004</v>
      </c>
      <c r="B4622" s="62" t="s">
        <v>3865</v>
      </c>
      <c r="C4622" s="23">
        <v>-1507</v>
      </c>
      <c r="D4622" s="24" t="s">
        <v>49</v>
      </c>
      <c r="E4622" s="24" t="s">
        <v>56</v>
      </c>
      <c r="F4622" s="63" t="s">
        <v>0</v>
      </c>
    </row>
    <row r="4623" spans="1:6" x14ac:dyDescent="0.25">
      <c r="A4623" s="62">
        <v>44004</v>
      </c>
      <c r="B4623" s="62" t="s">
        <v>3866</v>
      </c>
      <c r="C4623" s="23">
        <v>-2540</v>
      </c>
      <c r="D4623" s="24" t="s">
        <v>49</v>
      </c>
      <c r="E4623" s="24" t="s">
        <v>67</v>
      </c>
      <c r="F4623" s="63" t="s">
        <v>0</v>
      </c>
    </row>
    <row r="4624" spans="1:6" x14ac:dyDescent="0.25">
      <c r="A4624" s="62">
        <v>44004</v>
      </c>
      <c r="B4624" s="62" t="s">
        <v>3867</v>
      </c>
      <c r="C4624" s="23">
        <v>-1687</v>
      </c>
      <c r="D4624" s="24" t="s">
        <v>90</v>
      </c>
      <c r="E4624" s="24" t="s">
        <v>59</v>
      </c>
      <c r="F4624" s="63" t="s">
        <v>0</v>
      </c>
    </row>
    <row r="4625" spans="1:6" x14ac:dyDescent="0.25">
      <c r="A4625" s="62">
        <v>44004</v>
      </c>
      <c r="B4625" s="62" t="s">
        <v>3868</v>
      </c>
      <c r="C4625" s="23">
        <v>-1790</v>
      </c>
      <c r="D4625" s="24" t="s">
        <v>52</v>
      </c>
      <c r="E4625" s="24" t="s">
        <v>53</v>
      </c>
      <c r="F4625" s="63" t="s">
        <v>0</v>
      </c>
    </row>
    <row r="4626" spans="1:6" x14ac:dyDescent="0.25">
      <c r="A4626" s="62">
        <v>44004</v>
      </c>
      <c r="B4626" s="62" t="s">
        <v>3869</v>
      </c>
      <c r="C4626" s="23">
        <v>-198</v>
      </c>
      <c r="D4626" s="24" t="s">
        <v>49</v>
      </c>
      <c r="E4626" s="24" t="s">
        <v>56</v>
      </c>
      <c r="F4626" s="63" t="s">
        <v>0</v>
      </c>
    </row>
    <row r="4627" spans="1:6" x14ac:dyDescent="0.25">
      <c r="A4627" s="62">
        <v>44001</v>
      </c>
      <c r="B4627" s="62" t="s">
        <v>3870</v>
      </c>
      <c r="C4627" s="23">
        <v>-100</v>
      </c>
      <c r="D4627" s="24" t="s">
        <v>167</v>
      </c>
      <c r="E4627" s="24" t="s">
        <v>168</v>
      </c>
      <c r="F4627" s="63" t="s">
        <v>5</v>
      </c>
    </row>
    <row r="4628" spans="1:6" x14ac:dyDescent="0.25">
      <c r="A4628" s="62">
        <v>43998</v>
      </c>
      <c r="B4628" s="62" t="s">
        <v>3871</v>
      </c>
      <c r="C4628" s="23">
        <v>-3690</v>
      </c>
      <c r="D4628" s="24" t="s">
        <v>72</v>
      </c>
      <c r="E4628" s="24" t="s">
        <v>506</v>
      </c>
      <c r="F4628" s="63" t="s">
        <v>0</v>
      </c>
    </row>
    <row r="4629" spans="1:6" x14ac:dyDescent="0.25">
      <c r="A4629" s="62">
        <v>43997</v>
      </c>
      <c r="B4629" s="62" t="s">
        <v>3872</v>
      </c>
      <c r="C4629" s="23">
        <v>-1799</v>
      </c>
      <c r="D4629" s="24" t="s">
        <v>49</v>
      </c>
      <c r="E4629" s="24" t="s">
        <v>56</v>
      </c>
      <c r="F4629" s="63" t="s">
        <v>0</v>
      </c>
    </row>
    <row r="4630" spans="1:6" x14ac:dyDescent="0.25">
      <c r="A4630" s="62">
        <v>43997</v>
      </c>
      <c r="B4630" s="62" t="s">
        <v>3873</v>
      </c>
      <c r="C4630" s="23">
        <v>-3098</v>
      </c>
      <c r="D4630" s="24" t="s">
        <v>46</v>
      </c>
      <c r="E4630" s="24" t="s">
        <v>47</v>
      </c>
      <c r="F4630" s="63" t="s">
        <v>0</v>
      </c>
    </row>
    <row r="4631" spans="1:6" x14ac:dyDescent="0.25">
      <c r="A4631" s="62">
        <v>43997</v>
      </c>
      <c r="B4631" s="62" t="s">
        <v>3874</v>
      </c>
      <c r="C4631" s="23">
        <v>-16312</v>
      </c>
      <c r="D4631" s="24" t="s">
        <v>72</v>
      </c>
      <c r="E4631" s="24" t="s">
        <v>109</v>
      </c>
      <c r="F4631" s="63" t="s">
        <v>0</v>
      </c>
    </row>
    <row r="4632" spans="1:6" x14ac:dyDescent="0.25">
      <c r="A4632" s="62">
        <v>43997</v>
      </c>
      <c r="B4632" s="62" t="s">
        <v>3875</v>
      </c>
      <c r="C4632" s="23">
        <v>-2060</v>
      </c>
      <c r="D4632" s="24" t="s">
        <v>52</v>
      </c>
      <c r="E4632" s="24" t="s">
        <v>53</v>
      </c>
      <c r="F4632" s="63" t="s">
        <v>0</v>
      </c>
    </row>
    <row r="4633" spans="1:6" x14ac:dyDescent="0.25">
      <c r="A4633" s="62">
        <v>43997</v>
      </c>
      <c r="B4633" s="62" t="s">
        <v>3876</v>
      </c>
      <c r="C4633" s="23">
        <v>-348</v>
      </c>
      <c r="D4633" s="24" t="s">
        <v>49</v>
      </c>
      <c r="E4633" s="24" t="s">
        <v>56</v>
      </c>
      <c r="F4633" s="63" t="s">
        <v>0</v>
      </c>
    </row>
    <row r="4634" spans="1:6" x14ac:dyDescent="0.25">
      <c r="A4634" s="62">
        <v>43997</v>
      </c>
      <c r="B4634" s="62" t="s">
        <v>3877</v>
      </c>
      <c r="C4634" s="23">
        <v>-19980</v>
      </c>
      <c r="D4634" s="24" t="s">
        <v>49</v>
      </c>
      <c r="E4634" s="24" t="s">
        <v>67</v>
      </c>
      <c r="F4634" s="63" t="s">
        <v>0</v>
      </c>
    </row>
    <row r="4635" spans="1:6" x14ac:dyDescent="0.25">
      <c r="A4635" s="62">
        <v>43994</v>
      </c>
      <c r="B4635" s="62" t="s">
        <v>3878</v>
      </c>
      <c r="C4635" s="23">
        <v>-1437</v>
      </c>
      <c r="D4635" s="24" t="s">
        <v>49</v>
      </c>
      <c r="E4635" s="24" t="s">
        <v>56</v>
      </c>
      <c r="F4635" s="63" t="s">
        <v>0</v>
      </c>
    </row>
    <row r="4636" spans="1:6" x14ac:dyDescent="0.25">
      <c r="A4636" s="62">
        <v>43994</v>
      </c>
      <c r="B4636" s="62" t="s">
        <v>3879</v>
      </c>
      <c r="C4636" s="23">
        <v>-10171</v>
      </c>
      <c r="D4636" s="24" t="s">
        <v>90</v>
      </c>
      <c r="E4636" s="24" t="s">
        <v>91</v>
      </c>
      <c r="F4636" s="63" t="s">
        <v>0</v>
      </c>
    </row>
    <row r="4637" spans="1:6" x14ac:dyDescent="0.25">
      <c r="A4637" s="62">
        <v>43993</v>
      </c>
      <c r="B4637" s="62" t="s">
        <v>3880</v>
      </c>
      <c r="C4637" s="23">
        <v>-1456</v>
      </c>
      <c r="D4637" s="24" t="s">
        <v>49</v>
      </c>
      <c r="E4637" s="24" t="s">
        <v>56</v>
      </c>
      <c r="F4637" s="63" t="s">
        <v>0</v>
      </c>
    </row>
    <row r="4638" spans="1:6" x14ac:dyDescent="0.25">
      <c r="A4638" s="62">
        <v>43993</v>
      </c>
      <c r="B4638" s="62" t="s">
        <v>3881</v>
      </c>
      <c r="C4638" s="23">
        <v>-3046</v>
      </c>
      <c r="D4638" s="24" t="s">
        <v>46</v>
      </c>
      <c r="E4638" s="24" t="s">
        <v>47</v>
      </c>
      <c r="F4638" s="63" t="s">
        <v>0</v>
      </c>
    </row>
    <row r="4639" spans="1:6" x14ac:dyDescent="0.25">
      <c r="A4639" s="62">
        <v>43992</v>
      </c>
      <c r="B4639" s="62" t="s">
        <v>3882</v>
      </c>
      <c r="C4639" s="23">
        <v>-3730</v>
      </c>
      <c r="D4639" s="24" t="s">
        <v>52</v>
      </c>
      <c r="E4639" s="24" t="s">
        <v>53</v>
      </c>
      <c r="F4639" s="63" t="s">
        <v>0</v>
      </c>
    </row>
    <row r="4640" spans="1:6" x14ac:dyDescent="0.25">
      <c r="A4640" s="62">
        <v>43992</v>
      </c>
      <c r="B4640" s="62" t="s">
        <v>3883</v>
      </c>
      <c r="C4640" s="23">
        <v>665000</v>
      </c>
      <c r="D4640" s="24" t="s">
        <v>58</v>
      </c>
      <c r="E4640" s="24" t="s">
        <v>58</v>
      </c>
      <c r="F4640" s="63" t="s">
        <v>0</v>
      </c>
    </row>
    <row r="4641" spans="1:6" x14ac:dyDescent="0.25">
      <c r="A4641" s="62">
        <v>43991</v>
      </c>
      <c r="B4641" s="62" t="s">
        <v>3884</v>
      </c>
      <c r="C4641" s="23">
        <v>-3000</v>
      </c>
      <c r="D4641" s="24" t="s">
        <v>46</v>
      </c>
      <c r="E4641" s="24" t="s">
        <v>47</v>
      </c>
      <c r="F4641" s="63" t="s">
        <v>0</v>
      </c>
    </row>
    <row r="4642" spans="1:6" x14ac:dyDescent="0.25">
      <c r="A4642" s="62">
        <v>43990</v>
      </c>
      <c r="B4642" s="62" t="s">
        <v>3811</v>
      </c>
      <c r="C4642" s="23">
        <v>-1250</v>
      </c>
      <c r="D4642" s="24" t="s">
        <v>49</v>
      </c>
      <c r="E4642" s="24" t="s">
        <v>56</v>
      </c>
      <c r="F4642" s="63" t="s">
        <v>0</v>
      </c>
    </row>
    <row r="4643" spans="1:6" x14ac:dyDescent="0.25">
      <c r="A4643" s="62">
        <v>43990</v>
      </c>
      <c r="B4643" s="62" t="s">
        <v>3885</v>
      </c>
      <c r="C4643" s="23">
        <v>-5789</v>
      </c>
      <c r="D4643" s="24" t="s">
        <v>49</v>
      </c>
      <c r="E4643" s="24" t="s">
        <v>164</v>
      </c>
      <c r="F4643" s="63" t="s">
        <v>0</v>
      </c>
    </row>
    <row r="4644" spans="1:6" x14ac:dyDescent="0.25">
      <c r="A4644" s="62">
        <v>43990</v>
      </c>
      <c r="B4644" s="62" t="s">
        <v>3886</v>
      </c>
      <c r="C4644" s="23">
        <v>-8990</v>
      </c>
      <c r="D4644" s="24" t="s">
        <v>49</v>
      </c>
      <c r="E4644" s="24" t="s">
        <v>232</v>
      </c>
      <c r="F4644" s="63" t="s">
        <v>0</v>
      </c>
    </row>
    <row r="4645" spans="1:6" x14ac:dyDescent="0.25">
      <c r="A4645" s="62">
        <v>43990</v>
      </c>
      <c r="B4645" s="62" t="s">
        <v>3887</v>
      </c>
      <c r="C4645" s="23">
        <v>-22330</v>
      </c>
      <c r="D4645" s="24" t="s">
        <v>72</v>
      </c>
      <c r="E4645" s="24" t="s">
        <v>109</v>
      </c>
      <c r="F4645" s="63" t="s">
        <v>0</v>
      </c>
    </row>
    <row r="4646" spans="1:6" x14ac:dyDescent="0.25">
      <c r="A4646" s="62">
        <v>43990</v>
      </c>
      <c r="B4646" s="62" t="s">
        <v>3888</v>
      </c>
      <c r="C4646" s="23">
        <v>-6861</v>
      </c>
      <c r="D4646" s="24" t="s">
        <v>46</v>
      </c>
      <c r="E4646" s="24" t="s">
        <v>80</v>
      </c>
      <c r="F4646" s="63" t="s">
        <v>0</v>
      </c>
    </row>
    <row r="4647" spans="1:6" x14ac:dyDescent="0.25">
      <c r="A4647" s="62">
        <v>43987</v>
      </c>
      <c r="B4647" s="62" t="s">
        <v>3799</v>
      </c>
      <c r="C4647" s="23">
        <v>30000</v>
      </c>
      <c r="D4647" s="24" t="s">
        <v>167</v>
      </c>
      <c r="E4647" s="24" t="s">
        <v>2200</v>
      </c>
      <c r="F4647" s="63" t="s">
        <v>2</v>
      </c>
    </row>
    <row r="4648" spans="1:6" x14ac:dyDescent="0.25">
      <c r="A4648" s="62">
        <v>43987</v>
      </c>
      <c r="B4648" s="62" t="s">
        <v>3799</v>
      </c>
      <c r="C4648" s="23">
        <v>-15000</v>
      </c>
      <c r="D4648" s="24" t="s">
        <v>167</v>
      </c>
      <c r="E4648" s="24" t="s">
        <v>2200</v>
      </c>
      <c r="F4648" s="63" t="s">
        <v>0</v>
      </c>
    </row>
    <row r="4649" spans="1:6" x14ac:dyDescent="0.25">
      <c r="A4649" s="62">
        <v>43987</v>
      </c>
      <c r="B4649" s="62" t="s">
        <v>3799</v>
      </c>
      <c r="C4649" s="23">
        <v>-15000</v>
      </c>
      <c r="D4649" s="24" t="s">
        <v>167</v>
      </c>
      <c r="E4649" s="24" t="s">
        <v>2200</v>
      </c>
      <c r="F4649" s="63" t="s">
        <v>0</v>
      </c>
    </row>
    <row r="4650" spans="1:6" x14ac:dyDescent="0.25">
      <c r="A4650" s="62">
        <v>43986</v>
      </c>
      <c r="B4650" s="62" t="s">
        <v>3889</v>
      </c>
      <c r="C4650" s="23">
        <v>-7715</v>
      </c>
      <c r="D4650" s="24" t="s">
        <v>49</v>
      </c>
      <c r="E4650" s="24" t="s">
        <v>56</v>
      </c>
      <c r="F4650" s="63" t="s">
        <v>0</v>
      </c>
    </row>
    <row r="4651" spans="1:6" x14ac:dyDescent="0.25">
      <c r="A4651" s="62">
        <v>43986</v>
      </c>
      <c r="B4651" s="62" t="s">
        <v>3890</v>
      </c>
      <c r="C4651" s="23">
        <v>344250</v>
      </c>
      <c r="D4651" s="24" t="s">
        <v>58</v>
      </c>
      <c r="E4651" s="24" t="s">
        <v>58</v>
      </c>
      <c r="F4651" s="63" t="s">
        <v>0</v>
      </c>
    </row>
    <row r="4652" spans="1:6" x14ac:dyDescent="0.25">
      <c r="A4652" s="62">
        <v>43985</v>
      </c>
      <c r="B4652" s="62" t="s">
        <v>3708</v>
      </c>
      <c r="C4652" s="23">
        <v>-2.5499999999999998</v>
      </c>
      <c r="D4652" s="24" t="s">
        <v>167</v>
      </c>
      <c r="E4652" s="24" t="s">
        <v>32</v>
      </c>
      <c r="F4652" s="63" t="s">
        <v>0</v>
      </c>
    </row>
    <row r="4653" spans="1:6" x14ac:dyDescent="0.25">
      <c r="A4653" s="62">
        <v>43985</v>
      </c>
      <c r="B4653" s="62" t="s">
        <v>3710</v>
      </c>
      <c r="C4653" s="23">
        <v>16.989999999999998</v>
      </c>
      <c r="D4653" s="24" t="s">
        <v>167</v>
      </c>
      <c r="E4653" s="24" t="s">
        <v>32</v>
      </c>
      <c r="F4653" s="63" t="s">
        <v>0</v>
      </c>
    </row>
    <row r="4654" spans="1:6" x14ac:dyDescent="0.25">
      <c r="A4654" s="62">
        <v>43984</v>
      </c>
      <c r="B4654" s="62" t="s">
        <v>3891</v>
      </c>
      <c r="C4654" s="23">
        <v>-2690</v>
      </c>
      <c r="D4654" s="24" t="s">
        <v>52</v>
      </c>
      <c r="E4654" s="24" t="s">
        <v>53</v>
      </c>
      <c r="F4654" s="63" t="s">
        <v>0</v>
      </c>
    </row>
    <row r="4655" spans="1:6" x14ac:dyDescent="0.25">
      <c r="A4655" s="62">
        <v>43984</v>
      </c>
      <c r="B4655" s="62" t="s">
        <v>3892</v>
      </c>
      <c r="C4655" s="23">
        <v>-706</v>
      </c>
      <c r="D4655" s="24" t="s">
        <v>49</v>
      </c>
      <c r="E4655" s="24" t="s">
        <v>56</v>
      </c>
      <c r="F4655" s="63" t="s">
        <v>0</v>
      </c>
    </row>
    <row r="4656" spans="1:6" x14ac:dyDescent="0.25">
      <c r="A4656" s="62">
        <v>43984</v>
      </c>
      <c r="B4656" s="62" t="s">
        <v>3876</v>
      </c>
      <c r="C4656" s="23">
        <v>-348</v>
      </c>
      <c r="D4656" s="24" t="s">
        <v>49</v>
      </c>
      <c r="E4656" s="24" t="s">
        <v>56</v>
      </c>
      <c r="F4656" s="63" t="s">
        <v>0</v>
      </c>
    </row>
    <row r="4657" spans="1:6" x14ac:dyDescent="0.25">
      <c r="A4657" s="62">
        <v>43984</v>
      </c>
      <c r="B4657" s="62" t="s">
        <v>3893</v>
      </c>
      <c r="C4657" s="23">
        <v>-3990</v>
      </c>
      <c r="D4657" s="24" t="s">
        <v>46</v>
      </c>
      <c r="E4657" s="24" t="s">
        <v>63</v>
      </c>
      <c r="F4657" s="63" t="s">
        <v>0</v>
      </c>
    </row>
    <row r="4658" spans="1:6" x14ac:dyDescent="0.25">
      <c r="A4658" s="62">
        <v>43981</v>
      </c>
      <c r="B4658" s="62" t="s">
        <v>3410</v>
      </c>
      <c r="C4658" s="23">
        <v>-110000</v>
      </c>
      <c r="D4658" s="24" t="s">
        <v>46</v>
      </c>
      <c r="E4658" s="24" t="s">
        <v>3410</v>
      </c>
      <c r="F4658" s="63" t="s">
        <v>7</v>
      </c>
    </row>
    <row r="4659" spans="1:6" x14ac:dyDescent="0.25">
      <c r="A4659" s="62">
        <v>43980</v>
      </c>
      <c r="B4659" s="62" t="s">
        <v>3894</v>
      </c>
      <c r="C4659" s="23">
        <v>114000</v>
      </c>
      <c r="D4659" s="24" t="s">
        <v>167</v>
      </c>
      <c r="E4659" s="24" t="s">
        <v>1658</v>
      </c>
      <c r="F4659" s="63" t="s">
        <v>5</v>
      </c>
    </row>
    <row r="4660" spans="1:6" x14ac:dyDescent="0.25">
      <c r="A4660" s="62">
        <v>43980</v>
      </c>
      <c r="B4660" s="62" t="s">
        <v>3895</v>
      </c>
      <c r="C4660" s="23">
        <v>-7295</v>
      </c>
      <c r="D4660" s="24" t="s">
        <v>49</v>
      </c>
      <c r="E4660" s="24" t="s">
        <v>1165</v>
      </c>
      <c r="F4660" s="63" t="s">
        <v>0</v>
      </c>
    </row>
    <row r="4661" spans="1:6" x14ac:dyDescent="0.25">
      <c r="A4661" s="62">
        <v>43980</v>
      </c>
      <c r="B4661" s="62" t="s">
        <v>3896</v>
      </c>
      <c r="C4661" s="23">
        <v>-3753</v>
      </c>
      <c r="D4661" s="24" t="s">
        <v>49</v>
      </c>
      <c r="E4661" s="24" t="s">
        <v>56</v>
      </c>
      <c r="F4661" s="63" t="s">
        <v>0</v>
      </c>
    </row>
    <row r="4662" spans="1:6" x14ac:dyDescent="0.25">
      <c r="A4662" s="62">
        <v>43980</v>
      </c>
      <c r="B4662" s="62" t="s">
        <v>3897</v>
      </c>
      <c r="C4662" s="23">
        <v>-4474</v>
      </c>
      <c r="D4662" s="24" t="s">
        <v>49</v>
      </c>
      <c r="E4662" s="24" t="s">
        <v>56</v>
      </c>
      <c r="F4662" s="63" t="s">
        <v>0</v>
      </c>
    </row>
    <row r="4663" spans="1:6" x14ac:dyDescent="0.25">
      <c r="A4663" s="62">
        <v>43979</v>
      </c>
      <c r="B4663" s="62" t="s">
        <v>3764</v>
      </c>
      <c r="C4663" s="23">
        <v>-3860</v>
      </c>
      <c r="D4663" s="24" t="s">
        <v>46</v>
      </c>
      <c r="E4663" s="24" t="s">
        <v>63</v>
      </c>
      <c r="F4663" s="63" t="s">
        <v>0</v>
      </c>
    </row>
    <row r="4664" spans="1:6" x14ac:dyDescent="0.25">
      <c r="A4664" s="62">
        <v>43979</v>
      </c>
      <c r="B4664" s="62" t="s">
        <v>3898</v>
      </c>
      <c r="C4664" s="23">
        <v>30000</v>
      </c>
      <c r="D4664" s="24" t="s">
        <v>206</v>
      </c>
      <c r="E4664" s="24" t="s">
        <v>830</v>
      </c>
      <c r="F4664" s="63" t="s">
        <v>7</v>
      </c>
    </row>
    <row r="4665" spans="1:6" x14ac:dyDescent="0.25">
      <c r="A4665" s="62">
        <v>43979</v>
      </c>
      <c r="B4665" s="62" t="s">
        <v>3898</v>
      </c>
      <c r="C4665" s="23">
        <v>-30000</v>
      </c>
      <c r="D4665" s="24" t="s">
        <v>206</v>
      </c>
      <c r="E4665" s="24" t="s">
        <v>830</v>
      </c>
      <c r="F4665" s="63" t="s">
        <v>0</v>
      </c>
    </row>
    <row r="4666" spans="1:6" x14ac:dyDescent="0.25">
      <c r="A4666" s="62">
        <v>43979</v>
      </c>
      <c r="B4666" s="62" t="s">
        <v>3898</v>
      </c>
      <c r="C4666" s="23">
        <v>-120000</v>
      </c>
      <c r="D4666" s="24" t="s">
        <v>72</v>
      </c>
      <c r="E4666" s="24" t="s">
        <v>445</v>
      </c>
      <c r="F4666" s="63" t="s">
        <v>0</v>
      </c>
    </row>
    <row r="4667" spans="1:6" x14ac:dyDescent="0.25">
      <c r="A4667" s="62">
        <v>43979</v>
      </c>
      <c r="B4667" s="62" t="s">
        <v>3899</v>
      </c>
      <c r="C4667" s="23">
        <v>-23957</v>
      </c>
      <c r="D4667" s="24" t="s">
        <v>46</v>
      </c>
      <c r="E4667" s="24" t="s">
        <v>3256</v>
      </c>
      <c r="F4667" s="63" t="s">
        <v>0</v>
      </c>
    </row>
    <row r="4668" spans="1:6" x14ac:dyDescent="0.25">
      <c r="A4668" s="62">
        <v>43978</v>
      </c>
      <c r="B4668" s="62" t="s">
        <v>3900</v>
      </c>
      <c r="C4668" s="23">
        <v>-34522</v>
      </c>
      <c r="D4668" s="24" t="s">
        <v>83</v>
      </c>
      <c r="E4668" s="24" t="s">
        <v>2151</v>
      </c>
      <c r="F4668" s="63" t="s">
        <v>4</v>
      </c>
    </row>
    <row r="4669" spans="1:6" x14ac:dyDescent="0.25">
      <c r="A4669" s="62">
        <v>43978</v>
      </c>
      <c r="B4669" s="62" t="s">
        <v>3901</v>
      </c>
      <c r="C4669" s="23">
        <v>-16786</v>
      </c>
      <c r="D4669" s="24" t="s">
        <v>49</v>
      </c>
      <c r="E4669" s="24" t="s">
        <v>56</v>
      </c>
      <c r="F4669" s="63" t="s">
        <v>0</v>
      </c>
    </row>
    <row r="4670" spans="1:6" x14ac:dyDescent="0.25">
      <c r="A4670" s="62">
        <v>43977</v>
      </c>
      <c r="B4670" s="62" t="s">
        <v>3789</v>
      </c>
      <c r="C4670" s="23">
        <v>-2790</v>
      </c>
      <c r="D4670" s="24" t="s">
        <v>52</v>
      </c>
      <c r="E4670" s="24" t="s">
        <v>53</v>
      </c>
      <c r="F4670" s="63" t="s">
        <v>4</v>
      </c>
    </row>
    <row r="4671" spans="1:6" x14ac:dyDescent="0.25">
      <c r="A4671" s="62">
        <v>43976</v>
      </c>
      <c r="B4671" s="62" t="s">
        <v>3902</v>
      </c>
      <c r="C4671" s="23">
        <v>-16049</v>
      </c>
      <c r="D4671" s="24" t="s">
        <v>72</v>
      </c>
      <c r="E4671" s="24" t="s">
        <v>109</v>
      </c>
      <c r="F4671" s="63" t="s">
        <v>0</v>
      </c>
    </row>
    <row r="4672" spans="1:6" x14ac:dyDescent="0.25">
      <c r="A4672" s="62">
        <v>43976</v>
      </c>
      <c r="B4672" s="62" t="s">
        <v>3875</v>
      </c>
      <c r="C4672" s="23">
        <v>-2060</v>
      </c>
      <c r="D4672" s="24" t="s">
        <v>52</v>
      </c>
      <c r="E4672" s="24" t="s">
        <v>53</v>
      </c>
      <c r="F4672" s="63" t="s">
        <v>0</v>
      </c>
    </row>
    <row r="4673" spans="1:6" x14ac:dyDescent="0.25">
      <c r="A4673" s="62">
        <v>43976</v>
      </c>
      <c r="B4673" s="62" t="s">
        <v>3903</v>
      </c>
      <c r="C4673" s="23">
        <v>-269</v>
      </c>
      <c r="D4673" s="24" t="s">
        <v>49</v>
      </c>
      <c r="E4673" s="24" t="s">
        <v>56</v>
      </c>
      <c r="F4673" s="63" t="s">
        <v>0</v>
      </c>
    </row>
    <row r="4674" spans="1:6" x14ac:dyDescent="0.25">
      <c r="A4674" s="62">
        <v>43973</v>
      </c>
      <c r="B4674" s="62" t="s">
        <v>3904</v>
      </c>
      <c r="C4674" s="23">
        <v>-1606</v>
      </c>
      <c r="D4674" s="24" t="s">
        <v>49</v>
      </c>
      <c r="E4674" s="24" t="s">
        <v>56</v>
      </c>
      <c r="F4674" s="63" t="s">
        <v>0</v>
      </c>
    </row>
    <row r="4675" spans="1:6" x14ac:dyDescent="0.25">
      <c r="A4675" s="62">
        <v>43973</v>
      </c>
      <c r="B4675" s="62" t="s">
        <v>3905</v>
      </c>
      <c r="C4675" s="23">
        <v>42780</v>
      </c>
      <c r="D4675" s="24" t="s">
        <v>90</v>
      </c>
      <c r="E4675" s="24" t="s">
        <v>174</v>
      </c>
      <c r="F4675" s="63" t="s">
        <v>0</v>
      </c>
    </row>
    <row r="4676" spans="1:6" x14ac:dyDescent="0.25">
      <c r="A4676" s="62">
        <v>43971</v>
      </c>
      <c r="B4676" s="62" t="s">
        <v>3789</v>
      </c>
      <c r="C4676" s="23">
        <v>-2690</v>
      </c>
      <c r="D4676" s="24" t="s">
        <v>52</v>
      </c>
      <c r="E4676" s="24" t="s">
        <v>53</v>
      </c>
      <c r="F4676" s="63" t="s">
        <v>4</v>
      </c>
    </row>
    <row r="4677" spans="1:6" x14ac:dyDescent="0.25">
      <c r="A4677" s="62">
        <v>43971</v>
      </c>
      <c r="B4677" s="62" t="s">
        <v>3906</v>
      </c>
      <c r="C4677" s="23">
        <v>-1690</v>
      </c>
      <c r="D4677" s="24" t="s">
        <v>49</v>
      </c>
      <c r="E4677" s="24" t="s">
        <v>67</v>
      </c>
      <c r="F4677" s="63" t="s">
        <v>0</v>
      </c>
    </row>
    <row r="4678" spans="1:6" x14ac:dyDescent="0.25">
      <c r="A4678" s="62">
        <v>43969</v>
      </c>
      <c r="B4678" s="62" t="s">
        <v>3907</v>
      </c>
      <c r="C4678" s="23">
        <v>-100</v>
      </c>
      <c r="D4678" s="24" t="s">
        <v>167</v>
      </c>
      <c r="E4678" s="24" t="s">
        <v>168</v>
      </c>
      <c r="F4678" s="63" t="s">
        <v>5</v>
      </c>
    </row>
    <row r="4679" spans="1:6" x14ac:dyDescent="0.25">
      <c r="A4679" s="62">
        <v>43969</v>
      </c>
      <c r="B4679" s="62" t="s">
        <v>3908</v>
      </c>
      <c r="C4679" s="23">
        <v>-17414</v>
      </c>
      <c r="D4679" s="24" t="s">
        <v>72</v>
      </c>
      <c r="E4679" s="24" t="s">
        <v>109</v>
      </c>
      <c r="F4679" s="63" t="s">
        <v>0</v>
      </c>
    </row>
    <row r="4680" spans="1:6" x14ac:dyDescent="0.25">
      <c r="A4680" s="62">
        <v>43969</v>
      </c>
      <c r="B4680" s="62" t="s">
        <v>3909</v>
      </c>
      <c r="C4680" s="23">
        <v>-719</v>
      </c>
      <c r="D4680" s="24" t="s">
        <v>49</v>
      </c>
      <c r="E4680" s="24" t="s">
        <v>56</v>
      </c>
      <c r="F4680" s="63" t="s">
        <v>0</v>
      </c>
    </row>
    <row r="4681" spans="1:6" x14ac:dyDescent="0.25">
      <c r="A4681" s="62">
        <v>43966</v>
      </c>
      <c r="B4681" s="62" t="s">
        <v>3910</v>
      </c>
      <c r="C4681" s="23">
        <v>-1800</v>
      </c>
      <c r="D4681" s="24" t="s">
        <v>49</v>
      </c>
      <c r="E4681" s="24" t="s">
        <v>67</v>
      </c>
      <c r="F4681" s="63" t="s">
        <v>0</v>
      </c>
    </row>
    <row r="4682" spans="1:6" x14ac:dyDescent="0.25">
      <c r="A4682" s="62">
        <v>43966</v>
      </c>
      <c r="B4682" s="62" t="s">
        <v>3911</v>
      </c>
      <c r="C4682" s="23">
        <v>-10422</v>
      </c>
      <c r="D4682" s="24" t="s">
        <v>49</v>
      </c>
      <c r="E4682" s="24" t="s">
        <v>56</v>
      </c>
      <c r="F4682" s="63" t="s">
        <v>0</v>
      </c>
    </row>
    <row r="4683" spans="1:6" x14ac:dyDescent="0.25">
      <c r="A4683" s="62">
        <v>43965</v>
      </c>
      <c r="B4683" s="62" t="s">
        <v>3912</v>
      </c>
      <c r="C4683" s="23">
        <v>-3621.87</v>
      </c>
      <c r="D4683" s="24" t="s">
        <v>206</v>
      </c>
      <c r="E4683" s="24" t="s">
        <v>234</v>
      </c>
      <c r="F4683" s="63" t="s">
        <v>0</v>
      </c>
    </row>
    <row r="4684" spans="1:6" x14ac:dyDescent="0.25">
      <c r="A4684" s="62">
        <v>43964</v>
      </c>
      <c r="B4684" s="62" t="s">
        <v>3913</v>
      </c>
      <c r="C4684" s="23">
        <v>-5320</v>
      </c>
      <c r="D4684" s="24" t="s">
        <v>49</v>
      </c>
      <c r="E4684" s="24" t="s">
        <v>56</v>
      </c>
      <c r="F4684" s="63" t="s">
        <v>0</v>
      </c>
    </row>
    <row r="4685" spans="1:6" x14ac:dyDescent="0.25">
      <c r="A4685" s="62">
        <v>43963</v>
      </c>
      <c r="B4685" s="62" t="s">
        <v>3914</v>
      </c>
      <c r="C4685" s="23">
        <v>-18083</v>
      </c>
      <c r="D4685" s="24" t="s">
        <v>72</v>
      </c>
      <c r="E4685" s="24" t="s">
        <v>109</v>
      </c>
      <c r="F4685" s="63" t="s">
        <v>0</v>
      </c>
    </row>
    <row r="4686" spans="1:6" x14ac:dyDescent="0.25">
      <c r="A4686" s="62">
        <v>43963</v>
      </c>
      <c r="B4686" s="62" t="s">
        <v>3915</v>
      </c>
      <c r="C4686" s="23">
        <v>-13495</v>
      </c>
      <c r="D4686" s="24" t="s">
        <v>52</v>
      </c>
      <c r="E4686" s="24" t="s">
        <v>52</v>
      </c>
      <c r="F4686" s="63" t="s">
        <v>0</v>
      </c>
    </row>
    <row r="4687" spans="1:6" x14ac:dyDescent="0.25">
      <c r="A4687" s="62">
        <v>43962</v>
      </c>
      <c r="B4687" s="62" t="s">
        <v>3916</v>
      </c>
      <c r="C4687" s="23">
        <v>-4426</v>
      </c>
      <c r="D4687" s="24" t="s">
        <v>49</v>
      </c>
      <c r="E4687" s="24" t="s">
        <v>56</v>
      </c>
      <c r="F4687" s="63" t="s">
        <v>0</v>
      </c>
    </row>
    <row r="4688" spans="1:6" x14ac:dyDescent="0.25">
      <c r="A4688" s="62">
        <v>43959</v>
      </c>
      <c r="B4688" s="62" t="s">
        <v>3917</v>
      </c>
      <c r="C4688" s="23">
        <v>-928</v>
      </c>
      <c r="D4688" s="24" t="s">
        <v>49</v>
      </c>
      <c r="E4688" s="24" t="s">
        <v>56</v>
      </c>
      <c r="F4688" s="63" t="s">
        <v>0</v>
      </c>
    </row>
    <row r="4689" spans="1:6" x14ac:dyDescent="0.25">
      <c r="A4689" s="62">
        <v>43959</v>
      </c>
      <c r="B4689" s="62" t="s">
        <v>3910</v>
      </c>
      <c r="C4689" s="23">
        <v>-1800</v>
      </c>
      <c r="D4689" s="24" t="s">
        <v>49</v>
      </c>
      <c r="E4689" s="24" t="s">
        <v>67</v>
      </c>
      <c r="F4689" s="63" t="s">
        <v>0</v>
      </c>
    </row>
    <row r="4690" spans="1:6" x14ac:dyDescent="0.25">
      <c r="A4690" s="62">
        <v>43959</v>
      </c>
      <c r="B4690" s="62" t="s">
        <v>3918</v>
      </c>
      <c r="C4690" s="23">
        <v>-42780</v>
      </c>
      <c r="D4690" s="24" t="s">
        <v>90</v>
      </c>
      <c r="E4690" s="24" t="s">
        <v>174</v>
      </c>
      <c r="F4690" s="63" t="s">
        <v>0</v>
      </c>
    </row>
    <row r="4691" spans="1:6" x14ac:dyDescent="0.25">
      <c r="A4691" s="62">
        <v>43959</v>
      </c>
      <c r="B4691" s="62" t="s">
        <v>3919</v>
      </c>
      <c r="C4691" s="23">
        <v>343180</v>
      </c>
      <c r="D4691" s="24" t="s">
        <v>58</v>
      </c>
      <c r="E4691" s="24" t="s">
        <v>58</v>
      </c>
      <c r="F4691" s="63" t="s">
        <v>0</v>
      </c>
    </row>
    <row r="4692" spans="1:6" x14ac:dyDescent="0.25">
      <c r="A4692" s="62">
        <v>43958</v>
      </c>
      <c r="B4692" s="62" t="s">
        <v>3920</v>
      </c>
      <c r="C4692" s="23">
        <v>-11990</v>
      </c>
      <c r="D4692" s="24" t="s">
        <v>49</v>
      </c>
      <c r="E4692" s="24" t="s">
        <v>232</v>
      </c>
      <c r="F4692" s="63" t="s">
        <v>0</v>
      </c>
    </row>
    <row r="4693" spans="1:6" x14ac:dyDescent="0.25">
      <c r="A4693" s="62">
        <v>43958</v>
      </c>
      <c r="B4693" s="62" t="s">
        <v>3921</v>
      </c>
      <c r="C4693" s="23">
        <v>28394</v>
      </c>
      <c r="D4693" s="24" t="s">
        <v>58</v>
      </c>
      <c r="E4693" s="24" t="s">
        <v>3922</v>
      </c>
      <c r="F4693" s="63" t="s">
        <v>0</v>
      </c>
    </row>
    <row r="4694" spans="1:6" x14ac:dyDescent="0.25">
      <c r="A4694" s="62">
        <v>43956</v>
      </c>
      <c r="B4694" s="62" t="s">
        <v>3799</v>
      </c>
      <c r="C4694" s="23">
        <v>30000</v>
      </c>
      <c r="D4694" s="24" t="s">
        <v>167</v>
      </c>
      <c r="E4694" s="24" t="s">
        <v>2200</v>
      </c>
      <c r="F4694" s="63" t="s">
        <v>2</v>
      </c>
    </row>
    <row r="4695" spans="1:6" x14ac:dyDescent="0.25">
      <c r="A4695" s="62">
        <v>43956</v>
      </c>
      <c r="B4695" s="62" t="s">
        <v>3923</v>
      </c>
      <c r="C4695" s="23">
        <v>-4653</v>
      </c>
      <c r="D4695" s="24" t="s">
        <v>49</v>
      </c>
      <c r="E4695" s="24" t="s">
        <v>56</v>
      </c>
      <c r="F4695" s="63" t="s">
        <v>0</v>
      </c>
    </row>
    <row r="4696" spans="1:6" x14ac:dyDescent="0.25">
      <c r="A4696" s="62">
        <v>43956</v>
      </c>
      <c r="B4696" s="62" t="s">
        <v>3799</v>
      </c>
      <c r="C4696" s="23">
        <v>-15000</v>
      </c>
      <c r="D4696" s="24" t="s">
        <v>167</v>
      </c>
      <c r="E4696" s="24" t="s">
        <v>2200</v>
      </c>
      <c r="F4696" s="63" t="s">
        <v>0</v>
      </c>
    </row>
    <row r="4697" spans="1:6" x14ac:dyDescent="0.25">
      <c r="A4697" s="62">
        <v>43956</v>
      </c>
      <c r="B4697" s="62" t="s">
        <v>3799</v>
      </c>
      <c r="C4697" s="23">
        <v>-15000</v>
      </c>
      <c r="D4697" s="24" t="s">
        <v>167</v>
      </c>
      <c r="E4697" s="24" t="s">
        <v>2200</v>
      </c>
      <c r="F4697" s="63" t="s">
        <v>0</v>
      </c>
    </row>
    <row r="4698" spans="1:6" x14ac:dyDescent="0.25">
      <c r="A4698" s="62">
        <v>43955</v>
      </c>
      <c r="B4698" s="62" t="s">
        <v>3924</v>
      </c>
      <c r="C4698" s="23">
        <v>-17830</v>
      </c>
      <c r="D4698" s="24" t="s">
        <v>72</v>
      </c>
      <c r="E4698" s="24" t="s">
        <v>109</v>
      </c>
      <c r="F4698" s="63" t="s">
        <v>0</v>
      </c>
    </row>
    <row r="4699" spans="1:6" x14ac:dyDescent="0.25">
      <c r="A4699" s="62">
        <v>43955</v>
      </c>
      <c r="B4699" s="62" t="s">
        <v>3925</v>
      </c>
      <c r="C4699" s="23">
        <v>-6200</v>
      </c>
      <c r="D4699" s="24" t="s">
        <v>49</v>
      </c>
      <c r="E4699" s="24" t="s">
        <v>232</v>
      </c>
      <c r="F4699" s="63" t="s">
        <v>0</v>
      </c>
    </row>
    <row r="4700" spans="1:6" x14ac:dyDescent="0.25">
      <c r="A4700" s="62">
        <v>43955</v>
      </c>
      <c r="B4700" s="62" t="s">
        <v>309</v>
      </c>
      <c r="C4700" s="23">
        <v>-2.4700000000000002</v>
      </c>
      <c r="D4700" s="24" t="s">
        <v>167</v>
      </c>
      <c r="E4700" s="24" t="s">
        <v>32</v>
      </c>
      <c r="F4700" s="63" t="s">
        <v>0</v>
      </c>
    </row>
    <row r="4701" spans="1:6" x14ac:dyDescent="0.25">
      <c r="A4701" s="62">
        <v>43955</v>
      </c>
      <c r="B4701" s="62" t="s">
        <v>32</v>
      </c>
      <c r="C4701" s="23">
        <v>16.440000000000001</v>
      </c>
      <c r="D4701" s="24" t="s">
        <v>167</v>
      </c>
      <c r="E4701" s="24" t="s">
        <v>32</v>
      </c>
      <c r="F4701" s="63" t="s">
        <v>0</v>
      </c>
    </row>
    <row r="4702" spans="1:6" x14ac:dyDescent="0.25">
      <c r="A4702" s="62">
        <v>43951</v>
      </c>
      <c r="B4702" s="62" t="s">
        <v>3410</v>
      </c>
      <c r="C4702" s="23">
        <v>-110000</v>
      </c>
      <c r="D4702" s="24" t="s">
        <v>46</v>
      </c>
      <c r="E4702" s="24" t="s">
        <v>3410</v>
      </c>
      <c r="F4702" s="63" t="s">
        <v>7</v>
      </c>
    </row>
    <row r="4703" spans="1:6" x14ac:dyDescent="0.25">
      <c r="A4703" s="62">
        <v>43951</v>
      </c>
      <c r="B4703" s="62" t="s">
        <v>3926</v>
      </c>
      <c r="C4703" s="23">
        <v>538735</v>
      </c>
      <c r="D4703" s="24" t="s">
        <v>58</v>
      </c>
      <c r="E4703" s="24" t="s">
        <v>58</v>
      </c>
      <c r="F4703" s="63" t="s">
        <v>0</v>
      </c>
    </row>
    <row r="4704" spans="1:6" x14ac:dyDescent="0.25">
      <c r="A4704" s="62">
        <v>43950</v>
      </c>
      <c r="B4704" s="62" t="s">
        <v>3927</v>
      </c>
      <c r="C4704" s="23">
        <v>-5043</v>
      </c>
      <c r="D4704" s="24" t="s">
        <v>49</v>
      </c>
      <c r="E4704" s="24" t="s">
        <v>56</v>
      </c>
      <c r="F4704" s="63" t="s">
        <v>0</v>
      </c>
    </row>
    <row r="4705" spans="1:6" x14ac:dyDescent="0.25">
      <c r="A4705" s="62">
        <v>43949</v>
      </c>
      <c r="B4705" s="62" t="s">
        <v>3928</v>
      </c>
      <c r="C4705" s="23">
        <v>-13287</v>
      </c>
      <c r="D4705" s="24" t="s">
        <v>49</v>
      </c>
      <c r="E4705" s="24" t="s">
        <v>56</v>
      </c>
      <c r="F4705" s="63" t="s">
        <v>0</v>
      </c>
    </row>
    <row r="4706" spans="1:6" x14ac:dyDescent="0.25">
      <c r="A4706" s="62">
        <v>43949</v>
      </c>
      <c r="B4706" s="62" t="s">
        <v>3929</v>
      </c>
      <c r="C4706" s="23">
        <v>-4340</v>
      </c>
      <c r="D4706" s="24" t="s">
        <v>52</v>
      </c>
      <c r="E4706" s="24" t="s">
        <v>53</v>
      </c>
      <c r="F4706" s="63" t="s">
        <v>0</v>
      </c>
    </row>
    <row r="4707" spans="1:6" x14ac:dyDescent="0.25">
      <c r="A4707" s="62">
        <v>43949</v>
      </c>
      <c r="B4707" s="62" t="s">
        <v>3930</v>
      </c>
      <c r="C4707" s="23">
        <v>-3990</v>
      </c>
      <c r="D4707" s="24" t="s">
        <v>46</v>
      </c>
      <c r="E4707" s="24" t="s">
        <v>63</v>
      </c>
      <c r="F4707" s="63" t="s">
        <v>0</v>
      </c>
    </row>
    <row r="4708" spans="1:6" x14ac:dyDescent="0.25">
      <c r="A4708" s="62">
        <v>43948</v>
      </c>
      <c r="B4708" s="62" t="s">
        <v>3931</v>
      </c>
      <c r="C4708" s="23">
        <v>-869</v>
      </c>
      <c r="D4708" s="24" t="s">
        <v>167</v>
      </c>
      <c r="E4708" s="24" t="s">
        <v>2200</v>
      </c>
      <c r="F4708" s="63" t="s">
        <v>0</v>
      </c>
    </row>
    <row r="4709" spans="1:6" x14ac:dyDescent="0.25">
      <c r="A4709" s="62">
        <v>43948</v>
      </c>
      <c r="B4709" s="62" t="s">
        <v>3764</v>
      </c>
      <c r="C4709" s="23">
        <v>-3860</v>
      </c>
      <c r="D4709" s="24" t="s">
        <v>46</v>
      </c>
      <c r="E4709" s="24" t="s">
        <v>63</v>
      </c>
      <c r="F4709" s="63" t="s">
        <v>0</v>
      </c>
    </row>
    <row r="4710" spans="1:6" x14ac:dyDescent="0.25">
      <c r="A4710" s="62">
        <v>43948</v>
      </c>
      <c r="B4710" s="62" t="s">
        <v>3932</v>
      </c>
      <c r="C4710" s="23">
        <v>-1717</v>
      </c>
      <c r="D4710" s="24" t="s">
        <v>49</v>
      </c>
      <c r="E4710" s="24" t="s">
        <v>56</v>
      </c>
      <c r="F4710" s="63" t="s">
        <v>0</v>
      </c>
    </row>
    <row r="4711" spans="1:6" x14ac:dyDescent="0.25">
      <c r="A4711" s="62">
        <v>43948</v>
      </c>
      <c r="B4711" s="62" t="s">
        <v>3933</v>
      </c>
      <c r="C4711" s="23">
        <v>-16963</v>
      </c>
      <c r="D4711" s="24" t="s">
        <v>72</v>
      </c>
      <c r="E4711" s="24" t="s">
        <v>109</v>
      </c>
      <c r="F4711" s="63" t="s">
        <v>0</v>
      </c>
    </row>
    <row r="4712" spans="1:6" x14ac:dyDescent="0.25">
      <c r="A4712" s="62">
        <v>43948</v>
      </c>
      <c r="B4712" s="62" t="s">
        <v>3934</v>
      </c>
      <c r="C4712" s="23">
        <v>-9859</v>
      </c>
      <c r="D4712" s="24" t="s">
        <v>49</v>
      </c>
      <c r="E4712" s="24" t="s">
        <v>56</v>
      </c>
      <c r="F4712" s="63" t="s">
        <v>0</v>
      </c>
    </row>
    <row r="4713" spans="1:6" x14ac:dyDescent="0.25">
      <c r="A4713" s="62">
        <v>43948</v>
      </c>
      <c r="B4713" s="62" t="s">
        <v>3935</v>
      </c>
      <c r="C4713" s="23">
        <v>-9217</v>
      </c>
      <c r="D4713" s="24" t="s">
        <v>49</v>
      </c>
      <c r="E4713" s="24" t="s">
        <v>1165</v>
      </c>
      <c r="F4713" s="63" t="s">
        <v>0</v>
      </c>
    </row>
    <row r="4714" spans="1:6" x14ac:dyDescent="0.25">
      <c r="A4714" s="62">
        <v>43948</v>
      </c>
      <c r="B4714" s="62" t="s">
        <v>3936</v>
      </c>
      <c r="C4714" s="23">
        <v>-25227</v>
      </c>
      <c r="D4714" s="24" t="s">
        <v>46</v>
      </c>
      <c r="E4714" s="24" t="s">
        <v>3256</v>
      </c>
      <c r="F4714" s="63" t="s">
        <v>0</v>
      </c>
    </row>
    <row r="4715" spans="1:6" x14ac:dyDescent="0.25">
      <c r="A4715" s="62">
        <v>43944</v>
      </c>
      <c r="B4715" s="62" t="s">
        <v>3789</v>
      </c>
      <c r="C4715" s="23">
        <v>-5080</v>
      </c>
      <c r="D4715" s="24" t="s">
        <v>52</v>
      </c>
      <c r="E4715" s="24" t="s">
        <v>53</v>
      </c>
      <c r="F4715" s="63" t="s">
        <v>4</v>
      </c>
    </row>
    <row r="4716" spans="1:6" x14ac:dyDescent="0.25">
      <c r="A4716" s="62">
        <v>43944</v>
      </c>
      <c r="B4716" s="62" t="s">
        <v>3937</v>
      </c>
      <c r="C4716" s="23">
        <v>-1850</v>
      </c>
      <c r="D4716" s="24" t="s">
        <v>52</v>
      </c>
      <c r="E4716" s="24" t="s">
        <v>53</v>
      </c>
      <c r="F4716" s="63" t="s">
        <v>0</v>
      </c>
    </row>
    <row r="4717" spans="1:6" x14ac:dyDescent="0.25">
      <c r="A4717" s="62">
        <v>43943</v>
      </c>
      <c r="B4717" s="62" t="s">
        <v>3938</v>
      </c>
      <c r="C4717" s="23">
        <v>-1740</v>
      </c>
      <c r="D4717" s="24" t="s">
        <v>52</v>
      </c>
      <c r="E4717" s="24" t="s">
        <v>53</v>
      </c>
      <c r="F4717" s="63" t="s">
        <v>0</v>
      </c>
    </row>
    <row r="4718" spans="1:6" x14ac:dyDescent="0.25">
      <c r="A4718" s="62">
        <v>43942</v>
      </c>
      <c r="B4718" s="62" t="s">
        <v>3939</v>
      </c>
      <c r="C4718" s="23">
        <v>-1650</v>
      </c>
      <c r="D4718" s="24" t="s">
        <v>52</v>
      </c>
      <c r="E4718" s="24" t="s">
        <v>53</v>
      </c>
      <c r="F4718" s="63" t="s">
        <v>0</v>
      </c>
    </row>
    <row r="4719" spans="1:6" x14ac:dyDescent="0.25">
      <c r="A4719" s="62">
        <v>43941</v>
      </c>
      <c r="B4719" s="62" t="s">
        <v>3940</v>
      </c>
      <c r="C4719" s="23">
        <v>-100</v>
      </c>
      <c r="D4719" s="24" t="s">
        <v>167</v>
      </c>
      <c r="E4719" s="24" t="s">
        <v>168</v>
      </c>
      <c r="F4719" s="63" t="s">
        <v>5</v>
      </c>
    </row>
    <row r="4720" spans="1:6" x14ac:dyDescent="0.25">
      <c r="A4720" s="62">
        <v>43941</v>
      </c>
      <c r="B4720" s="62" t="s">
        <v>3941</v>
      </c>
      <c r="C4720" s="23">
        <v>-16668</v>
      </c>
      <c r="D4720" s="24" t="s">
        <v>72</v>
      </c>
      <c r="E4720" s="24" t="s">
        <v>109</v>
      </c>
      <c r="F4720" s="63" t="s">
        <v>0</v>
      </c>
    </row>
    <row r="4721" spans="1:6" x14ac:dyDescent="0.25">
      <c r="A4721" s="62">
        <v>43941</v>
      </c>
      <c r="B4721" s="62" t="s">
        <v>3942</v>
      </c>
      <c r="C4721" s="23">
        <v>-3950</v>
      </c>
      <c r="D4721" s="24" t="s">
        <v>49</v>
      </c>
      <c r="E4721" s="24" t="s">
        <v>67</v>
      </c>
      <c r="F4721" s="63" t="s">
        <v>0</v>
      </c>
    </row>
    <row r="4722" spans="1:6" x14ac:dyDescent="0.25">
      <c r="A4722" s="62">
        <v>43941</v>
      </c>
      <c r="B4722" s="62" t="s">
        <v>3943</v>
      </c>
      <c r="C4722" s="23">
        <v>-410</v>
      </c>
      <c r="D4722" s="24" t="s">
        <v>49</v>
      </c>
      <c r="E4722" s="24" t="s">
        <v>56</v>
      </c>
      <c r="F4722" s="63" t="s">
        <v>0</v>
      </c>
    </row>
    <row r="4723" spans="1:6" x14ac:dyDescent="0.25">
      <c r="A4723" s="62">
        <v>43937</v>
      </c>
      <c r="B4723" s="62" t="s">
        <v>3944</v>
      </c>
      <c r="C4723" s="23">
        <v>-10405</v>
      </c>
      <c r="D4723" s="24" t="s">
        <v>49</v>
      </c>
      <c r="E4723" s="24" t="s">
        <v>56</v>
      </c>
      <c r="F4723" s="63" t="s">
        <v>0</v>
      </c>
    </row>
    <row r="4724" spans="1:6" x14ac:dyDescent="0.25">
      <c r="A4724" s="62">
        <v>43937</v>
      </c>
      <c r="B4724" s="62" t="s">
        <v>3945</v>
      </c>
      <c r="C4724" s="23">
        <v>-209</v>
      </c>
      <c r="D4724" s="24" t="s">
        <v>49</v>
      </c>
      <c r="E4724" s="24" t="s">
        <v>56</v>
      </c>
      <c r="F4724" s="63" t="s">
        <v>0</v>
      </c>
    </row>
    <row r="4725" spans="1:6" x14ac:dyDescent="0.25">
      <c r="A4725" s="62">
        <v>43935</v>
      </c>
      <c r="B4725" s="62" t="s">
        <v>3946</v>
      </c>
      <c r="C4725" s="23">
        <v>-22407</v>
      </c>
      <c r="D4725" s="24" t="s">
        <v>72</v>
      </c>
      <c r="E4725" s="24" t="s">
        <v>109</v>
      </c>
      <c r="F4725" s="63" t="s">
        <v>0</v>
      </c>
    </row>
    <row r="4726" spans="1:6" x14ac:dyDescent="0.25">
      <c r="A4726" s="62">
        <v>43935</v>
      </c>
      <c r="B4726" s="62" t="s">
        <v>3947</v>
      </c>
      <c r="C4726" s="23">
        <v>-3875</v>
      </c>
      <c r="D4726" s="24" t="s">
        <v>52</v>
      </c>
      <c r="E4726" s="24" t="s">
        <v>52</v>
      </c>
      <c r="F4726" s="63" t="s">
        <v>0</v>
      </c>
    </row>
    <row r="4727" spans="1:6" x14ac:dyDescent="0.25">
      <c r="A4727" s="62">
        <v>43930</v>
      </c>
      <c r="B4727" s="62" t="s">
        <v>3948</v>
      </c>
      <c r="C4727" s="23">
        <v>-5701</v>
      </c>
      <c r="D4727" s="24" t="s">
        <v>46</v>
      </c>
      <c r="E4727" s="24" t="s">
        <v>80</v>
      </c>
      <c r="F4727" s="63" t="s">
        <v>0</v>
      </c>
    </row>
    <row r="4728" spans="1:6" x14ac:dyDescent="0.25">
      <c r="A4728" s="62">
        <v>43929</v>
      </c>
      <c r="B4728" s="62" t="s">
        <v>3789</v>
      </c>
      <c r="C4728" s="23">
        <v>-2390</v>
      </c>
      <c r="D4728" s="24" t="s">
        <v>52</v>
      </c>
      <c r="E4728" s="24" t="s">
        <v>53</v>
      </c>
      <c r="F4728" s="63" t="s">
        <v>4</v>
      </c>
    </row>
    <row r="4729" spans="1:6" x14ac:dyDescent="0.25">
      <c r="A4729" s="62">
        <v>43929</v>
      </c>
      <c r="B4729" s="62" t="s">
        <v>3949</v>
      </c>
      <c r="C4729" s="23">
        <v>-8837</v>
      </c>
      <c r="D4729" s="24" t="s">
        <v>46</v>
      </c>
      <c r="E4729" s="24" t="s">
        <v>47</v>
      </c>
      <c r="F4729" s="63" t="s">
        <v>0</v>
      </c>
    </row>
    <row r="4730" spans="1:6" x14ac:dyDescent="0.25">
      <c r="A4730" s="62">
        <v>43927</v>
      </c>
      <c r="B4730" s="62" t="s">
        <v>3950</v>
      </c>
      <c r="C4730" s="23">
        <v>-1900</v>
      </c>
      <c r="D4730" s="24" t="s">
        <v>49</v>
      </c>
      <c r="E4730" s="24" t="s">
        <v>56</v>
      </c>
      <c r="F4730" s="63" t="s">
        <v>0</v>
      </c>
    </row>
    <row r="4731" spans="1:6" x14ac:dyDescent="0.25">
      <c r="A4731" s="62">
        <v>43927</v>
      </c>
      <c r="B4731" s="62" t="s">
        <v>3799</v>
      </c>
      <c r="C4731" s="23">
        <v>30000</v>
      </c>
      <c r="D4731" s="24" t="s">
        <v>167</v>
      </c>
      <c r="E4731" s="24" t="s">
        <v>2200</v>
      </c>
      <c r="F4731" s="63" t="s">
        <v>2</v>
      </c>
    </row>
    <row r="4732" spans="1:6" x14ac:dyDescent="0.25">
      <c r="A4732" s="62">
        <v>43927</v>
      </c>
      <c r="B4732" s="62" t="s">
        <v>3799</v>
      </c>
      <c r="C4732" s="23">
        <v>-15000</v>
      </c>
      <c r="D4732" s="24" t="s">
        <v>167</v>
      </c>
      <c r="E4732" s="24" t="s">
        <v>2200</v>
      </c>
      <c r="F4732" s="63" t="s">
        <v>0</v>
      </c>
    </row>
    <row r="4733" spans="1:6" x14ac:dyDescent="0.25">
      <c r="A4733" s="62">
        <v>43927</v>
      </c>
      <c r="B4733" s="62" t="s">
        <v>3799</v>
      </c>
      <c r="C4733" s="23">
        <v>-15000</v>
      </c>
      <c r="D4733" s="24" t="s">
        <v>167</v>
      </c>
      <c r="E4733" s="24" t="s">
        <v>2200</v>
      </c>
      <c r="F4733" s="63" t="s">
        <v>0</v>
      </c>
    </row>
    <row r="4734" spans="1:6" x14ac:dyDescent="0.25">
      <c r="A4734" s="62">
        <v>43924</v>
      </c>
      <c r="B4734" s="62" t="s">
        <v>309</v>
      </c>
      <c r="C4734" s="23">
        <v>-2.5499999999999998</v>
      </c>
      <c r="D4734" s="24" t="s">
        <v>167</v>
      </c>
      <c r="E4734" s="24" t="s">
        <v>32</v>
      </c>
      <c r="F4734" s="63" t="s">
        <v>0</v>
      </c>
    </row>
    <row r="4735" spans="1:6" x14ac:dyDescent="0.25">
      <c r="A4735" s="62">
        <v>43924</v>
      </c>
      <c r="B4735" s="62" t="s">
        <v>3951</v>
      </c>
      <c r="C4735" s="23">
        <v>-7863</v>
      </c>
      <c r="D4735" s="24" t="s">
        <v>49</v>
      </c>
      <c r="E4735" s="24" t="s">
        <v>56</v>
      </c>
      <c r="F4735" s="63" t="s">
        <v>0</v>
      </c>
    </row>
    <row r="4736" spans="1:6" x14ac:dyDescent="0.25">
      <c r="A4736" s="62">
        <v>43924</v>
      </c>
      <c r="B4736" s="62" t="s">
        <v>32</v>
      </c>
      <c r="C4736" s="23">
        <v>16.989999999999998</v>
      </c>
      <c r="D4736" s="24" t="s">
        <v>167</v>
      </c>
      <c r="E4736" s="24" t="s">
        <v>32</v>
      </c>
      <c r="F4736" s="63" t="s">
        <v>0</v>
      </c>
    </row>
    <row r="4737" spans="1:6" x14ac:dyDescent="0.25">
      <c r="A4737" s="62">
        <v>43923</v>
      </c>
      <c r="B4737" s="62" t="s">
        <v>3952</v>
      </c>
      <c r="C4737" s="23">
        <v>-2500</v>
      </c>
      <c r="D4737" s="24" t="s">
        <v>58</v>
      </c>
      <c r="E4737" s="24" t="s">
        <v>3953</v>
      </c>
      <c r="F4737" s="63" t="s">
        <v>0</v>
      </c>
    </row>
    <row r="4738" spans="1:6" x14ac:dyDescent="0.25">
      <c r="A4738" s="62">
        <v>43923</v>
      </c>
      <c r="B4738" s="62" t="s">
        <v>3921</v>
      </c>
      <c r="C4738" s="23">
        <v>87936</v>
      </c>
      <c r="D4738" s="24" t="s">
        <v>58</v>
      </c>
      <c r="E4738" s="24" t="s">
        <v>3922</v>
      </c>
      <c r="F4738" s="63" t="s">
        <v>0</v>
      </c>
    </row>
    <row r="4739" spans="1:6" x14ac:dyDescent="0.25">
      <c r="A4739" s="62">
        <v>43922</v>
      </c>
      <c r="B4739" s="62" t="s">
        <v>3789</v>
      </c>
      <c r="C4739" s="23">
        <v>-2790</v>
      </c>
      <c r="D4739" s="24" t="s">
        <v>52</v>
      </c>
      <c r="E4739" s="24" t="s">
        <v>53</v>
      </c>
      <c r="F4739" s="63" t="s">
        <v>4</v>
      </c>
    </row>
    <row r="4740" spans="1:6" x14ac:dyDescent="0.25">
      <c r="A4740" s="62">
        <v>43921</v>
      </c>
      <c r="B4740" s="62" t="s">
        <v>3954</v>
      </c>
      <c r="C4740" s="23">
        <v>56</v>
      </c>
      <c r="D4740" s="24" t="s">
        <v>167</v>
      </c>
      <c r="E4740" s="24" t="s">
        <v>32</v>
      </c>
      <c r="F4740" s="63" t="s">
        <v>5</v>
      </c>
    </row>
    <row r="4741" spans="1:6" x14ac:dyDescent="0.25">
      <c r="A4741" s="62">
        <v>43921</v>
      </c>
      <c r="B4741" s="62" t="s">
        <v>3955</v>
      </c>
      <c r="C4741" s="23">
        <v>-32717</v>
      </c>
      <c r="D4741" s="24" t="s">
        <v>46</v>
      </c>
      <c r="E4741" s="24" t="s">
        <v>3256</v>
      </c>
      <c r="F4741" s="63" t="s">
        <v>0</v>
      </c>
    </row>
    <row r="4742" spans="1:6" x14ac:dyDescent="0.25">
      <c r="A4742" s="62">
        <v>43921</v>
      </c>
      <c r="B4742" s="62" t="s">
        <v>3708</v>
      </c>
      <c r="C4742" s="23">
        <v>-2.4500000000000002</v>
      </c>
      <c r="D4742" s="24" t="s">
        <v>167</v>
      </c>
      <c r="E4742" s="24" t="s">
        <v>32</v>
      </c>
      <c r="F4742" s="63" t="s">
        <v>0</v>
      </c>
    </row>
    <row r="4743" spans="1:6" x14ac:dyDescent="0.25">
      <c r="A4743" s="62">
        <v>43921</v>
      </c>
      <c r="B4743" s="62" t="s">
        <v>3710</v>
      </c>
      <c r="C4743" s="23">
        <v>16.32</v>
      </c>
      <c r="D4743" s="24" t="s">
        <v>167</v>
      </c>
      <c r="E4743" s="24" t="s">
        <v>32</v>
      </c>
      <c r="F4743" s="63" t="s">
        <v>0</v>
      </c>
    </row>
    <row r="4744" spans="1:6" x14ac:dyDescent="0.25">
      <c r="A4744" s="62">
        <v>43921</v>
      </c>
      <c r="B4744" s="62" t="s">
        <v>3956</v>
      </c>
      <c r="C4744" s="23">
        <v>555007</v>
      </c>
      <c r="D4744" s="24" t="s">
        <v>58</v>
      </c>
      <c r="E4744" s="24" t="s">
        <v>58</v>
      </c>
      <c r="F4744" s="63" t="s">
        <v>0</v>
      </c>
    </row>
    <row r="4745" spans="1:6" x14ac:dyDescent="0.25">
      <c r="A4745" s="62">
        <v>43920</v>
      </c>
      <c r="B4745" s="62" t="s">
        <v>3957</v>
      </c>
      <c r="C4745" s="23">
        <v>-3750</v>
      </c>
      <c r="D4745" s="24" t="s">
        <v>52</v>
      </c>
      <c r="E4745" s="24" t="s">
        <v>53</v>
      </c>
      <c r="F4745" s="63" t="s">
        <v>0</v>
      </c>
    </row>
    <row r="4746" spans="1:6" x14ac:dyDescent="0.25">
      <c r="A4746" s="62">
        <v>43920</v>
      </c>
      <c r="B4746" s="62" t="s">
        <v>3958</v>
      </c>
      <c r="C4746" s="23">
        <v>-6872</v>
      </c>
      <c r="D4746" s="24" t="s">
        <v>49</v>
      </c>
      <c r="E4746" s="24" t="s">
        <v>56</v>
      </c>
      <c r="F4746" s="63" t="s">
        <v>0</v>
      </c>
    </row>
    <row r="4747" spans="1:6" x14ac:dyDescent="0.25">
      <c r="A4747" s="62">
        <v>43920</v>
      </c>
      <c r="B4747" s="62" t="s">
        <v>3959</v>
      </c>
      <c r="C4747" s="23">
        <v>-3990</v>
      </c>
      <c r="D4747" s="24" t="s">
        <v>46</v>
      </c>
      <c r="E4747" s="24" t="s">
        <v>63</v>
      </c>
      <c r="F4747" s="63" t="s">
        <v>0</v>
      </c>
    </row>
    <row r="4748" spans="1:6" x14ac:dyDescent="0.25">
      <c r="A4748" s="62">
        <v>43916</v>
      </c>
      <c r="B4748" s="62" t="s">
        <v>3789</v>
      </c>
      <c r="C4748" s="23">
        <v>-2690</v>
      </c>
      <c r="D4748" s="24" t="s">
        <v>52</v>
      </c>
      <c r="E4748" s="24" t="s">
        <v>53</v>
      </c>
      <c r="F4748" s="63" t="s">
        <v>4</v>
      </c>
    </row>
    <row r="4749" spans="1:6" x14ac:dyDescent="0.25">
      <c r="A4749" s="62">
        <v>43916</v>
      </c>
      <c r="B4749" s="62" t="s">
        <v>3960</v>
      </c>
      <c r="C4749" s="23">
        <v>-7910</v>
      </c>
      <c r="D4749" s="24" t="s">
        <v>49</v>
      </c>
      <c r="E4749" s="24" t="s">
        <v>1165</v>
      </c>
      <c r="F4749" s="63" t="s">
        <v>0</v>
      </c>
    </row>
    <row r="4750" spans="1:6" x14ac:dyDescent="0.25">
      <c r="A4750" s="62">
        <v>43916</v>
      </c>
      <c r="B4750" s="62" t="s">
        <v>3961</v>
      </c>
      <c r="C4750" s="23">
        <v>-3740</v>
      </c>
      <c r="D4750" s="24" t="s">
        <v>46</v>
      </c>
      <c r="E4750" s="24" t="s">
        <v>63</v>
      </c>
      <c r="F4750" s="63" t="s">
        <v>0</v>
      </c>
    </row>
    <row r="4751" spans="1:6" x14ac:dyDescent="0.25">
      <c r="A4751" s="62">
        <v>43914</v>
      </c>
      <c r="B4751" s="62" t="s">
        <v>3962</v>
      </c>
      <c r="C4751" s="23">
        <v>-100</v>
      </c>
      <c r="D4751" s="24" t="s">
        <v>167</v>
      </c>
      <c r="E4751" s="24" t="s">
        <v>168</v>
      </c>
      <c r="F4751" s="63" t="s">
        <v>5</v>
      </c>
    </row>
    <row r="4752" spans="1:6" x14ac:dyDescent="0.25">
      <c r="A4752" s="62">
        <v>43913</v>
      </c>
      <c r="B4752" s="62" t="s">
        <v>3963</v>
      </c>
      <c r="C4752" s="23">
        <v>-10315</v>
      </c>
      <c r="D4752" s="24" t="s">
        <v>49</v>
      </c>
      <c r="E4752" s="24" t="s">
        <v>56</v>
      </c>
      <c r="F4752" s="63" t="s">
        <v>0</v>
      </c>
    </row>
    <row r="4753" spans="1:6" x14ac:dyDescent="0.25">
      <c r="A4753" s="62">
        <v>43913</v>
      </c>
      <c r="B4753" s="62" t="s">
        <v>3964</v>
      </c>
      <c r="C4753" s="23">
        <v>-449</v>
      </c>
      <c r="D4753" s="24" t="s">
        <v>90</v>
      </c>
      <c r="E4753" s="24" t="s">
        <v>59</v>
      </c>
      <c r="F4753" s="63" t="s">
        <v>0</v>
      </c>
    </row>
    <row r="4754" spans="1:6" x14ac:dyDescent="0.25">
      <c r="A4754" s="62">
        <v>43913</v>
      </c>
      <c r="B4754" s="62" t="s">
        <v>3965</v>
      </c>
      <c r="C4754" s="23">
        <v>-2917</v>
      </c>
      <c r="D4754" s="24" t="s">
        <v>49</v>
      </c>
      <c r="E4754" s="24" t="s">
        <v>56</v>
      </c>
      <c r="F4754" s="63" t="s">
        <v>0</v>
      </c>
    </row>
    <row r="4755" spans="1:6" x14ac:dyDescent="0.25">
      <c r="A4755" s="62">
        <v>43913</v>
      </c>
      <c r="B4755" s="62" t="s">
        <v>3966</v>
      </c>
      <c r="C4755" s="23">
        <v>-1492</v>
      </c>
      <c r="D4755" s="24" t="s">
        <v>49</v>
      </c>
      <c r="E4755" s="24" t="s">
        <v>56</v>
      </c>
      <c r="F4755" s="63" t="s">
        <v>0</v>
      </c>
    </row>
    <row r="4756" spans="1:6" x14ac:dyDescent="0.25">
      <c r="A4756" s="62">
        <v>43913</v>
      </c>
      <c r="B4756" s="62" t="s">
        <v>3967</v>
      </c>
      <c r="C4756" s="23">
        <v>-1760</v>
      </c>
      <c r="D4756" s="24" t="s">
        <v>52</v>
      </c>
      <c r="E4756" s="24" t="s">
        <v>53</v>
      </c>
      <c r="F4756" s="63" t="s">
        <v>0</v>
      </c>
    </row>
    <row r="4757" spans="1:6" x14ac:dyDescent="0.25">
      <c r="A4757" s="62">
        <v>43913</v>
      </c>
      <c r="B4757" s="62" t="s">
        <v>3968</v>
      </c>
      <c r="C4757" s="23">
        <v>-2190</v>
      </c>
      <c r="D4757" s="24" t="s">
        <v>72</v>
      </c>
      <c r="E4757" s="24" t="s">
        <v>126</v>
      </c>
      <c r="F4757" s="63" t="s">
        <v>0</v>
      </c>
    </row>
    <row r="4758" spans="1:6" x14ac:dyDescent="0.25">
      <c r="A4758" s="62">
        <v>43913</v>
      </c>
      <c r="B4758" s="62" t="s">
        <v>3969</v>
      </c>
      <c r="C4758" s="23">
        <v>-3600</v>
      </c>
      <c r="D4758" s="24" t="s">
        <v>46</v>
      </c>
      <c r="E4758" s="24" t="s">
        <v>63</v>
      </c>
      <c r="F4758" s="63" t="s">
        <v>0</v>
      </c>
    </row>
    <row r="4759" spans="1:6" x14ac:dyDescent="0.25">
      <c r="A4759" s="62">
        <v>43911</v>
      </c>
      <c r="B4759" s="62" t="s">
        <v>3789</v>
      </c>
      <c r="C4759" s="23">
        <v>-4180</v>
      </c>
      <c r="D4759" s="24" t="s">
        <v>52</v>
      </c>
      <c r="E4759" s="24" t="s">
        <v>53</v>
      </c>
      <c r="F4759" s="63" t="s">
        <v>4</v>
      </c>
    </row>
    <row r="4760" spans="1:6" x14ac:dyDescent="0.25">
      <c r="A4760" s="62">
        <v>43909</v>
      </c>
      <c r="B4760" s="62" t="s">
        <v>3970</v>
      </c>
      <c r="C4760" s="23">
        <v>-6725</v>
      </c>
      <c r="D4760" s="24" t="s">
        <v>49</v>
      </c>
      <c r="E4760" s="24" t="s">
        <v>56</v>
      </c>
      <c r="F4760" s="63" t="s">
        <v>0</v>
      </c>
    </row>
    <row r="4761" spans="1:6" x14ac:dyDescent="0.25">
      <c r="A4761" s="62">
        <v>43909</v>
      </c>
      <c r="B4761" s="62" t="s">
        <v>3971</v>
      </c>
      <c r="C4761" s="23">
        <v>-5341</v>
      </c>
      <c r="D4761" s="24" t="s">
        <v>49</v>
      </c>
      <c r="E4761" s="24" t="s">
        <v>56</v>
      </c>
      <c r="F4761" s="63" t="s">
        <v>0</v>
      </c>
    </row>
    <row r="4762" spans="1:6" x14ac:dyDescent="0.25">
      <c r="A4762" s="62">
        <v>43908</v>
      </c>
      <c r="B4762" s="62" t="s">
        <v>3972</v>
      </c>
      <c r="C4762" s="23">
        <v>-2725</v>
      </c>
      <c r="D4762" s="24" t="s">
        <v>49</v>
      </c>
      <c r="E4762" s="24" t="s">
        <v>56</v>
      </c>
      <c r="F4762" s="63" t="s">
        <v>0</v>
      </c>
    </row>
    <row r="4763" spans="1:6" x14ac:dyDescent="0.25">
      <c r="A4763" s="62">
        <v>43908</v>
      </c>
      <c r="B4763" s="62" t="s">
        <v>3973</v>
      </c>
      <c r="C4763" s="23">
        <v>-1227</v>
      </c>
      <c r="D4763" s="24" t="s">
        <v>49</v>
      </c>
      <c r="E4763" s="24" t="s">
        <v>56</v>
      </c>
      <c r="F4763" s="63" t="s">
        <v>0</v>
      </c>
    </row>
    <row r="4764" spans="1:6" x14ac:dyDescent="0.25">
      <c r="A4764" s="62">
        <v>43908</v>
      </c>
      <c r="B4764" s="62" t="s">
        <v>3974</v>
      </c>
      <c r="C4764" s="23">
        <v>-3755</v>
      </c>
      <c r="D4764" s="24" t="s">
        <v>49</v>
      </c>
      <c r="E4764" s="24" t="s">
        <v>56</v>
      </c>
      <c r="F4764" s="63" t="s">
        <v>0</v>
      </c>
    </row>
    <row r="4765" spans="1:6" x14ac:dyDescent="0.25">
      <c r="A4765" s="62">
        <v>43908</v>
      </c>
      <c r="B4765" s="62" t="s">
        <v>3975</v>
      </c>
      <c r="C4765" s="23">
        <v>-1696</v>
      </c>
      <c r="D4765" s="24" t="s">
        <v>49</v>
      </c>
      <c r="E4765" s="24" t="s">
        <v>56</v>
      </c>
      <c r="F4765" s="63" t="s">
        <v>0</v>
      </c>
    </row>
    <row r="4766" spans="1:6" x14ac:dyDescent="0.25">
      <c r="A4766" s="62">
        <v>43906</v>
      </c>
      <c r="B4766" s="62" t="s">
        <v>3976</v>
      </c>
      <c r="C4766" s="23">
        <v>-22973</v>
      </c>
      <c r="D4766" s="24" t="s">
        <v>72</v>
      </c>
      <c r="E4766" s="24" t="s">
        <v>109</v>
      </c>
      <c r="F4766" s="63" t="s">
        <v>0</v>
      </c>
    </row>
    <row r="4767" spans="1:6" x14ac:dyDescent="0.25">
      <c r="A4767" s="62">
        <v>43906</v>
      </c>
      <c r="B4767" s="62" t="s">
        <v>3977</v>
      </c>
      <c r="C4767" s="23">
        <v>-16060</v>
      </c>
      <c r="D4767" s="24" t="s">
        <v>52</v>
      </c>
      <c r="E4767" s="24" t="s">
        <v>52</v>
      </c>
      <c r="F4767" s="63" t="s">
        <v>0</v>
      </c>
    </row>
    <row r="4768" spans="1:6" x14ac:dyDescent="0.25">
      <c r="A4768" s="62">
        <v>43906</v>
      </c>
      <c r="B4768" s="62" t="s">
        <v>3978</v>
      </c>
      <c r="C4768" s="23">
        <v>-79990</v>
      </c>
      <c r="D4768" s="24" t="s">
        <v>49</v>
      </c>
      <c r="E4768" s="24" t="s">
        <v>232</v>
      </c>
      <c r="F4768" s="63" t="s">
        <v>0</v>
      </c>
    </row>
    <row r="4769" spans="1:6" x14ac:dyDescent="0.25">
      <c r="A4769" s="62">
        <v>43906</v>
      </c>
      <c r="B4769" s="62" t="s">
        <v>3979</v>
      </c>
      <c r="C4769" s="23">
        <v>-3097</v>
      </c>
      <c r="D4769" s="24" t="s">
        <v>49</v>
      </c>
      <c r="E4769" s="24" t="s">
        <v>56</v>
      </c>
      <c r="F4769" s="63" t="s">
        <v>0</v>
      </c>
    </row>
    <row r="4770" spans="1:6" x14ac:dyDescent="0.25">
      <c r="A4770" s="62">
        <v>43906</v>
      </c>
      <c r="B4770" s="62" t="s">
        <v>3980</v>
      </c>
      <c r="C4770" s="23">
        <v>-4500</v>
      </c>
      <c r="D4770" s="24" t="s">
        <v>52</v>
      </c>
      <c r="E4770" s="24" t="s">
        <v>53</v>
      </c>
      <c r="F4770" s="63" t="s">
        <v>0</v>
      </c>
    </row>
    <row r="4771" spans="1:6" x14ac:dyDescent="0.25">
      <c r="A4771" s="62">
        <v>43903</v>
      </c>
      <c r="B4771" s="62" t="s">
        <v>3981</v>
      </c>
      <c r="C4771" s="23">
        <v>-2790</v>
      </c>
      <c r="D4771" s="24" t="s">
        <v>52</v>
      </c>
      <c r="E4771" s="24" t="s">
        <v>53</v>
      </c>
      <c r="F4771" s="63" t="s">
        <v>0</v>
      </c>
    </row>
    <row r="4772" spans="1:6" x14ac:dyDescent="0.25">
      <c r="A4772" s="62">
        <v>43901</v>
      </c>
      <c r="B4772" s="62" t="s">
        <v>3982</v>
      </c>
      <c r="C4772" s="23">
        <v>-3749</v>
      </c>
      <c r="D4772" s="24" t="s">
        <v>49</v>
      </c>
      <c r="E4772" s="24" t="s">
        <v>56</v>
      </c>
      <c r="F4772" s="63" t="s">
        <v>0</v>
      </c>
    </row>
    <row r="4773" spans="1:6" x14ac:dyDescent="0.25">
      <c r="A4773" s="62">
        <v>43901</v>
      </c>
      <c r="B4773" s="62" t="s">
        <v>3983</v>
      </c>
      <c r="C4773" s="23">
        <v>-3555</v>
      </c>
      <c r="D4773" s="24" t="s">
        <v>49</v>
      </c>
      <c r="E4773" s="24" t="s">
        <v>56</v>
      </c>
      <c r="F4773" s="63" t="s">
        <v>0</v>
      </c>
    </row>
    <row r="4774" spans="1:6" x14ac:dyDescent="0.25">
      <c r="A4774" s="62">
        <v>43901</v>
      </c>
      <c r="B4774" s="62" t="s">
        <v>3984</v>
      </c>
      <c r="C4774" s="23">
        <v>-20000</v>
      </c>
      <c r="D4774" s="24" t="s">
        <v>49</v>
      </c>
      <c r="E4774" s="24" t="s">
        <v>56</v>
      </c>
      <c r="F4774" s="63" t="s">
        <v>0</v>
      </c>
    </row>
    <row r="4775" spans="1:6" x14ac:dyDescent="0.25">
      <c r="A4775" s="62">
        <v>43901</v>
      </c>
      <c r="B4775" s="62" t="s">
        <v>3985</v>
      </c>
      <c r="C4775" s="23">
        <v>-1480</v>
      </c>
      <c r="D4775" s="24" t="s">
        <v>49</v>
      </c>
      <c r="E4775" s="24" t="s">
        <v>56</v>
      </c>
      <c r="F4775" s="63" t="s">
        <v>0</v>
      </c>
    </row>
    <row r="4776" spans="1:6" x14ac:dyDescent="0.25">
      <c r="A4776" s="62">
        <v>43901</v>
      </c>
      <c r="B4776" s="62" t="s">
        <v>3986</v>
      </c>
      <c r="C4776" s="23">
        <v>-1616</v>
      </c>
      <c r="D4776" s="24" t="s">
        <v>49</v>
      </c>
      <c r="E4776" s="24" t="s">
        <v>56</v>
      </c>
      <c r="F4776" s="63" t="s">
        <v>0</v>
      </c>
    </row>
    <row r="4777" spans="1:6" x14ac:dyDescent="0.25">
      <c r="A4777" s="62">
        <v>43901</v>
      </c>
      <c r="B4777" s="62" t="s">
        <v>3987</v>
      </c>
      <c r="C4777" s="23">
        <v>-872</v>
      </c>
      <c r="D4777" s="24" t="s">
        <v>49</v>
      </c>
      <c r="E4777" s="24" t="s">
        <v>56</v>
      </c>
      <c r="F4777" s="63" t="s">
        <v>0</v>
      </c>
    </row>
    <row r="4778" spans="1:6" x14ac:dyDescent="0.25">
      <c r="A4778" s="62">
        <v>43901</v>
      </c>
      <c r="B4778" s="62" t="s">
        <v>3988</v>
      </c>
      <c r="C4778" s="23">
        <v>49000</v>
      </c>
      <c r="D4778" s="24" t="s">
        <v>83</v>
      </c>
      <c r="E4778" s="24" t="s">
        <v>2151</v>
      </c>
      <c r="F4778" s="63" t="s">
        <v>0</v>
      </c>
    </row>
    <row r="4779" spans="1:6" x14ac:dyDescent="0.25">
      <c r="A4779" s="62">
        <v>43900</v>
      </c>
      <c r="B4779" s="62" t="s">
        <v>3410</v>
      </c>
      <c r="C4779" s="23">
        <v>-110000</v>
      </c>
      <c r="D4779" s="24" t="s">
        <v>46</v>
      </c>
      <c r="E4779" s="24" t="s">
        <v>3410</v>
      </c>
      <c r="F4779" s="63" t="s">
        <v>7</v>
      </c>
    </row>
    <row r="4780" spans="1:6" x14ac:dyDescent="0.25">
      <c r="A4780" s="62">
        <v>43900</v>
      </c>
      <c r="B4780" s="62" t="s">
        <v>3989</v>
      </c>
      <c r="C4780" s="23">
        <v>-1800</v>
      </c>
      <c r="D4780" s="24" t="s">
        <v>52</v>
      </c>
      <c r="E4780" s="24" t="s">
        <v>53</v>
      </c>
      <c r="F4780" s="63" t="s">
        <v>0</v>
      </c>
    </row>
    <row r="4781" spans="1:6" x14ac:dyDescent="0.25">
      <c r="A4781" s="62">
        <v>43899</v>
      </c>
      <c r="B4781" s="62" t="s">
        <v>3990</v>
      </c>
      <c r="C4781" s="23">
        <v>-870</v>
      </c>
      <c r="D4781" s="24" t="s">
        <v>46</v>
      </c>
      <c r="E4781" s="24" t="s">
        <v>47</v>
      </c>
      <c r="F4781" s="63" t="s">
        <v>0</v>
      </c>
    </row>
    <row r="4782" spans="1:6" x14ac:dyDescent="0.25">
      <c r="A4782" s="62">
        <v>43899</v>
      </c>
      <c r="B4782" s="62" t="s">
        <v>3991</v>
      </c>
      <c r="C4782" s="23">
        <v>-3670</v>
      </c>
      <c r="D4782" s="24" t="s">
        <v>46</v>
      </c>
      <c r="E4782" s="24" t="s">
        <v>47</v>
      </c>
      <c r="F4782" s="63" t="s">
        <v>0</v>
      </c>
    </row>
    <row r="4783" spans="1:6" x14ac:dyDescent="0.25">
      <c r="A4783" s="62">
        <v>43899</v>
      </c>
      <c r="B4783" s="62" t="s">
        <v>3992</v>
      </c>
      <c r="C4783" s="23">
        <v>-1668.2</v>
      </c>
      <c r="D4783" s="24" t="s">
        <v>58</v>
      </c>
      <c r="E4783" s="24" t="s">
        <v>3922</v>
      </c>
      <c r="F4783" s="63" t="s">
        <v>0</v>
      </c>
    </row>
    <row r="4784" spans="1:6" x14ac:dyDescent="0.25">
      <c r="A4784" s="62">
        <v>43899</v>
      </c>
      <c r="B4784" s="62" t="s">
        <v>3993</v>
      </c>
      <c r="C4784" s="23">
        <v>-4729.59</v>
      </c>
      <c r="D4784" s="24" t="s">
        <v>58</v>
      </c>
      <c r="E4784" s="24" t="s">
        <v>3922</v>
      </c>
      <c r="F4784" s="63" t="s">
        <v>0</v>
      </c>
    </row>
    <row r="4785" spans="1:6" x14ac:dyDescent="0.25">
      <c r="A4785" s="62">
        <v>43896</v>
      </c>
      <c r="B4785" s="62" t="s">
        <v>3994</v>
      </c>
      <c r="C4785" s="23">
        <v>-774.04</v>
      </c>
      <c r="D4785" s="24" t="s">
        <v>58</v>
      </c>
      <c r="E4785" s="24" t="s">
        <v>3922</v>
      </c>
      <c r="F4785" s="63" t="s">
        <v>0</v>
      </c>
    </row>
    <row r="4786" spans="1:6" x14ac:dyDescent="0.25">
      <c r="A4786" s="62">
        <v>43896</v>
      </c>
      <c r="B4786" s="62" t="s">
        <v>3995</v>
      </c>
      <c r="C4786" s="23">
        <v>-2258.12</v>
      </c>
      <c r="D4786" s="24" t="s">
        <v>58</v>
      </c>
      <c r="E4786" s="24" t="s">
        <v>3922</v>
      </c>
      <c r="F4786" s="63" t="s">
        <v>0</v>
      </c>
    </row>
    <row r="4787" spans="1:6" x14ac:dyDescent="0.25">
      <c r="A4787" s="62">
        <v>43896</v>
      </c>
      <c r="B4787" s="62" t="s">
        <v>3996</v>
      </c>
      <c r="C4787" s="23">
        <v>-3818.39</v>
      </c>
      <c r="D4787" s="24" t="s">
        <v>58</v>
      </c>
      <c r="E4787" s="24" t="s">
        <v>3922</v>
      </c>
      <c r="F4787" s="63" t="s">
        <v>0</v>
      </c>
    </row>
    <row r="4788" spans="1:6" x14ac:dyDescent="0.25">
      <c r="A4788" s="62">
        <v>43895</v>
      </c>
      <c r="B4788" s="62" t="s">
        <v>3799</v>
      </c>
      <c r="C4788" s="23">
        <v>15000</v>
      </c>
      <c r="D4788" s="24" t="s">
        <v>167</v>
      </c>
      <c r="E4788" s="24" t="s">
        <v>2200</v>
      </c>
      <c r="F4788" s="63" t="s">
        <v>2</v>
      </c>
    </row>
    <row r="4789" spans="1:6" x14ac:dyDescent="0.25">
      <c r="A4789" s="62">
        <v>43895</v>
      </c>
      <c r="B4789" s="62" t="s">
        <v>3799</v>
      </c>
      <c r="C4789" s="23">
        <v>15000</v>
      </c>
      <c r="D4789" s="24" t="s">
        <v>167</v>
      </c>
      <c r="E4789" s="24" t="s">
        <v>2200</v>
      </c>
      <c r="F4789" s="63" t="s">
        <v>2</v>
      </c>
    </row>
    <row r="4790" spans="1:6" x14ac:dyDescent="0.25">
      <c r="A4790" s="62">
        <v>43895</v>
      </c>
      <c r="B4790" s="62" t="s">
        <v>3799</v>
      </c>
      <c r="C4790" s="23">
        <v>-15000</v>
      </c>
      <c r="D4790" s="24" t="s">
        <v>167</v>
      </c>
      <c r="E4790" s="24" t="s">
        <v>2200</v>
      </c>
      <c r="F4790" s="63" t="s">
        <v>0</v>
      </c>
    </row>
    <row r="4791" spans="1:6" x14ac:dyDescent="0.25">
      <c r="A4791" s="62">
        <v>43895</v>
      </c>
      <c r="B4791" s="62" t="s">
        <v>3799</v>
      </c>
      <c r="C4791" s="23">
        <v>-15000</v>
      </c>
      <c r="D4791" s="24" t="s">
        <v>167</v>
      </c>
      <c r="E4791" s="24" t="s">
        <v>2200</v>
      </c>
      <c r="F4791" s="63" t="s">
        <v>0</v>
      </c>
    </row>
    <row r="4792" spans="1:6" x14ac:dyDescent="0.25">
      <c r="A4792" s="62">
        <v>43894</v>
      </c>
      <c r="B4792" s="62" t="s">
        <v>3997</v>
      </c>
      <c r="C4792" s="23">
        <v>-3564.73</v>
      </c>
      <c r="D4792" s="24" t="s">
        <v>58</v>
      </c>
      <c r="E4792" s="24" t="s">
        <v>3922</v>
      </c>
      <c r="F4792" s="63" t="s">
        <v>0</v>
      </c>
    </row>
    <row r="4793" spans="1:6" x14ac:dyDescent="0.25">
      <c r="A4793" s="62">
        <v>43893</v>
      </c>
      <c r="B4793" s="62" t="s">
        <v>309</v>
      </c>
      <c r="C4793" s="23">
        <v>-2.38</v>
      </c>
      <c r="D4793" s="24" t="s">
        <v>167</v>
      </c>
      <c r="E4793" s="24" t="s">
        <v>32</v>
      </c>
      <c r="F4793" s="63" t="s">
        <v>0</v>
      </c>
    </row>
    <row r="4794" spans="1:6" x14ac:dyDescent="0.25">
      <c r="A4794" s="62">
        <v>43893</v>
      </c>
      <c r="B4794" s="62" t="s">
        <v>3998</v>
      </c>
      <c r="C4794" s="23">
        <v>-24228</v>
      </c>
      <c r="D4794" s="24" t="s">
        <v>72</v>
      </c>
      <c r="E4794" s="24" t="s">
        <v>109</v>
      </c>
      <c r="F4794" s="63" t="s">
        <v>0</v>
      </c>
    </row>
    <row r="4795" spans="1:6" x14ac:dyDescent="0.25">
      <c r="A4795" s="62">
        <v>43893</v>
      </c>
      <c r="B4795" s="62" t="s">
        <v>3999</v>
      </c>
      <c r="C4795" s="23">
        <v>-5500.21</v>
      </c>
      <c r="D4795" s="24" t="s">
        <v>58</v>
      </c>
      <c r="E4795" s="24" t="s">
        <v>3922</v>
      </c>
      <c r="F4795" s="63" t="s">
        <v>0</v>
      </c>
    </row>
    <row r="4796" spans="1:6" x14ac:dyDescent="0.25">
      <c r="A4796" s="62">
        <v>43893</v>
      </c>
      <c r="B4796" s="62" t="s">
        <v>4000</v>
      </c>
      <c r="C4796" s="23">
        <v>-2825.51</v>
      </c>
      <c r="D4796" s="24" t="s">
        <v>58</v>
      </c>
      <c r="E4796" s="24" t="s">
        <v>3922</v>
      </c>
      <c r="F4796" s="63" t="s">
        <v>0</v>
      </c>
    </row>
    <row r="4797" spans="1:6" x14ac:dyDescent="0.25">
      <c r="A4797" s="62">
        <v>43893</v>
      </c>
      <c r="B4797" s="62" t="s">
        <v>32</v>
      </c>
      <c r="C4797" s="23">
        <v>15.89</v>
      </c>
      <c r="D4797" s="24" t="s">
        <v>167</v>
      </c>
      <c r="E4797" s="24" t="s">
        <v>32</v>
      </c>
      <c r="F4797" s="63" t="s">
        <v>0</v>
      </c>
    </row>
    <row r="4798" spans="1:6" x14ac:dyDescent="0.25">
      <c r="A4798" s="62">
        <v>43892</v>
      </c>
      <c r="B4798" s="62" t="s">
        <v>4001</v>
      </c>
      <c r="C4798" s="23">
        <v>50315</v>
      </c>
      <c r="D4798" s="24" t="s">
        <v>58</v>
      </c>
      <c r="E4798" s="24" t="s">
        <v>58</v>
      </c>
      <c r="F4798" s="63" t="s">
        <v>4</v>
      </c>
    </row>
    <row r="4799" spans="1:6" x14ac:dyDescent="0.25">
      <c r="A4799" s="62">
        <v>43892</v>
      </c>
      <c r="B4799" s="62" t="s">
        <v>4002</v>
      </c>
      <c r="C4799" s="23">
        <v>-7746</v>
      </c>
      <c r="D4799" s="24" t="s">
        <v>90</v>
      </c>
      <c r="E4799" s="24" t="s">
        <v>59</v>
      </c>
      <c r="F4799" s="63" t="s">
        <v>0</v>
      </c>
    </row>
    <row r="4800" spans="1:6" x14ac:dyDescent="0.25">
      <c r="A4800" s="62">
        <v>43892</v>
      </c>
      <c r="B4800" s="62" t="s">
        <v>4003</v>
      </c>
      <c r="C4800" s="23">
        <v>-600</v>
      </c>
      <c r="D4800" s="24" t="s">
        <v>206</v>
      </c>
      <c r="E4800" s="24" t="s">
        <v>206</v>
      </c>
      <c r="F4800" s="63" t="s">
        <v>0</v>
      </c>
    </row>
    <row r="4801" spans="1:6" x14ac:dyDescent="0.25">
      <c r="A4801" s="62">
        <v>43892</v>
      </c>
      <c r="B4801" s="62" t="s">
        <v>4004</v>
      </c>
      <c r="C4801" s="23">
        <v>-1999</v>
      </c>
      <c r="D4801" s="24" t="s">
        <v>72</v>
      </c>
      <c r="E4801" s="24" t="s">
        <v>126</v>
      </c>
      <c r="F4801" s="63" t="s">
        <v>0</v>
      </c>
    </row>
    <row r="4802" spans="1:6" x14ac:dyDescent="0.25">
      <c r="A4802" s="62">
        <v>43892</v>
      </c>
      <c r="B4802" s="62" t="s">
        <v>4005</v>
      </c>
      <c r="C4802" s="23">
        <v>-1181</v>
      </c>
      <c r="D4802" s="24" t="s">
        <v>52</v>
      </c>
      <c r="E4802" s="24" t="s">
        <v>4006</v>
      </c>
      <c r="F4802" s="63" t="s">
        <v>0</v>
      </c>
    </row>
    <row r="4803" spans="1:6" x14ac:dyDescent="0.25">
      <c r="A4803" s="62">
        <v>43892</v>
      </c>
      <c r="B4803" s="62" t="s">
        <v>4007</v>
      </c>
      <c r="C4803" s="23">
        <v>-282</v>
      </c>
      <c r="D4803" s="24" t="s">
        <v>52</v>
      </c>
      <c r="E4803" s="24" t="s">
        <v>4006</v>
      </c>
      <c r="F4803" s="63" t="s">
        <v>0</v>
      </c>
    </row>
    <row r="4804" spans="1:6" x14ac:dyDescent="0.25">
      <c r="A4804" s="62">
        <v>43892</v>
      </c>
      <c r="B4804" s="62" t="s">
        <v>4008</v>
      </c>
      <c r="C4804" s="23">
        <v>-664</v>
      </c>
      <c r="D4804" s="24" t="s">
        <v>49</v>
      </c>
      <c r="E4804" s="24" t="s">
        <v>56</v>
      </c>
      <c r="F4804" s="63" t="s">
        <v>0</v>
      </c>
    </row>
    <row r="4805" spans="1:6" x14ac:dyDescent="0.25">
      <c r="A4805" s="62">
        <v>43892</v>
      </c>
      <c r="B4805" s="62" t="s">
        <v>4009</v>
      </c>
      <c r="C4805" s="23">
        <v>-2800</v>
      </c>
      <c r="D4805" s="24" t="s">
        <v>83</v>
      </c>
      <c r="E4805" s="24" t="s">
        <v>660</v>
      </c>
      <c r="F4805" s="63" t="s">
        <v>0</v>
      </c>
    </row>
    <row r="4806" spans="1:6" x14ac:dyDescent="0.25">
      <c r="A4806" s="62">
        <v>43892</v>
      </c>
      <c r="B4806" s="62" t="s">
        <v>4010</v>
      </c>
      <c r="C4806" s="23">
        <v>-9190</v>
      </c>
      <c r="D4806" s="24" t="s">
        <v>49</v>
      </c>
      <c r="E4806" s="24" t="s">
        <v>56</v>
      </c>
      <c r="F4806" s="63" t="s">
        <v>0</v>
      </c>
    </row>
    <row r="4807" spans="1:6" x14ac:dyDescent="0.25">
      <c r="A4807" s="62">
        <v>43892</v>
      </c>
      <c r="B4807" s="62" t="s">
        <v>4011</v>
      </c>
      <c r="C4807" s="23">
        <v>-1898</v>
      </c>
      <c r="D4807" s="24" t="s">
        <v>49</v>
      </c>
      <c r="E4807" s="24" t="s">
        <v>56</v>
      </c>
      <c r="F4807" s="63" t="s">
        <v>0</v>
      </c>
    </row>
    <row r="4808" spans="1:6" x14ac:dyDescent="0.25">
      <c r="A4808" s="62">
        <v>43892</v>
      </c>
      <c r="B4808" s="62" t="s">
        <v>4012</v>
      </c>
      <c r="C4808" s="23">
        <v>-3990</v>
      </c>
      <c r="D4808" s="24" t="s">
        <v>46</v>
      </c>
      <c r="E4808" s="24" t="s">
        <v>63</v>
      </c>
      <c r="F4808" s="63" t="s">
        <v>0</v>
      </c>
    </row>
    <row r="4809" spans="1:6" x14ac:dyDescent="0.25">
      <c r="A4809" s="62">
        <v>43889</v>
      </c>
      <c r="B4809" s="62" t="s">
        <v>4013</v>
      </c>
      <c r="C4809" s="23">
        <v>-2011</v>
      </c>
      <c r="D4809" s="24" t="s">
        <v>49</v>
      </c>
      <c r="E4809" s="24" t="s">
        <v>56</v>
      </c>
      <c r="F4809" s="63" t="s">
        <v>0</v>
      </c>
    </row>
    <row r="4810" spans="1:6" x14ac:dyDescent="0.25">
      <c r="A4810" s="62">
        <v>43889</v>
      </c>
      <c r="B4810" s="62" t="s">
        <v>4014</v>
      </c>
      <c r="C4810" s="23">
        <v>-2137</v>
      </c>
      <c r="D4810" s="24" t="s">
        <v>49</v>
      </c>
      <c r="E4810" s="24" t="s">
        <v>56</v>
      </c>
      <c r="F4810" s="63" t="s">
        <v>0</v>
      </c>
    </row>
    <row r="4811" spans="1:6" x14ac:dyDescent="0.25">
      <c r="A4811" s="62">
        <v>43889</v>
      </c>
      <c r="B4811" s="62" t="s">
        <v>4015</v>
      </c>
      <c r="C4811" s="23">
        <v>-69</v>
      </c>
      <c r="D4811" s="24" t="s">
        <v>49</v>
      </c>
      <c r="E4811" s="24" t="s">
        <v>56</v>
      </c>
      <c r="F4811" s="63" t="s">
        <v>0</v>
      </c>
    </row>
    <row r="4812" spans="1:6" x14ac:dyDescent="0.25">
      <c r="A4812" s="62">
        <v>43889</v>
      </c>
      <c r="B4812" s="62" t="s">
        <v>4016</v>
      </c>
      <c r="C4812" s="23">
        <v>538650</v>
      </c>
      <c r="D4812" s="24" t="s">
        <v>58</v>
      </c>
      <c r="E4812" s="24" t="s">
        <v>58</v>
      </c>
      <c r="F4812" s="63" t="s">
        <v>0</v>
      </c>
    </row>
    <row r="4813" spans="1:6" x14ac:dyDescent="0.25">
      <c r="A4813" s="62">
        <v>43888</v>
      </c>
      <c r="B4813" s="62" t="s">
        <v>4017</v>
      </c>
      <c r="C4813" s="23">
        <v>-3345</v>
      </c>
      <c r="D4813" s="24" t="s">
        <v>49</v>
      </c>
      <c r="E4813" s="24" t="s">
        <v>164</v>
      </c>
      <c r="F4813" s="63" t="s">
        <v>0</v>
      </c>
    </row>
    <row r="4814" spans="1:6" x14ac:dyDescent="0.25">
      <c r="A4814" s="62">
        <v>43888</v>
      </c>
      <c r="B4814" s="62" t="s">
        <v>4018</v>
      </c>
      <c r="C4814" s="23">
        <v>-1611</v>
      </c>
      <c r="D4814" s="24" t="s">
        <v>52</v>
      </c>
      <c r="E4814" s="24" t="s">
        <v>53</v>
      </c>
      <c r="F4814" s="63" t="s">
        <v>0</v>
      </c>
    </row>
    <row r="4815" spans="1:6" x14ac:dyDescent="0.25">
      <c r="A4815" s="62">
        <v>43888</v>
      </c>
      <c r="B4815" s="62" t="s">
        <v>4019</v>
      </c>
      <c r="C4815" s="23">
        <v>-258</v>
      </c>
      <c r="D4815" s="24" t="s">
        <v>49</v>
      </c>
      <c r="E4815" s="24" t="s">
        <v>56</v>
      </c>
      <c r="F4815" s="63" t="s">
        <v>0</v>
      </c>
    </row>
    <row r="4816" spans="1:6" x14ac:dyDescent="0.25">
      <c r="A4816" s="62">
        <v>43888</v>
      </c>
      <c r="B4816" s="62" t="s">
        <v>4020</v>
      </c>
      <c r="C4816" s="23">
        <v>-405</v>
      </c>
      <c r="D4816" s="24" t="s">
        <v>49</v>
      </c>
      <c r="E4816" s="24" t="s">
        <v>67</v>
      </c>
      <c r="F4816" s="63" t="s">
        <v>0</v>
      </c>
    </row>
    <row r="4817" spans="1:6" x14ac:dyDescent="0.25">
      <c r="A4817" s="62">
        <v>43887</v>
      </c>
      <c r="B4817" s="62" t="s">
        <v>4021</v>
      </c>
      <c r="C4817" s="23">
        <v>-278</v>
      </c>
      <c r="D4817" s="24" t="s">
        <v>49</v>
      </c>
      <c r="E4817" s="24" t="s">
        <v>56</v>
      </c>
      <c r="F4817" s="63" t="s">
        <v>0</v>
      </c>
    </row>
    <row r="4818" spans="1:6" x14ac:dyDescent="0.25">
      <c r="A4818" s="62">
        <v>43887</v>
      </c>
      <c r="B4818" s="62" t="s">
        <v>4022</v>
      </c>
      <c r="C4818" s="23">
        <v>-7008</v>
      </c>
      <c r="D4818" s="24" t="s">
        <v>49</v>
      </c>
      <c r="E4818" s="24" t="s">
        <v>1165</v>
      </c>
      <c r="F4818" s="63" t="s">
        <v>0</v>
      </c>
    </row>
    <row r="4819" spans="1:6" x14ac:dyDescent="0.25">
      <c r="A4819" s="62">
        <v>43886</v>
      </c>
      <c r="B4819" s="62" t="s">
        <v>3961</v>
      </c>
      <c r="C4819" s="23">
        <v>-3740</v>
      </c>
      <c r="D4819" s="24" t="s">
        <v>46</v>
      </c>
      <c r="E4819" s="24" t="s">
        <v>63</v>
      </c>
      <c r="F4819" s="63" t="s">
        <v>0</v>
      </c>
    </row>
    <row r="4820" spans="1:6" x14ac:dyDescent="0.25">
      <c r="A4820" s="62">
        <v>43886</v>
      </c>
      <c r="B4820" s="62" t="s">
        <v>4023</v>
      </c>
      <c r="C4820" s="23">
        <v>-30717</v>
      </c>
      <c r="D4820" s="24" t="s">
        <v>46</v>
      </c>
      <c r="E4820" s="24" t="s">
        <v>3256</v>
      </c>
      <c r="F4820" s="63" t="s">
        <v>0</v>
      </c>
    </row>
    <row r="4821" spans="1:6" x14ac:dyDescent="0.25">
      <c r="A4821" s="62">
        <v>43885</v>
      </c>
      <c r="B4821" s="62" t="s">
        <v>4024</v>
      </c>
      <c r="C4821" s="23">
        <v>-1099</v>
      </c>
      <c r="D4821" s="24" t="s">
        <v>49</v>
      </c>
      <c r="E4821" s="24" t="s">
        <v>56</v>
      </c>
      <c r="F4821" s="63" t="s">
        <v>0</v>
      </c>
    </row>
    <row r="4822" spans="1:6" x14ac:dyDescent="0.25">
      <c r="A4822" s="62">
        <v>43885</v>
      </c>
      <c r="B4822" s="62" t="s">
        <v>4025</v>
      </c>
      <c r="C4822" s="23">
        <v>-1128</v>
      </c>
      <c r="D4822" s="24" t="s">
        <v>52</v>
      </c>
      <c r="E4822" s="24" t="s">
        <v>4006</v>
      </c>
      <c r="F4822" s="63" t="s">
        <v>0</v>
      </c>
    </row>
    <row r="4823" spans="1:6" x14ac:dyDescent="0.25">
      <c r="A4823" s="62">
        <v>43885</v>
      </c>
      <c r="B4823" s="62" t="s">
        <v>4026</v>
      </c>
      <c r="C4823" s="23">
        <v>-304</v>
      </c>
      <c r="D4823" s="24" t="s">
        <v>52</v>
      </c>
      <c r="E4823" s="24" t="s">
        <v>4006</v>
      </c>
      <c r="F4823" s="63" t="s">
        <v>0</v>
      </c>
    </row>
    <row r="4824" spans="1:6" x14ac:dyDescent="0.25">
      <c r="A4824" s="62">
        <v>43885</v>
      </c>
      <c r="B4824" s="62" t="s">
        <v>4027</v>
      </c>
      <c r="C4824" s="23">
        <v>-2550</v>
      </c>
      <c r="D4824" s="24" t="s">
        <v>52</v>
      </c>
      <c r="E4824" s="24" t="s">
        <v>53</v>
      </c>
      <c r="F4824" s="63" t="s">
        <v>0</v>
      </c>
    </row>
    <row r="4825" spans="1:6" x14ac:dyDescent="0.25">
      <c r="A4825" s="62">
        <v>43885</v>
      </c>
      <c r="B4825" s="62" t="s">
        <v>4028</v>
      </c>
      <c r="C4825" s="23">
        <v>-938</v>
      </c>
      <c r="D4825" s="24" t="s">
        <v>49</v>
      </c>
      <c r="E4825" s="24" t="s">
        <v>56</v>
      </c>
      <c r="F4825" s="63" t="s">
        <v>0</v>
      </c>
    </row>
    <row r="4826" spans="1:6" x14ac:dyDescent="0.25">
      <c r="A4826" s="62">
        <v>43885</v>
      </c>
      <c r="B4826" s="62" t="s">
        <v>4029</v>
      </c>
      <c r="C4826" s="23">
        <v>-1722</v>
      </c>
      <c r="D4826" s="24" t="s">
        <v>49</v>
      </c>
      <c r="E4826" s="24" t="s">
        <v>56</v>
      </c>
      <c r="F4826" s="63" t="s">
        <v>0</v>
      </c>
    </row>
    <row r="4827" spans="1:6" x14ac:dyDescent="0.25">
      <c r="A4827" s="62">
        <v>43881</v>
      </c>
      <c r="B4827" s="62" t="s">
        <v>4030</v>
      </c>
      <c r="C4827" s="23">
        <v>-740</v>
      </c>
      <c r="D4827" s="24" t="s">
        <v>52</v>
      </c>
      <c r="E4827" s="24" t="s">
        <v>4006</v>
      </c>
      <c r="F4827" s="63" t="s">
        <v>0</v>
      </c>
    </row>
    <row r="4828" spans="1:6" x14ac:dyDescent="0.25">
      <c r="A4828" s="62">
        <v>43881</v>
      </c>
      <c r="B4828" s="62" t="s">
        <v>4031</v>
      </c>
      <c r="C4828" s="23">
        <v>-520</v>
      </c>
      <c r="D4828" s="24" t="s">
        <v>52</v>
      </c>
      <c r="E4828" s="24" t="s">
        <v>4006</v>
      </c>
      <c r="F4828" s="63" t="s">
        <v>0</v>
      </c>
    </row>
    <row r="4829" spans="1:6" x14ac:dyDescent="0.25">
      <c r="A4829" s="62">
        <v>43881</v>
      </c>
      <c r="B4829" s="62" t="s">
        <v>4032</v>
      </c>
      <c r="C4829" s="23">
        <v>-1517</v>
      </c>
      <c r="D4829" s="24" t="s">
        <v>49</v>
      </c>
      <c r="E4829" s="24" t="s">
        <v>56</v>
      </c>
      <c r="F4829" s="63" t="s">
        <v>0</v>
      </c>
    </row>
    <row r="4830" spans="1:6" x14ac:dyDescent="0.25">
      <c r="A4830" s="62">
        <v>43881</v>
      </c>
      <c r="B4830" s="62" t="s">
        <v>4033</v>
      </c>
      <c r="C4830" s="23">
        <v>-929</v>
      </c>
      <c r="D4830" s="24" t="s">
        <v>49</v>
      </c>
      <c r="E4830" s="24" t="s">
        <v>56</v>
      </c>
      <c r="F4830" s="63" t="s">
        <v>0</v>
      </c>
    </row>
    <row r="4831" spans="1:6" x14ac:dyDescent="0.25">
      <c r="A4831" s="62">
        <v>43880</v>
      </c>
      <c r="B4831" s="62" t="s">
        <v>4034</v>
      </c>
      <c r="C4831" s="23">
        <v>-100</v>
      </c>
      <c r="D4831" s="24" t="s">
        <v>167</v>
      </c>
      <c r="E4831" s="24" t="s">
        <v>168</v>
      </c>
      <c r="F4831" s="63" t="s">
        <v>5</v>
      </c>
    </row>
    <row r="4832" spans="1:6" x14ac:dyDescent="0.25">
      <c r="A4832" s="62">
        <v>43880</v>
      </c>
      <c r="B4832" s="62" t="s">
        <v>4035</v>
      </c>
      <c r="C4832" s="23">
        <v>-26688</v>
      </c>
      <c r="D4832" s="24" t="s">
        <v>72</v>
      </c>
      <c r="E4832" s="24" t="s">
        <v>109</v>
      </c>
      <c r="F4832" s="63" t="s">
        <v>0</v>
      </c>
    </row>
    <row r="4833" spans="1:6" x14ac:dyDescent="0.25">
      <c r="A4833" s="62">
        <v>43880</v>
      </c>
      <c r="B4833" s="62" t="s">
        <v>4036</v>
      </c>
      <c r="C4833" s="23">
        <v>-525</v>
      </c>
      <c r="D4833" s="24" t="s">
        <v>49</v>
      </c>
      <c r="E4833" s="24" t="s">
        <v>56</v>
      </c>
      <c r="F4833" s="63" t="s">
        <v>0</v>
      </c>
    </row>
    <row r="4834" spans="1:6" x14ac:dyDescent="0.25">
      <c r="A4834" s="62">
        <v>43879</v>
      </c>
      <c r="B4834" s="62" t="s">
        <v>4037</v>
      </c>
      <c r="C4834" s="23">
        <v>-4683</v>
      </c>
      <c r="D4834" s="24" t="s">
        <v>49</v>
      </c>
      <c r="E4834" s="24" t="s">
        <v>56</v>
      </c>
      <c r="F4834" s="63" t="s">
        <v>0</v>
      </c>
    </row>
    <row r="4835" spans="1:6" x14ac:dyDescent="0.25">
      <c r="A4835" s="62">
        <v>43879</v>
      </c>
      <c r="B4835" s="62" t="s">
        <v>4038</v>
      </c>
      <c r="C4835" s="23">
        <v>-350000</v>
      </c>
      <c r="D4835" s="24" t="s">
        <v>206</v>
      </c>
      <c r="E4835" s="24" t="s">
        <v>234</v>
      </c>
      <c r="F4835" s="63" t="s">
        <v>0</v>
      </c>
    </row>
    <row r="4836" spans="1:6" x14ac:dyDescent="0.25">
      <c r="A4836" s="62">
        <v>43878</v>
      </c>
      <c r="B4836" s="62" t="s">
        <v>4039</v>
      </c>
      <c r="C4836" s="23">
        <v>-41478</v>
      </c>
      <c r="D4836" s="24" t="s">
        <v>83</v>
      </c>
      <c r="E4836" s="24" t="s">
        <v>2151</v>
      </c>
      <c r="F4836" s="63" t="s">
        <v>4</v>
      </c>
    </row>
    <row r="4837" spans="1:6" x14ac:dyDescent="0.25">
      <c r="A4837" s="62">
        <v>43878</v>
      </c>
      <c r="B4837" s="62" t="s">
        <v>4040</v>
      </c>
      <c r="C4837" s="23">
        <v>-11235</v>
      </c>
      <c r="D4837" s="24" t="s">
        <v>83</v>
      </c>
      <c r="E4837" s="24" t="s">
        <v>84</v>
      </c>
      <c r="F4837" s="63" t="s">
        <v>0</v>
      </c>
    </row>
    <row r="4838" spans="1:6" x14ac:dyDescent="0.25">
      <c r="A4838" s="62">
        <v>43878</v>
      </c>
      <c r="B4838" s="62" t="s">
        <v>4041</v>
      </c>
      <c r="C4838" s="23">
        <v>-1610</v>
      </c>
      <c r="D4838" s="24" t="s">
        <v>52</v>
      </c>
      <c r="E4838" s="24" t="s">
        <v>53</v>
      </c>
      <c r="F4838" s="63" t="s">
        <v>0</v>
      </c>
    </row>
    <row r="4839" spans="1:6" x14ac:dyDescent="0.25">
      <c r="A4839" s="62">
        <v>43878</v>
      </c>
      <c r="B4839" s="62" t="s">
        <v>4042</v>
      </c>
      <c r="C4839" s="23">
        <v>-454</v>
      </c>
      <c r="D4839" s="24" t="s">
        <v>49</v>
      </c>
      <c r="E4839" s="24" t="s">
        <v>56</v>
      </c>
      <c r="F4839" s="63" t="s">
        <v>0</v>
      </c>
    </row>
    <row r="4840" spans="1:6" x14ac:dyDescent="0.25">
      <c r="A4840" s="62">
        <v>43875</v>
      </c>
      <c r="B4840" s="62" t="s">
        <v>4043</v>
      </c>
      <c r="C4840" s="23">
        <v>-42430</v>
      </c>
      <c r="D4840" s="24" t="s">
        <v>83</v>
      </c>
      <c r="E4840" s="24" t="s">
        <v>2151</v>
      </c>
      <c r="F4840" s="63" t="s">
        <v>0</v>
      </c>
    </row>
    <row r="4841" spans="1:6" x14ac:dyDescent="0.25">
      <c r="A4841" s="62">
        <v>43875</v>
      </c>
      <c r="B4841" s="62" t="s">
        <v>4044</v>
      </c>
      <c r="C4841" s="23">
        <v>-841</v>
      </c>
      <c r="D4841" s="24" t="s">
        <v>49</v>
      </c>
      <c r="E4841" s="24" t="s">
        <v>56</v>
      </c>
      <c r="F4841" s="63" t="s">
        <v>0</v>
      </c>
    </row>
    <row r="4842" spans="1:6" x14ac:dyDescent="0.25">
      <c r="A4842" s="62">
        <v>43875</v>
      </c>
      <c r="B4842" s="62" t="s">
        <v>4045</v>
      </c>
      <c r="C4842" s="23">
        <v>-307</v>
      </c>
      <c r="D4842" s="24" t="s">
        <v>49</v>
      </c>
      <c r="E4842" s="24" t="s">
        <v>56</v>
      </c>
      <c r="F4842" s="63" t="s">
        <v>0</v>
      </c>
    </row>
    <row r="4843" spans="1:6" x14ac:dyDescent="0.25">
      <c r="A4843" s="62">
        <v>43875</v>
      </c>
      <c r="B4843" s="62" t="s">
        <v>4046</v>
      </c>
      <c r="C4843" s="23">
        <v>-36297.72</v>
      </c>
      <c r="D4843" s="24" t="s">
        <v>83</v>
      </c>
      <c r="E4843" s="24" t="s">
        <v>2151</v>
      </c>
      <c r="F4843" s="63" t="s">
        <v>0</v>
      </c>
    </row>
    <row r="4844" spans="1:6" x14ac:dyDescent="0.25">
      <c r="A4844" s="62">
        <v>43874</v>
      </c>
      <c r="B4844" s="62" t="s">
        <v>4047</v>
      </c>
      <c r="C4844" s="23">
        <v>3500</v>
      </c>
      <c r="D4844" s="24" t="s">
        <v>58</v>
      </c>
      <c r="E4844" s="24" t="s">
        <v>58</v>
      </c>
      <c r="F4844" s="63" t="s">
        <v>0</v>
      </c>
    </row>
    <row r="4845" spans="1:6" x14ac:dyDescent="0.25">
      <c r="A4845" s="62">
        <v>43873</v>
      </c>
      <c r="B4845" s="62" t="s">
        <v>4048</v>
      </c>
      <c r="C4845" s="23">
        <v>-2960</v>
      </c>
      <c r="D4845" s="24" t="s">
        <v>52</v>
      </c>
      <c r="E4845" s="24" t="s">
        <v>134</v>
      </c>
      <c r="F4845" s="63" t="s">
        <v>0</v>
      </c>
    </row>
    <row r="4846" spans="1:6" x14ac:dyDescent="0.25">
      <c r="A4846" s="62">
        <v>43873</v>
      </c>
      <c r="B4846" s="62" t="s">
        <v>4049</v>
      </c>
      <c r="C4846" s="23">
        <v>-926</v>
      </c>
      <c r="D4846" s="24" t="s">
        <v>49</v>
      </c>
      <c r="E4846" s="24" t="s">
        <v>56</v>
      </c>
      <c r="F4846" s="63" t="s">
        <v>0</v>
      </c>
    </row>
    <row r="4847" spans="1:6" x14ac:dyDescent="0.25">
      <c r="A4847" s="62">
        <v>43873</v>
      </c>
      <c r="B4847" s="62" t="s">
        <v>4050</v>
      </c>
      <c r="C4847" s="23">
        <v>-425</v>
      </c>
      <c r="D4847" s="24" t="s">
        <v>49</v>
      </c>
      <c r="E4847" s="24" t="s">
        <v>56</v>
      </c>
      <c r="F4847" s="63" t="s">
        <v>0</v>
      </c>
    </row>
    <row r="4848" spans="1:6" x14ac:dyDescent="0.25">
      <c r="A4848" s="62">
        <v>43873</v>
      </c>
      <c r="B4848" s="62" t="s">
        <v>4051</v>
      </c>
      <c r="C4848" s="23">
        <v>-3267</v>
      </c>
      <c r="D4848" s="24" t="s">
        <v>49</v>
      </c>
      <c r="E4848" s="24" t="s">
        <v>56</v>
      </c>
      <c r="F4848" s="63" t="s">
        <v>0</v>
      </c>
    </row>
    <row r="4849" spans="1:6" x14ac:dyDescent="0.25">
      <c r="A4849" s="62">
        <v>43871</v>
      </c>
      <c r="B4849" s="62" t="s">
        <v>3410</v>
      </c>
      <c r="C4849" s="23">
        <v>-110000</v>
      </c>
      <c r="D4849" s="24" t="s">
        <v>46</v>
      </c>
      <c r="E4849" s="24" t="s">
        <v>3410</v>
      </c>
      <c r="F4849" s="63" t="s">
        <v>7</v>
      </c>
    </row>
    <row r="4850" spans="1:6" x14ac:dyDescent="0.25">
      <c r="A4850" s="62">
        <v>43871</v>
      </c>
      <c r="B4850" s="62" t="s">
        <v>4052</v>
      </c>
      <c r="C4850" s="23">
        <v>-415</v>
      </c>
      <c r="D4850" s="24" t="s">
        <v>52</v>
      </c>
      <c r="E4850" s="24" t="s">
        <v>4006</v>
      </c>
      <c r="F4850" s="63" t="s">
        <v>0</v>
      </c>
    </row>
    <row r="4851" spans="1:6" x14ac:dyDescent="0.25">
      <c r="A4851" s="62">
        <v>43871</v>
      </c>
      <c r="B4851" s="62" t="s">
        <v>4053</v>
      </c>
      <c r="C4851" s="23">
        <v>-527</v>
      </c>
      <c r="D4851" s="24" t="s">
        <v>49</v>
      </c>
      <c r="E4851" s="24" t="s">
        <v>56</v>
      </c>
      <c r="F4851" s="63" t="s">
        <v>0</v>
      </c>
    </row>
    <row r="4852" spans="1:6" x14ac:dyDescent="0.25">
      <c r="A4852" s="62">
        <v>43871</v>
      </c>
      <c r="B4852" s="62" t="s">
        <v>4054</v>
      </c>
      <c r="C4852" s="23">
        <v>-701</v>
      </c>
      <c r="D4852" s="24" t="s">
        <v>49</v>
      </c>
      <c r="E4852" s="24" t="s">
        <v>56</v>
      </c>
      <c r="F4852" s="63" t="s">
        <v>0</v>
      </c>
    </row>
    <row r="4853" spans="1:6" x14ac:dyDescent="0.25">
      <c r="A4853" s="62">
        <v>43871</v>
      </c>
      <c r="B4853" s="62" t="s">
        <v>4055</v>
      </c>
      <c r="C4853" s="23">
        <v>-1730</v>
      </c>
      <c r="D4853" s="24" t="s">
        <v>52</v>
      </c>
      <c r="E4853" s="24" t="s">
        <v>134</v>
      </c>
      <c r="F4853" s="63" t="s">
        <v>0</v>
      </c>
    </row>
    <row r="4854" spans="1:6" x14ac:dyDescent="0.25">
      <c r="A4854" s="62">
        <v>43871</v>
      </c>
      <c r="B4854" s="62" t="s">
        <v>4056</v>
      </c>
      <c r="C4854" s="23">
        <v>-160</v>
      </c>
      <c r="D4854" s="24" t="s">
        <v>72</v>
      </c>
      <c r="E4854" s="24" t="s">
        <v>73</v>
      </c>
      <c r="F4854" s="63" t="s">
        <v>0</v>
      </c>
    </row>
    <row r="4855" spans="1:6" x14ac:dyDescent="0.25">
      <c r="A4855" s="62">
        <v>43871</v>
      </c>
      <c r="B4855" s="62" t="s">
        <v>4057</v>
      </c>
      <c r="C4855" s="23">
        <v>-933</v>
      </c>
      <c r="D4855" s="24" t="s">
        <v>72</v>
      </c>
      <c r="E4855" s="24" t="s">
        <v>73</v>
      </c>
      <c r="F4855" s="63" t="s">
        <v>0</v>
      </c>
    </row>
    <row r="4856" spans="1:6" x14ac:dyDescent="0.25">
      <c r="A4856" s="62">
        <v>43871</v>
      </c>
      <c r="B4856" s="62" t="s">
        <v>4058</v>
      </c>
      <c r="C4856" s="23">
        <v>-13041</v>
      </c>
      <c r="D4856" s="24" t="s">
        <v>49</v>
      </c>
      <c r="E4856" s="24" t="s">
        <v>56</v>
      </c>
      <c r="F4856" s="63" t="s">
        <v>0</v>
      </c>
    </row>
    <row r="4857" spans="1:6" x14ac:dyDescent="0.25">
      <c r="A4857" s="62">
        <v>43871</v>
      </c>
      <c r="B4857" s="62" t="s">
        <v>4059</v>
      </c>
      <c r="C4857" s="23">
        <v>-1311</v>
      </c>
      <c r="D4857" s="24" t="s">
        <v>52</v>
      </c>
      <c r="E4857" s="24" t="s">
        <v>4006</v>
      </c>
      <c r="F4857" s="63" t="s">
        <v>0</v>
      </c>
    </row>
    <row r="4858" spans="1:6" x14ac:dyDescent="0.25">
      <c r="A4858" s="62">
        <v>43871</v>
      </c>
      <c r="B4858" s="62" t="s">
        <v>4060</v>
      </c>
      <c r="C4858" s="23">
        <v>-24897</v>
      </c>
      <c r="D4858" s="24" t="s">
        <v>72</v>
      </c>
      <c r="E4858" s="24" t="s">
        <v>109</v>
      </c>
      <c r="F4858" s="63" t="s">
        <v>0</v>
      </c>
    </row>
    <row r="4859" spans="1:6" x14ac:dyDescent="0.25">
      <c r="A4859" s="62">
        <v>43871</v>
      </c>
      <c r="B4859" s="62" t="s">
        <v>4061</v>
      </c>
      <c r="C4859" s="23">
        <v>-8500</v>
      </c>
      <c r="D4859" s="24" t="s">
        <v>52</v>
      </c>
      <c r="E4859" s="24" t="s">
        <v>52</v>
      </c>
      <c r="F4859" s="63" t="s">
        <v>0</v>
      </c>
    </row>
    <row r="4860" spans="1:6" x14ac:dyDescent="0.25">
      <c r="A4860" s="62">
        <v>43871</v>
      </c>
      <c r="B4860" s="62" t="s">
        <v>4062</v>
      </c>
      <c r="C4860" s="23">
        <v>-15000</v>
      </c>
      <c r="D4860" s="24" t="s">
        <v>72</v>
      </c>
      <c r="E4860" s="24" t="s">
        <v>506</v>
      </c>
      <c r="F4860" s="63" t="s">
        <v>0</v>
      </c>
    </row>
    <row r="4861" spans="1:6" x14ac:dyDescent="0.25">
      <c r="A4861" s="62">
        <v>43871</v>
      </c>
      <c r="B4861" s="62" t="s">
        <v>4063</v>
      </c>
      <c r="C4861" s="23">
        <v>-899</v>
      </c>
      <c r="D4861" s="24" t="s">
        <v>49</v>
      </c>
      <c r="E4861" s="24" t="s">
        <v>56</v>
      </c>
      <c r="F4861" s="63" t="s">
        <v>0</v>
      </c>
    </row>
    <row r="4862" spans="1:6" x14ac:dyDescent="0.25">
      <c r="A4862" s="62">
        <v>43871</v>
      </c>
      <c r="B4862" s="62" t="s">
        <v>4064</v>
      </c>
      <c r="C4862" s="23">
        <v>-651</v>
      </c>
      <c r="D4862" s="24" t="s">
        <v>52</v>
      </c>
      <c r="E4862" s="24" t="s">
        <v>4006</v>
      </c>
      <c r="F4862" s="63" t="s">
        <v>0</v>
      </c>
    </row>
    <row r="4863" spans="1:6" x14ac:dyDescent="0.25">
      <c r="A4863" s="62">
        <v>43871</v>
      </c>
      <c r="B4863" s="62" t="s">
        <v>4065</v>
      </c>
      <c r="C4863" s="23">
        <v>-5923</v>
      </c>
      <c r="D4863" s="24" t="s">
        <v>46</v>
      </c>
      <c r="E4863" s="24" t="s">
        <v>80</v>
      </c>
      <c r="F4863" s="63" t="s">
        <v>0</v>
      </c>
    </row>
    <row r="4864" spans="1:6" x14ac:dyDescent="0.25">
      <c r="A4864" s="62">
        <v>43868</v>
      </c>
      <c r="B4864" s="62" t="s">
        <v>4066</v>
      </c>
      <c r="C4864" s="23">
        <v>-760</v>
      </c>
      <c r="D4864" s="24" t="s">
        <v>52</v>
      </c>
      <c r="E4864" s="24" t="s">
        <v>4006</v>
      </c>
      <c r="F4864" s="63" t="s">
        <v>0</v>
      </c>
    </row>
    <row r="4865" spans="1:6" x14ac:dyDescent="0.25">
      <c r="A4865" s="62">
        <v>43868</v>
      </c>
      <c r="B4865" s="62" t="s">
        <v>4067</v>
      </c>
      <c r="C4865" s="23">
        <v>-3672</v>
      </c>
      <c r="D4865" s="24" t="s">
        <v>49</v>
      </c>
      <c r="E4865" s="24" t="s">
        <v>56</v>
      </c>
      <c r="F4865" s="63" t="s">
        <v>0</v>
      </c>
    </row>
    <row r="4866" spans="1:6" x14ac:dyDescent="0.25">
      <c r="A4866" s="62">
        <v>43868</v>
      </c>
      <c r="B4866" s="62" t="s">
        <v>4068</v>
      </c>
      <c r="C4866" s="23">
        <v>-69000</v>
      </c>
      <c r="D4866" s="24" t="s">
        <v>72</v>
      </c>
      <c r="E4866" s="24" t="s">
        <v>445</v>
      </c>
      <c r="F4866" s="63" t="s">
        <v>0</v>
      </c>
    </row>
    <row r="4867" spans="1:6" x14ac:dyDescent="0.25">
      <c r="A4867" s="62">
        <v>43867</v>
      </c>
      <c r="B4867" s="62" t="s">
        <v>4069</v>
      </c>
      <c r="C4867" s="23">
        <v>-326</v>
      </c>
      <c r="D4867" s="24" t="s">
        <v>52</v>
      </c>
      <c r="E4867" s="24" t="s">
        <v>4006</v>
      </c>
      <c r="F4867" s="63" t="s">
        <v>0</v>
      </c>
    </row>
    <row r="4868" spans="1:6" x14ac:dyDescent="0.25">
      <c r="A4868" s="62">
        <v>43867</v>
      </c>
      <c r="B4868" s="62" t="s">
        <v>4070</v>
      </c>
      <c r="C4868" s="23">
        <v>-506</v>
      </c>
      <c r="D4868" s="24" t="s">
        <v>49</v>
      </c>
      <c r="E4868" s="24" t="s">
        <v>56</v>
      </c>
      <c r="F4868" s="63" t="s">
        <v>0</v>
      </c>
    </row>
    <row r="4869" spans="1:6" x14ac:dyDescent="0.25">
      <c r="A4869" s="62">
        <v>43867</v>
      </c>
      <c r="B4869" s="62" t="s">
        <v>4071</v>
      </c>
      <c r="C4869" s="23">
        <v>-1116</v>
      </c>
      <c r="D4869" s="24" t="s">
        <v>52</v>
      </c>
      <c r="E4869" s="24" t="s">
        <v>4006</v>
      </c>
      <c r="F4869" s="63" t="s">
        <v>0</v>
      </c>
    </row>
    <row r="4870" spans="1:6" x14ac:dyDescent="0.25">
      <c r="A4870" s="62">
        <v>43866</v>
      </c>
      <c r="B4870" s="62" t="s">
        <v>4072</v>
      </c>
      <c r="C4870" s="23">
        <v>-360</v>
      </c>
      <c r="D4870" s="24" t="s">
        <v>52</v>
      </c>
      <c r="E4870" s="24" t="s">
        <v>4006</v>
      </c>
      <c r="F4870" s="63" t="s">
        <v>0</v>
      </c>
    </row>
    <row r="4871" spans="1:6" x14ac:dyDescent="0.25">
      <c r="A4871" s="62">
        <v>43866</v>
      </c>
      <c r="B4871" s="62" t="s">
        <v>3799</v>
      </c>
      <c r="C4871" s="23">
        <v>15000</v>
      </c>
      <c r="D4871" s="24" t="s">
        <v>167</v>
      </c>
      <c r="E4871" s="24" t="s">
        <v>2200</v>
      </c>
      <c r="F4871" s="63" t="s">
        <v>2</v>
      </c>
    </row>
    <row r="4872" spans="1:6" x14ac:dyDescent="0.25">
      <c r="A4872" s="62">
        <v>43866</v>
      </c>
      <c r="B4872" s="62" t="s">
        <v>3799</v>
      </c>
      <c r="C4872" s="23">
        <v>15000</v>
      </c>
      <c r="D4872" s="24" t="s">
        <v>167</v>
      </c>
      <c r="E4872" s="24" t="s">
        <v>2200</v>
      </c>
      <c r="F4872" s="63" t="s">
        <v>2</v>
      </c>
    </row>
    <row r="4873" spans="1:6" x14ac:dyDescent="0.25">
      <c r="A4873" s="62">
        <v>43866</v>
      </c>
      <c r="B4873" s="62" t="s">
        <v>3799</v>
      </c>
      <c r="C4873" s="23">
        <v>-15000</v>
      </c>
      <c r="D4873" s="24" t="s">
        <v>167</v>
      </c>
      <c r="E4873" s="24" t="s">
        <v>2200</v>
      </c>
      <c r="F4873" s="63" t="s">
        <v>0</v>
      </c>
    </row>
    <row r="4874" spans="1:6" x14ac:dyDescent="0.25">
      <c r="A4874" s="62">
        <v>43866</v>
      </c>
      <c r="B4874" s="62" t="s">
        <v>3799</v>
      </c>
      <c r="C4874" s="23">
        <v>-15000</v>
      </c>
      <c r="D4874" s="24" t="s">
        <v>167</v>
      </c>
      <c r="E4874" s="24" t="s">
        <v>2200</v>
      </c>
      <c r="F4874" s="63" t="s">
        <v>0</v>
      </c>
    </row>
    <row r="4875" spans="1:6" x14ac:dyDescent="0.25">
      <c r="A4875" s="62">
        <v>43865</v>
      </c>
      <c r="B4875" s="62" t="s">
        <v>4073</v>
      </c>
      <c r="C4875" s="23">
        <v>-670</v>
      </c>
      <c r="D4875" s="24" t="s">
        <v>72</v>
      </c>
      <c r="E4875" s="24" t="s">
        <v>197</v>
      </c>
      <c r="F4875" s="63" t="s">
        <v>0</v>
      </c>
    </row>
    <row r="4876" spans="1:6" x14ac:dyDescent="0.25">
      <c r="A4876" s="62">
        <v>43864</v>
      </c>
      <c r="B4876" s="62" t="s">
        <v>32</v>
      </c>
      <c r="C4876" s="23">
        <v>-2.5499999999999998</v>
      </c>
      <c r="D4876" s="24" t="s">
        <v>167</v>
      </c>
      <c r="E4876" s="24" t="s">
        <v>32</v>
      </c>
      <c r="F4876" s="63" t="s">
        <v>0</v>
      </c>
    </row>
    <row r="4877" spans="1:6" x14ac:dyDescent="0.25">
      <c r="A4877" s="62">
        <v>43864</v>
      </c>
      <c r="B4877" s="62" t="s">
        <v>4074</v>
      </c>
      <c r="C4877" s="23">
        <v>-708</v>
      </c>
      <c r="D4877" s="24" t="s">
        <v>72</v>
      </c>
      <c r="E4877" s="24" t="s">
        <v>197</v>
      </c>
      <c r="F4877" s="63" t="s">
        <v>0</v>
      </c>
    </row>
    <row r="4878" spans="1:6" x14ac:dyDescent="0.25">
      <c r="A4878" s="62">
        <v>43864</v>
      </c>
      <c r="B4878" s="62" t="s">
        <v>4069</v>
      </c>
      <c r="C4878" s="23">
        <v>-326</v>
      </c>
      <c r="D4878" s="24" t="s">
        <v>52</v>
      </c>
      <c r="E4878" s="24" t="s">
        <v>4006</v>
      </c>
      <c r="F4878" s="63" t="s">
        <v>0</v>
      </c>
    </row>
    <row r="4879" spans="1:6" x14ac:dyDescent="0.25">
      <c r="A4879" s="62">
        <v>43864</v>
      </c>
      <c r="B4879" s="62" t="s">
        <v>4075</v>
      </c>
      <c r="C4879" s="23">
        <v>-2139</v>
      </c>
      <c r="D4879" s="24" t="s">
        <v>83</v>
      </c>
      <c r="E4879" s="24" t="s">
        <v>660</v>
      </c>
      <c r="F4879" s="63" t="s">
        <v>0</v>
      </c>
    </row>
    <row r="4880" spans="1:6" x14ac:dyDescent="0.25">
      <c r="A4880" s="62">
        <v>43864</v>
      </c>
      <c r="B4880" s="62" t="s">
        <v>4030</v>
      </c>
      <c r="C4880" s="23">
        <v>-740</v>
      </c>
      <c r="D4880" s="24" t="s">
        <v>52</v>
      </c>
      <c r="E4880" s="24" t="s">
        <v>4006</v>
      </c>
      <c r="F4880" s="63" t="s">
        <v>0</v>
      </c>
    </row>
    <row r="4881" spans="1:6" x14ac:dyDescent="0.25">
      <c r="A4881" s="62">
        <v>43864</v>
      </c>
      <c r="B4881" s="62" t="s">
        <v>32</v>
      </c>
      <c r="C4881" s="23">
        <v>16.989999999999998</v>
      </c>
      <c r="D4881" s="24" t="s">
        <v>167</v>
      </c>
      <c r="E4881" s="24" t="s">
        <v>32</v>
      </c>
      <c r="F4881" s="63" t="s">
        <v>0</v>
      </c>
    </row>
    <row r="4882" spans="1:6" x14ac:dyDescent="0.25">
      <c r="A4882" s="62">
        <v>43861</v>
      </c>
      <c r="B4882" s="62" t="s">
        <v>4076</v>
      </c>
      <c r="C4882" s="23">
        <v>670</v>
      </c>
      <c r="D4882" s="24" t="s">
        <v>72</v>
      </c>
      <c r="E4882" s="24" t="s">
        <v>197</v>
      </c>
      <c r="F4882" s="63" t="s">
        <v>0</v>
      </c>
    </row>
    <row r="4883" spans="1:6" x14ac:dyDescent="0.25">
      <c r="A4883" s="62">
        <v>43861</v>
      </c>
      <c r="B4883" s="62" t="s">
        <v>4077</v>
      </c>
      <c r="C4883" s="23">
        <v>-1800</v>
      </c>
      <c r="D4883" s="24" t="s">
        <v>52</v>
      </c>
      <c r="E4883" s="24" t="s">
        <v>53</v>
      </c>
      <c r="F4883" s="63" t="s">
        <v>0</v>
      </c>
    </row>
    <row r="4884" spans="1:6" x14ac:dyDescent="0.25">
      <c r="A4884" s="62">
        <v>43861</v>
      </c>
      <c r="B4884" s="62" t="s">
        <v>4078</v>
      </c>
      <c r="C4884" s="23">
        <v>-3000</v>
      </c>
      <c r="D4884" s="24" t="s">
        <v>72</v>
      </c>
      <c r="E4884" s="24" t="s">
        <v>197</v>
      </c>
      <c r="F4884" s="63" t="s">
        <v>0</v>
      </c>
    </row>
    <row r="4885" spans="1:6" x14ac:dyDescent="0.25">
      <c r="A4885" s="62">
        <v>43861</v>
      </c>
      <c r="B4885" s="62" t="s">
        <v>4079</v>
      </c>
      <c r="C4885" s="23">
        <v>538595</v>
      </c>
      <c r="D4885" s="24" t="s">
        <v>58</v>
      </c>
      <c r="E4885" s="24" t="s">
        <v>58</v>
      </c>
      <c r="F4885" s="63" t="s">
        <v>0</v>
      </c>
    </row>
    <row r="4886" spans="1:6" x14ac:dyDescent="0.25">
      <c r="A4886" s="62">
        <v>43860</v>
      </c>
      <c r="B4886" s="62" t="s">
        <v>4080</v>
      </c>
      <c r="C4886" s="23">
        <v>-500</v>
      </c>
      <c r="D4886" s="24" t="s">
        <v>49</v>
      </c>
      <c r="E4886" s="24" t="s">
        <v>56</v>
      </c>
      <c r="F4886" s="63" t="s">
        <v>0</v>
      </c>
    </row>
    <row r="4887" spans="1:6" x14ac:dyDescent="0.25">
      <c r="A4887" s="62">
        <v>43860</v>
      </c>
      <c r="B4887" s="62" t="s">
        <v>4081</v>
      </c>
      <c r="C4887" s="23">
        <v>-1088</v>
      </c>
      <c r="D4887" s="24" t="s">
        <v>49</v>
      </c>
      <c r="E4887" s="24" t="s">
        <v>56</v>
      </c>
      <c r="F4887" s="63" t="s">
        <v>0</v>
      </c>
    </row>
    <row r="4888" spans="1:6" x14ac:dyDescent="0.25">
      <c r="A4888" s="62">
        <v>43859</v>
      </c>
      <c r="B4888" s="62" t="s">
        <v>4082</v>
      </c>
      <c r="C4888" s="23">
        <v>-484</v>
      </c>
      <c r="D4888" s="24" t="s">
        <v>72</v>
      </c>
      <c r="E4888" s="24" t="s">
        <v>73</v>
      </c>
      <c r="F4888" s="63" t="s">
        <v>0</v>
      </c>
    </row>
    <row r="4889" spans="1:6" x14ac:dyDescent="0.25">
      <c r="A4889" s="62">
        <v>43859</v>
      </c>
      <c r="B4889" s="62" t="s">
        <v>4083</v>
      </c>
      <c r="C4889" s="23">
        <v>-2500</v>
      </c>
      <c r="D4889" s="24" t="s">
        <v>49</v>
      </c>
      <c r="E4889" s="24" t="s">
        <v>56</v>
      </c>
      <c r="F4889" s="63" t="s">
        <v>0</v>
      </c>
    </row>
    <row r="4890" spans="1:6" x14ac:dyDescent="0.25">
      <c r="A4890" s="62">
        <v>43858</v>
      </c>
      <c r="B4890" s="62" t="s">
        <v>4084</v>
      </c>
      <c r="C4890" s="23">
        <v>-3946</v>
      </c>
      <c r="D4890" s="24" t="s">
        <v>49</v>
      </c>
      <c r="E4890" s="24" t="s">
        <v>56</v>
      </c>
      <c r="F4890" s="63" t="s">
        <v>0</v>
      </c>
    </row>
    <row r="4891" spans="1:6" x14ac:dyDescent="0.25">
      <c r="A4891" s="62">
        <v>43858</v>
      </c>
      <c r="B4891" s="62" t="s">
        <v>4085</v>
      </c>
      <c r="C4891" s="23">
        <v>-1729</v>
      </c>
      <c r="D4891" s="24" t="s">
        <v>90</v>
      </c>
      <c r="E4891" s="24" t="s">
        <v>59</v>
      </c>
      <c r="F4891" s="63" t="s">
        <v>0</v>
      </c>
    </row>
    <row r="4892" spans="1:6" x14ac:dyDescent="0.25">
      <c r="A4892" s="62">
        <v>43858</v>
      </c>
      <c r="B4892" s="62" t="s">
        <v>4022</v>
      </c>
      <c r="C4892" s="23">
        <v>-7008</v>
      </c>
      <c r="D4892" s="24" t="s">
        <v>49</v>
      </c>
      <c r="E4892" s="24" t="s">
        <v>1165</v>
      </c>
      <c r="F4892" s="63" t="s">
        <v>0</v>
      </c>
    </row>
    <row r="4893" spans="1:6" x14ac:dyDescent="0.25">
      <c r="A4893" s="62">
        <v>43858</v>
      </c>
      <c r="B4893" s="62" t="s">
        <v>4086</v>
      </c>
      <c r="C4893" s="23">
        <v>-3990</v>
      </c>
      <c r="D4893" s="24" t="s">
        <v>46</v>
      </c>
      <c r="E4893" s="24" t="s">
        <v>63</v>
      </c>
      <c r="F4893" s="63" t="s">
        <v>0</v>
      </c>
    </row>
    <row r="4894" spans="1:6" x14ac:dyDescent="0.25">
      <c r="A4894" s="62">
        <v>43857</v>
      </c>
      <c r="B4894" s="62" t="s">
        <v>4087</v>
      </c>
      <c r="C4894" s="23">
        <v>-2490</v>
      </c>
      <c r="D4894" s="24" t="s">
        <v>72</v>
      </c>
      <c r="E4894" s="24" t="s">
        <v>126</v>
      </c>
      <c r="F4894" s="63" t="s">
        <v>0</v>
      </c>
    </row>
    <row r="4895" spans="1:6" x14ac:dyDescent="0.25">
      <c r="A4895" s="62">
        <v>43857</v>
      </c>
      <c r="B4895" s="62" t="s">
        <v>3961</v>
      </c>
      <c r="C4895" s="23">
        <v>-3740</v>
      </c>
      <c r="D4895" s="24" t="s">
        <v>46</v>
      </c>
      <c r="E4895" s="24" t="s">
        <v>63</v>
      </c>
      <c r="F4895" s="63" t="s">
        <v>0</v>
      </c>
    </row>
    <row r="4896" spans="1:6" x14ac:dyDescent="0.25">
      <c r="A4896" s="62">
        <v>43857</v>
      </c>
      <c r="B4896" s="62" t="s">
        <v>4088</v>
      </c>
      <c r="C4896" s="23">
        <v>-1241</v>
      </c>
      <c r="D4896" s="24" t="s">
        <v>90</v>
      </c>
      <c r="E4896" s="24" t="s">
        <v>59</v>
      </c>
      <c r="F4896" s="63" t="s">
        <v>0</v>
      </c>
    </row>
    <row r="4897" spans="1:6" x14ac:dyDescent="0.25">
      <c r="A4897" s="62">
        <v>43857</v>
      </c>
      <c r="B4897" s="62" t="s">
        <v>4089</v>
      </c>
      <c r="C4897" s="23">
        <v>-1300</v>
      </c>
      <c r="D4897" s="24" t="s">
        <v>52</v>
      </c>
      <c r="E4897" s="24" t="s">
        <v>53</v>
      </c>
      <c r="F4897" s="63" t="s">
        <v>0</v>
      </c>
    </row>
    <row r="4898" spans="1:6" x14ac:dyDescent="0.25">
      <c r="A4898" s="62">
        <v>43857</v>
      </c>
      <c r="B4898" s="62" t="s">
        <v>4021</v>
      </c>
      <c r="C4898" s="23">
        <v>-278</v>
      </c>
      <c r="D4898" s="24" t="s">
        <v>49</v>
      </c>
      <c r="E4898" s="24" t="s">
        <v>56</v>
      </c>
      <c r="F4898" s="63" t="s">
        <v>0</v>
      </c>
    </row>
    <row r="4899" spans="1:6" x14ac:dyDescent="0.25">
      <c r="A4899" s="62">
        <v>43857</v>
      </c>
      <c r="B4899" s="62" t="s">
        <v>4090</v>
      </c>
      <c r="C4899" s="23">
        <v>-537</v>
      </c>
      <c r="D4899" s="24" t="s">
        <v>72</v>
      </c>
      <c r="E4899" s="24" t="s">
        <v>73</v>
      </c>
      <c r="F4899" s="63" t="s">
        <v>0</v>
      </c>
    </row>
    <row r="4900" spans="1:6" x14ac:dyDescent="0.25">
      <c r="A4900" s="62">
        <v>43857</v>
      </c>
      <c r="B4900" s="62" t="s">
        <v>4056</v>
      </c>
      <c r="C4900" s="23">
        <v>-160</v>
      </c>
      <c r="D4900" s="24" t="s">
        <v>72</v>
      </c>
      <c r="E4900" s="24" t="s">
        <v>73</v>
      </c>
      <c r="F4900" s="63" t="s">
        <v>0</v>
      </c>
    </row>
    <row r="4901" spans="1:6" x14ac:dyDescent="0.25">
      <c r="A4901" s="62">
        <v>43857</v>
      </c>
      <c r="B4901" s="62" t="s">
        <v>4091</v>
      </c>
      <c r="C4901" s="23">
        <v>-238</v>
      </c>
      <c r="D4901" s="24" t="s">
        <v>49</v>
      </c>
      <c r="E4901" s="24" t="s">
        <v>56</v>
      </c>
      <c r="F4901" s="63" t="s">
        <v>0</v>
      </c>
    </row>
    <row r="4902" spans="1:6" x14ac:dyDescent="0.25">
      <c r="A4902" s="62">
        <v>43857</v>
      </c>
      <c r="B4902" s="62" t="s">
        <v>4092</v>
      </c>
      <c r="C4902" s="23">
        <v>-1457</v>
      </c>
      <c r="D4902" s="24" t="s">
        <v>49</v>
      </c>
      <c r="E4902" s="24" t="s">
        <v>56</v>
      </c>
      <c r="F4902" s="63" t="s">
        <v>0</v>
      </c>
    </row>
    <row r="4903" spans="1:6" x14ac:dyDescent="0.25">
      <c r="A4903" s="62">
        <v>43857</v>
      </c>
      <c r="B4903" s="62" t="s">
        <v>4093</v>
      </c>
      <c r="C4903" s="23">
        <v>-23967</v>
      </c>
      <c r="D4903" s="24" t="s">
        <v>46</v>
      </c>
      <c r="E4903" s="24" t="s">
        <v>3256</v>
      </c>
      <c r="F4903" s="63" t="s">
        <v>0</v>
      </c>
    </row>
    <row r="4904" spans="1:6" x14ac:dyDescent="0.25">
      <c r="A4904" s="62">
        <v>43854</v>
      </c>
      <c r="B4904" s="62" t="s">
        <v>4094</v>
      </c>
      <c r="C4904" s="23">
        <v>-1990</v>
      </c>
      <c r="D4904" s="24" t="s">
        <v>52</v>
      </c>
      <c r="E4904" s="24" t="s">
        <v>53</v>
      </c>
      <c r="F4904" s="63" t="s">
        <v>0</v>
      </c>
    </row>
    <row r="4905" spans="1:6" x14ac:dyDescent="0.25">
      <c r="A4905" s="62">
        <v>43854</v>
      </c>
      <c r="B4905" s="62" t="s">
        <v>4095</v>
      </c>
      <c r="C4905" s="23">
        <v>-357</v>
      </c>
      <c r="D4905" s="24" t="s">
        <v>72</v>
      </c>
      <c r="E4905" s="24" t="s">
        <v>73</v>
      </c>
      <c r="F4905" s="63" t="s">
        <v>0</v>
      </c>
    </row>
    <row r="4906" spans="1:6" x14ac:dyDescent="0.25">
      <c r="A4906" s="62">
        <v>43853</v>
      </c>
      <c r="B4906" s="62" t="s">
        <v>4096</v>
      </c>
      <c r="C4906" s="23">
        <v>-100</v>
      </c>
      <c r="D4906" s="24" t="s">
        <v>167</v>
      </c>
      <c r="E4906" s="24" t="s">
        <v>168</v>
      </c>
      <c r="F4906" s="63" t="s">
        <v>5</v>
      </c>
    </row>
    <row r="4907" spans="1:6" x14ac:dyDescent="0.25">
      <c r="A4907" s="62">
        <v>43853</v>
      </c>
      <c r="B4907" s="62" t="s">
        <v>4097</v>
      </c>
      <c r="C4907" s="23">
        <v>-869</v>
      </c>
      <c r="D4907" s="24" t="s">
        <v>167</v>
      </c>
      <c r="E4907" s="24" t="s">
        <v>2200</v>
      </c>
      <c r="F4907" s="63" t="s">
        <v>0</v>
      </c>
    </row>
    <row r="4908" spans="1:6" x14ac:dyDescent="0.25">
      <c r="A4908" s="62">
        <v>43853</v>
      </c>
      <c r="B4908" s="62" t="s">
        <v>4098</v>
      </c>
      <c r="C4908" s="23">
        <v>-1847</v>
      </c>
      <c r="D4908" s="24" t="s">
        <v>49</v>
      </c>
      <c r="E4908" s="24" t="s">
        <v>56</v>
      </c>
      <c r="F4908" s="63" t="s">
        <v>0</v>
      </c>
    </row>
    <row r="4909" spans="1:6" x14ac:dyDescent="0.25">
      <c r="A4909" s="62">
        <v>43852</v>
      </c>
      <c r="B4909" s="62" t="s">
        <v>4099</v>
      </c>
      <c r="C4909" s="23">
        <v>-1175</v>
      </c>
      <c r="D4909" s="24" t="s">
        <v>49</v>
      </c>
      <c r="E4909" s="24" t="s">
        <v>56</v>
      </c>
      <c r="F4909" s="63" t="s">
        <v>0</v>
      </c>
    </row>
    <row r="4910" spans="1:6" x14ac:dyDescent="0.25">
      <c r="A4910" s="62">
        <v>43851</v>
      </c>
      <c r="B4910" s="62" t="s">
        <v>4100</v>
      </c>
      <c r="C4910" s="23">
        <v>-9191</v>
      </c>
      <c r="D4910" s="24" t="s">
        <v>49</v>
      </c>
      <c r="E4910" s="24" t="s">
        <v>56</v>
      </c>
      <c r="F4910" s="63" t="s">
        <v>0</v>
      </c>
    </row>
    <row r="4911" spans="1:6" x14ac:dyDescent="0.25">
      <c r="A4911" s="62">
        <v>43851</v>
      </c>
      <c r="B4911" s="62" t="s">
        <v>4101</v>
      </c>
      <c r="C4911" s="23">
        <v>-6471</v>
      </c>
      <c r="D4911" s="24" t="s">
        <v>49</v>
      </c>
      <c r="E4911" s="24" t="s">
        <v>56</v>
      </c>
      <c r="F4911" s="63" t="s">
        <v>0</v>
      </c>
    </row>
    <row r="4912" spans="1:6" x14ac:dyDescent="0.25">
      <c r="A4912" s="62">
        <v>43850</v>
      </c>
      <c r="B4912" s="62" t="s">
        <v>4102</v>
      </c>
      <c r="C4912" s="23">
        <v>-2490</v>
      </c>
      <c r="D4912" s="24" t="s">
        <v>52</v>
      </c>
      <c r="E4912" s="24" t="s">
        <v>53</v>
      </c>
      <c r="F4912" s="63" t="s">
        <v>0</v>
      </c>
    </row>
    <row r="4913" spans="1:6" x14ac:dyDescent="0.25">
      <c r="A4913" s="62">
        <v>43850</v>
      </c>
      <c r="B4913" s="62" t="s">
        <v>4103</v>
      </c>
      <c r="C4913" s="23">
        <v>-23351</v>
      </c>
      <c r="D4913" s="24" t="s">
        <v>72</v>
      </c>
      <c r="E4913" s="24" t="s">
        <v>109</v>
      </c>
      <c r="F4913" s="63" t="s">
        <v>0</v>
      </c>
    </row>
    <row r="4914" spans="1:6" x14ac:dyDescent="0.25">
      <c r="A4914" s="62">
        <v>43847</v>
      </c>
      <c r="B4914" s="62" t="s">
        <v>4104</v>
      </c>
      <c r="C4914" s="23">
        <v>-1190</v>
      </c>
      <c r="D4914" s="24" t="s">
        <v>52</v>
      </c>
      <c r="E4914" s="24" t="s">
        <v>53</v>
      </c>
      <c r="F4914" s="63" t="s">
        <v>0</v>
      </c>
    </row>
    <row r="4915" spans="1:6" x14ac:dyDescent="0.25">
      <c r="A4915" s="62">
        <v>43847</v>
      </c>
      <c r="B4915" s="62" t="s">
        <v>4105</v>
      </c>
      <c r="C4915" s="23">
        <v>-350</v>
      </c>
      <c r="D4915" s="24" t="s">
        <v>52</v>
      </c>
      <c r="E4915" s="24" t="s">
        <v>53</v>
      </c>
      <c r="F4915" s="63" t="s">
        <v>0</v>
      </c>
    </row>
    <row r="4916" spans="1:6" x14ac:dyDescent="0.25">
      <c r="A4916" s="62">
        <v>43847</v>
      </c>
      <c r="B4916" s="62" t="s">
        <v>4106</v>
      </c>
      <c r="C4916" s="23">
        <v>-3896</v>
      </c>
      <c r="D4916" s="24" t="s">
        <v>49</v>
      </c>
      <c r="E4916" s="24" t="s">
        <v>56</v>
      </c>
      <c r="F4916" s="63" t="s">
        <v>0</v>
      </c>
    </row>
    <row r="4917" spans="1:6" x14ac:dyDescent="0.25">
      <c r="A4917" s="62">
        <v>43847</v>
      </c>
      <c r="B4917" s="62" t="s">
        <v>4107</v>
      </c>
      <c r="C4917" s="23">
        <v>-480</v>
      </c>
      <c r="D4917" s="24" t="s">
        <v>49</v>
      </c>
      <c r="E4917" s="24" t="s">
        <v>56</v>
      </c>
      <c r="F4917" s="63" t="s">
        <v>0</v>
      </c>
    </row>
    <row r="4918" spans="1:6" x14ac:dyDescent="0.25">
      <c r="A4918" s="62">
        <v>43847</v>
      </c>
      <c r="B4918" s="62" t="s">
        <v>4108</v>
      </c>
      <c r="C4918" s="23">
        <v>400000</v>
      </c>
      <c r="D4918" s="24" t="s">
        <v>167</v>
      </c>
      <c r="E4918" s="24" t="s">
        <v>183</v>
      </c>
      <c r="F4918" s="63" t="s">
        <v>3</v>
      </c>
    </row>
    <row r="4919" spans="1:6" x14ac:dyDescent="0.25">
      <c r="A4919" s="62">
        <v>43847</v>
      </c>
      <c r="B4919" s="62" t="s">
        <v>4108</v>
      </c>
      <c r="C4919" s="23">
        <v>-400000</v>
      </c>
      <c r="D4919" s="24" t="s">
        <v>167</v>
      </c>
      <c r="E4919" s="24" t="s">
        <v>183</v>
      </c>
      <c r="F4919" s="63" t="s">
        <v>0</v>
      </c>
    </row>
    <row r="4920" spans="1:6" x14ac:dyDescent="0.25">
      <c r="A4920" s="62">
        <v>43846</v>
      </c>
      <c r="B4920" s="62" t="s">
        <v>4109</v>
      </c>
      <c r="C4920" s="23">
        <v>-3500</v>
      </c>
      <c r="D4920" s="24" t="s">
        <v>58</v>
      </c>
      <c r="E4920" s="24" t="s">
        <v>3922</v>
      </c>
      <c r="F4920" s="63" t="s">
        <v>0</v>
      </c>
    </row>
    <row r="4921" spans="1:6" x14ac:dyDescent="0.25">
      <c r="A4921" s="62">
        <v>43846</v>
      </c>
      <c r="B4921" s="62" t="s">
        <v>4110</v>
      </c>
      <c r="C4921" s="23">
        <v>-2000</v>
      </c>
      <c r="D4921" s="24" t="s">
        <v>52</v>
      </c>
      <c r="E4921" s="24" t="s">
        <v>53</v>
      </c>
      <c r="F4921" s="63" t="s">
        <v>0</v>
      </c>
    </row>
    <row r="4922" spans="1:6" x14ac:dyDescent="0.25">
      <c r="A4922" s="62">
        <v>43846</v>
      </c>
      <c r="B4922" s="62" t="s">
        <v>4111</v>
      </c>
      <c r="C4922" s="23">
        <v>-903</v>
      </c>
      <c r="D4922" s="24" t="s">
        <v>49</v>
      </c>
      <c r="E4922" s="24" t="s">
        <v>56</v>
      </c>
      <c r="F4922" s="63" t="s">
        <v>0</v>
      </c>
    </row>
    <row r="4923" spans="1:6" x14ac:dyDescent="0.25">
      <c r="A4923" s="62">
        <v>43845</v>
      </c>
      <c r="B4923" s="62" t="s">
        <v>4112</v>
      </c>
      <c r="C4923" s="23">
        <v>-500000</v>
      </c>
      <c r="D4923" s="24" t="s">
        <v>167</v>
      </c>
      <c r="E4923" s="24" t="s">
        <v>1</v>
      </c>
      <c r="F4923" s="63" t="s">
        <v>0</v>
      </c>
    </row>
    <row r="4924" spans="1:6" x14ac:dyDescent="0.25">
      <c r="A4924" s="62">
        <v>43845</v>
      </c>
      <c r="B4924" s="62" t="s">
        <v>4112</v>
      </c>
      <c r="C4924" s="23">
        <v>500000</v>
      </c>
      <c r="D4924" s="24" t="s">
        <v>167</v>
      </c>
      <c r="E4924" s="24" t="s">
        <v>1</v>
      </c>
      <c r="F4924" s="63" t="s">
        <v>0</v>
      </c>
    </row>
    <row r="4925" spans="1:6" x14ac:dyDescent="0.25">
      <c r="A4925" s="62">
        <v>43844</v>
      </c>
      <c r="B4925" s="62" t="s">
        <v>4113</v>
      </c>
      <c r="C4925" s="23">
        <v>-1338</v>
      </c>
      <c r="D4925" s="24" t="s">
        <v>52</v>
      </c>
      <c r="E4925" s="24" t="s">
        <v>53</v>
      </c>
      <c r="F4925" s="63" t="s">
        <v>0</v>
      </c>
    </row>
    <row r="4926" spans="1:6" x14ac:dyDescent="0.25">
      <c r="A4926" s="62">
        <v>43843</v>
      </c>
      <c r="B4926" s="62" t="s">
        <v>4114</v>
      </c>
      <c r="C4926" s="23">
        <v>-1286</v>
      </c>
      <c r="D4926" s="24" t="s">
        <v>90</v>
      </c>
      <c r="E4926" s="24" t="s">
        <v>59</v>
      </c>
      <c r="F4926" s="63" t="s">
        <v>5</v>
      </c>
    </row>
    <row r="4927" spans="1:6" x14ac:dyDescent="0.25">
      <c r="A4927" s="62">
        <v>43843</v>
      </c>
      <c r="B4927" s="62" t="s">
        <v>4115</v>
      </c>
      <c r="C4927" s="23">
        <v>-1680</v>
      </c>
      <c r="D4927" s="24" t="s">
        <v>52</v>
      </c>
      <c r="E4927" s="24" t="s">
        <v>53</v>
      </c>
      <c r="F4927" s="63" t="s">
        <v>0</v>
      </c>
    </row>
    <row r="4928" spans="1:6" x14ac:dyDescent="0.25">
      <c r="A4928" s="62">
        <v>43843</v>
      </c>
      <c r="B4928" s="62" t="s">
        <v>4116</v>
      </c>
      <c r="C4928" s="23">
        <v>-796</v>
      </c>
      <c r="D4928" s="24" t="s">
        <v>49</v>
      </c>
      <c r="E4928" s="24" t="s">
        <v>56</v>
      </c>
      <c r="F4928" s="63" t="s">
        <v>0</v>
      </c>
    </row>
    <row r="4929" spans="1:6" x14ac:dyDescent="0.25">
      <c r="A4929" s="62">
        <v>43840</v>
      </c>
      <c r="B4929" s="62" t="s">
        <v>3410</v>
      </c>
      <c r="C4929" s="23">
        <v>-110000</v>
      </c>
      <c r="D4929" s="24" t="s">
        <v>46</v>
      </c>
      <c r="E4929" s="24" t="s">
        <v>3410</v>
      </c>
      <c r="F4929" s="63" t="s">
        <v>7</v>
      </c>
    </row>
    <row r="4930" spans="1:6" x14ac:dyDescent="0.25">
      <c r="A4930" s="62">
        <v>43840</v>
      </c>
      <c r="B4930" s="62" t="s">
        <v>4105</v>
      </c>
      <c r="C4930" s="23">
        <v>-350</v>
      </c>
      <c r="D4930" s="24" t="s">
        <v>52</v>
      </c>
      <c r="E4930" s="24" t="s">
        <v>53</v>
      </c>
      <c r="F4930" s="63" t="s">
        <v>0</v>
      </c>
    </row>
    <row r="4931" spans="1:6" x14ac:dyDescent="0.25">
      <c r="A4931" s="62">
        <v>43839</v>
      </c>
      <c r="B4931" s="62" t="s">
        <v>4117</v>
      </c>
      <c r="C4931" s="23">
        <v>-135</v>
      </c>
      <c r="D4931" s="24" t="s">
        <v>72</v>
      </c>
      <c r="E4931" s="24" t="s">
        <v>73</v>
      </c>
      <c r="F4931" s="63" t="s">
        <v>0</v>
      </c>
    </row>
    <row r="4932" spans="1:6" x14ac:dyDescent="0.25">
      <c r="A4932" s="62">
        <v>43839</v>
      </c>
      <c r="B4932" s="62" t="s">
        <v>4118</v>
      </c>
      <c r="C4932" s="23">
        <v>-839</v>
      </c>
      <c r="D4932" s="24" t="s">
        <v>49</v>
      </c>
      <c r="E4932" s="24" t="s">
        <v>56</v>
      </c>
      <c r="F4932" s="63" t="s">
        <v>0</v>
      </c>
    </row>
    <row r="4933" spans="1:6" x14ac:dyDescent="0.25">
      <c r="A4933" s="62">
        <v>43838</v>
      </c>
      <c r="B4933" s="62" t="s">
        <v>4119</v>
      </c>
      <c r="C4933" s="23">
        <v>-11104</v>
      </c>
      <c r="D4933" s="24" t="s">
        <v>90</v>
      </c>
      <c r="E4933" s="24" t="s">
        <v>185</v>
      </c>
      <c r="F4933" s="63" t="s">
        <v>0</v>
      </c>
    </row>
    <row r="4934" spans="1:6" x14ac:dyDescent="0.25">
      <c r="A4934" s="62">
        <v>43838</v>
      </c>
      <c r="B4934" s="62" t="s">
        <v>4120</v>
      </c>
      <c r="C4934" s="23">
        <v>-450</v>
      </c>
      <c r="D4934" s="24" t="s">
        <v>72</v>
      </c>
      <c r="E4934" s="24" t="s">
        <v>73</v>
      </c>
      <c r="F4934" s="63" t="s">
        <v>0</v>
      </c>
    </row>
    <row r="4935" spans="1:6" x14ac:dyDescent="0.25">
      <c r="A4935" s="62">
        <v>43838</v>
      </c>
      <c r="B4935" s="62" t="s">
        <v>4121</v>
      </c>
      <c r="C4935" s="23">
        <v>-2790</v>
      </c>
      <c r="D4935" s="24" t="s">
        <v>90</v>
      </c>
      <c r="E4935" s="24" t="s">
        <v>106</v>
      </c>
      <c r="F4935" s="63" t="s">
        <v>0</v>
      </c>
    </row>
    <row r="4936" spans="1:6" x14ac:dyDescent="0.25">
      <c r="A4936" s="62">
        <v>43838</v>
      </c>
      <c r="B4936" s="62" t="s">
        <v>4122</v>
      </c>
      <c r="C4936" s="23">
        <v>-5000</v>
      </c>
      <c r="D4936" s="24" t="s">
        <v>52</v>
      </c>
      <c r="E4936" s="24" t="s">
        <v>53</v>
      </c>
      <c r="F4936" s="63" t="s">
        <v>0</v>
      </c>
    </row>
    <row r="4937" spans="1:6" x14ac:dyDescent="0.25">
      <c r="A4937" s="62">
        <v>43838</v>
      </c>
      <c r="B4937" s="62" t="s">
        <v>4123</v>
      </c>
      <c r="C4937" s="23">
        <v>-1300</v>
      </c>
      <c r="D4937" s="24" t="s">
        <v>49</v>
      </c>
      <c r="E4937" s="24" t="s">
        <v>56</v>
      </c>
      <c r="F4937" s="63" t="s">
        <v>0</v>
      </c>
    </row>
    <row r="4938" spans="1:6" x14ac:dyDescent="0.25">
      <c r="A4938" s="62">
        <v>43837</v>
      </c>
      <c r="B4938" s="62" t="s">
        <v>4124</v>
      </c>
      <c r="C4938" s="23">
        <v>-500</v>
      </c>
      <c r="D4938" s="24" t="s">
        <v>52</v>
      </c>
      <c r="E4938" s="24" t="s">
        <v>134</v>
      </c>
      <c r="F4938" s="63" t="s">
        <v>0</v>
      </c>
    </row>
    <row r="4939" spans="1:6" x14ac:dyDescent="0.25">
      <c r="A4939" s="62">
        <v>43837</v>
      </c>
      <c r="B4939" s="62" t="s">
        <v>4125</v>
      </c>
      <c r="C4939" s="23">
        <v>-500</v>
      </c>
      <c r="D4939" s="24" t="s">
        <v>52</v>
      </c>
      <c r="E4939" s="24" t="s">
        <v>134</v>
      </c>
      <c r="F4939" s="63" t="s">
        <v>0</v>
      </c>
    </row>
    <row r="4940" spans="1:6" x14ac:dyDescent="0.25">
      <c r="A4940" s="62">
        <v>43837</v>
      </c>
      <c r="B4940" s="62" t="s">
        <v>4108</v>
      </c>
      <c r="C4940" s="23">
        <v>400000</v>
      </c>
      <c r="D4940" s="24" t="s">
        <v>167</v>
      </c>
      <c r="E4940" s="24" t="s">
        <v>183</v>
      </c>
      <c r="F4940" s="63" t="s">
        <v>3</v>
      </c>
    </row>
    <row r="4941" spans="1:6" x14ac:dyDescent="0.25">
      <c r="A4941" s="62">
        <v>43837</v>
      </c>
      <c r="B4941" s="62" t="s">
        <v>4108</v>
      </c>
      <c r="C4941" s="23">
        <v>-400000</v>
      </c>
      <c r="D4941" s="24" t="s">
        <v>167</v>
      </c>
      <c r="E4941" s="24" t="s">
        <v>183</v>
      </c>
      <c r="F4941" s="63" t="s">
        <v>0</v>
      </c>
    </row>
    <row r="4942" spans="1:6" x14ac:dyDescent="0.25">
      <c r="A4942" s="62">
        <v>43837</v>
      </c>
      <c r="B4942" s="62" t="s">
        <v>4126</v>
      </c>
      <c r="C4942" s="23">
        <v>-949</v>
      </c>
      <c r="D4942" s="24" t="s">
        <v>46</v>
      </c>
      <c r="E4942" s="24" t="s">
        <v>47</v>
      </c>
      <c r="F4942" s="63" t="s">
        <v>0</v>
      </c>
    </row>
    <row r="4943" spans="1:6" x14ac:dyDescent="0.25">
      <c r="A4943" s="62">
        <v>43836</v>
      </c>
      <c r="B4943" s="62" t="s">
        <v>4127</v>
      </c>
      <c r="C4943" s="23">
        <v>-2090</v>
      </c>
      <c r="D4943" s="24" t="s">
        <v>46</v>
      </c>
      <c r="E4943" s="24" t="s">
        <v>47</v>
      </c>
      <c r="F4943" s="63" t="s">
        <v>0</v>
      </c>
    </row>
    <row r="4944" spans="1:6" x14ac:dyDescent="0.25">
      <c r="A4944" s="62">
        <v>43836</v>
      </c>
      <c r="B4944" s="62" t="s">
        <v>4108</v>
      </c>
      <c r="C4944" s="23">
        <v>400000</v>
      </c>
      <c r="D4944" s="24" t="s">
        <v>167</v>
      </c>
      <c r="E4944" s="24" t="s">
        <v>183</v>
      </c>
      <c r="F4944" s="63" t="s">
        <v>3</v>
      </c>
    </row>
    <row r="4945" spans="1:6" x14ac:dyDescent="0.25">
      <c r="A4945" s="62">
        <v>43836</v>
      </c>
      <c r="B4945" s="62" t="s">
        <v>4108</v>
      </c>
      <c r="C4945" s="23">
        <v>-400000</v>
      </c>
      <c r="D4945" s="24" t="s">
        <v>167</v>
      </c>
      <c r="E4945" s="24" t="s">
        <v>183</v>
      </c>
      <c r="F4945" s="63" t="s">
        <v>0</v>
      </c>
    </row>
    <row r="4946" spans="1:6" x14ac:dyDescent="0.25">
      <c r="A4946" s="62">
        <v>43836</v>
      </c>
      <c r="B4946" s="62" t="s">
        <v>4128</v>
      </c>
      <c r="C4946" s="23">
        <v>-1590</v>
      </c>
      <c r="D4946" s="24" t="s">
        <v>83</v>
      </c>
      <c r="E4946" s="24" t="s">
        <v>903</v>
      </c>
      <c r="F4946" s="63" t="s">
        <v>0</v>
      </c>
    </row>
    <row r="4947" spans="1:6" x14ac:dyDescent="0.25">
      <c r="A4947" s="62">
        <v>43836</v>
      </c>
      <c r="B4947" s="62" t="s">
        <v>4129</v>
      </c>
      <c r="C4947" s="23">
        <v>-1850</v>
      </c>
      <c r="D4947" s="24" t="s">
        <v>83</v>
      </c>
      <c r="E4947" s="24" t="s">
        <v>903</v>
      </c>
      <c r="F4947" s="63" t="s">
        <v>0</v>
      </c>
    </row>
    <row r="4948" spans="1:6" x14ac:dyDescent="0.25">
      <c r="A4948" s="62">
        <v>43836</v>
      </c>
      <c r="B4948" s="62" t="s">
        <v>3799</v>
      </c>
      <c r="C4948" s="23">
        <v>15000</v>
      </c>
      <c r="D4948" s="24" t="s">
        <v>167</v>
      </c>
      <c r="E4948" s="24" t="s">
        <v>2200</v>
      </c>
      <c r="F4948" s="63" t="s">
        <v>2</v>
      </c>
    </row>
    <row r="4949" spans="1:6" x14ac:dyDescent="0.25">
      <c r="A4949" s="62">
        <v>43836</v>
      </c>
      <c r="B4949" s="62" t="s">
        <v>3799</v>
      </c>
      <c r="C4949" s="23">
        <v>15000</v>
      </c>
      <c r="D4949" s="24" t="s">
        <v>167</v>
      </c>
      <c r="E4949" s="24" t="s">
        <v>2200</v>
      </c>
      <c r="F4949" s="63" t="s">
        <v>2</v>
      </c>
    </row>
    <row r="4950" spans="1:6" x14ac:dyDescent="0.25">
      <c r="A4950" s="62">
        <v>43836</v>
      </c>
      <c r="B4950" s="62" t="s">
        <v>3799</v>
      </c>
      <c r="C4950" s="23">
        <v>-15000</v>
      </c>
      <c r="D4950" s="24" t="s">
        <v>167</v>
      </c>
      <c r="E4950" s="24" t="s">
        <v>2200</v>
      </c>
      <c r="F4950" s="63" t="s">
        <v>0</v>
      </c>
    </row>
    <row r="4951" spans="1:6" x14ac:dyDescent="0.25">
      <c r="A4951" s="62">
        <v>43836</v>
      </c>
      <c r="B4951" s="62" t="s">
        <v>3799</v>
      </c>
      <c r="C4951" s="23">
        <v>-15000</v>
      </c>
      <c r="D4951" s="24" t="s">
        <v>167</v>
      </c>
      <c r="E4951" s="24" t="s">
        <v>2200</v>
      </c>
      <c r="F4951" s="63" t="s">
        <v>0</v>
      </c>
    </row>
    <row r="4952" spans="1:6" x14ac:dyDescent="0.25">
      <c r="A4952" s="62">
        <v>43833</v>
      </c>
      <c r="B4952" s="62" t="s">
        <v>309</v>
      </c>
      <c r="C4952" s="23">
        <v>-0.64</v>
      </c>
      <c r="D4952" s="24" t="s">
        <v>167</v>
      </c>
      <c r="E4952" s="24" t="s">
        <v>32</v>
      </c>
      <c r="F4952" s="63" t="s">
        <v>0</v>
      </c>
    </row>
    <row r="4953" spans="1:6" x14ac:dyDescent="0.25">
      <c r="A4953" s="62">
        <v>43833</v>
      </c>
      <c r="B4953" s="62" t="s">
        <v>309</v>
      </c>
      <c r="C4953" s="23">
        <v>-2.5499999999999998</v>
      </c>
      <c r="D4953" s="24" t="s">
        <v>167</v>
      </c>
      <c r="E4953" s="24" t="s">
        <v>32</v>
      </c>
      <c r="F4953" s="63" t="s">
        <v>0</v>
      </c>
    </row>
    <row r="4954" spans="1:6" x14ac:dyDescent="0.25">
      <c r="A4954" s="62">
        <v>43833</v>
      </c>
      <c r="B4954" s="62" t="s">
        <v>32</v>
      </c>
      <c r="C4954" s="23">
        <v>4.25</v>
      </c>
      <c r="D4954" s="24" t="s">
        <v>167</v>
      </c>
      <c r="E4954" s="24" t="s">
        <v>32</v>
      </c>
      <c r="F4954" s="63" t="s">
        <v>0</v>
      </c>
    </row>
    <row r="4955" spans="1:6" x14ac:dyDescent="0.25">
      <c r="A4955" s="62">
        <v>43833</v>
      </c>
      <c r="B4955" s="62" t="s">
        <v>32</v>
      </c>
      <c r="C4955" s="23">
        <v>16.989999999999998</v>
      </c>
      <c r="D4955" s="24" t="s">
        <v>167</v>
      </c>
      <c r="E4955" s="24" t="s">
        <v>32</v>
      </c>
      <c r="F4955" s="63" t="s">
        <v>0</v>
      </c>
    </row>
    <row r="4956" spans="1:6" x14ac:dyDescent="0.25">
      <c r="A4956" s="62">
        <v>43832</v>
      </c>
      <c r="B4956" s="62" t="s">
        <v>4130</v>
      </c>
      <c r="C4956" s="23">
        <v>-9500</v>
      </c>
      <c r="D4956" s="24" t="s">
        <v>72</v>
      </c>
      <c r="E4956" s="24" t="s">
        <v>197</v>
      </c>
      <c r="F4956" s="63" t="s">
        <v>0</v>
      </c>
    </row>
  </sheetData>
  <autoFilter ref="A1:G4956" xr:uid="{00000000-0009-0000-0000-000004000000}"/>
  <dataValidations count="1">
    <dataValidation type="list" showInputMessage="1" showErrorMessage="1" sqref="E2:E4956" xr:uid="{00000000-0002-0000-0400-000000000000}">
      <formula1>INDIRECT(D2)</formula1>
    </dataValidation>
  </dataValidation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N324"/>
  <sheetViews>
    <sheetView topLeftCell="A9" zoomScale="85" zoomScaleNormal="85" workbookViewId="0">
      <selection activeCell="B32" sqref="B32"/>
    </sheetView>
  </sheetViews>
  <sheetFormatPr defaultRowHeight="15" x14ac:dyDescent="0.25"/>
  <cols>
    <col min="1" max="1" width="15.42578125" style="64" bestFit="1" customWidth="1"/>
    <col min="2" max="2" width="15.28515625" style="70" bestFit="1" customWidth="1"/>
    <col min="3" max="3" width="14" style="64" bestFit="1" customWidth="1"/>
    <col min="4" max="4" width="15.7109375" style="64" customWidth="1"/>
    <col min="5" max="5" width="10.5703125" style="64" bestFit="1" customWidth="1"/>
    <col min="6" max="6" width="23.42578125" style="64" bestFit="1" customWidth="1"/>
    <col min="7" max="7" width="12" style="64" bestFit="1" customWidth="1"/>
    <col min="8" max="8" width="19.140625" style="64" bestFit="1" customWidth="1"/>
    <col min="9" max="9" width="13.7109375" style="64" bestFit="1" customWidth="1"/>
    <col min="10" max="10" width="23.42578125" style="64" bestFit="1" customWidth="1"/>
    <col min="11" max="11" width="17.7109375" style="64" customWidth="1"/>
    <col min="12" max="12" width="19.140625" style="64" bestFit="1" customWidth="1"/>
    <col min="13" max="13" width="12.7109375" style="64" bestFit="1" customWidth="1"/>
    <col min="14" max="14" width="12.7109375" style="83" bestFit="1" customWidth="1"/>
  </cols>
  <sheetData>
    <row r="1" spans="1:14" x14ac:dyDescent="0.25">
      <c r="A1">
        <v>2024</v>
      </c>
      <c r="J1" s="4" t="s">
        <v>4131</v>
      </c>
      <c r="L1" s="4" t="s">
        <v>4132</v>
      </c>
      <c r="N1" s="83" t="s">
        <v>4133</v>
      </c>
    </row>
    <row r="2" spans="1:14" x14ac:dyDescent="0.25">
      <c r="A2" s="4" t="s">
        <v>4134</v>
      </c>
      <c r="B2" s="25" t="s">
        <v>4135</v>
      </c>
      <c r="C2" s="25" t="s">
        <v>4136</v>
      </c>
      <c r="D2" s="25" t="s">
        <v>4137</v>
      </c>
      <c r="E2" s="34" t="s">
        <v>4133</v>
      </c>
      <c r="J2" t="s">
        <v>90</v>
      </c>
      <c r="K2" s="2">
        <v>-143631.39333333331</v>
      </c>
      <c r="L2" t="s">
        <v>90</v>
      </c>
      <c r="M2" s="5">
        <f>SUMIFS(tételek!C:C,tételek!D:D,'Költség Megoszlás'!A3,tételek!A:A,"&gt;=2023.01.01",tételek!A:A,"&lt;2024.01.01")/12</f>
        <v>-82629.416666666672</v>
      </c>
      <c r="N2" s="83">
        <f t="shared" ref="N2:N11" si="0">M2-K2</f>
        <v>61001.97666666664</v>
      </c>
    </row>
    <row r="3" spans="1:14" x14ac:dyDescent="0.25">
      <c r="A3" t="s">
        <v>90</v>
      </c>
      <c r="B3" s="83">
        <f>M2*1.16</f>
        <v>-95850.123333333337</v>
      </c>
      <c r="C3" s="83">
        <f>SUMIFS(tételek!C:C,tételek!D:D,'Költség Megoszlás'!A3,tételek!A:A,"&gt;=2024.01.01")/(MONTH(MAX(tételek!A:A)))</f>
        <v>-92123.4</v>
      </c>
      <c r="D3" s="83">
        <f t="shared" ref="D3:D12" si="1">C3-B3</f>
        <v>3726.7233333333425</v>
      </c>
      <c r="E3" s="58">
        <f>IF(C3&gt;B3,-C3/B3,C3/B3-1)</f>
        <v>-0.96111926407884629</v>
      </c>
      <c r="F3" s="83"/>
      <c r="I3" t="s">
        <v>50</v>
      </c>
      <c r="J3" t="s">
        <v>206</v>
      </c>
      <c r="K3" s="2">
        <v>-15285.61</v>
      </c>
      <c r="L3" t="s">
        <v>206</v>
      </c>
      <c r="M3" s="5">
        <f>SUMIFS(tételek!C:C,tételek!D:D,'Költség Megoszlás'!A4,tételek!A:A,"&gt;=2023.01.01",tételek!A:A,"&lt;2024.01.01")/12</f>
        <v>-11289.833333333334</v>
      </c>
      <c r="N3" s="83">
        <f t="shared" si="0"/>
        <v>3995.7766666666666</v>
      </c>
    </row>
    <row r="4" spans="1:14" x14ac:dyDescent="0.25">
      <c r="A4" t="s">
        <v>206</v>
      </c>
      <c r="B4" s="83">
        <f>M3*1.16</f>
        <v>-13096.206666666667</v>
      </c>
      <c r="C4" s="83">
        <f>SUMIFS(tételek!C:C,tételek!D:D,'Költség Megoszlás'!A4,tételek!A:A,"&gt;=2024.01.01")/(MONTH(MAX(tételek!A:A)))</f>
        <v>-125989.6</v>
      </c>
      <c r="D4" s="83">
        <f t="shared" si="1"/>
        <v>-112893.39333333334</v>
      </c>
      <c r="E4" s="58">
        <f>IF(C4&gt;B4,-C4/B4,C4/B4-1)</f>
        <v>8.6203124467084873</v>
      </c>
      <c r="F4" s="83"/>
      <c r="J4" t="s">
        <v>52</v>
      </c>
      <c r="K4" s="2">
        <v>-68748.849999999991</v>
      </c>
      <c r="L4" t="s">
        <v>52</v>
      </c>
      <c r="M4" s="5">
        <f>SUMIFS(tételek!C:C,tételek!D:D,'Költség Megoszlás'!A5,tételek!A:A,"&gt;=2023.01.01",tételek!A:A,"&lt;2024.01.01")/12</f>
        <v>-75664.583333333328</v>
      </c>
      <c r="N4" s="83">
        <f t="shared" si="0"/>
        <v>-6915.7333333333372</v>
      </c>
    </row>
    <row r="5" spans="1:14" x14ac:dyDescent="0.25">
      <c r="A5" t="s">
        <v>52</v>
      </c>
      <c r="B5" s="83">
        <f>M4*1.16</f>
        <v>-87770.916666666657</v>
      </c>
      <c r="C5" s="83">
        <f>SUMIFS(tételek!C:C,tételek!D:D,'Költség Megoszlás'!A5,tételek!A:A,"&gt;=2024.01.01")/(MONTH(MAX(tételek!A:A)))</f>
        <v>-52284.6</v>
      </c>
      <c r="D5" s="83">
        <f t="shared" si="1"/>
        <v>35486.316666666658</v>
      </c>
      <c r="E5" s="58">
        <f>IF(C5&gt;B5,-C5/B5,C5/B5-1)</f>
        <v>-0.59569390392223698</v>
      </c>
      <c r="F5" s="83"/>
      <c r="J5" t="s">
        <v>58</v>
      </c>
      <c r="K5" s="2">
        <v>1361250</v>
      </c>
      <c r="L5" t="s">
        <v>58</v>
      </c>
      <c r="M5" s="5">
        <f>SUMIFS(tételek!C:C,tételek!D:D,'Költség Megoszlás'!A6,tételek!A:A,"&gt;=2023.01.01",tételek!A:A,"&lt;2024.01.01")/12</f>
        <v>1444014</v>
      </c>
      <c r="N5" s="83">
        <f t="shared" si="0"/>
        <v>82764</v>
      </c>
    </row>
    <row r="6" spans="1:14" x14ac:dyDescent="0.25">
      <c r="A6" t="s">
        <v>58</v>
      </c>
      <c r="B6" s="83">
        <v>1255704</v>
      </c>
      <c r="C6" s="83">
        <f>SUMIFS(tételek!C:C,tételek!D:D,'Költség Megoszlás'!A6,tételek!A:A,"&gt;=2024.01.01")/(MONTH(MAX(tételek!A:A)))</f>
        <v>1332100.6000000001</v>
      </c>
      <c r="D6" s="83">
        <f t="shared" si="1"/>
        <v>76396.600000000093</v>
      </c>
      <c r="E6" s="58">
        <f>IF(C6&lt;B6,-C6/B6,C6/B6-1)</f>
        <v>6.0839656479552584E-2</v>
      </c>
      <c r="F6" s="83"/>
      <c r="J6" t="s">
        <v>83</v>
      </c>
      <c r="K6" s="2">
        <v>-26083.007933333331</v>
      </c>
      <c r="L6" t="s">
        <v>83</v>
      </c>
      <c r="M6" s="5">
        <f>SUMIFS(tételek!C:C,tételek!D:D,'Költség Megoszlás'!A7,tételek!A:A,"&gt;=2023.01.01",tételek!A:A,"&lt;2024.01.01")/12</f>
        <v>-10017.166666666666</v>
      </c>
      <c r="N6" s="83">
        <f t="shared" si="0"/>
        <v>16065.841266666665</v>
      </c>
    </row>
    <row r="7" spans="1:14" x14ac:dyDescent="0.25">
      <c r="A7" t="s">
        <v>83</v>
      </c>
      <c r="B7" s="83">
        <f>M6*1.16</f>
        <v>-11619.913333333332</v>
      </c>
      <c r="C7" s="83">
        <f>SUMIFS(tételek!C:C,tételek!D:D,'Költség Megoszlás'!A7,tételek!A:A,"&gt;=2024.01.01")/(MONTH(MAX(tételek!A:A)))</f>
        <v>-7433</v>
      </c>
      <c r="D7" s="83">
        <f t="shared" si="1"/>
        <v>4186.913333333332</v>
      </c>
      <c r="E7" s="58">
        <f>IF(C7&gt;B7,-C7/B7,C7/B7-1)</f>
        <v>-0.63967774860053472</v>
      </c>
      <c r="F7" s="35"/>
      <c r="G7" s="35"/>
      <c r="H7" s="35"/>
      <c r="J7" t="s">
        <v>72</v>
      </c>
      <c r="K7" s="2">
        <v>-165249.34666666671</v>
      </c>
      <c r="L7" t="s">
        <v>72</v>
      </c>
      <c r="M7" s="5">
        <f>SUMIFS(tételek!C:C,tételek!D:D,'Költség Megoszlás'!A8,tételek!A:A,"&gt;=2023.01.01",tételek!A:A,"&lt;2024.01.01")/12</f>
        <v>319.76333333333361</v>
      </c>
      <c r="N7" s="83">
        <f t="shared" si="0"/>
        <v>165569.11000000004</v>
      </c>
    </row>
    <row r="8" spans="1:14" x14ac:dyDescent="0.25">
      <c r="A8" t="s">
        <v>72</v>
      </c>
      <c r="B8" s="83">
        <f>K7</f>
        <v>-165249.34666666671</v>
      </c>
      <c r="C8" s="83">
        <f>SUMIFS(tételek!C:C,tételek!D:D,'Költség Megoszlás'!A8,tételek!A:A,"&gt;=2024.01.01")/(MONTH(MAX(tételek!A:A)))</f>
        <v>-182772</v>
      </c>
      <c r="D8" s="83">
        <f t="shared" si="1"/>
        <v>-17522.653333333292</v>
      </c>
      <c r="E8" s="58">
        <f>IF(C8&gt;B8,-C8/B8,C8/B8-1)</f>
        <v>0.10603765574141222</v>
      </c>
      <c r="F8" s="83"/>
      <c r="G8" s="83"/>
      <c r="H8" s="83"/>
      <c r="I8" s="35"/>
      <c r="J8" t="s">
        <v>46</v>
      </c>
      <c r="K8" s="2">
        <v>-533712.46973333333</v>
      </c>
      <c r="L8" t="s">
        <v>46</v>
      </c>
      <c r="M8" s="5">
        <f>SUMIFS(tételek!C:C,tételek!D:D,'Költség Megoszlás'!A9,tételek!A:A,"&gt;=2023.01.01",tételek!A:A,"&lt;2024.01.01")/12-Törlesztő</f>
        <v>-419288.08416666661</v>
      </c>
      <c r="N8" s="83">
        <f t="shared" si="0"/>
        <v>114424.38556666672</v>
      </c>
    </row>
    <row r="9" spans="1:14" x14ac:dyDescent="0.25">
      <c r="A9" t="s">
        <v>46</v>
      </c>
      <c r="B9" s="83">
        <f>M8*1.16</f>
        <v>-486374.17763333325</v>
      </c>
      <c r="C9" s="83">
        <f>SUMIFS(tételek!C:C,tételek!D:D,'Költség Megoszlás'!A9,tételek!A:A,"&gt;=2024.01.01")/(MONTH(MAX(tételek!A:A)))</f>
        <v>-218137.51400000002</v>
      </c>
      <c r="D9" s="83">
        <f t="shared" si="1"/>
        <v>268236.66363333323</v>
      </c>
      <c r="E9" s="58">
        <f>IF(C9&gt;B9,-C9/B9,C9/B9-1)</f>
        <v>-0.44849731756205419</v>
      </c>
      <c r="F9" s="83"/>
      <c r="J9" t="s">
        <v>167</v>
      </c>
      <c r="K9" s="2">
        <v>-899.6012666667026</v>
      </c>
      <c r="L9" t="s">
        <v>167</v>
      </c>
      <c r="M9" s="5">
        <f>SUMIFS(tételek!C:C,tételek!D:D,'Költség Megoszlás'!A10,tételek!A:A,"&gt;=2023.01.01",tételek!A:A,"&lt;2024.01.01")/12</f>
        <v>-36258.029166666674</v>
      </c>
      <c r="N9" s="83">
        <f t="shared" si="0"/>
        <v>-35358.427899999973</v>
      </c>
    </row>
    <row r="10" spans="1:14" x14ac:dyDescent="0.25">
      <c r="A10" t="s">
        <v>167</v>
      </c>
      <c r="B10" s="83">
        <f>M9*1.16</f>
        <v>-42059.313833333341</v>
      </c>
      <c r="C10" s="83">
        <f>SUMIFS(tételek!C:C,tételek!D:D,'Költség Megoszlás'!A10,tételek!A:A,"&gt;=2024.01.01")/(MONTH(MAX(tételek!A:A)))</f>
        <v>-19015.513999999999</v>
      </c>
      <c r="D10" s="83">
        <f t="shared" si="1"/>
        <v>23043.799833333342</v>
      </c>
      <c r="E10" s="58">
        <f>IF(C10&gt;B10,-C10/B10,C10/B10-1)</f>
        <v>-0.45211184555582551</v>
      </c>
      <c r="F10" s="83"/>
      <c r="J10" t="s">
        <v>49</v>
      </c>
      <c r="K10" s="2">
        <v>-282355.14566666662</v>
      </c>
      <c r="L10" t="s">
        <v>49</v>
      </c>
      <c r="M10" s="5">
        <f>SUMIFS(tételek!C:C,tételek!D:D,'Költség Megoszlás'!A11,tételek!A:A,"&gt;=2023.01.01",tételek!A:A,"&lt;2024.01.01")/12</f>
        <v>-430878.62166666664</v>
      </c>
      <c r="N10" s="83">
        <f t="shared" si="0"/>
        <v>-148523.47600000002</v>
      </c>
    </row>
    <row r="11" spans="1:14" x14ac:dyDescent="0.25">
      <c r="A11" s="33" t="s">
        <v>49</v>
      </c>
      <c r="B11" s="84">
        <f>M10*1.16</f>
        <v>-499819.20113333326</v>
      </c>
      <c r="C11" s="84">
        <f>SUMIFS(tételek!C:C,tételek!D:D,'Költség Megoszlás'!A11,tételek!A:A,"&gt;=2024.01.01")/(MONTH(MAX(tételek!A:A)))</f>
        <v>-415058.64399999997</v>
      </c>
      <c r="D11" s="84">
        <f t="shared" si="1"/>
        <v>84760.557133333292</v>
      </c>
      <c r="E11" s="58">
        <f>IF(C11&gt;B11,-C11/B11,C11/B11-1)</f>
        <v>-0.83041756510926379</v>
      </c>
      <c r="F11" s="85"/>
      <c r="J11" t="s">
        <v>4138</v>
      </c>
      <c r="K11" s="2">
        <f>SUM(K2:K10)</f>
        <v>125284.57540000009</v>
      </c>
      <c r="M11" s="2">
        <f>SUM(M2:M10)</f>
        <v>378308.0283333335</v>
      </c>
      <c r="N11" s="83">
        <f t="shared" si="0"/>
        <v>253023.45293333341</v>
      </c>
    </row>
    <row r="12" spans="1:14" x14ac:dyDescent="0.25">
      <c r="A12" s="39" t="s">
        <v>4139</v>
      </c>
      <c r="B12" s="86">
        <f>SUMIF(B3:B11,"&lt;0")</f>
        <v>-1401839.1992666665</v>
      </c>
      <c r="C12" s="86">
        <f>SUMIF(C3:C11,"&lt;0")</f>
        <v>-1112814.2719999999</v>
      </c>
      <c r="D12" s="86">
        <f t="shared" si="1"/>
        <v>289024.92726666667</v>
      </c>
      <c r="E12" s="83"/>
      <c r="F12" s="83"/>
    </row>
    <row r="13" spans="1:14" x14ac:dyDescent="0.25">
      <c r="E13" s="70"/>
      <c r="J13" s="4" t="s">
        <v>4140</v>
      </c>
      <c r="L13" s="4" t="s">
        <v>4141</v>
      </c>
      <c r="N13" s="83" t="s">
        <v>4133</v>
      </c>
    </row>
    <row r="14" spans="1:14" x14ac:dyDescent="0.25">
      <c r="A14" s="38" t="s">
        <v>4133</v>
      </c>
      <c r="B14" s="87">
        <f>SUM(B3:B11)</f>
        <v>-146135.19926666643</v>
      </c>
      <c r="C14" s="87">
        <f>SUM(C3:C11)</f>
        <v>219286.3280000001</v>
      </c>
      <c r="D14" s="87">
        <f>C14-Tervezett</f>
        <v>365421.52726666653</v>
      </c>
      <c r="J14" t="s">
        <v>90</v>
      </c>
      <c r="K14" s="2">
        <v>-70000</v>
      </c>
      <c r="L14" t="s">
        <v>90</v>
      </c>
      <c r="M14" s="5">
        <f>SUMIFS(tételek!C:C,tételek!D:D,'Költség Megoszlás'!A3,tételek!A:A,"&gt;=2022.01.01",tételek!A:A,"&lt;2023.01.01")/12</f>
        <v>-123820.16666666667</v>
      </c>
      <c r="N14" s="83">
        <f t="shared" ref="N14:N23" si="2">M14-K14</f>
        <v>-53820.166666666672</v>
      </c>
    </row>
    <row r="15" spans="1:14" x14ac:dyDescent="0.25">
      <c r="A15" t="s">
        <v>4142</v>
      </c>
      <c r="B15" s="70">
        <v>261805</v>
      </c>
      <c r="J15" t="s">
        <v>206</v>
      </c>
      <c r="K15" s="2">
        <v>-20000</v>
      </c>
      <c r="L15" t="s">
        <v>206</v>
      </c>
      <c r="M15" s="5">
        <f>SUMIFS(tételek!C:C,tételek!D:D,'Költség Megoszlás'!A4,tételek!A:A,"&gt;=2022.01.01",tételek!A:A,"&lt;2023.01.01")/12</f>
        <v>-13177.25</v>
      </c>
      <c r="N15" s="83">
        <f t="shared" si="2"/>
        <v>6822.75</v>
      </c>
    </row>
    <row r="16" spans="1:14" x14ac:dyDescent="0.25">
      <c r="J16" t="s">
        <v>52</v>
      </c>
      <c r="K16" s="2">
        <v>-65000</v>
      </c>
      <c r="L16" t="s">
        <v>52</v>
      </c>
      <c r="M16" s="5">
        <f>SUMIFS(tételek!C:C,tételek!D:D,'Költség Megoszlás'!A5,tételek!A:A,"&gt;=2022.01.01",tételek!A:A,"&lt;2023.01.01")/12</f>
        <v>-59266.25</v>
      </c>
      <c r="N16" s="83">
        <f t="shared" si="2"/>
        <v>5733.75</v>
      </c>
    </row>
    <row r="17" spans="1:14" x14ac:dyDescent="0.25">
      <c r="A17" s="28" t="s">
        <v>41</v>
      </c>
      <c r="B17" t="s">
        <v>0</v>
      </c>
      <c r="J17" t="s">
        <v>58</v>
      </c>
      <c r="K17" s="2">
        <v>1000000</v>
      </c>
      <c r="L17" t="s">
        <v>58</v>
      </c>
      <c r="M17" s="5">
        <f>SUMIFS(tételek!C:C,tételek!D:D,'Költség Megoszlás'!A6,tételek!A:A,"&gt;=2022.01.01",tételek!A:A,"&lt;2023.01.01")/12</f>
        <v>1195179.3333333333</v>
      </c>
      <c r="N17" s="83">
        <f t="shared" si="2"/>
        <v>195179.33333333326</v>
      </c>
    </row>
    <row r="18" spans="1:14" x14ac:dyDescent="0.25">
      <c r="J18" t="s">
        <v>83</v>
      </c>
      <c r="K18" s="2">
        <v>-13000</v>
      </c>
      <c r="L18" t="s">
        <v>83</v>
      </c>
      <c r="M18" s="5">
        <f>SUMIFS(tételek!C:C,tételek!D:D,'Költség Megoszlás'!A7,tételek!A:A,"&gt;=2022.01.01",tételek!A:A,"&lt;2023.01.01")/12</f>
        <v>-22485.351666666666</v>
      </c>
      <c r="N18" s="83">
        <f t="shared" si="2"/>
        <v>-9485.3516666666656</v>
      </c>
    </row>
    <row r="19" spans="1:14" x14ac:dyDescent="0.25">
      <c r="A19" s="28" t="s">
        <v>4143</v>
      </c>
      <c r="B19" s="88" t="s">
        <v>4144</v>
      </c>
      <c r="J19" t="s">
        <v>72</v>
      </c>
      <c r="K19" s="2">
        <v>-130000</v>
      </c>
      <c r="L19" t="s">
        <v>72</v>
      </c>
      <c r="M19" s="5">
        <f>SUMIFS(tételek!C:C,tételek!D:D,'Költség Megoszlás'!A8,tételek!A:A,"&gt;=2022.01.01",tételek!A:A,"&lt;2023.01.01")/12</f>
        <v>-142456.33333333334</v>
      </c>
      <c r="N19" s="83">
        <f t="shared" si="2"/>
        <v>-12456.333333333343</v>
      </c>
    </row>
    <row r="20" spans="1:14" x14ac:dyDescent="0.25">
      <c r="A20" t="s">
        <v>90</v>
      </c>
      <c r="B20" s="65">
        <v>-460617</v>
      </c>
      <c r="C20" s="61">
        <f t="shared" ref="C20:C67" si="3">B20/5</f>
        <v>-92123.4</v>
      </c>
      <c r="J20" t="s">
        <v>46</v>
      </c>
      <c r="K20" s="2">
        <v>-350000</v>
      </c>
      <c r="L20" t="s">
        <v>46</v>
      </c>
      <c r="M20" s="5">
        <f>SUMIFS(tételek!C:C,tételek!D:D,'Költség Megoszlás'!A9,tételek!A:A,"&gt;=2022.01.01",tételek!A:A,"&lt;2023.01.01",tételek!F:F,"&lt;&gt;Hitel")/12</f>
        <v>-460096.95666666672</v>
      </c>
      <c r="N20" s="83">
        <f t="shared" si="2"/>
        <v>-110096.95666666672</v>
      </c>
    </row>
    <row r="21" spans="1:14" x14ac:dyDescent="0.25">
      <c r="A21" t="s">
        <v>206</v>
      </c>
      <c r="B21" s="65">
        <v>-29948</v>
      </c>
      <c r="C21" s="61">
        <f t="shared" si="3"/>
        <v>-5989.6</v>
      </c>
      <c r="J21" t="s">
        <v>167</v>
      </c>
      <c r="K21" s="2">
        <v>-1000</v>
      </c>
      <c r="L21" t="s">
        <v>167</v>
      </c>
      <c r="M21" s="5">
        <f>SUMIFS(tételek!C:C,tételek!D:D,'Költség Megoszlás'!A10,tételek!A:A,"&gt;=2022.01.01",tételek!A:A,"&lt;2023.01.01")/12</f>
        <v>-775.51833333336435</v>
      </c>
      <c r="N21" s="83">
        <f t="shared" si="2"/>
        <v>224.48166666663565</v>
      </c>
    </row>
    <row r="22" spans="1:14" x14ac:dyDescent="0.25">
      <c r="A22" t="s">
        <v>52</v>
      </c>
      <c r="B22" s="65">
        <v>-264123</v>
      </c>
      <c r="C22" s="61">
        <f t="shared" si="3"/>
        <v>-52824.6</v>
      </c>
      <c r="J22" t="s">
        <v>49</v>
      </c>
      <c r="K22" s="2">
        <v>-150000</v>
      </c>
      <c r="L22" t="s">
        <v>49</v>
      </c>
      <c r="M22" s="5">
        <f>SUMIFS(tételek!C:C,tételek!D:D,'Költség Megoszlás'!A11,tételek!A:A,"&gt;=2022.01.01",tételek!A:A,"&lt;2023.01.01")/12</f>
        <v>-243409.60833333331</v>
      </c>
      <c r="N22" s="83">
        <f t="shared" si="2"/>
        <v>-93409.608333333308</v>
      </c>
    </row>
    <row r="23" spans="1:14" x14ac:dyDescent="0.25">
      <c r="A23" s="29" t="s">
        <v>83</v>
      </c>
      <c r="B23" s="65">
        <v>-37165</v>
      </c>
      <c r="C23" s="61">
        <f t="shared" si="3"/>
        <v>-7433</v>
      </c>
      <c r="J23" t="s">
        <v>4138</v>
      </c>
      <c r="K23" s="2">
        <f>SUM(K14:K22)</f>
        <v>201000</v>
      </c>
      <c r="M23" s="2">
        <f>SUM(M14:M22)</f>
        <v>129691.89833333305</v>
      </c>
      <c r="N23" s="83">
        <f t="shared" si="2"/>
        <v>-71308.101666666946</v>
      </c>
    </row>
    <row r="24" spans="1:14" x14ac:dyDescent="0.25">
      <c r="A24" t="s">
        <v>72</v>
      </c>
      <c r="B24" s="65">
        <v>-913860</v>
      </c>
      <c r="C24" s="61">
        <f t="shared" si="3"/>
        <v>-182772</v>
      </c>
    </row>
    <row r="25" spans="1:14" x14ac:dyDescent="0.25">
      <c r="A25" t="s">
        <v>46</v>
      </c>
      <c r="B25" s="65">
        <v>-2177545.4500000002</v>
      </c>
      <c r="C25" s="61">
        <f t="shared" si="3"/>
        <v>-435509.09</v>
      </c>
      <c r="J25" s="4" t="s">
        <v>4145</v>
      </c>
      <c r="L25" s="4" t="s">
        <v>4146</v>
      </c>
      <c r="N25" s="83" t="s">
        <v>4133</v>
      </c>
    </row>
    <row r="26" spans="1:14" x14ac:dyDescent="0.25">
      <c r="A26" t="s">
        <v>167</v>
      </c>
      <c r="B26" s="65">
        <v>-214759.56999999989</v>
      </c>
      <c r="C26" s="61">
        <f t="shared" si="3"/>
        <v>-42951.913999999975</v>
      </c>
      <c r="J26" t="s">
        <v>90</v>
      </c>
      <c r="K26" s="2">
        <v>-12000</v>
      </c>
      <c r="L26" t="s">
        <v>90</v>
      </c>
      <c r="M26" s="5">
        <v>-22882</v>
      </c>
      <c r="N26" s="83">
        <f t="shared" ref="N26:N35" si="4">M26-K26</f>
        <v>-10882</v>
      </c>
    </row>
    <row r="27" spans="1:14" x14ac:dyDescent="0.25">
      <c r="A27" t="s">
        <v>49</v>
      </c>
      <c r="B27" s="65">
        <v>-2075293.22</v>
      </c>
      <c r="C27" s="61">
        <f t="shared" si="3"/>
        <v>-415058.64399999997</v>
      </c>
      <c r="J27" t="s">
        <v>206</v>
      </c>
      <c r="K27" s="2">
        <v>-15000</v>
      </c>
      <c r="L27" t="s">
        <v>206</v>
      </c>
      <c r="M27" s="5">
        <v>-51320.114166666674</v>
      </c>
      <c r="N27" s="83">
        <f t="shared" si="4"/>
        <v>-36320.114166666674</v>
      </c>
    </row>
    <row r="28" spans="1:14" x14ac:dyDescent="0.25">
      <c r="A28" s="29" t="s">
        <v>4147</v>
      </c>
      <c r="B28" s="65">
        <v>-6173311.2400000002</v>
      </c>
      <c r="C28" s="61">
        <f t="shared" si="3"/>
        <v>-1234662.2480000001</v>
      </c>
      <c r="J28" t="s">
        <v>52</v>
      </c>
      <c r="K28" s="2">
        <v>-30000</v>
      </c>
      <c r="L28" t="s">
        <v>52</v>
      </c>
      <c r="M28" s="5">
        <v>-40857.5</v>
      </c>
      <c r="N28" s="83">
        <f t="shared" si="4"/>
        <v>-10857.5</v>
      </c>
    </row>
    <row r="29" spans="1:14" x14ac:dyDescent="0.25">
      <c r="C29" s="61">
        <f t="shared" si="3"/>
        <v>0</v>
      </c>
      <c r="J29" t="s">
        <v>58</v>
      </c>
      <c r="K29" s="2">
        <v>665000</v>
      </c>
      <c r="L29" t="s">
        <v>58</v>
      </c>
      <c r="M29" s="5">
        <v>1092460.333333333</v>
      </c>
      <c r="N29" s="83">
        <f t="shared" si="4"/>
        <v>427460.33333333302</v>
      </c>
    </row>
    <row r="30" spans="1:14" x14ac:dyDescent="0.25">
      <c r="C30" s="61">
        <f t="shared" si="3"/>
        <v>0</v>
      </c>
      <c r="J30" t="s">
        <v>83</v>
      </c>
      <c r="K30" s="2">
        <v>-19000</v>
      </c>
      <c r="L30" t="s">
        <v>83</v>
      </c>
      <c r="M30" s="5">
        <v>-7745</v>
      </c>
      <c r="N30" s="83">
        <f t="shared" si="4"/>
        <v>11255</v>
      </c>
    </row>
    <row r="31" spans="1:14" x14ac:dyDescent="0.25">
      <c r="C31" s="61">
        <f t="shared" si="3"/>
        <v>0</v>
      </c>
      <c r="J31" t="s">
        <v>72</v>
      </c>
      <c r="K31" s="2">
        <v>-95000</v>
      </c>
      <c r="L31" t="s">
        <v>72</v>
      </c>
      <c r="M31" s="5">
        <v>-503773.92833333329</v>
      </c>
      <c r="N31" s="83">
        <f t="shared" si="4"/>
        <v>-408773.92833333329</v>
      </c>
    </row>
    <row r="32" spans="1:14" x14ac:dyDescent="0.25">
      <c r="C32" s="61">
        <f t="shared" si="3"/>
        <v>0</v>
      </c>
      <c r="J32" t="s">
        <v>46</v>
      </c>
      <c r="K32" s="2">
        <v>-160000</v>
      </c>
      <c r="L32" t="s">
        <v>46</v>
      </c>
      <c r="M32" s="5">
        <v>-1681365.946666667</v>
      </c>
      <c r="N32" s="83">
        <f t="shared" si="4"/>
        <v>-1521365.946666667</v>
      </c>
    </row>
    <row r="33" spans="3:14" x14ac:dyDescent="0.25">
      <c r="C33" s="61">
        <f t="shared" si="3"/>
        <v>0</v>
      </c>
      <c r="J33" t="s">
        <v>167</v>
      </c>
      <c r="K33" s="2">
        <v>0</v>
      </c>
      <c r="L33" t="s">
        <v>167</v>
      </c>
      <c r="M33" s="5">
        <v>90052.801666666681</v>
      </c>
      <c r="N33" s="83">
        <f t="shared" si="4"/>
        <v>90052.801666666681</v>
      </c>
    </row>
    <row r="34" spans="3:14" x14ac:dyDescent="0.25">
      <c r="C34" s="61">
        <f t="shared" si="3"/>
        <v>0</v>
      </c>
      <c r="J34" t="s">
        <v>49</v>
      </c>
      <c r="K34" s="2">
        <v>-85000</v>
      </c>
      <c r="L34" t="s">
        <v>49</v>
      </c>
      <c r="M34" s="5">
        <v>-152708.60166666671</v>
      </c>
      <c r="N34" s="83">
        <f t="shared" si="4"/>
        <v>-67708.601666666713</v>
      </c>
    </row>
    <row r="35" spans="3:14" x14ac:dyDescent="0.25">
      <c r="C35" s="61">
        <f t="shared" si="3"/>
        <v>0</v>
      </c>
      <c r="K35" s="2">
        <f>SUM(K26:K34)</f>
        <v>249000</v>
      </c>
      <c r="M35" s="2">
        <f>SUM(M26:M34)</f>
        <v>-1278139.955833334</v>
      </c>
      <c r="N35" s="83">
        <f t="shared" si="4"/>
        <v>-1527139.955833334</v>
      </c>
    </row>
    <row r="36" spans="3:14" x14ac:dyDescent="0.25">
      <c r="C36" s="61">
        <f t="shared" si="3"/>
        <v>0</v>
      </c>
    </row>
    <row r="37" spans="3:14" x14ac:dyDescent="0.25">
      <c r="C37" s="61">
        <f t="shared" si="3"/>
        <v>0</v>
      </c>
      <c r="J37" s="4" t="s">
        <v>4148</v>
      </c>
      <c r="L37" s="4" t="s">
        <v>4149</v>
      </c>
      <c r="N37" s="83" t="s">
        <v>4133</v>
      </c>
    </row>
    <row r="38" spans="3:14" x14ac:dyDescent="0.25">
      <c r="C38" s="61">
        <f t="shared" si="3"/>
        <v>0</v>
      </c>
      <c r="J38" t="s">
        <v>90</v>
      </c>
      <c r="K38" s="2">
        <v>-12000</v>
      </c>
      <c r="L38" t="s">
        <v>90</v>
      </c>
      <c r="M38" s="5">
        <v>-3343</v>
      </c>
      <c r="N38" s="83">
        <f t="shared" ref="N38:N47" si="5">M38-K38</f>
        <v>8657</v>
      </c>
    </row>
    <row r="39" spans="3:14" x14ac:dyDescent="0.25">
      <c r="C39" s="61">
        <f t="shared" si="3"/>
        <v>0</v>
      </c>
      <c r="J39" t="s">
        <v>206</v>
      </c>
      <c r="K39" s="2">
        <v>-15000</v>
      </c>
      <c r="L39" t="s">
        <v>206</v>
      </c>
      <c r="M39" s="5">
        <v>-35750</v>
      </c>
      <c r="N39" s="83">
        <f t="shared" si="5"/>
        <v>-20750</v>
      </c>
    </row>
    <row r="40" spans="3:14" x14ac:dyDescent="0.25">
      <c r="C40" s="61">
        <f t="shared" si="3"/>
        <v>0</v>
      </c>
      <c r="J40" t="s">
        <v>52</v>
      </c>
      <c r="K40" s="2">
        <v>-30000</v>
      </c>
      <c r="L40" t="s">
        <v>52</v>
      </c>
      <c r="M40" s="5">
        <v>-30691</v>
      </c>
      <c r="N40" s="83">
        <f t="shared" si="5"/>
        <v>-691</v>
      </c>
    </row>
    <row r="41" spans="3:14" x14ac:dyDescent="0.25">
      <c r="C41" s="61">
        <f t="shared" si="3"/>
        <v>0</v>
      </c>
      <c r="J41" t="s">
        <v>58</v>
      </c>
      <c r="K41" s="2">
        <v>815937.5</v>
      </c>
      <c r="L41" t="s">
        <v>58</v>
      </c>
      <c r="M41" s="5">
        <v>811146.9341666667</v>
      </c>
      <c r="N41" s="83">
        <f t="shared" si="5"/>
        <v>-4790.5658333332976</v>
      </c>
    </row>
    <row r="42" spans="3:14" x14ac:dyDescent="0.25">
      <c r="C42" s="61">
        <f t="shared" si="3"/>
        <v>0</v>
      </c>
      <c r="J42" t="s">
        <v>83</v>
      </c>
      <c r="K42" s="2">
        <v>-19000</v>
      </c>
      <c r="L42" t="s">
        <v>83</v>
      </c>
      <c r="M42" s="5">
        <v>-13444.16333333333</v>
      </c>
      <c r="N42" s="83">
        <f t="shared" si="5"/>
        <v>5555.8366666666698</v>
      </c>
    </row>
    <row r="43" spans="3:14" x14ac:dyDescent="0.25">
      <c r="C43" s="61">
        <f t="shared" si="3"/>
        <v>0</v>
      </c>
      <c r="J43" t="s">
        <v>72</v>
      </c>
      <c r="K43" s="2">
        <v>-95000</v>
      </c>
      <c r="L43" t="s">
        <v>72</v>
      </c>
      <c r="M43" s="5">
        <v>-108025.25</v>
      </c>
      <c r="N43" s="83">
        <f t="shared" si="5"/>
        <v>-13025.25</v>
      </c>
    </row>
    <row r="44" spans="3:14" x14ac:dyDescent="0.25">
      <c r="C44" s="61">
        <f t="shared" si="3"/>
        <v>0</v>
      </c>
      <c r="J44" t="s">
        <v>46</v>
      </c>
      <c r="K44" s="2">
        <v>-160000</v>
      </c>
      <c r="L44" t="s">
        <v>46</v>
      </c>
      <c r="M44" s="5">
        <v>-159676.965</v>
      </c>
      <c r="N44" s="83">
        <f t="shared" si="5"/>
        <v>323.03500000000349</v>
      </c>
    </row>
    <row r="45" spans="3:14" x14ac:dyDescent="0.25">
      <c r="C45" s="61">
        <f t="shared" si="3"/>
        <v>0</v>
      </c>
      <c r="J45" t="s">
        <v>167</v>
      </c>
      <c r="K45" s="2">
        <v>0</v>
      </c>
      <c r="L45" t="s">
        <v>167</v>
      </c>
      <c r="M45" s="5">
        <v>-304.20333333332292</v>
      </c>
      <c r="N45" s="83">
        <f t="shared" si="5"/>
        <v>-304.20333333332292</v>
      </c>
    </row>
    <row r="46" spans="3:14" x14ac:dyDescent="0.25">
      <c r="C46" s="61">
        <f t="shared" si="3"/>
        <v>0</v>
      </c>
      <c r="J46" t="s">
        <v>49</v>
      </c>
      <c r="K46" s="2">
        <v>-85000</v>
      </c>
      <c r="L46" t="s">
        <v>49</v>
      </c>
      <c r="M46" s="5">
        <v>-78436.152500000011</v>
      </c>
      <c r="N46" s="83">
        <f t="shared" si="5"/>
        <v>6563.8474999999889</v>
      </c>
    </row>
    <row r="47" spans="3:14" x14ac:dyDescent="0.25">
      <c r="C47" s="61">
        <f t="shared" si="3"/>
        <v>0</v>
      </c>
      <c r="K47" s="2">
        <f>SUM(K38:K46)</f>
        <v>399937.5</v>
      </c>
      <c r="M47" s="2">
        <f>SUM(M38:M46)</f>
        <v>381476.20000000007</v>
      </c>
      <c r="N47" s="83">
        <f t="shared" si="5"/>
        <v>-18461.29999999993</v>
      </c>
    </row>
    <row r="48" spans="3:14" x14ac:dyDescent="0.25">
      <c r="C48" s="61">
        <f t="shared" si="3"/>
        <v>0</v>
      </c>
      <c r="J48" s="4" t="s">
        <v>4150</v>
      </c>
      <c r="L48" s="4" t="s">
        <v>4150</v>
      </c>
      <c r="N48" s="83" t="s">
        <v>4133</v>
      </c>
    </row>
    <row r="49" spans="3:14" x14ac:dyDescent="0.25">
      <c r="C49" s="61">
        <f t="shared" si="3"/>
        <v>0</v>
      </c>
      <c r="J49" t="s">
        <v>90</v>
      </c>
      <c r="K49" s="2">
        <v>16000</v>
      </c>
      <c r="L49" t="s">
        <v>90</v>
      </c>
      <c r="M49" s="5">
        <v>-51489.461538461539</v>
      </c>
      <c r="N49" s="83">
        <f>M49-K49</f>
        <v>-67489.461538461532</v>
      </c>
    </row>
    <row r="50" spans="3:14" x14ac:dyDescent="0.25">
      <c r="C50" s="61">
        <f t="shared" si="3"/>
        <v>0</v>
      </c>
      <c r="J50" t="s">
        <v>206</v>
      </c>
      <c r="K50" s="2">
        <v>20000</v>
      </c>
      <c r="L50" t="s">
        <v>206</v>
      </c>
      <c r="M50" s="5">
        <v>-13747.99230769231</v>
      </c>
      <c r="N50" s="83">
        <f>K50+M50</f>
        <v>6252.0076923076904</v>
      </c>
    </row>
    <row r="51" spans="3:14" x14ac:dyDescent="0.25">
      <c r="C51" s="61">
        <f t="shared" si="3"/>
        <v>0</v>
      </c>
      <c r="J51" t="s">
        <v>52</v>
      </c>
      <c r="K51" s="2">
        <v>19000</v>
      </c>
      <c r="L51" t="s">
        <v>52</v>
      </c>
      <c r="M51" s="5">
        <v>-30335.439999999999</v>
      </c>
      <c r="N51" s="83">
        <f>K51+M51</f>
        <v>-11335.439999999999</v>
      </c>
    </row>
    <row r="52" spans="3:14" x14ac:dyDescent="0.25">
      <c r="C52" s="61">
        <f t="shared" si="3"/>
        <v>0</v>
      </c>
      <c r="J52" t="s">
        <v>58</v>
      </c>
      <c r="K52" s="2"/>
      <c r="L52" t="s">
        <v>58</v>
      </c>
      <c r="M52" s="5">
        <v>619201.21846153843</v>
      </c>
    </row>
    <row r="53" spans="3:14" x14ac:dyDescent="0.25">
      <c r="C53" s="61">
        <f t="shared" si="3"/>
        <v>0</v>
      </c>
      <c r="J53" t="s">
        <v>83</v>
      </c>
      <c r="K53" s="2">
        <v>28000</v>
      </c>
      <c r="L53" t="s">
        <v>83</v>
      </c>
      <c r="M53" s="5">
        <v>-18596.220769230771</v>
      </c>
      <c r="N53" s="83">
        <f>K53+M53</f>
        <v>9403.7792307692289</v>
      </c>
    </row>
    <row r="54" spans="3:14" x14ac:dyDescent="0.25">
      <c r="C54" s="61">
        <f t="shared" si="3"/>
        <v>0</v>
      </c>
      <c r="J54" t="s">
        <v>72</v>
      </c>
      <c r="K54" s="2">
        <v>61458.333333333343</v>
      </c>
      <c r="L54" t="s">
        <v>72</v>
      </c>
      <c r="M54" s="5">
        <v>-95566.901538461534</v>
      </c>
      <c r="N54" s="83">
        <f>K54+M54</f>
        <v>-34108.568205128191</v>
      </c>
    </row>
    <row r="55" spans="3:14" x14ac:dyDescent="0.25">
      <c r="C55" s="61">
        <f t="shared" si="3"/>
        <v>0</v>
      </c>
      <c r="J55" t="s">
        <v>46</v>
      </c>
      <c r="K55" s="2">
        <v>146500</v>
      </c>
      <c r="L55" t="s">
        <v>46</v>
      </c>
      <c r="M55" s="5">
        <v>-151700</v>
      </c>
      <c r="N55" s="83">
        <f>K55+M55</f>
        <v>-5200</v>
      </c>
    </row>
    <row r="56" spans="3:14" x14ac:dyDescent="0.25">
      <c r="C56" s="61">
        <f t="shared" si="3"/>
        <v>0</v>
      </c>
      <c r="J56" t="s">
        <v>167</v>
      </c>
      <c r="K56" s="2">
        <v>45200</v>
      </c>
      <c r="L56" t="s">
        <v>167</v>
      </c>
      <c r="M56" s="5">
        <v>-46276.132307692307</v>
      </c>
      <c r="N56" s="83">
        <f>K56+M56</f>
        <v>-1076.1323076923072</v>
      </c>
    </row>
    <row r="57" spans="3:14" x14ac:dyDescent="0.25">
      <c r="C57" s="61">
        <f t="shared" si="3"/>
        <v>0</v>
      </c>
      <c r="J57" t="s">
        <v>49</v>
      </c>
      <c r="K57" s="2">
        <v>79000</v>
      </c>
      <c r="L57" t="s">
        <v>49</v>
      </c>
      <c r="M57" s="5">
        <v>-84004.94</v>
      </c>
      <c r="N57" s="83">
        <f>K57+M57</f>
        <v>-5004.9400000000023</v>
      </c>
    </row>
    <row r="58" spans="3:14" x14ac:dyDescent="0.25">
      <c r="C58" s="61">
        <f t="shared" si="3"/>
        <v>0</v>
      </c>
      <c r="K58" s="2">
        <f>SUM(K49:K57)</f>
        <v>415158.33333333337</v>
      </c>
      <c r="M58" s="2">
        <f>SUM(M49:M57)</f>
        <v>127484.12999999995</v>
      </c>
      <c r="N58" s="83">
        <f>M58-K58</f>
        <v>-287674.20333333343</v>
      </c>
    </row>
    <row r="59" spans="3:14" x14ac:dyDescent="0.25">
      <c r="C59" s="61">
        <f t="shared" si="3"/>
        <v>0</v>
      </c>
    </row>
    <row r="60" spans="3:14" x14ac:dyDescent="0.25">
      <c r="C60" s="61">
        <f t="shared" si="3"/>
        <v>0</v>
      </c>
    </row>
    <row r="61" spans="3:14" x14ac:dyDescent="0.25">
      <c r="C61" s="61">
        <f t="shared" si="3"/>
        <v>0</v>
      </c>
    </row>
    <row r="62" spans="3:14" x14ac:dyDescent="0.25">
      <c r="C62" s="61">
        <f t="shared" si="3"/>
        <v>0</v>
      </c>
    </row>
    <row r="63" spans="3:14" x14ac:dyDescent="0.25">
      <c r="C63" s="61">
        <f t="shared" si="3"/>
        <v>0</v>
      </c>
    </row>
    <row r="64" spans="3:14" x14ac:dyDescent="0.25">
      <c r="C64" s="61">
        <f t="shared" si="3"/>
        <v>0</v>
      </c>
    </row>
    <row r="65" spans="3:3" x14ac:dyDescent="0.25">
      <c r="C65" s="61">
        <f t="shared" si="3"/>
        <v>0</v>
      </c>
    </row>
    <row r="66" spans="3:3" x14ac:dyDescent="0.25">
      <c r="C66" s="61">
        <f t="shared" si="3"/>
        <v>0</v>
      </c>
    </row>
    <row r="67" spans="3:3" x14ac:dyDescent="0.25">
      <c r="C67" s="61">
        <f t="shared" si="3"/>
        <v>0</v>
      </c>
    </row>
    <row r="68" spans="3:3" x14ac:dyDescent="0.25">
      <c r="C68" s="65"/>
    </row>
    <row r="69" spans="3:3" x14ac:dyDescent="0.25">
      <c r="C69" s="65"/>
    </row>
    <row r="70" spans="3:3" x14ac:dyDescent="0.25">
      <c r="C70" s="65"/>
    </row>
    <row r="71" spans="3:3" x14ac:dyDescent="0.25">
      <c r="C71" s="65"/>
    </row>
    <row r="72" spans="3:3" x14ac:dyDescent="0.25">
      <c r="C72" s="65"/>
    </row>
    <row r="73" spans="3:3" x14ac:dyDescent="0.25">
      <c r="C73" s="65"/>
    </row>
    <row r="74" spans="3:3" x14ac:dyDescent="0.25">
      <c r="C74" s="65"/>
    </row>
    <row r="75" spans="3:3" x14ac:dyDescent="0.25">
      <c r="C75" s="65"/>
    </row>
    <row r="323" spans="4:5" x14ac:dyDescent="0.25">
      <c r="D323" t="s">
        <v>49</v>
      </c>
      <c r="E323" t="s">
        <v>56</v>
      </c>
    </row>
    <row r="324" spans="4:5" x14ac:dyDescent="0.25">
      <c r="D324" t="s">
        <v>49</v>
      </c>
    </row>
  </sheetData>
  <pageMargins left="0.7" right="0.7" top="0.75" bottom="0.75" header="0.3" footer="0.3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J324"/>
  <sheetViews>
    <sheetView workbookViewId="0">
      <selection activeCell="F9" sqref="F9"/>
    </sheetView>
  </sheetViews>
  <sheetFormatPr defaultRowHeight="15" x14ac:dyDescent="0.25"/>
  <cols>
    <col min="1" max="1" width="15.85546875" style="64" bestFit="1" customWidth="1"/>
    <col min="2" max="2" width="16.42578125" style="64" bestFit="1" customWidth="1"/>
    <col min="3" max="3" width="13.42578125" style="64" bestFit="1" customWidth="1"/>
    <col min="4" max="4" width="17" style="64" bestFit="1" customWidth="1"/>
    <col min="5" max="5" width="14.5703125" style="64" bestFit="1" customWidth="1"/>
    <col min="6" max="6" width="18.85546875" style="64" bestFit="1" customWidth="1"/>
    <col min="7" max="7" width="15.7109375" style="64" bestFit="1" customWidth="1"/>
    <col min="8" max="8" width="20.42578125" style="64" bestFit="1" customWidth="1"/>
    <col min="9" max="9" width="19.140625" style="64" bestFit="1" customWidth="1"/>
  </cols>
  <sheetData>
    <row r="1" spans="1:10" x14ac:dyDescent="0.25">
      <c r="A1" s="3" t="s">
        <v>90</v>
      </c>
      <c r="B1" s="3" t="s">
        <v>206</v>
      </c>
      <c r="C1" s="3" t="s">
        <v>52</v>
      </c>
      <c r="D1" s="3" t="s">
        <v>58</v>
      </c>
      <c r="E1" s="3" t="s">
        <v>83</v>
      </c>
      <c r="F1" s="3" t="s">
        <v>72</v>
      </c>
      <c r="G1" s="3" t="s">
        <v>46</v>
      </c>
      <c r="H1" s="3" t="s">
        <v>167</v>
      </c>
      <c r="I1" s="3" t="s">
        <v>49</v>
      </c>
      <c r="J1" s="3" t="s">
        <v>1371</v>
      </c>
    </row>
    <row r="2" spans="1:10" x14ac:dyDescent="0.25">
      <c r="A2" t="s">
        <v>174</v>
      </c>
      <c r="B2" t="s">
        <v>206</v>
      </c>
      <c r="C2" t="s">
        <v>52</v>
      </c>
      <c r="D2" t="s">
        <v>58</v>
      </c>
      <c r="E2" t="s">
        <v>660</v>
      </c>
      <c r="F2" t="s">
        <v>728</v>
      </c>
      <c r="G2" t="s">
        <v>80</v>
      </c>
      <c r="H2" t="s">
        <v>183</v>
      </c>
      <c r="I2" t="s">
        <v>56</v>
      </c>
      <c r="J2" t="s">
        <v>1372</v>
      </c>
    </row>
    <row r="3" spans="1:10" x14ac:dyDescent="0.25">
      <c r="A3" t="s">
        <v>59</v>
      </c>
      <c r="B3" t="s">
        <v>830</v>
      </c>
      <c r="C3" t="s">
        <v>53</v>
      </c>
      <c r="D3" t="s">
        <v>3922</v>
      </c>
      <c r="E3" t="s">
        <v>84</v>
      </c>
      <c r="F3" t="s">
        <v>266</v>
      </c>
      <c r="G3" t="s">
        <v>1317</v>
      </c>
      <c r="H3" t="s">
        <v>168</v>
      </c>
      <c r="I3" t="s">
        <v>50</v>
      </c>
    </row>
    <row r="4" spans="1:10" x14ac:dyDescent="0.25">
      <c r="A4" t="s">
        <v>185</v>
      </c>
      <c r="B4" t="s">
        <v>234</v>
      </c>
      <c r="C4" t="s">
        <v>134</v>
      </c>
      <c r="D4" t="s">
        <v>3953</v>
      </c>
      <c r="E4" t="s">
        <v>4151</v>
      </c>
      <c r="F4" t="s">
        <v>445</v>
      </c>
      <c r="G4" t="s">
        <v>428</v>
      </c>
      <c r="H4" t="s">
        <v>1658</v>
      </c>
      <c r="I4" t="s">
        <v>164</v>
      </c>
    </row>
    <row r="5" spans="1:10" x14ac:dyDescent="0.25">
      <c r="A5" t="s">
        <v>111</v>
      </c>
      <c r="B5" t="s">
        <v>2123</v>
      </c>
      <c r="C5" t="s">
        <v>4006</v>
      </c>
      <c r="D5" t="s">
        <v>3684</v>
      </c>
      <c r="E5" t="s">
        <v>903</v>
      </c>
      <c r="F5" t="s">
        <v>126</v>
      </c>
      <c r="G5" t="s">
        <v>61</v>
      </c>
      <c r="H5" t="s">
        <v>2200</v>
      </c>
      <c r="I5" t="s">
        <v>232</v>
      </c>
    </row>
    <row r="6" spans="1:10" x14ac:dyDescent="0.25">
      <c r="A6" t="s">
        <v>106</v>
      </c>
      <c r="D6" t="s">
        <v>109</v>
      </c>
      <c r="E6" t="s">
        <v>2891</v>
      </c>
      <c r="F6" t="s">
        <v>197</v>
      </c>
      <c r="G6" t="s">
        <v>145</v>
      </c>
      <c r="H6" t="s">
        <v>32</v>
      </c>
      <c r="I6" t="s">
        <v>213</v>
      </c>
    </row>
    <row r="7" spans="1:10" x14ac:dyDescent="0.25">
      <c r="A7" t="s">
        <v>93</v>
      </c>
      <c r="E7" t="s">
        <v>2151</v>
      </c>
      <c r="F7" t="s">
        <v>1023</v>
      </c>
      <c r="G7" t="s">
        <v>10</v>
      </c>
      <c r="H7" t="s">
        <v>1</v>
      </c>
      <c r="I7" t="s">
        <v>1165</v>
      </c>
    </row>
    <row r="8" spans="1:10" x14ac:dyDescent="0.25">
      <c r="A8" t="s">
        <v>91</v>
      </c>
      <c r="F8" t="s">
        <v>506</v>
      </c>
      <c r="G8" t="s">
        <v>3095</v>
      </c>
      <c r="H8" t="s">
        <v>1617</v>
      </c>
      <c r="I8" t="s">
        <v>67</v>
      </c>
    </row>
    <row r="9" spans="1:10" x14ac:dyDescent="0.25">
      <c r="F9" t="s">
        <v>73</v>
      </c>
      <c r="G9" t="s">
        <v>63</v>
      </c>
      <c r="H9" t="s">
        <v>555</v>
      </c>
    </row>
    <row r="10" spans="1:10" x14ac:dyDescent="0.25">
      <c r="F10" t="s">
        <v>109</v>
      </c>
      <c r="G10" t="s">
        <v>512</v>
      </c>
      <c r="H10" t="s">
        <v>4152</v>
      </c>
    </row>
    <row r="11" spans="1:10" x14ac:dyDescent="0.25">
      <c r="F11" t="s">
        <v>3684</v>
      </c>
      <c r="G11" t="s">
        <v>150</v>
      </c>
    </row>
    <row r="12" spans="1:10" x14ac:dyDescent="0.25">
      <c r="F12" t="s">
        <v>737</v>
      </c>
      <c r="G12" t="s">
        <v>3696</v>
      </c>
    </row>
    <row r="13" spans="1:10" x14ac:dyDescent="0.25">
      <c r="G13" t="s">
        <v>47</v>
      </c>
    </row>
    <row r="14" spans="1:10" x14ac:dyDescent="0.25">
      <c r="G14" t="s">
        <v>3410</v>
      </c>
    </row>
    <row r="15" spans="1:10" x14ac:dyDescent="0.25">
      <c r="G15" t="s">
        <v>3256</v>
      </c>
    </row>
    <row r="323" spans="4:5" x14ac:dyDescent="0.25">
      <c r="D323" t="s">
        <v>49</v>
      </c>
      <c r="E323" t="s">
        <v>56</v>
      </c>
    </row>
    <row r="324" spans="4:5" x14ac:dyDescent="0.25">
      <c r="D324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F24F-7773-4872-910B-FACB7228078B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66" t="s">
        <v>36</v>
      </c>
      <c r="B1" s="66" t="s">
        <v>37</v>
      </c>
      <c r="C1" s="66" t="s">
        <v>38</v>
      </c>
      <c r="D1" s="66" t="s">
        <v>39</v>
      </c>
      <c r="E1" s="66" t="s">
        <v>40</v>
      </c>
      <c r="F1" s="6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Raiffeisen_formater</vt:lpstr>
      <vt:lpstr>Unicredit_formater</vt:lpstr>
      <vt:lpstr>ÖSSZEGZÉS</vt:lpstr>
      <vt:lpstr>Részletes</vt:lpstr>
      <vt:lpstr>tételek</vt:lpstr>
      <vt:lpstr>Költség Megoszlás</vt:lpstr>
      <vt:lpstr>dropdown list</vt:lpstr>
      <vt:lpstr>neew</vt:lpstr>
      <vt:lpstr>Egészség</vt:lpstr>
      <vt:lpstr>Egyéb</vt:lpstr>
      <vt:lpstr>Étterem</vt:lpstr>
      <vt:lpstr>Fizetés</vt:lpstr>
      <vt:lpstr>Kikapcsolódás</vt:lpstr>
      <vt:lpstr>Közlekedés</vt:lpstr>
      <vt:lpstr>Lakhatás</vt:lpstr>
      <vt:lpstr>NemKategorizalt</vt:lpstr>
      <vt:lpstr>Pénzügy</vt:lpstr>
      <vt:lpstr>Tervezett</vt:lpstr>
      <vt:lpstr>Törlesztő</vt:lpstr>
      <vt:lpstr>Vásárlás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</dc:creator>
  <cp:lastModifiedBy>Gergely</cp:lastModifiedBy>
  <dcterms:created xsi:type="dcterms:W3CDTF">2020-04-23T16:00:55Z</dcterms:created>
  <dcterms:modified xsi:type="dcterms:W3CDTF">2024-06-05T13:33:10Z</dcterms:modified>
</cp:coreProperties>
</file>