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\Documents\EAGLE\projects\DCDC\doc\"/>
    </mc:Choice>
  </mc:AlternateContent>
  <xr:revisionPtr revIDLastSave="0" documentId="13_ncr:1_{D7208DA5-29C5-4DC1-8B34-324C95A8E329}" xr6:coauthVersionLast="47" xr6:coauthVersionMax="47" xr10:uidLastSave="{00000000-0000-0000-0000-000000000000}"/>
  <bookViews>
    <workbookView xWindow="530" yWindow="0" windowWidth="17320" windowHeight="19950" activeTab="1" xr2:uid="{C17DE87D-D3A8-4F0B-998C-A262C791429E}"/>
  </bookViews>
  <sheets>
    <sheet name="5V" sheetId="1" r:id="rId1"/>
    <sheet name="3.3V" sheetId="2" r:id="rId2"/>
    <sheet name="12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3" l="1"/>
  <c r="B44" i="3" s="1"/>
  <c r="D44" i="3" s="1"/>
  <c r="D73" i="3"/>
  <c r="B63" i="3"/>
  <c r="B62" i="3"/>
  <c r="B61" i="3"/>
  <c r="B60" i="3"/>
  <c r="B59" i="3"/>
  <c r="B57" i="3"/>
  <c r="B55" i="3"/>
  <c r="B47" i="3"/>
  <c r="B39" i="3"/>
  <c r="B38" i="3"/>
  <c r="D38" i="3" s="1"/>
  <c r="B37" i="3"/>
  <c r="F37" i="3" s="1"/>
  <c r="B34" i="3"/>
  <c r="D34" i="3" s="1"/>
  <c r="B30" i="3"/>
  <c r="D30" i="3" s="1"/>
  <c r="D29" i="3"/>
  <c r="B25" i="3"/>
  <c r="B24" i="3"/>
  <c r="B54" i="3" s="1"/>
  <c r="B56" i="3" s="1"/>
  <c r="B23" i="3"/>
  <c r="B26" i="3" s="1"/>
  <c r="B27" i="3" s="1"/>
  <c r="D14" i="3"/>
  <c r="B68" i="3" s="1"/>
  <c r="B13" i="3"/>
  <c r="B74" i="3" s="1"/>
  <c r="D74" i="3" s="1"/>
  <c r="B17" i="2"/>
  <c r="B44" i="2" s="1"/>
  <c r="D44" i="2" s="1"/>
  <c r="D73" i="2"/>
  <c r="B63" i="2"/>
  <c r="B62" i="2"/>
  <c r="B61" i="2"/>
  <c r="B60" i="2"/>
  <c r="B59" i="2"/>
  <c r="B57" i="2"/>
  <c r="B55" i="2"/>
  <c r="B47" i="2"/>
  <c r="B39" i="2"/>
  <c r="B38" i="2"/>
  <c r="D38" i="2" s="1"/>
  <c r="B37" i="2"/>
  <c r="F37" i="2" s="1"/>
  <c r="B34" i="2"/>
  <c r="D34" i="2" s="1"/>
  <c r="B30" i="2"/>
  <c r="B31" i="2" s="1"/>
  <c r="D31" i="2" s="1"/>
  <c r="D29" i="2"/>
  <c r="B25" i="2"/>
  <c r="B24" i="2"/>
  <c r="B54" i="2" s="1"/>
  <c r="B56" i="2" s="1"/>
  <c r="B23" i="2"/>
  <c r="B26" i="2" s="1"/>
  <c r="B27" i="2" s="1"/>
  <c r="D14" i="2"/>
  <c r="B68" i="2" s="1"/>
  <c r="B13" i="2"/>
  <c r="B74" i="2" s="1"/>
  <c r="D74" i="2" s="1"/>
  <c r="B19" i="1"/>
  <c r="D19" i="1"/>
  <c r="D73" i="1"/>
  <c r="D14" i="1"/>
  <c r="B68" i="1" s="1"/>
  <c r="B63" i="1"/>
  <c r="B62" i="1"/>
  <c r="B61" i="1"/>
  <c r="B60" i="1"/>
  <c r="B59" i="1"/>
  <c r="B24" i="1"/>
  <c r="B54" i="1" s="1"/>
  <c r="D29" i="1"/>
  <c r="B57" i="1"/>
  <c r="B55" i="1"/>
  <c r="B47" i="1"/>
  <c r="B34" i="1"/>
  <c r="B39" i="1"/>
  <c r="D39" i="1" s="1"/>
  <c r="B38" i="1"/>
  <c r="D38" i="1" s="1"/>
  <c r="B37" i="1"/>
  <c r="F37" i="1" s="1"/>
  <c r="B30" i="1"/>
  <c r="D30" i="1" s="1"/>
  <c r="B13" i="1"/>
  <c r="D13" i="1" s="1"/>
  <c r="B18" i="1"/>
  <c r="H18" i="1" s="1"/>
  <c r="B25" i="1"/>
  <c r="B23" i="1"/>
  <c r="B26" i="1" s="1"/>
  <c r="B18" i="2" l="1"/>
  <c r="H18" i="2" s="1"/>
  <c r="B64" i="2"/>
  <c r="B69" i="2"/>
  <c r="D69" i="2" s="1"/>
  <c r="B20" i="2"/>
  <c r="D17" i="2"/>
  <c r="B18" i="3"/>
  <c r="H18" i="3" s="1"/>
  <c r="D17" i="3"/>
  <c r="B20" i="3"/>
  <c r="B64" i="3"/>
  <c r="B40" i="3"/>
  <c r="D40" i="3" s="1"/>
  <c r="B69" i="3"/>
  <c r="D69" i="3" s="1"/>
  <c r="D27" i="3"/>
  <c r="B28" i="3"/>
  <c r="D13" i="3"/>
  <c r="B31" i="3"/>
  <c r="D31" i="3" s="1"/>
  <c r="D18" i="3"/>
  <c r="G18" i="3"/>
  <c r="E37" i="3"/>
  <c r="D19" i="3"/>
  <c r="D39" i="3"/>
  <c r="B40" i="2"/>
  <c r="D40" i="2" s="1"/>
  <c r="D27" i="2"/>
  <c r="B28" i="2"/>
  <c r="D13" i="2"/>
  <c r="D30" i="2"/>
  <c r="D18" i="2"/>
  <c r="G18" i="2"/>
  <c r="E37" i="2"/>
  <c r="D19" i="2"/>
  <c r="D39" i="2"/>
  <c r="B74" i="1"/>
  <c r="D74" i="1" s="1"/>
  <c r="B40" i="1"/>
  <c r="D40" i="1" s="1"/>
  <c r="B31" i="1"/>
  <c r="D31" i="1" s="1"/>
  <c r="B20" i="1"/>
  <c r="B44" i="1"/>
  <c r="D44" i="1" s="1"/>
  <c r="B56" i="1"/>
  <c r="B69" i="1"/>
  <c r="D69" i="1" s="1"/>
  <c r="B64" i="1"/>
  <c r="D17" i="1"/>
  <c r="B27" i="1"/>
  <c r="E37" i="1"/>
  <c r="D34" i="1"/>
  <c r="D18" i="1"/>
  <c r="G18" i="1"/>
  <c r="F28" i="3" l="1"/>
  <c r="E28" i="3"/>
  <c r="F28" i="2"/>
  <c r="E28" i="2"/>
  <c r="B28" i="1"/>
  <c r="D27" i="1"/>
  <c r="E28" i="1"/>
  <c r="F28" i="1"/>
</calcChain>
</file>

<file path=xl/sharedStrings.xml><?xml version="1.0" encoding="utf-8"?>
<sst xmlns="http://schemas.openxmlformats.org/spreadsheetml/2006/main" count="393" uniqueCount="82">
  <si>
    <t>LM3150MHX/NOPB Calculator</t>
  </si>
  <si>
    <t>Vout</t>
  </si>
  <si>
    <t>Vinmin</t>
  </si>
  <si>
    <t>1. Conditions:</t>
  </si>
  <si>
    <t>Rfb2</t>
  </si>
  <si>
    <t>0. Constants:</t>
  </si>
  <si>
    <t>2. FB Resistors:</t>
  </si>
  <si>
    <t>3. Ron and Fs</t>
  </si>
  <si>
    <t>Rfb2 (calc)</t>
  </si>
  <si>
    <t>Dmin (calc)</t>
  </si>
  <si>
    <t>Dmax (calc)</t>
  </si>
  <si>
    <t>Fsmax (calc)</t>
  </si>
  <si>
    <t>kHz</t>
  </si>
  <si>
    <t>V</t>
  </si>
  <si>
    <t>Vfb</t>
  </si>
  <si>
    <t>Vintyp</t>
  </si>
  <si>
    <t>Vinmax</t>
  </si>
  <si>
    <t>A</t>
  </si>
  <si>
    <t>ms</t>
  </si>
  <si>
    <t>Ityp</t>
  </si>
  <si>
    <t>Imax</t>
  </si>
  <si>
    <t>Tss</t>
  </si>
  <si>
    <t>Rfb1</t>
  </si>
  <si>
    <t>kOhm</t>
  </si>
  <si>
    <t>ns</t>
  </si>
  <si>
    <t>Toff (calc)</t>
  </si>
  <si>
    <t>Fs (calc)</t>
  </si>
  <si>
    <t>Fs</t>
  </si>
  <si>
    <t>Ron (calc)</t>
  </si>
  <si>
    <t>Rond (calc)</t>
  </si>
  <si>
    <t>4. Inductor</t>
  </si>
  <si>
    <t>V*us</t>
  </si>
  <si>
    <t>Irmsco (calc)</t>
  </si>
  <si>
    <t>Ton (calc)</t>
  </si>
  <si>
    <t>Comin (calc)</t>
  </si>
  <si>
    <t>5. C Output</t>
  </si>
  <si>
    <t>uF</t>
  </si>
  <si>
    <t>ESRmax (calc)</t>
  </si>
  <si>
    <t>Ohm</t>
  </si>
  <si>
    <t>Hz</t>
  </si>
  <si>
    <t>s</t>
  </si>
  <si>
    <t>https://datasheet.lcsc.com/lcsc/1806151712_Texas-Instruments-LM3150MHX-NOPB_C48112.pdf</t>
  </si>
  <si>
    <t>V*s</t>
  </si>
  <si>
    <t>F</t>
  </si>
  <si>
    <t>???</t>
  </si>
  <si>
    <t>6. C Feed-Forward</t>
  </si>
  <si>
    <t>Cff (calc)</t>
  </si>
  <si>
    <t>pF</t>
  </si>
  <si>
    <t>7. MOSFET &amp; Rlim</t>
  </si>
  <si>
    <t>Pcond (calc)</t>
  </si>
  <si>
    <t>ESRmin (calc)</t>
  </si>
  <si>
    <t>mOhm</t>
  </si>
  <si>
    <t>Rds(on)</t>
  </si>
  <si>
    <t>W</t>
  </si>
  <si>
    <t>Psw (calc)</t>
  </si>
  <si>
    <t>Vds &gt; (calc)</t>
  </si>
  <si>
    <t>Vcc</t>
  </si>
  <si>
    <t>Vth</t>
  </si>
  <si>
    <t>Pdh (calc)</t>
  </si>
  <si>
    <t>Tch</t>
  </si>
  <si>
    <t>°C</t>
  </si>
  <si>
    <t>θja</t>
  </si>
  <si>
    <t>°C/W</t>
  </si>
  <si>
    <t>Pdmax (calc)</t>
  </si>
  <si>
    <t>Dtyp (calc)</t>
  </si>
  <si>
    <t>7.1. Hi-Side</t>
  </si>
  <si>
    <t>7.2. Low-Side</t>
  </si>
  <si>
    <t>Pdl (calc)</t>
  </si>
  <si>
    <t>Rlim (calc)</t>
  </si>
  <si>
    <t>8. C Input</t>
  </si>
  <si>
    <t>Cin (calc)</t>
  </si>
  <si>
    <t>%</t>
  </si>
  <si>
    <t>Vripple</t>
  </si>
  <si>
    <t>9. C Soft-Start</t>
  </si>
  <si>
    <t>ΔVin-max (calc)</t>
  </si>
  <si>
    <t>Css (calc)</t>
  </si>
  <si>
    <t>Vref</t>
  </si>
  <si>
    <t>Iss</t>
  </si>
  <si>
    <t>uA</t>
  </si>
  <si>
    <t>ET (calc)</t>
  </si>
  <si>
    <t>Vout_f (calc)</t>
  </si>
  <si>
    <t>NCE3050K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</si>
</sst>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0" applyNumberFormat="1"/>
    <xf numFmtId="0" fontId="1" fillId="0" borderId="0" xfId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2">
    <cellStyle name="Hyperlink" xfId="1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BF752B4-A587-4329-8B5A-839D55E313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219DBCD-5B0A-4997-97EE-DE56E97C9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53882</xdr:colOff>
      <xdr:row>15</xdr:row>
      <xdr:rowOff>165099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EC2CEE49-F19B-4EA2-A0E9-A088FAA54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51300" y="184150"/>
          <a:ext cx="5387882" cy="2743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datasheet.lcsc.com/lcsc/1806151712_Texas-Instruments-LM3150MHX-NOPB_C481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D372-FD9A-401D-80C0-F303A26CDA15}">
  <dimension ref="A1:H74"/>
  <sheetViews>
    <sheetView workbookViewId="0">
      <selection activeCell="B7" sqref="B7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5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v>10000</v>
      </c>
      <c r="C17" t="s">
        <v>38</v>
      </c>
      <c r="D17">
        <f>B17/1000</f>
        <v>10</v>
      </c>
      <c r="E17" t="s">
        <v>23</v>
      </c>
    </row>
    <row r="18" spans="1:8" x14ac:dyDescent="0.35">
      <c r="A18" t="s">
        <v>8</v>
      </c>
      <c r="B18">
        <f>B17*(B7/B4-1)</f>
        <v>73333.333333333343</v>
      </c>
      <c r="C18" s="1" t="s">
        <v>38</v>
      </c>
      <c r="D18">
        <f>B18/1000</f>
        <v>73.333333333333343</v>
      </c>
      <c r="E18" t="s">
        <v>23</v>
      </c>
      <c r="F18" s="1">
        <v>0.02</v>
      </c>
      <c r="G18">
        <f>B18-B18*F18</f>
        <v>71866.666666666672</v>
      </c>
      <c r="H18">
        <f>B18+B18*F18</f>
        <v>74800.000000000015</v>
      </c>
    </row>
    <row r="19" spans="1:8" x14ac:dyDescent="0.35">
      <c r="A19" t="s">
        <v>4</v>
      </c>
      <c r="B19" s="4">
        <f>68000+3000+3000</f>
        <v>74000</v>
      </c>
      <c r="C19" t="s">
        <v>38</v>
      </c>
      <c r="D19">
        <f>B19/1000</f>
        <v>74</v>
      </c>
      <c r="E19" t="s">
        <v>23</v>
      </c>
    </row>
    <row r="20" spans="1:8" x14ac:dyDescent="0.35">
      <c r="A20" t="s">
        <v>80</v>
      </c>
      <c r="B20" s="5">
        <f>(B19/B17+1)*B4</f>
        <v>5.04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0.3125</v>
      </c>
    </row>
    <row r="24" spans="1:8" x14ac:dyDescent="0.35">
      <c r="A24" t="s">
        <v>64</v>
      </c>
      <c r="B24">
        <f>B7/B9</f>
        <v>0.41666666666666669</v>
      </c>
    </row>
    <row r="25" spans="1:8" x14ac:dyDescent="0.35">
      <c r="A25" t="s">
        <v>10</v>
      </c>
      <c r="B25">
        <f>B7/B8</f>
        <v>0.83333333333333337</v>
      </c>
    </row>
    <row r="26" spans="1:8" x14ac:dyDescent="0.35">
      <c r="A26" t="s">
        <v>11</v>
      </c>
      <c r="B26">
        <f>B23/(0.0000002)</f>
        <v>1562500</v>
      </c>
      <c r="C26" t="s">
        <v>39</v>
      </c>
    </row>
    <row r="27" spans="1:8" x14ac:dyDescent="0.35">
      <c r="A27" t="s">
        <v>25</v>
      </c>
      <c r="B27">
        <f>(1-B25)/B26</f>
        <v>1.0666666666666664E-7</v>
      </c>
      <c r="C27" t="s">
        <v>40</v>
      </c>
      <c r="D27">
        <f>B27*10000000</f>
        <v>1.0666666666666664</v>
      </c>
      <c r="E27" t="s">
        <v>18</v>
      </c>
    </row>
    <row r="28" spans="1:8" x14ac:dyDescent="0.35">
      <c r="A28" t="s">
        <v>26</v>
      </c>
      <c r="B28">
        <f>(1-B25)/(B27+0.0000002)</f>
        <v>543478.26086956507</v>
      </c>
      <c r="C28" t="s">
        <v>39</v>
      </c>
      <c r="D28" s="1">
        <v>0.1</v>
      </c>
      <c r="E28">
        <f>B28-B28*D28</f>
        <v>489130.43478260853</v>
      </c>
      <c r="F28">
        <f>B28+B28*D28</f>
        <v>597826.08695652161</v>
      </c>
    </row>
    <row r="29" spans="1:8" x14ac:dyDescent="0.35">
      <c r="A29" t="s">
        <v>27</v>
      </c>
      <c r="B29" s="4">
        <v>500000</v>
      </c>
      <c r="C29" t="s">
        <v>39</v>
      </c>
      <c r="D29">
        <f>B29/1000</f>
        <v>500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87388.666666666672</v>
      </c>
      <c r="C31" t="s">
        <v>38</v>
      </c>
      <c r="D31" s="5">
        <f>B31/1000</f>
        <v>87.388666666666666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6.8749999999999994E-6</v>
      </c>
      <c r="C34" t="s">
        <v>42</v>
      </c>
      <c r="D34">
        <f>B34*1000000</f>
        <v>6.8749999999999991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8.3333333333333333E-7</v>
      </c>
      <c r="C38" t="s">
        <v>40</v>
      </c>
      <c r="D38">
        <f>B38*1000000000</f>
        <v>833.33333333333337</v>
      </c>
      <c r="E38" t="s">
        <v>24</v>
      </c>
    </row>
    <row r="39" spans="1:6" x14ac:dyDescent="0.35">
      <c r="A39" t="s">
        <v>34</v>
      </c>
      <c r="B39">
        <f>70/(B29^2*0.00000165)</f>
        <v>1.6969696969696969E-4</v>
      </c>
      <c r="C39" t="s">
        <v>43</v>
      </c>
      <c r="D39" s="5">
        <f>B39*1000000</f>
        <v>169.69696969696969</v>
      </c>
      <c r="E39" t="s">
        <v>36</v>
      </c>
    </row>
    <row r="40" spans="1:6" x14ac:dyDescent="0.35">
      <c r="A40" t="s">
        <v>37</v>
      </c>
      <c r="B40">
        <f>(0.08*B39*B37*1)/B34</f>
        <v>2.0521223452320183</v>
      </c>
      <c r="C40" t="s">
        <v>38</v>
      </c>
      <c r="D40">
        <f>B40*1000</f>
        <v>2052.1223452320182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1.8918918918918919E-10</v>
      </c>
      <c r="C44" t="s">
        <v>43</v>
      </c>
      <c r="D44" s="5">
        <f>B44*1000000000000</f>
        <v>189.18918918918919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0.33333333333333337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0.27818181818181814</v>
      </c>
      <c r="C55" t="s">
        <v>53</v>
      </c>
    </row>
    <row r="56" spans="1:3" x14ac:dyDescent="0.35">
      <c r="A56" t="s">
        <v>58</v>
      </c>
      <c r="B56">
        <f>B54+B55</f>
        <v>0.61151515151515157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0.46666666666666662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8.1018518518518503E-6</v>
      </c>
      <c r="C69" t="s">
        <v>43</v>
      </c>
      <c r="D69" s="5">
        <f>B69*1000000</f>
        <v>8.1018518518518494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20" priority="6" operator="lessThan">
      <formula>$E$28</formula>
    </cfRule>
    <cfRule type="cellIs" dxfId="19" priority="7" operator="greaterThan">
      <formula>$F$28</formula>
    </cfRule>
  </conditionalFormatting>
  <conditionalFormatting sqref="B19">
    <cfRule type="cellIs" dxfId="18" priority="10" operator="lessThan">
      <formula>$G$18</formula>
    </cfRule>
    <cfRule type="cellIs" dxfId="17" priority="11" operator="greaterThan">
      <formula>$H$18</formula>
    </cfRule>
  </conditionalFormatting>
  <conditionalFormatting sqref="B56">
    <cfRule type="cellIs" dxfId="16" priority="3" operator="greaterThan">
      <formula>$B$57</formula>
    </cfRule>
  </conditionalFormatting>
  <conditionalFormatting sqref="B64">
    <cfRule type="cellIs" dxfId="15" priority="2" operator="greaterThan">
      <formula>$B$57</formula>
    </cfRule>
  </conditionalFormatting>
  <conditionalFormatting sqref="B20">
    <cfRule type="cellIs" dxfId="14" priority="1" operator="lessThan">
      <formula>$B$7</formula>
    </cfRule>
  </conditionalFormatting>
  <hyperlinks>
    <hyperlink ref="D1" r:id="rId1" xr:uid="{E45BFA85-D7EA-4DEE-928D-EE60C8A55F03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30-8D2C-4258-99A0-6269838FD908}">
  <dimension ref="A1:H74"/>
  <sheetViews>
    <sheetView tabSelected="1" topLeftCell="A16" workbookViewId="0">
      <selection activeCell="A65" sqref="A65:XFD65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3.3</v>
      </c>
      <c r="C7" t="s">
        <v>13</v>
      </c>
    </row>
    <row r="8" spans="1:5" x14ac:dyDescent="0.35">
      <c r="A8" t="s">
        <v>2</v>
      </c>
      <c r="B8" s="4">
        <v>6</v>
      </c>
      <c r="C8" t="s">
        <v>13</v>
      </c>
    </row>
    <row r="9" spans="1:5" x14ac:dyDescent="0.35">
      <c r="A9" t="s">
        <v>15</v>
      </c>
      <c r="B9" s="4">
        <v>12</v>
      </c>
      <c r="C9" t="s">
        <v>13</v>
      </c>
    </row>
    <row r="10" spans="1:5" x14ac:dyDescent="0.35">
      <c r="A10" t="s">
        <v>16</v>
      </c>
      <c r="B10" s="4">
        <v>16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46485</v>
      </c>
      <c r="C18" s="1" t="s">
        <v>38</v>
      </c>
      <c r="D18">
        <f>B18/1000</f>
        <v>46.484999999999999</v>
      </c>
      <c r="E18" t="s">
        <v>23</v>
      </c>
      <c r="F18" s="1">
        <v>0.02</v>
      </c>
      <c r="G18">
        <f>B18-B18*F18</f>
        <v>45555.3</v>
      </c>
      <c r="H18">
        <f>B18+B18*F18</f>
        <v>47414.7</v>
      </c>
    </row>
    <row r="19" spans="1:8" x14ac:dyDescent="0.35">
      <c r="A19" t="s">
        <v>4</v>
      </c>
      <c r="B19" s="4">
        <v>47000</v>
      </c>
      <c r="C19" t="s">
        <v>38</v>
      </c>
      <c r="D19">
        <f>B19/1000</f>
        <v>47</v>
      </c>
      <c r="E19" t="s">
        <v>23</v>
      </c>
    </row>
    <row r="20" spans="1:8" x14ac:dyDescent="0.35">
      <c r="A20" t="s">
        <v>80</v>
      </c>
      <c r="B20" s="5">
        <f>(B19/B17+1)*B4</f>
        <v>3.329912875121007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0.20624999999999999</v>
      </c>
    </row>
    <row r="24" spans="1:8" x14ac:dyDescent="0.35">
      <c r="A24" t="s">
        <v>64</v>
      </c>
      <c r="B24">
        <f>B7/B9</f>
        <v>0.27499999999999997</v>
      </c>
    </row>
    <row r="25" spans="1:8" x14ac:dyDescent="0.35">
      <c r="A25" t="s">
        <v>10</v>
      </c>
      <c r="B25">
        <f>B7/B8</f>
        <v>0.54999999999999993</v>
      </c>
    </row>
    <row r="26" spans="1:8" x14ac:dyDescent="0.35">
      <c r="A26" t="s">
        <v>11</v>
      </c>
      <c r="B26">
        <f>B23/(0.0000002)</f>
        <v>1031250</v>
      </c>
      <c r="C26" t="s">
        <v>39</v>
      </c>
    </row>
    <row r="27" spans="1:8" x14ac:dyDescent="0.35">
      <c r="A27" t="s">
        <v>25</v>
      </c>
      <c r="B27">
        <f>(1-B25)/B26</f>
        <v>4.3636363636363641E-7</v>
      </c>
      <c r="C27" t="s">
        <v>40</v>
      </c>
      <c r="D27">
        <f>B27*10000000</f>
        <v>4.3636363636363642</v>
      </c>
      <c r="E27" t="s">
        <v>18</v>
      </c>
    </row>
    <row r="28" spans="1:8" x14ac:dyDescent="0.35">
      <c r="A28" t="s">
        <v>26</v>
      </c>
      <c r="B28">
        <f>(1-B25)/(B27+0.0000002)</f>
        <v>707142.85714285716</v>
      </c>
      <c r="C28" t="s">
        <v>39</v>
      </c>
      <c r="D28" s="1">
        <v>0.1</v>
      </c>
      <c r="E28">
        <f>B28-B28*D28</f>
        <v>636428.57142857148</v>
      </c>
      <c r="F28">
        <f>B28+B28*D28</f>
        <v>777857.14285714284</v>
      </c>
    </row>
    <row r="29" spans="1:8" x14ac:dyDescent="0.35">
      <c r="A29" t="s">
        <v>27</v>
      </c>
      <c r="B29" s="4">
        <v>700000</v>
      </c>
      <c r="C29" t="s">
        <v>39</v>
      </c>
      <c r="D29">
        <f>B29/1000</f>
        <v>700</v>
      </c>
      <c r="E29" t="s">
        <v>12</v>
      </c>
    </row>
    <row r="30" spans="1:8" x14ac:dyDescent="0.35">
      <c r="A30" t="s">
        <v>29</v>
      </c>
      <c r="B30">
        <f>-((B9-1)*(B9*16.5+100))-1000</f>
        <v>-4278</v>
      </c>
      <c r="C30" t="s">
        <v>38</v>
      </c>
      <c r="D30">
        <f>B30/1000</f>
        <v>-4.2779999999999996</v>
      </c>
      <c r="E30" t="s">
        <v>23</v>
      </c>
    </row>
    <row r="31" spans="1:8" x14ac:dyDescent="0.35">
      <c r="A31" t="s">
        <v>28</v>
      </c>
      <c r="B31">
        <f>((B7*B9)-B7)/(B9*0.0000000001*B29)+(B30)</f>
        <v>38936.28571428571</v>
      </c>
      <c r="C31" t="s">
        <v>38</v>
      </c>
      <c r="D31" s="5">
        <f>B31/1000</f>
        <v>38.93628571428571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3.7419642857142854E-6</v>
      </c>
      <c r="C34" t="s">
        <v>42</v>
      </c>
      <c r="D34">
        <f>B34*1000000</f>
        <v>3.7419642857142854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1.0392304845413263</v>
      </c>
      <c r="C37" t="s">
        <v>17</v>
      </c>
      <c r="D37" s="1">
        <v>0.05</v>
      </c>
      <c r="E37">
        <f>B37-B37*D37</f>
        <v>0.98726896031425992</v>
      </c>
      <c r="F37">
        <f>B37+B37*D37</f>
        <v>1.0911920087683926</v>
      </c>
    </row>
    <row r="38" spans="1:6" x14ac:dyDescent="0.35">
      <c r="A38" t="s">
        <v>33</v>
      </c>
      <c r="B38">
        <f>(B7/B9)/B29</f>
        <v>3.9285714285714281E-7</v>
      </c>
      <c r="C38" t="s">
        <v>40</v>
      </c>
      <c r="D38">
        <f>B38*1000000000</f>
        <v>392.85714285714283</v>
      </c>
      <c r="E38" t="s">
        <v>24</v>
      </c>
    </row>
    <row r="39" spans="1:6" x14ac:dyDescent="0.35">
      <c r="A39" t="s">
        <v>34</v>
      </c>
      <c r="B39">
        <f>70/(B29^2*0.00000165)</f>
        <v>8.658008658008658E-5</v>
      </c>
      <c r="C39" t="s">
        <v>43</v>
      </c>
      <c r="D39" s="5">
        <f>B39*1000000</f>
        <v>86.580086580086586</v>
      </c>
      <c r="E39" t="s">
        <v>36</v>
      </c>
    </row>
    <row r="40" spans="1:6" x14ac:dyDescent="0.35">
      <c r="A40" t="s">
        <v>37</v>
      </c>
      <c r="B40">
        <f>(0.08*B39*B37*1)/B34</f>
        <v>1.9236242456243144</v>
      </c>
      <c r="C40" t="s">
        <v>38</v>
      </c>
      <c r="D40">
        <f>B40*1000</f>
        <v>1923.6242456243144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9.2778727523634948E-11</v>
      </c>
      <c r="C44" t="s">
        <v>43</v>
      </c>
      <c r="D44" s="5">
        <f>B44*1000000000000</f>
        <v>92.778727523634942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19.2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0.21999999999999997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0.38945454545454544</v>
      </c>
      <c r="C55" t="s">
        <v>53</v>
      </c>
    </row>
    <row r="56" spans="1:3" x14ac:dyDescent="0.35">
      <c r="A56" t="s">
        <v>58</v>
      </c>
      <c r="B56">
        <f>B54+B55</f>
        <v>0.60945454545454547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0.58000000000000007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0.60000000000000009</v>
      </c>
    </row>
    <row r="69" spans="1:6" x14ac:dyDescent="0.35">
      <c r="A69" t="s">
        <v>70</v>
      </c>
      <c r="B69">
        <f>(B11*B24*(1-B24))/(B29*B68)</f>
        <v>4.7470238095238085E-6</v>
      </c>
      <c r="C69" t="s">
        <v>43</v>
      </c>
      <c r="D69" s="5">
        <f>B69*1000000</f>
        <v>4.7470238095238084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13" priority="4" operator="lessThan">
      <formula>$E$28</formula>
    </cfRule>
    <cfRule type="cellIs" dxfId="12" priority="5" operator="greaterThan">
      <formula>$F$28</formula>
    </cfRule>
  </conditionalFormatting>
  <conditionalFormatting sqref="B19">
    <cfRule type="cellIs" dxfId="11" priority="6" operator="lessThan">
      <formula>$G$18</formula>
    </cfRule>
    <cfRule type="cellIs" dxfId="10" priority="7" operator="greaterThan">
      <formula>$H$18</formula>
    </cfRule>
  </conditionalFormatting>
  <conditionalFormatting sqref="B56">
    <cfRule type="cellIs" dxfId="9" priority="3" operator="greaterThan">
      <formula>$B$57</formula>
    </cfRule>
  </conditionalFormatting>
  <conditionalFormatting sqref="B64">
    <cfRule type="cellIs" dxfId="8" priority="2" operator="greaterThan">
      <formula>$B$57</formula>
    </cfRule>
  </conditionalFormatting>
  <conditionalFormatting sqref="B20">
    <cfRule type="cellIs" dxfId="7" priority="1" operator="lessThan">
      <formula>$B$7</formula>
    </cfRule>
  </conditionalFormatting>
  <hyperlinks>
    <hyperlink ref="D1" r:id="rId1" xr:uid="{27002FD1-C7D4-4B84-9FEB-22EF75521F33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6C88-0247-4D30-92B5-0F853FB0062C}">
  <dimension ref="A1:H74"/>
  <sheetViews>
    <sheetView workbookViewId="0">
      <selection activeCell="B10" sqref="B10"/>
    </sheetView>
  </sheetViews>
  <sheetFormatPr defaultColWidth="10.90625" defaultRowHeight="14.5" x14ac:dyDescent="0.35"/>
  <cols>
    <col min="2" max="2" width="12.6328125" bestFit="1" customWidth="1"/>
    <col min="4" max="4" width="12.6328125" bestFit="1" customWidth="1"/>
  </cols>
  <sheetData>
    <row r="1" spans="1:5" x14ac:dyDescent="0.35">
      <c r="A1" t="s">
        <v>0</v>
      </c>
      <c r="D1" s="2" t="s">
        <v>41</v>
      </c>
    </row>
    <row r="3" spans="1:5" x14ac:dyDescent="0.35">
      <c r="A3" t="s">
        <v>5</v>
      </c>
    </row>
    <row r="4" spans="1:5" x14ac:dyDescent="0.35">
      <c r="A4" t="s">
        <v>14</v>
      </c>
      <c r="B4" s="6">
        <v>0.6</v>
      </c>
      <c r="C4" t="s">
        <v>13</v>
      </c>
    </row>
    <row r="6" spans="1:5" x14ac:dyDescent="0.35">
      <c r="A6" t="s">
        <v>3</v>
      </c>
    </row>
    <row r="7" spans="1:5" x14ac:dyDescent="0.35">
      <c r="A7" t="s">
        <v>1</v>
      </c>
      <c r="B7" s="4">
        <v>12</v>
      </c>
      <c r="C7" t="s">
        <v>13</v>
      </c>
    </row>
    <row r="8" spans="1:5" x14ac:dyDescent="0.35">
      <c r="A8" t="s">
        <v>2</v>
      </c>
      <c r="B8" s="4">
        <v>14</v>
      </c>
      <c r="C8" t="s">
        <v>13</v>
      </c>
    </row>
    <row r="9" spans="1:5" x14ac:dyDescent="0.35">
      <c r="A9" t="s">
        <v>15</v>
      </c>
      <c r="B9" s="4">
        <v>17</v>
      </c>
      <c r="C9" t="s">
        <v>13</v>
      </c>
    </row>
    <row r="10" spans="1:5" x14ac:dyDescent="0.35">
      <c r="A10" t="s">
        <v>16</v>
      </c>
      <c r="B10" s="4">
        <v>24</v>
      </c>
      <c r="C10" t="s">
        <v>13</v>
      </c>
    </row>
    <row r="11" spans="1:5" x14ac:dyDescent="0.35">
      <c r="A11" t="s">
        <v>19</v>
      </c>
      <c r="B11" s="4">
        <v>10</v>
      </c>
      <c r="C11" t="s">
        <v>17</v>
      </c>
    </row>
    <row r="12" spans="1:5" x14ac:dyDescent="0.35">
      <c r="A12" t="s">
        <v>20</v>
      </c>
      <c r="B12" s="4">
        <v>12</v>
      </c>
      <c r="C12" t="s">
        <v>17</v>
      </c>
    </row>
    <row r="13" spans="1:5" x14ac:dyDescent="0.35">
      <c r="A13" t="s">
        <v>21</v>
      </c>
      <c r="B13" s="4">
        <f>0.000005</f>
        <v>5.0000000000000004E-6</v>
      </c>
      <c r="C13" t="s">
        <v>40</v>
      </c>
      <c r="D13">
        <f>B13*1000*1000</f>
        <v>5</v>
      </c>
      <c r="E13" t="s">
        <v>18</v>
      </c>
    </row>
    <row r="14" spans="1:5" x14ac:dyDescent="0.35">
      <c r="A14" t="s">
        <v>72</v>
      </c>
      <c r="B14" s="4">
        <v>5</v>
      </c>
      <c r="C14" t="s">
        <v>71</v>
      </c>
      <c r="D14">
        <f>B14/100</f>
        <v>0.05</v>
      </c>
    </row>
    <row r="16" spans="1:5" x14ac:dyDescent="0.35">
      <c r="A16" t="s">
        <v>6</v>
      </c>
    </row>
    <row r="17" spans="1:8" x14ac:dyDescent="0.35">
      <c r="A17" t="s">
        <v>22</v>
      </c>
      <c r="B17" s="4">
        <f>10000+330</f>
        <v>10330</v>
      </c>
      <c r="C17" t="s">
        <v>38</v>
      </c>
      <c r="D17">
        <f>B17/1000</f>
        <v>10.33</v>
      </c>
      <c r="E17" t="s">
        <v>23</v>
      </c>
    </row>
    <row r="18" spans="1:8" x14ac:dyDescent="0.35">
      <c r="A18" t="s">
        <v>8</v>
      </c>
      <c r="B18">
        <f>B17*(B7/B4-1)</f>
        <v>196270</v>
      </c>
      <c r="C18" s="1" t="s">
        <v>38</v>
      </c>
      <c r="D18">
        <f>B18/1000</f>
        <v>196.27</v>
      </c>
      <c r="E18" t="s">
        <v>23</v>
      </c>
      <c r="F18" s="1">
        <v>0.02</v>
      </c>
      <c r="G18">
        <f>B18-B18*F18</f>
        <v>192344.6</v>
      </c>
      <c r="H18">
        <f>B18+B18*F18</f>
        <v>200195.4</v>
      </c>
    </row>
    <row r="19" spans="1:8" x14ac:dyDescent="0.35">
      <c r="A19" t="s">
        <v>4</v>
      </c>
      <c r="B19" s="4">
        <v>200000</v>
      </c>
      <c r="C19" t="s">
        <v>38</v>
      </c>
      <c r="D19">
        <f>B19/1000</f>
        <v>200</v>
      </c>
      <c r="E19" t="s">
        <v>23</v>
      </c>
    </row>
    <row r="20" spans="1:8" x14ac:dyDescent="0.35">
      <c r="A20" t="s">
        <v>80</v>
      </c>
      <c r="B20" s="5">
        <f>(B19/B17+1)*B4</f>
        <v>12.216650532429815</v>
      </c>
      <c r="C20" t="s">
        <v>13</v>
      </c>
    </row>
    <row r="22" spans="1:8" x14ac:dyDescent="0.35">
      <c r="A22" t="s">
        <v>7</v>
      </c>
    </row>
    <row r="23" spans="1:8" x14ac:dyDescent="0.35">
      <c r="A23" t="s">
        <v>9</v>
      </c>
      <c r="B23">
        <f>B7/B10</f>
        <v>0.5</v>
      </c>
    </row>
    <row r="24" spans="1:8" x14ac:dyDescent="0.35">
      <c r="A24" t="s">
        <v>64</v>
      </c>
      <c r="B24">
        <f>B7/B9</f>
        <v>0.70588235294117652</v>
      </c>
    </row>
    <row r="25" spans="1:8" x14ac:dyDescent="0.35">
      <c r="A25" t="s">
        <v>10</v>
      </c>
      <c r="B25">
        <f>B7/B8</f>
        <v>0.8571428571428571</v>
      </c>
    </row>
    <row r="26" spans="1:8" x14ac:dyDescent="0.35">
      <c r="A26" t="s">
        <v>11</v>
      </c>
      <c r="B26">
        <f>B23/(0.0000002)</f>
        <v>2500000</v>
      </c>
      <c r="C26" t="s">
        <v>39</v>
      </c>
    </row>
    <row r="27" spans="1:8" x14ac:dyDescent="0.35">
      <c r="A27" t="s">
        <v>25</v>
      </c>
      <c r="B27">
        <f>(1-B25)/B26</f>
        <v>5.7142857142857164E-8</v>
      </c>
      <c r="C27" t="s">
        <v>40</v>
      </c>
      <c r="D27">
        <f>B27*10000000</f>
        <v>0.57142857142857162</v>
      </c>
      <c r="E27" t="s">
        <v>18</v>
      </c>
    </row>
    <row r="28" spans="1:8" x14ac:dyDescent="0.35">
      <c r="A28" t="s">
        <v>26</v>
      </c>
      <c r="B28">
        <f>(1-B25)/(B27+0.0000002)</f>
        <v>555555.55555555574</v>
      </c>
      <c r="C28" t="s">
        <v>39</v>
      </c>
      <c r="D28" s="1">
        <v>0.1</v>
      </c>
      <c r="E28">
        <f>B28-B28*D28</f>
        <v>500000.00000000017</v>
      </c>
      <c r="F28">
        <f>B28+B28*D28</f>
        <v>611111.11111111136</v>
      </c>
    </row>
    <row r="29" spans="1:8" x14ac:dyDescent="0.35">
      <c r="A29" t="s">
        <v>27</v>
      </c>
      <c r="B29" s="4">
        <v>550000</v>
      </c>
      <c r="C29" t="s">
        <v>39</v>
      </c>
      <c r="D29">
        <f>B29/1000</f>
        <v>550</v>
      </c>
      <c r="E29" t="s">
        <v>12</v>
      </c>
    </row>
    <row r="30" spans="1:8" x14ac:dyDescent="0.35">
      <c r="A30" t="s">
        <v>29</v>
      </c>
      <c r="B30">
        <f>-((B9-1)*(B9*16.5+100))-1000</f>
        <v>-7088</v>
      </c>
      <c r="C30" t="s">
        <v>38</v>
      </c>
      <c r="D30">
        <f>B30/1000</f>
        <v>-7.0880000000000001</v>
      </c>
      <c r="E30" t="s">
        <v>23</v>
      </c>
    </row>
    <row r="31" spans="1:8" x14ac:dyDescent="0.35">
      <c r="A31" t="s">
        <v>28</v>
      </c>
      <c r="B31">
        <f>((B7*B9)-B7)/(B9*0.0000000001*B29)+(B30)</f>
        <v>198259.5935828877</v>
      </c>
      <c r="C31" t="s">
        <v>38</v>
      </c>
      <c r="D31" s="5">
        <f>B31/1000</f>
        <v>198.2595935828877</v>
      </c>
      <c r="E31" t="s">
        <v>23</v>
      </c>
    </row>
    <row r="33" spans="1:6" x14ac:dyDescent="0.35">
      <c r="A33" t="s">
        <v>30</v>
      </c>
    </row>
    <row r="34" spans="1:6" x14ac:dyDescent="0.35">
      <c r="A34" t="s">
        <v>79</v>
      </c>
      <c r="B34">
        <f>(B10-B7)*(B7/B10)*(1/B29)</f>
        <v>1.0909090909090909E-5</v>
      </c>
      <c r="C34" t="s">
        <v>42</v>
      </c>
      <c r="D34">
        <f>B34*1000000</f>
        <v>10.909090909090908</v>
      </c>
      <c r="E34" t="s">
        <v>31</v>
      </c>
    </row>
    <row r="36" spans="1:6" x14ac:dyDescent="0.35">
      <c r="A36" t="s">
        <v>35</v>
      </c>
    </row>
    <row r="37" spans="1:6" x14ac:dyDescent="0.35">
      <c r="A37" t="s">
        <v>32</v>
      </c>
      <c r="B37">
        <f>B9*0.3/12^(1/2)</f>
        <v>1.4722431864335457</v>
      </c>
      <c r="C37" t="s">
        <v>17</v>
      </c>
      <c r="D37" s="1">
        <v>0.05</v>
      </c>
      <c r="E37">
        <f>B37-B37*D37</f>
        <v>1.3986310271118685</v>
      </c>
      <c r="F37">
        <f>B37+B37*D37</f>
        <v>1.5458553457552229</v>
      </c>
    </row>
    <row r="38" spans="1:6" x14ac:dyDescent="0.35">
      <c r="A38" t="s">
        <v>33</v>
      </c>
      <c r="B38">
        <f>(B7/B9)/B29</f>
        <v>1.2834224598930481E-6</v>
      </c>
      <c r="C38" t="s">
        <v>40</v>
      </c>
      <c r="D38">
        <f>B38*1000000000</f>
        <v>1283.4224598930482</v>
      </c>
      <c r="E38" t="s">
        <v>24</v>
      </c>
    </row>
    <row r="39" spans="1:6" x14ac:dyDescent="0.35">
      <c r="A39" t="s">
        <v>34</v>
      </c>
      <c r="B39">
        <f>70/(B29^2*0.00000165)</f>
        <v>1.4024542950162784E-4</v>
      </c>
      <c r="C39" t="s">
        <v>43</v>
      </c>
      <c r="D39" s="5">
        <f>B39*1000000</f>
        <v>140.24542950162783</v>
      </c>
      <c r="E39" t="s">
        <v>36</v>
      </c>
    </row>
    <row r="40" spans="1:6" x14ac:dyDescent="0.35">
      <c r="A40" t="s">
        <v>37</v>
      </c>
      <c r="B40">
        <f>(0.08*B39*B37*1)/B34</f>
        <v>1.5141527720895969</v>
      </c>
      <c r="C40" t="s">
        <v>38</v>
      </c>
      <c r="D40">
        <f>B40*1000</f>
        <v>1514.152772089597</v>
      </c>
      <c r="E40" t="s">
        <v>51</v>
      </c>
      <c r="F40" t="s">
        <v>44</v>
      </c>
    </row>
    <row r="41" spans="1:6" x14ac:dyDescent="0.35">
      <c r="A41" t="s">
        <v>50</v>
      </c>
      <c r="B41" t="s">
        <v>44</v>
      </c>
    </row>
    <row r="43" spans="1:6" x14ac:dyDescent="0.35">
      <c r="A43" t="s">
        <v>45</v>
      </c>
    </row>
    <row r="44" spans="1:6" x14ac:dyDescent="0.35">
      <c r="A44" t="s">
        <v>46</v>
      </c>
      <c r="B44">
        <f>(B7/(B8*B29))*((B17+B19)/(B17*B19))</f>
        <v>1.5865779912246515E-10</v>
      </c>
      <c r="C44" t="s">
        <v>43</v>
      </c>
      <c r="D44" s="5">
        <f>B44*1000000000000</f>
        <v>158.65779912246515</v>
      </c>
      <c r="E44" t="s">
        <v>47</v>
      </c>
    </row>
    <row r="46" spans="1:6" x14ac:dyDescent="0.35">
      <c r="A46" t="s">
        <v>48</v>
      </c>
    </row>
    <row r="47" spans="1:6" x14ac:dyDescent="0.35">
      <c r="A47" t="s">
        <v>55</v>
      </c>
      <c r="B47">
        <f>1.2*B10</f>
        <v>28.799999999999997</v>
      </c>
      <c r="C47" t="s">
        <v>13</v>
      </c>
    </row>
    <row r="48" spans="1:6" x14ac:dyDescent="0.35">
      <c r="A48" t="s">
        <v>65</v>
      </c>
      <c r="D48" t="s">
        <v>81</v>
      </c>
    </row>
    <row r="49" spans="1:3" x14ac:dyDescent="0.35">
      <c r="A49" t="s">
        <v>52</v>
      </c>
      <c r="B49" s="4">
        <v>8.0000000000000002E-3</v>
      </c>
      <c r="C49" t="s">
        <v>38</v>
      </c>
    </row>
    <row r="50" spans="1:3" x14ac:dyDescent="0.35">
      <c r="A50" t="s">
        <v>56</v>
      </c>
      <c r="B50" s="4">
        <v>6</v>
      </c>
      <c r="C50" t="s">
        <v>13</v>
      </c>
    </row>
    <row r="51" spans="1:3" x14ac:dyDescent="0.35">
      <c r="A51" t="s">
        <v>57</v>
      </c>
      <c r="B51" s="4">
        <v>1.6</v>
      </c>
      <c r="C51" t="s">
        <v>13</v>
      </c>
    </row>
    <row r="52" spans="1:3" x14ac:dyDescent="0.35">
      <c r="A52" t="s">
        <v>59</v>
      </c>
      <c r="B52" s="4">
        <v>150</v>
      </c>
      <c r="C52" t="s">
        <v>60</v>
      </c>
    </row>
    <row r="53" spans="1:3" x14ac:dyDescent="0.35">
      <c r="A53" t="s">
        <v>61</v>
      </c>
      <c r="B53" s="4">
        <v>30</v>
      </c>
      <c r="C53" t="s">
        <v>62</v>
      </c>
    </row>
    <row r="54" spans="1:3" x14ac:dyDescent="0.35">
      <c r="A54" t="s">
        <v>49</v>
      </c>
      <c r="B54">
        <f>B11^2*B49*B24</f>
        <v>0.56470588235294128</v>
      </c>
      <c r="C54" t="s">
        <v>53</v>
      </c>
    </row>
    <row r="55" spans="1:3" x14ac:dyDescent="0.35">
      <c r="A55" t="s">
        <v>54</v>
      </c>
      <c r="B55">
        <f>0.5*B9*B11*0.0000000015*B29*(8.5/(B50-B51)+6.8/B51)</f>
        <v>0.43349999999999994</v>
      </c>
      <c r="C55" t="s">
        <v>53</v>
      </c>
    </row>
    <row r="56" spans="1:3" x14ac:dyDescent="0.35">
      <c r="A56" t="s">
        <v>58</v>
      </c>
      <c r="B56">
        <f>B54+B55</f>
        <v>0.99820588235294117</v>
      </c>
      <c r="C56" t="s">
        <v>53</v>
      </c>
    </row>
    <row r="57" spans="1:3" x14ac:dyDescent="0.35">
      <c r="A57" t="s">
        <v>63</v>
      </c>
      <c r="B57">
        <f>B52/B53</f>
        <v>5</v>
      </c>
      <c r="C57" t="s">
        <v>53</v>
      </c>
    </row>
    <row r="58" spans="1:3" x14ac:dyDescent="0.35">
      <c r="A58" t="s">
        <v>66</v>
      </c>
    </row>
    <row r="59" spans="1:3" x14ac:dyDescent="0.35">
      <c r="A59" t="s">
        <v>52</v>
      </c>
      <c r="B59" s="4">
        <f>B49</f>
        <v>8.0000000000000002E-3</v>
      </c>
      <c r="C59" t="s">
        <v>38</v>
      </c>
    </row>
    <row r="60" spans="1:3" x14ac:dyDescent="0.35">
      <c r="A60" t="s">
        <v>56</v>
      </c>
      <c r="B60" s="4">
        <f>B50</f>
        <v>6</v>
      </c>
      <c r="C60" t="s">
        <v>13</v>
      </c>
    </row>
    <row r="61" spans="1:3" x14ac:dyDescent="0.35">
      <c r="A61" t="s">
        <v>57</v>
      </c>
      <c r="B61" s="4">
        <f>B51</f>
        <v>1.6</v>
      </c>
      <c r="C61" t="s">
        <v>13</v>
      </c>
    </row>
    <row r="62" spans="1:3" x14ac:dyDescent="0.35">
      <c r="A62" t="s">
        <v>59</v>
      </c>
      <c r="B62" s="4">
        <f>B52</f>
        <v>150</v>
      </c>
      <c r="C62" t="s">
        <v>60</v>
      </c>
    </row>
    <row r="63" spans="1:3" x14ac:dyDescent="0.35">
      <c r="A63" t="s">
        <v>61</v>
      </c>
      <c r="B63" s="4">
        <f>B53</f>
        <v>30</v>
      </c>
      <c r="C63" t="s">
        <v>62</v>
      </c>
    </row>
    <row r="64" spans="1:3" x14ac:dyDescent="0.35">
      <c r="A64" t="s">
        <v>67</v>
      </c>
      <c r="B64">
        <f>B11^2*B59*(1-B24)</f>
        <v>0.23529411764705879</v>
      </c>
      <c r="C64" t="s">
        <v>53</v>
      </c>
    </row>
    <row r="65" spans="1:6" x14ac:dyDescent="0.35">
      <c r="A65" t="s">
        <v>68</v>
      </c>
      <c r="B65" t="s">
        <v>44</v>
      </c>
    </row>
    <row r="67" spans="1:6" x14ac:dyDescent="0.35">
      <c r="A67" t="s">
        <v>69</v>
      </c>
    </row>
    <row r="68" spans="1:6" x14ac:dyDescent="0.35">
      <c r="A68" t="s">
        <v>74</v>
      </c>
      <c r="B68">
        <f>D14*B9</f>
        <v>0.85000000000000009</v>
      </c>
    </row>
    <row r="69" spans="1:6" x14ac:dyDescent="0.35">
      <c r="A69" t="s">
        <v>70</v>
      </c>
      <c r="B69">
        <f>(B11*B24*(1-B24))/(B29*B68)</f>
        <v>4.4409081657198891E-6</v>
      </c>
      <c r="C69" t="s">
        <v>43</v>
      </c>
      <c r="D69" s="5">
        <f>B69*1000000</f>
        <v>4.4409081657198888</v>
      </c>
      <c r="E69" t="s">
        <v>36</v>
      </c>
    </row>
    <row r="71" spans="1:6" x14ac:dyDescent="0.35">
      <c r="A71" t="s">
        <v>73</v>
      </c>
    </row>
    <row r="72" spans="1:6" x14ac:dyDescent="0.35">
      <c r="A72" t="s">
        <v>76</v>
      </c>
      <c r="B72">
        <v>0.6</v>
      </c>
      <c r="C72" t="s">
        <v>13</v>
      </c>
    </row>
    <row r="73" spans="1:6" x14ac:dyDescent="0.35">
      <c r="A73" t="s">
        <v>77</v>
      </c>
      <c r="B73" s="3">
        <v>7.7000000000000008E-6</v>
      </c>
      <c r="C73" t="s">
        <v>17</v>
      </c>
      <c r="D73">
        <f>B73*1000000</f>
        <v>7.7000000000000011</v>
      </c>
      <c r="E73" t="s">
        <v>78</v>
      </c>
    </row>
    <row r="74" spans="1:6" x14ac:dyDescent="0.35">
      <c r="A74" t="s">
        <v>75</v>
      </c>
      <c r="B74">
        <f>-(B73*B13)/B72</f>
        <v>-6.4166666666666691E-11</v>
      </c>
      <c r="C74" t="s">
        <v>43</v>
      </c>
      <c r="D74">
        <f>B74*1000000</f>
        <v>-6.416666666666669E-5</v>
      </c>
      <c r="E74" t="s">
        <v>36</v>
      </c>
      <c r="F74" t="s">
        <v>44</v>
      </c>
    </row>
  </sheetData>
  <conditionalFormatting sqref="B29">
    <cfRule type="cellIs" dxfId="6" priority="4" operator="lessThan">
      <formula>$E$28</formula>
    </cfRule>
    <cfRule type="cellIs" dxfId="5" priority="5" operator="greaterThan">
      <formula>$F$28</formula>
    </cfRule>
  </conditionalFormatting>
  <conditionalFormatting sqref="B19">
    <cfRule type="cellIs" dxfId="4" priority="6" operator="lessThan">
      <formula>$G$18</formula>
    </cfRule>
    <cfRule type="cellIs" dxfId="3" priority="7" operator="greaterThan">
      <formula>$H$18</formula>
    </cfRule>
  </conditionalFormatting>
  <conditionalFormatting sqref="B56">
    <cfRule type="cellIs" dxfId="2" priority="3" operator="greaterThan">
      <formula>$B$57</formula>
    </cfRule>
  </conditionalFormatting>
  <conditionalFormatting sqref="B64">
    <cfRule type="cellIs" dxfId="1" priority="2" operator="greaterThan">
      <formula>$B$57</formula>
    </cfRule>
  </conditionalFormatting>
  <conditionalFormatting sqref="B20">
    <cfRule type="cellIs" dxfId="0" priority="1" operator="lessThan">
      <formula>$B$7</formula>
    </cfRule>
  </conditionalFormatting>
  <hyperlinks>
    <hyperlink ref="D1" r:id="rId1" xr:uid="{9DC082BC-1C68-412B-8D3E-87B60DE826D2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5V</vt:lpstr>
      <vt:lpstr>3.3V</vt:lpstr>
      <vt:lpstr>12V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Golovnya Andriy</dc:creator>
  <cp:lastModifiedBy>AG</cp:lastModifiedBy>
  <dcterms:created xsi:type="dcterms:W3CDTF">2021-07-21T10:08:06Z</dcterms:created>
  <dcterms:modified xsi:type="dcterms:W3CDTF">2021-08-12T12:36:19Z</dcterms:modified>
</cp:coreProperties>
</file>