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EAGLE\projects\DCDC\doc\"/>
    </mc:Choice>
  </mc:AlternateContent>
  <xr:revisionPtr revIDLastSave="0" documentId="13_ncr:1_{6764DC2F-2A2C-4066-A5C3-C7A5E60A6A91}" xr6:coauthVersionLast="47" xr6:coauthVersionMax="47" xr10:uidLastSave="{00000000-0000-0000-0000-000000000000}"/>
  <bookViews>
    <workbookView xWindow="530" yWindow="0" windowWidth="17320" windowHeight="19950" activeTab="2" xr2:uid="{C17DE87D-D3A8-4F0B-998C-A262C791429E}"/>
  </bookViews>
  <sheets>
    <sheet name="5V" sheetId="1" r:id="rId1"/>
    <sheet name="3.3V" sheetId="2" r:id="rId2"/>
    <sheet name="12V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44" i="3" s="1"/>
  <c r="D44" i="3" s="1"/>
  <c r="D73" i="3"/>
  <c r="B63" i="3"/>
  <c r="B62" i="3"/>
  <c r="B61" i="3"/>
  <c r="B60" i="3"/>
  <c r="B59" i="3"/>
  <c r="B57" i="3"/>
  <c r="B55" i="3"/>
  <c r="B47" i="3"/>
  <c r="B39" i="3"/>
  <c r="B38" i="3"/>
  <c r="D38" i="3" s="1"/>
  <c r="B37" i="3"/>
  <c r="F37" i="3" s="1"/>
  <c r="B34" i="3"/>
  <c r="D34" i="3" s="1"/>
  <c r="B30" i="3"/>
  <c r="D30" i="3" s="1"/>
  <c r="D29" i="3"/>
  <c r="B25" i="3"/>
  <c r="B24" i="3"/>
  <c r="B54" i="3" s="1"/>
  <c r="B56" i="3" s="1"/>
  <c r="B23" i="3"/>
  <c r="B26" i="3" s="1"/>
  <c r="B27" i="3" s="1"/>
  <c r="D14" i="3"/>
  <c r="B68" i="3" s="1"/>
  <c r="B13" i="3"/>
  <c r="B74" i="3" s="1"/>
  <c r="D74" i="3" s="1"/>
  <c r="B17" i="2"/>
  <c r="B44" i="2" s="1"/>
  <c r="D44" i="2" s="1"/>
  <c r="D73" i="2"/>
  <c r="B63" i="2"/>
  <c r="B62" i="2"/>
  <c r="B61" i="2"/>
  <c r="B60" i="2"/>
  <c r="B59" i="2"/>
  <c r="B57" i="2"/>
  <c r="B55" i="2"/>
  <c r="B47" i="2"/>
  <c r="B39" i="2"/>
  <c r="B38" i="2"/>
  <c r="D38" i="2" s="1"/>
  <c r="B37" i="2"/>
  <c r="F37" i="2" s="1"/>
  <c r="B34" i="2"/>
  <c r="D34" i="2" s="1"/>
  <c r="B30" i="2"/>
  <c r="B31" i="2" s="1"/>
  <c r="D31" i="2" s="1"/>
  <c r="D29" i="2"/>
  <c r="B25" i="2"/>
  <c r="B24" i="2"/>
  <c r="B54" i="2" s="1"/>
  <c r="B56" i="2" s="1"/>
  <c r="B23" i="2"/>
  <c r="B26" i="2" s="1"/>
  <c r="B27" i="2" s="1"/>
  <c r="D14" i="2"/>
  <c r="B68" i="2" s="1"/>
  <c r="B13" i="2"/>
  <c r="B74" i="2" s="1"/>
  <c r="D74" i="2" s="1"/>
  <c r="B19" i="1"/>
  <c r="D19" i="1"/>
  <c r="D73" i="1"/>
  <c r="D14" i="1"/>
  <c r="B68" i="1" s="1"/>
  <c r="B63" i="1"/>
  <c r="B62" i="1"/>
  <c r="B61" i="1"/>
  <c r="B60" i="1"/>
  <c r="B59" i="1"/>
  <c r="B24" i="1"/>
  <c r="B54" i="1" s="1"/>
  <c r="D29" i="1"/>
  <c r="B57" i="1"/>
  <c r="B55" i="1"/>
  <c r="B47" i="1"/>
  <c r="B34" i="1"/>
  <c r="B39" i="1"/>
  <c r="D39" i="1" s="1"/>
  <c r="B38" i="1"/>
  <c r="D38" i="1" s="1"/>
  <c r="B37" i="1"/>
  <c r="F37" i="1" s="1"/>
  <c r="B30" i="1"/>
  <c r="D30" i="1" s="1"/>
  <c r="B13" i="1"/>
  <c r="D13" i="1" s="1"/>
  <c r="B18" i="1"/>
  <c r="H18" i="1" s="1"/>
  <c r="B25" i="1"/>
  <c r="B23" i="1"/>
  <c r="B26" i="1" s="1"/>
  <c r="B18" i="2" l="1"/>
  <c r="H18" i="2" s="1"/>
  <c r="B64" i="2"/>
  <c r="B69" i="2"/>
  <c r="D69" i="2" s="1"/>
  <c r="B20" i="2"/>
  <c r="D17" i="2"/>
  <c r="B18" i="3"/>
  <c r="H18" i="3" s="1"/>
  <c r="D17" i="3"/>
  <c r="B20" i="3"/>
  <c r="B64" i="3"/>
  <c r="B40" i="3"/>
  <c r="D40" i="3" s="1"/>
  <c r="B69" i="3"/>
  <c r="D69" i="3" s="1"/>
  <c r="D27" i="3"/>
  <c r="B28" i="3"/>
  <c r="D13" i="3"/>
  <c r="B31" i="3"/>
  <c r="D31" i="3" s="1"/>
  <c r="D18" i="3"/>
  <c r="G18" i="3"/>
  <c r="E37" i="3"/>
  <c r="D19" i="3"/>
  <c r="D39" i="3"/>
  <c r="B40" i="2"/>
  <c r="D40" i="2" s="1"/>
  <c r="D27" i="2"/>
  <c r="B28" i="2"/>
  <c r="D13" i="2"/>
  <c r="D30" i="2"/>
  <c r="D18" i="2"/>
  <c r="G18" i="2"/>
  <c r="E37" i="2"/>
  <c r="D19" i="2"/>
  <c r="D39" i="2"/>
  <c r="B74" i="1"/>
  <c r="D74" i="1" s="1"/>
  <c r="B40" i="1"/>
  <c r="D40" i="1" s="1"/>
  <c r="B31" i="1"/>
  <c r="D31" i="1" s="1"/>
  <c r="B20" i="1"/>
  <c r="B44" i="1"/>
  <c r="D44" i="1" s="1"/>
  <c r="B56" i="1"/>
  <c r="B69" i="1"/>
  <c r="D69" i="1" s="1"/>
  <c r="B64" i="1"/>
  <c r="D17" i="1"/>
  <c r="B27" i="1"/>
  <c r="E37" i="1"/>
  <c r="D34" i="1"/>
  <c r="D18" i="1"/>
  <c r="G18" i="1"/>
  <c r="F28" i="3" l="1"/>
  <c r="E28" i="3"/>
  <c r="F28" i="2"/>
  <c r="E28" i="2"/>
  <c r="B28" i="1"/>
  <c r="D27" i="1"/>
  <c r="E28" i="1"/>
  <c r="F28" i="1"/>
</calcChain>
</file>

<file path=xl/sharedStrings.xml><?xml version="1.0" encoding="utf-8"?>
<sst xmlns="http://schemas.openxmlformats.org/spreadsheetml/2006/main" count="393" uniqueCount="82">
  <si>
    <t>LM3150MHX/NOPB Calculator</t>
  </si>
  <si>
    <t>Vout</t>
  </si>
  <si>
    <t>Vinmin</t>
  </si>
  <si>
    <t>1. Conditions:</t>
  </si>
  <si>
    <t>Rfb2</t>
  </si>
  <si>
    <t>0. Constants:</t>
  </si>
  <si>
    <t>2. FB Resistors:</t>
  </si>
  <si>
    <t>3. Ron and Fs</t>
  </si>
  <si>
    <t>Rfb2 (calc)</t>
  </si>
  <si>
    <t>Dmin (calc)</t>
  </si>
  <si>
    <t>Dmax (calc)</t>
  </si>
  <si>
    <t>Fsmax (calc)</t>
  </si>
  <si>
    <t>kHz</t>
  </si>
  <si>
    <t>V</t>
  </si>
  <si>
    <t>Vfb</t>
  </si>
  <si>
    <t>Vintyp</t>
  </si>
  <si>
    <t>Vinmax</t>
  </si>
  <si>
    <t>A</t>
  </si>
  <si>
    <t>ms</t>
  </si>
  <si>
    <t>Ityp</t>
  </si>
  <si>
    <t>Imax</t>
  </si>
  <si>
    <t>Tss</t>
  </si>
  <si>
    <t>Rfb1</t>
  </si>
  <si>
    <t>kOhm</t>
  </si>
  <si>
    <t>ns</t>
  </si>
  <si>
    <t>Toff (calc)</t>
  </si>
  <si>
    <t>Fs (calc)</t>
  </si>
  <si>
    <t>Fs</t>
  </si>
  <si>
    <t>Ron (calc)</t>
  </si>
  <si>
    <t>Rond (calc)</t>
  </si>
  <si>
    <t>4. Inductor</t>
  </si>
  <si>
    <t>V*us</t>
  </si>
  <si>
    <t>Irmsco (calc)</t>
  </si>
  <si>
    <t>Ton (calc)</t>
  </si>
  <si>
    <t>Comin (calc)</t>
  </si>
  <si>
    <t>5. C Output</t>
  </si>
  <si>
    <t>uF</t>
  </si>
  <si>
    <t>ESRmax (calc)</t>
  </si>
  <si>
    <t>Ohm</t>
  </si>
  <si>
    <t>Hz</t>
  </si>
  <si>
    <t>s</t>
  </si>
  <si>
    <t>https://datasheet.lcsc.com/lcsc/1806151712_Texas-Instruments-LM3150MHX-NOPB_C48112.pdf</t>
  </si>
  <si>
    <t>V*s</t>
  </si>
  <si>
    <t>F</t>
  </si>
  <si>
    <t>???</t>
  </si>
  <si>
    <t>6. C Feed-Forward</t>
  </si>
  <si>
    <t>Cff (calc)</t>
  </si>
  <si>
    <t>pF</t>
  </si>
  <si>
    <t>7. MOSFET &amp; Rlim</t>
  </si>
  <si>
    <t>Pcond (calc)</t>
  </si>
  <si>
    <t>ESRmin (calc)</t>
  </si>
  <si>
    <t>mOhm</t>
  </si>
  <si>
    <t>Rds(on)</t>
  </si>
  <si>
    <t>W</t>
  </si>
  <si>
    <t>Psw (calc)</t>
  </si>
  <si>
    <t>Vds &gt; (calc)</t>
  </si>
  <si>
    <t>Vcc</t>
  </si>
  <si>
    <t>Vth</t>
  </si>
  <si>
    <t>Pdh (calc)</t>
  </si>
  <si>
    <t>Tch</t>
  </si>
  <si>
    <t>°C</t>
  </si>
  <si>
    <t>θja</t>
  </si>
  <si>
    <t>°C/W</t>
  </si>
  <si>
    <t>Pdmax (calc)</t>
  </si>
  <si>
    <t>Dtyp (calc)</t>
  </si>
  <si>
    <t>7.1. Hi-Side</t>
  </si>
  <si>
    <t>7.2. Low-Side</t>
  </si>
  <si>
    <t>Pdl (calc)</t>
  </si>
  <si>
    <t>Rlim (calc)</t>
  </si>
  <si>
    <t>8. C Input</t>
  </si>
  <si>
    <t>Cin (calc)</t>
  </si>
  <si>
    <t>%</t>
  </si>
  <si>
    <t>Vripple</t>
  </si>
  <si>
    <t>9. C Soft-Start</t>
  </si>
  <si>
    <t>ΔVin-max (calc)</t>
  </si>
  <si>
    <t>Css (calc)</t>
  </si>
  <si>
    <t>Vref</t>
  </si>
  <si>
    <t>Iss</t>
  </si>
  <si>
    <t>uA</t>
  </si>
  <si>
    <t>ET (calc)</t>
  </si>
  <si>
    <t>Vout_f (calc)</t>
  </si>
  <si>
    <t>NCE3050K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</si>
</sst>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" fillId="0" borderId="0" xfId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BF752B4-A587-4329-8B5A-839D55E31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219DBCD-5B0A-4997-97EE-DE56E97C9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C2CEE49-F19B-4EA2-A0E9-A088FAA54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D372-FD9A-401D-80C0-F303A26CDA15}">
  <dimension ref="A1:H74"/>
  <sheetViews>
    <sheetView workbookViewId="0">
      <selection activeCell="B19" sqref="B19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5</v>
      </c>
      <c r="C7" t="s">
        <v>13</v>
      </c>
    </row>
    <row r="8" spans="1:5" x14ac:dyDescent="0.35">
      <c r="A8" t="s">
        <v>2</v>
      </c>
      <c r="B8" s="4">
        <v>6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v>10000</v>
      </c>
      <c r="C17" t="s">
        <v>38</v>
      </c>
      <c r="D17">
        <f>B17/1000</f>
        <v>10</v>
      </c>
      <c r="E17" t="s">
        <v>23</v>
      </c>
    </row>
    <row r="18" spans="1:8" x14ac:dyDescent="0.35">
      <c r="A18" t="s">
        <v>8</v>
      </c>
      <c r="B18">
        <f>B17*(B7/B4-1)</f>
        <v>73333.333333333343</v>
      </c>
      <c r="C18" s="1" t="s">
        <v>38</v>
      </c>
      <c r="D18">
        <f>B18/1000</f>
        <v>73.333333333333343</v>
      </c>
      <c r="E18" t="s">
        <v>23</v>
      </c>
      <c r="F18" s="1">
        <v>0.02</v>
      </c>
      <c r="G18">
        <f>B18-B18*F18</f>
        <v>71866.666666666672</v>
      </c>
      <c r="H18">
        <f>B18+B18*F18</f>
        <v>74800.000000000015</v>
      </c>
    </row>
    <row r="19" spans="1:8" x14ac:dyDescent="0.35">
      <c r="A19" t="s">
        <v>4</v>
      </c>
      <c r="B19" s="4">
        <f>68000+3000+3000</f>
        <v>74000</v>
      </c>
      <c r="C19" t="s">
        <v>38</v>
      </c>
      <c r="D19">
        <f>B19/1000</f>
        <v>74</v>
      </c>
      <c r="E19" t="s">
        <v>23</v>
      </c>
    </row>
    <row r="20" spans="1:8" x14ac:dyDescent="0.35">
      <c r="A20" t="s">
        <v>80</v>
      </c>
      <c r="B20" s="5">
        <f>(B19/B17+1)*B4</f>
        <v>5.04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0.3125</v>
      </c>
    </row>
    <row r="24" spans="1:8" x14ac:dyDescent="0.35">
      <c r="A24" t="s">
        <v>64</v>
      </c>
      <c r="B24">
        <f>B7/B9</f>
        <v>0.41666666666666669</v>
      </c>
    </row>
    <row r="25" spans="1:8" x14ac:dyDescent="0.35">
      <c r="A25" t="s">
        <v>10</v>
      </c>
      <c r="B25">
        <f>B7/B8</f>
        <v>0.83333333333333337</v>
      </c>
    </row>
    <row r="26" spans="1:8" x14ac:dyDescent="0.35">
      <c r="A26" t="s">
        <v>11</v>
      </c>
      <c r="B26">
        <f>B23/(0.0000002)</f>
        <v>1562500</v>
      </c>
      <c r="C26" t="s">
        <v>39</v>
      </c>
    </row>
    <row r="27" spans="1:8" x14ac:dyDescent="0.35">
      <c r="A27" t="s">
        <v>25</v>
      </c>
      <c r="B27">
        <f>(1-B25)/B26</f>
        <v>1.0666666666666664E-7</v>
      </c>
      <c r="C27" t="s">
        <v>40</v>
      </c>
      <c r="D27">
        <f>B27*10000000</f>
        <v>1.0666666666666664</v>
      </c>
      <c r="E27" t="s">
        <v>18</v>
      </c>
    </row>
    <row r="28" spans="1:8" x14ac:dyDescent="0.35">
      <c r="A28" t="s">
        <v>26</v>
      </c>
      <c r="B28">
        <f>(1-B25)/(B27+0.0000002)</f>
        <v>543478.26086956507</v>
      </c>
      <c r="C28" t="s">
        <v>39</v>
      </c>
      <c r="D28" s="1">
        <v>0.1</v>
      </c>
      <c r="E28">
        <f>B28-B28*D28</f>
        <v>489130.43478260853</v>
      </c>
      <c r="F28">
        <f>B28+B28*D28</f>
        <v>597826.08695652161</v>
      </c>
    </row>
    <row r="29" spans="1:8" x14ac:dyDescent="0.35">
      <c r="A29" t="s">
        <v>27</v>
      </c>
      <c r="B29" s="4">
        <v>500000</v>
      </c>
      <c r="C29" t="s">
        <v>39</v>
      </c>
      <c r="D29">
        <f>B29/1000</f>
        <v>500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87388.666666666672</v>
      </c>
      <c r="C31" t="s">
        <v>38</v>
      </c>
      <c r="D31" s="5">
        <f>B31/1000</f>
        <v>87.388666666666666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6.8749999999999994E-6</v>
      </c>
      <c r="C34" t="s">
        <v>42</v>
      </c>
      <c r="D34">
        <f>B34*1000000</f>
        <v>6.8749999999999991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8.3333333333333333E-7</v>
      </c>
      <c r="C38" t="s">
        <v>40</v>
      </c>
      <c r="D38">
        <f>B38*1000000000</f>
        <v>833.33333333333337</v>
      </c>
      <c r="E38" t="s">
        <v>24</v>
      </c>
    </row>
    <row r="39" spans="1:6" x14ac:dyDescent="0.35">
      <c r="A39" t="s">
        <v>34</v>
      </c>
      <c r="B39">
        <f>70/(B29^2*0.00000165)</f>
        <v>1.6969696969696969E-4</v>
      </c>
      <c r="C39" t="s">
        <v>43</v>
      </c>
      <c r="D39" s="5">
        <f>B39*1000000</f>
        <v>169.69696969696969</v>
      </c>
      <c r="E39" t="s">
        <v>36</v>
      </c>
    </row>
    <row r="40" spans="1:6" x14ac:dyDescent="0.35">
      <c r="A40" t="s">
        <v>37</v>
      </c>
      <c r="B40">
        <f>(0.08*B39*B37*1)/B34</f>
        <v>2.0521223452320183</v>
      </c>
      <c r="C40" t="s">
        <v>38</v>
      </c>
      <c r="D40">
        <f>B40*1000</f>
        <v>2052.1223452320182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1.8918918918918919E-10</v>
      </c>
      <c r="C44" t="s">
        <v>43</v>
      </c>
      <c r="D44" s="5">
        <f>B44*1000000000000</f>
        <v>189.18918918918919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0.33333333333333337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0.27818181818181814</v>
      </c>
      <c r="C55" t="s">
        <v>53</v>
      </c>
    </row>
    <row r="56" spans="1:3" x14ac:dyDescent="0.35">
      <c r="A56" t="s">
        <v>58</v>
      </c>
      <c r="B56">
        <f>B54+B55</f>
        <v>0.61151515151515157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0.46666666666666662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8.1018518518518503E-6</v>
      </c>
      <c r="C69" t="s">
        <v>43</v>
      </c>
      <c r="D69" s="5">
        <f>B69*1000000</f>
        <v>8.1018518518518494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20" priority="6" operator="lessThan">
      <formula>$E$28</formula>
    </cfRule>
    <cfRule type="cellIs" dxfId="19" priority="7" operator="greaterThan">
      <formula>$F$28</formula>
    </cfRule>
  </conditionalFormatting>
  <conditionalFormatting sqref="B19">
    <cfRule type="cellIs" dxfId="18" priority="10" operator="lessThan">
      <formula>$G$18</formula>
    </cfRule>
    <cfRule type="cellIs" dxfId="17" priority="11" operator="greaterThan">
      <formula>$H$18</formula>
    </cfRule>
  </conditionalFormatting>
  <conditionalFormatting sqref="B56">
    <cfRule type="cellIs" dxfId="16" priority="3" operator="greaterThan">
      <formula>$B$57</formula>
    </cfRule>
  </conditionalFormatting>
  <conditionalFormatting sqref="B64">
    <cfRule type="cellIs" dxfId="15" priority="2" operator="greaterThan">
      <formula>$B$57</formula>
    </cfRule>
  </conditionalFormatting>
  <conditionalFormatting sqref="B20">
    <cfRule type="cellIs" dxfId="14" priority="1" operator="lessThan">
      <formula>$B$7</formula>
    </cfRule>
  </conditionalFormatting>
  <hyperlinks>
    <hyperlink ref="D1" r:id="rId1" xr:uid="{E45BFA85-D7EA-4DEE-928D-EE60C8A55F03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A830-8D2C-4258-99A0-6269838FD908}">
  <dimension ref="A1:H74"/>
  <sheetViews>
    <sheetView workbookViewId="0">
      <selection activeCell="B9" sqref="B9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3.3</v>
      </c>
      <c r="C7" t="s">
        <v>13</v>
      </c>
    </row>
    <row r="8" spans="1:5" x14ac:dyDescent="0.35">
      <c r="A8" t="s">
        <v>2</v>
      </c>
      <c r="B8" s="4">
        <v>5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10000+330</f>
        <v>10330</v>
      </c>
      <c r="C17" t="s">
        <v>38</v>
      </c>
      <c r="D17">
        <f>B17/1000</f>
        <v>10.33</v>
      </c>
      <c r="E17" t="s">
        <v>23</v>
      </c>
    </row>
    <row r="18" spans="1:8" x14ac:dyDescent="0.35">
      <c r="A18" t="s">
        <v>8</v>
      </c>
      <c r="B18">
        <f>B17*(B7/B4-1)</f>
        <v>46485</v>
      </c>
      <c r="C18" s="1" t="s">
        <v>38</v>
      </c>
      <c r="D18">
        <f>B18/1000</f>
        <v>46.484999999999999</v>
      </c>
      <c r="E18" t="s">
        <v>23</v>
      </c>
      <c r="F18" s="1">
        <v>0.02</v>
      </c>
      <c r="G18">
        <f>B18-B18*F18</f>
        <v>45555.3</v>
      </c>
      <c r="H18">
        <f>B18+B18*F18</f>
        <v>47414.7</v>
      </c>
    </row>
    <row r="19" spans="1:8" x14ac:dyDescent="0.35">
      <c r="A19" t="s">
        <v>4</v>
      </c>
      <c r="B19" s="4">
        <v>47000</v>
      </c>
      <c r="C19" t="s">
        <v>38</v>
      </c>
      <c r="D19">
        <f>B19/1000</f>
        <v>47</v>
      </c>
      <c r="E19" t="s">
        <v>23</v>
      </c>
    </row>
    <row r="20" spans="1:8" x14ac:dyDescent="0.35">
      <c r="A20" t="s">
        <v>80</v>
      </c>
      <c r="B20" s="5">
        <f>(B19/B17+1)*B4</f>
        <v>3.329912875121007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0.20624999999999999</v>
      </c>
    </row>
    <row r="24" spans="1:8" x14ac:dyDescent="0.35">
      <c r="A24" t="s">
        <v>64</v>
      </c>
      <c r="B24">
        <f>B7/B9</f>
        <v>0.27499999999999997</v>
      </c>
    </row>
    <row r="25" spans="1:8" x14ac:dyDescent="0.35">
      <c r="A25" t="s">
        <v>10</v>
      </c>
      <c r="B25">
        <f>B7/B8</f>
        <v>0.65999999999999992</v>
      </c>
    </row>
    <row r="26" spans="1:8" x14ac:dyDescent="0.35">
      <c r="A26" t="s">
        <v>11</v>
      </c>
      <c r="B26">
        <f>B23/(0.0000002)</f>
        <v>1031250</v>
      </c>
      <c r="C26" t="s">
        <v>39</v>
      </c>
    </row>
    <row r="27" spans="1:8" x14ac:dyDescent="0.35">
      <c r="A27" t="s">
        <v>25</v>
      </c>
      <c r="B27">
        <f>(1-B25)/B26</f>
        <v>3.296969696969698E-7</v>
      </c>
      <c r="C27" t="s">
        <v>40</v>
      </c>
      <c r="D27">
        <f>B27*10000000</f>
        <v>3.2969696969696978</v>
      </c>
      <c r="E27" t="s">
        <v>18</v>
      </c>
    </row>
    <row r="28" spans="1:8" x14ac:dyDescent="0.35">
      <c r="A28" t="s">
        <v>26</v>
      </c>
      <c r="B28">
        <f>(1-B25)/(B27+0.0000002)</f>
        <v>641876.43020594981</v>
      </c>
      <c r="C28" t="s">
        <v>39</v>
      </c>
      <c r="D28" s="1">
        <v>0.1</v>
      </c>
      <c r="E28">
        <f>B28-B28*D28</f>
        <v>577688.78718535486</v>
      </c>
      <c r="F28">
        <f>B28+B28*D28</f>
        <v>706064.07322654477</v>
      </c>
    </row>
    <row r="29" spans="1:8" x14ac:dyDescent="0.35">
      <c r="A29" t="s">
        <v>27</v>
      </c>
      <c r="B29" s="4">
        <v>700000</v>
      </c>
      <c r="C29" t="s">
        <v>39</v>
      </c>
      <c r="D29">
        <f>B29/1000</f>
        <v>700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38936.28571428571</v>
      </c>
      <c r="C31" t="s">
        <v>38</v>
      </c>
      <c r="D31" s="5">
        <f>B31/1000</f>
        <v>38.93628571428571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3.7419642857142854E-6</v>
      </c>
      <c r="C34" t="s">
        <v>42</v>
      </c>
      <c r="D34">
        <f>B34*1000000</f>
        <v>3.7419642857142854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3.9285714285714281E-7</v>
      </c>
      <c r="C38" t="s">
        <v>40</v>
      </c>
      <c r="D38">
        <f>B38*1000000000</f>
        <v>392.85714285714283</v>
      </c>
      <c r="E38" t="s">
        <v>24</v>
      </c>
    </row>
    <row r="39" spans="1:6" x14ac:dyDescent="0.35">
      <c r="A39" t="s">
        <v>34</v>
      </c>
      <c r="B39">
        <f>70/(B29^2*0.00000165)</f>
        <v>8.658008658008658E-5</v>
      </c>
      <c r="C39" t="s">
        <v>43</v>
      </c>
      <c r="D39" s="5">
        <f>B39*1000000</f>
        <v>86.580086580086586</v>
      </c>
      <c r="E39" t="s">
        <v>36</v>
      </c>
    </row>
    <row r="40" spans="1:6" x14ac:dyDescent="0.35">
      <c r="A40" t="s">
        <v>37</v>
      </c>
      <c r="B40">
        <f>(0.08*B39*B37*1)/B34</f>
        <v>1.9236242456243144</v>
      </c>
      <c r="C40" t="s">
        <v>38</v>
      </c>
      <c r="D40">
        <f>B40*1000</f>
        <v>1923.6242456243144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1.1133447302836192E-10</v>
      </c>
      <c r="C44" t="s">
        <v>43</v>
      </c>
      <c r="D44" s="5">
        <f>B44*1000000000000</f>
        <v>111.33447302836193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0.21999999999999997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0.38945454545454544</v>
      </c>
      <c r="C55" t="s">
        <v>53</v>
      </c>
    </row>
    <row r="56" spans="1:3" x14ac:dyDescent="0.35">
      <c r="A56" t="s">
        <v>58</v>
      </c>
      <c r="B56">
        <f>B54+B55</f>
        <v>0.60945454545454547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0.58000000000000007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4.7470238095238085E-6</v>
      </c>
      <c r="C69" t="s">
        <v>43</v>
      </c>
      <c r="D69" s="5">
        <f>B69*1000000</f>
        <v>4.7470238095238084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13" priority="4" operator="lessThan">
      <formula>$E$28</formula>
    </cfRule>
    <cfRule type="cellIs" dxfId="12" priority="5" operator="greaterThan">
      <formula>$F$28</formula>
    </cfRule>
  </conditionalFormatting>
  <conditionalFormatting sqref="B19">
    <cfRule type="cellIs" dxfId="11" priority="6" operator="lessThan">
      <formula>$G$18</formula>
    </cfRule>
    <cfRule type="cellIs" dxfId="10" priority="7" operator="greaterThan">
      <formula>$H$18</formula>
    </cfRule>
  </conditionalFormatting>
  <conditionalFormatting sqref="B56">
    <cfRule type="cellIs" dxfId="9" priority="3" operator="greaterThan">
      <formula>$B$57</formula>
    </cfRule>
  </conditionalFormatting>
  <conditionalFormatting sqref="B64">
    <cfRule type="cellIs" dxfId="8" priority="2" operator="greaterThan">
      <formula>$B$57</formula>
    </cfRule>
  </conditionalFormatting>
  <conditionalFormatting sqref="B20">
    <cfRule type="cellIs" dxfId="7" priority="1" operator="lessThan">
      <formula>$B$7</formula>
    </cfRule>
  </conditionalFormatting>
  <hyperlinks>
    <hyperlink ref="D1" r:id="rId1" xr:uid="{27002FD1-C7D4-4B84-9FEB-22EF75521F3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6C88-0247-4D30-92B5-0F853FB0062C}">
  <dimension ref="A1:H74"/>
  <sheetViews>
    <sheetView tabSelected="1" workbookViewId="0">
      <selection activeCell="B8" sqref="B8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12</v>
      </c>
      <c r="C7" t="s">
        <v>13</v>
      </c>
    </row>
    <row r="8" spans="1:5" x14ac:dyDescent="0.35">
      <c r="A8" t="s">
        <v>2</v>
      </c>
      <c r="B8" s="4">
        <v>14</v>
      </c>
      <c r="C8" t="s">
        <v>13</v>
      </c>
    </row>
    <row r="9" spans="1:5" x14ac:dyDescent="0.35">
      <c r="A9" t="s">
        <v>15</v>
      </c>
      <c r="B9" s="4">
        <v>17</v>
      </c>
      <c r="C9" t="s">
        <v>13</v>
      </c>
    </row>
    <row r="10" spans="1:5" x14ac:dyDescent="0.35">
      <c r="A10" t="s">
        <v>16</v>
      </c>
      <c r="B10" s="4">
        <v>32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10000+330</f>
        <v>10330</v>
      </c>
      <c r="C17" t="s">
        <v>38</v>
      </c>
      <c r="D17">
        <f>B17/1000</f>
        <v>10.33</v>
      </c>
      <c r="E17" t="s">
        <v>23</v>
      </c>
    </row>
    <row r="18" spans="1:8" x14ac:dyDescent="0.35">
      <c r="A18" t="s">
        <v>8</v>
      </c>
      <c r="B18">
        <f>B17*(B7/B4-1)</f>
        <v>196270</v>
      </c>
      <c r="C18" s="1" t="s">
        <v>38</v>
      </c>
      <c r="D18">
        <f>B18/1000</f>
        <v>196.27</v>
      </c>
      <c r="E18" t="s">
        <v>23</v>
      </c>
      <c r="F18" s="1">
        <v>0.02</v>
      </c>
      <c r="G18">
        <f>B18-B18*F18</f>
        <v>192344.6</v>
      </c>
      <c r="H18">
        <f>B18+B18*F18</f>
        <v>200195.4</v>
      </c>
    </row>
    <row r="19" spans="1:8" x14ac:dyDescent="0.35">
      <c r="A19" t="s">
        <v>4</v>
      </c>
      <c r="B19" s="4">
        <v>200000</v>
      </c>
      <c r="C19" t="s">
        <v>38</v>
      </c>
      <c r="D19">
        <f>B19/1000</f>
        <v>200</v>
      </c>
      <c r="E19" t="s">
        <v>23</v>
      </c>
    </row>
    <row r="20" spans="1:8" x14ac:dyDescent="0.35">
      <c r="A20" t="s">
        <v>80</v>
      </c>
      <c r="B20" s="5">
        <f>(B19/B17+1)*B4</f>
        <v>12.216650532429815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0.375</v>
      </c>
    </row>
    <row r="24" spans="1:8" x14ac:dyDescent="0.35">
      <c r="A24" t="s">
        <v>64</v>
      </c>
      <c r="B24">
        <f>B7/B9</f>
        <v>0.70588235294117652</v>
      </c>
    </row>
    <row r="25" spans="1:8" x14ac:dyDescent="0.35">
      <c r="A25" t="s">
        <v>10</v>
      </c>
      <c r="B25">
        <f>B7/B8</f>
        <v>0.8571428571428571</v>
      </c>
    </row>
    <row r="26" spans="1:8" x14ac:dyDescent="0.35">
      <c r="A26" t="s">
        <v>11</v>
      </c>
      <c r="B26">
        <f>B23/(0.0000002)</f>
        <v>1875000</v>
      </c>
      <c r="C26" t="s">
        <v>39</v>
      </c>
    </row>
    <row r="27" spans="1:8" x14ac:dyDescent="0.35">
      <c r="A27" t="s">
        <v>25</v>
      </c>
      <c r="B27">
        <f>(1-B25)/B26</f>
        <v>7.6190476190476219E-8</v>
      </c>
      <c r="C27" t="s">
        <v>40</v>
      </c>
      <c r="D27">
        <f>B27*10000000</f>
        <v>0.7619047619047622</v>
      </c>
      <c r="E27" t="s">
        <v>18</v>
      </c>
    </row>
    <row r="28" spans="1:8" x14ac:dyDescent="0.35">
      <c r="A28" t="s">
        <v>26</v>
      </c>
      <c r="B28">
        <f>(1-B25)/(B27+0.0000002)</f>
        <v>517241.37931034499</v>
      </c>
      <c r="C28" t="s">
        <v>39</v>
      </c>
      <c r="D28" s="1">
        <v>0.1</v>
      </c>
      <c r="E28">
        <f>B28-B28*D28</f>
        <v>465517.24137931049</v>
      </c>
      <c r="F28">
        <f>B28+B28*D28</f>
        <v>568965.51724137948</v>
      </c>
    </row>
    <row r="29" spans="1:8" x14ac:dyDescent="0.35">
      <c r="A29" t="s">
        <v>27</v>
      </c>
      <c r="B29" s="4">
        <v>550000</v>
      </c>
      <c r="C29" t="s">
        <v>39</v>
      </c>
      <c r="D29">
        <f>B29/1000</f>
        <v>550</v>
      </c>
      <c r="E29" t="s">
        <v>12</v>
      </c>
    </row>
    <row r="30" spans="1:8" x14ac:dyDescent="0.35">
      <c r="A30" t="s">
        <v>29</v>
      </c>
      <c r="B30">
        <f>-((B9-1)*(B9*16.5+100))-1000</f>
        <v>-7088</v>
      </c>
      <c r="C30" t="s">
        <v>38</v>
      </c>
      <c r="D30">
        <f>B30/1000</f>
        <v>-7.0880000000000001</v>
      </c>
      <c r="E30" t="s">
        <v>23</v>
      </c>
    </row>
    <row r="31" spans="1:8" x14ac:dyDescent="0.35">
      <c r="A31" t="s">
        <v>28</v>
      </c>
      <c r="B31">
        <f>((B7*B9)-B7)/(B9*0.0000000001*B29)+(B30)</f>
        <v>198259.5935828877</v>
      </c>
      <c r="C31" t="s">
        <v>38</v>
      </c>
      <c r="D31" s="5">
        <f>B31/1000</f>
        <v>198.2595935828877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1.3636363636363635E-5</v>
      </c>
      <c r="C34" t="s">
        <v>42</v>
      </c>
      <c r="D34">
        <f>B34*1000000</f>
        <v>13.636363636363635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1.4722431864335457</v>
      </c>
      <c r="C37" t="s">
        <v>17</v>
      </c>
      <c r="D37" s="1">
        <v>0.05</v>
      </c>
      <c r="E37">
        <f>B37-B37*D37</f>
        <v>1.3986310271118685</v>
      </c>
      <c r="F37">
        <f>B37+B37*D37</f>
        <v>1.5458553457552229</v>
      </c>
    </row>
    <row r="38" spans="1:6" x14ac:dyDescent="0.35">
      <c r="A38" t="s">
        <v>33</v>
      </c>
      <c r="B38">
        <f>(B7/B9)/B29</f>
        <v>1.2834224598930481E-6</v>
      </c>
      <c r="C38" t="s">
        <v>40</v>
      </c>
      <c r="D38">
        <f>B38*1000000000</f>
        <v>1283.4224598930482</v>
      </c>
      <c r="E38" t="s">
        <v>24</v>
      </c>
    </row>
    <row r="39" spans="1:6" x14ac:dyDescent="0.35">
      <c r="A39" t="s">
        <v>34</v>
      </c>
      <c r="B39">
        <f>70/(B29^2*0.00000165)</f>
        <v>1.4024542950162784E-4</v>
      </c>
      <c r="C39" t="s">
        <v>43</v>
      </c>
      <c r="D39" s="5">
        <f>B39*1000000</f>
        <v>140.24542950162783</v>
      </c>
      <c r="E39" t="s">
        <v>36</v>
      </c>
    </row>
    <row r="40" spans="1:6" x14ac:dyDescent="0.35">
      <c r="A40" t="s">
        <v>37</v>
      </c>
      <c r="B40">
        <f>(0.08*B39*B37*1)/B34</f>
        <v>1.2113222176716776</v>
      </c>
      <c r="C40" t="s">
        <v>38</v>
      </c>
      <c r="D40">
        <f>B40*1000</f>
        <v>1211.3222176716777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1.5865779912246515E-10</v>
      </c>
      <c r="C44" t="s">
        <v>43</v>
      </c>
      <c r="D44" s="5">
        <f>B44*1000000000000</f>
        <v>158.65779912246515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38.4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0.56470588235294128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0.43349999999999994</v>
      </c>
      <c r="C55" t="s">
        <v>53</v>
      </c>
    </row>
    <row r="56" spans="1:3" x14ac:dyDescent="0.35">
      <c r="A56" t="s">
        <v>58</v>
      </c>
      <c r="B56">
        <f>B54+B55</f>
        <v>0.99820588235294117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0.23529411764705879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0.85000000000000009</v>
      </c>
    </row>
    <row r="69" spans="1:6" x14ac:dyDescent="0.35">
      <c r="A69" t="s">
        <v>70</v>
      </c>
      <c r="B69">
        <f>(B11*B24*(1-B24))/(B29*B68)</f>
        <v>4.4409081657198891E-6</v>
      </c>
      <c r="C69" t="s">
        <v>43</v>
      </c>
      <c r="D69" s="5">
        <f>B69*1000000</f>
        <v>4.4409081657198888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6" priority="4" operator="lessThan">
      <formula>$E$28</formula>
    </cfRule>
    <cfRule type="cellIs" dxfId="5" priority="5" operator="greaterThan">
      <formula>$F$28</formula>
    </cfRule>
  </conditionalFormatting>
  <conditionalFormatting sqref="B19">
    <cfRule type="cellIs" dxfId="4" priority="6" operator="lessThan">
      <formula>$G$18</formula>
    </cfRule>
    <cfRule type="cellIs" dxfId="3" priority="7" operator="greaterThan">
      <formula>$H$18</formula>
    </cfRule>
  </conditionalFormatting>
  <conditionalFormatting sqref="B56">
    <cfRule type="cellIs" dxfId="2" priority="3" operator="greaterThan">
      <formula>$B$57</formula>
    </cfRule>
  </conditionalFormatting>
  <conditionalFormatting sqref="B64">
    <cfRule type="cellIs" dxfId="1" priority="2" operator="greaterThan">
      <formula>$B$57</formula>
    </cfRule>
  </conditionalFormatting>
  <conditionalFormatting sqref="B20">
    <cfRule type="cellIs" dxfId="0" priority="1" operator="lessThan">
      <formula>$B$7</formula>
    </cfRule>
  </conditionalFormatting>
  <hyperlinks>
    <hyperlink ref="D1" r:id="rId1" xr:uid="{9DC082BC-1C68-412B-8D3E-87B60DE826D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5V</vt:lpstr>
      <vt:lpstr>3.3V</vt:lpstr>
      <vt:lpstr>12V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Golovnya Andriy</dc:creator>
  <cp:lastModifiedBy>AG</cp:lastModifiedBy>
  <dcterms:created xsi:type="dcterms:W3CDTF">2021-07-21T10:08:06Z</dcterms:created>
  <dcterms:modified xsi:type="dcterms:W3CDTF">2021-08-17T15:01:28Z</dcterms:modified>
</cp:coreProperties>
</file>