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uniroma2-my.sharepoint.com/personal/giacomolorenzo_rossi_alumni_uniroma2_eu/Documents/Materie Correnti/ISW2/"/>
    </mc:Choice>
  </mc:AlternateContent>
  <xr:revisionPtr revIDLastSave="247" documentId="8_{9DC8D29E-D202-42AE-9356-2FCB7E42605C}" xr6:coauthVersionLast="46" xr6:coauthVersionMax="46" xr10:uidLastSave="{2E1D5F83-1BB2-4766-AAA7-A8F7AEBE4715}"/>
  <bookViews>
    <workbookView xWindow="-108" yWindow="-108" windowWidth="23256" windowHeight="12576" activeTab="2" xr2:uid="{00000000-000D-0000-FFFF-FFFF00000000}"/>
  </bookViews>
  <sheets>
    <sheet name="sizing" sheetId="10" r:id="rId1"/>
    <sheet name="x86 TCO" sheetId="11" r:id="rId2"/>
    <sheet name="LinuxONE TCO" sheetId="14" r:id="rId3"/>
    <sheet name="TCO comparison" sheetId="1" r:id="rId4"/>
    <sheet name="Appunti" sheetId="15"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 i="14" l="1"/>
  <c r="D25" i="14"/>
  <c r="D28" i="11"/>
  <c r="D11" i="11"/>
  <c r="D108" i="11"/>
  <c r="G10" i="11"/>
  <c r="D10" i="11"/>
  <c r="D23" i="11"/>
  <c r="E37" i="11" l="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P9" i="1" s="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K20" i="11"/>
  <c r="P20" i="11" s="1"/>
  <c r="K38" i="11" s="1"/>
  <c r="F21" i="11"/>
  <c r="F22" i="11"/>
  <c r="F23" i="11"/>
  <c r="F19" i="11"/>
  <c r="F20" i="11"/>
  <c r="X21" i="11"/>
  <c r="Y22" i="11"/>
  <c r="W20" i="11"/>
  <c r="X19" i="11"/>
  <c r="X23" i="11"/>
  <c r="Y19" i="11"/>
  <c r="X22" i="11"/>
  <c r="X20" i="11"/>
  <c r="W19" i="11"/>
  <c r="W22" i="11"/>
  <c r="Y23" i="11"/>
  <c r="W21" i="11"/>
  <c r="W23" i="11"/>
  <c r="Y20" i="11"/>
  <c r="Y21" i="11"/>
  <c r="F4" i="10" l="1"/>
  <c r="O4" i="10" s="1"/>
  <c r="E23" i="11" s="1"/>
  <c r="E13" i="14"/>
  <c r="G13" i="14"/>
  <c r="H13" i="14" s="1"/>
  <c r="H14" i="14" s="1"/>
  <c r="H15" i="14" s="1"/>
  <c r="E10" i="14"/>
  <c r="F10" i="14" s="1"/>
  <c r="E11" i="14"/>
  <c r="E12" i="14"/>
  <c r="K21" i="11"/>
  <c r="P21" i="11" s="1"/>
  <c r="K48" i="11" s="1"/>
  <c r="K49" i="11" s="1"/>
  <c r="L42" i="11"/>
  <c r="L52" i="11"/>
  <c r="O38" i="11"/>
  <c r="Q38" i="11" s="1"/>
  <c r="W38" i="11" s="1"/>
  <c r="K39" i="11"/>
  <c r="G21" i="11"/>
  <c r="O21" i="11" s="1"/>
  <c r="G20" i="11"/>
  <c r="O20" i="11" s="1"/>
  <c r="X24" i="11"/>
  <c r="Y24" i="11"/>
  <c r="W24" i="11"/>
  <c r="T4" i="10" l="1"/>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E15" i="14"/>
  <c r="K13" i="14" s="1"/>
  <c r="O13" i="14" s="1"/>
  <c r="O98" i="14" s="1"/>
  <c r="P98" i="14" s="1"/>
  <c r="Q98" i="14" s="1"/>
  <c r="O48" i="11"/>
  <c r="Q48" i="11" s="1"/>
  <c r="X48" i="11" s="1"/>
  <c r="I10" i="14"/>
  <c r="I14" i="14" s="1"/>
  <c r="I15" i="14" s="1"/>
  <c r="L53" i="11"/>
  <c r="L54" i="11" s="1"/>
  <c r="L43" i="11"/>
  <c r="L44" i="11" s="1"/>
  <c r="AA38" i="11"/>
  <c r="R38" i="11"/>
  <c r="X38" i="11"/>
  <c r="Y38" i="11"/>
  <c r="Z38" i="11"/>
  <c r="O49" i="11"/>
  <c r="Q49" i="11" s="1"/>
  <c r="R49" i="11" s="1"/>
  <c r="K50" i="11"/>
  <c r="O39" i="11"/>
  <c r="Q39" i="11" s="1"/>
  <c r="R39" i="11" s="1"/>
  <c r="K40" i="1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K41" i="11" l="1"/>
  <c r="K42" i="11" s="1"/>
  <c r="O40" i="11"/>
  <c r="Q40" i="11" s="1"/>
  <c r="K51" i="11"/>
  <c r="K52" i="11" s="1"/>
  <c r="O50" i="11"/>
  <c r="Q50" i="11" s="1"/>
  <c r="W4" i="10"/>
  <c r="K19" i="11"/>
  <c r="P19" i="11" s="1"/>
  <c r="K28" i="11" s="1"/>
  <c r="K29" i="11" s="1"/>
  <c r="K30" i="11" s="1"/>
  <c r="K31" i="11" s="1"/>
  <c r="K32" i="11" s="1"/>
  <c r="K33" i="11" s="1"/>
  <c r="K34" i="11" s="1"/>
  <c r="O30" i="11"/>
  <c r="Q30" i="11" s="1"/>
  <c r="Z30" i="11" s="1"/>
  <c r="G19" i="11"/>
  <c r="O19" i="11" s="1"/>
  <c r="U4" i="10"/>
  <c r="O62" i="11"/>
  <c r="Q62" i="11" s="1"/>
  <c r="Z62"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J62" i="11"/>
  <c r="J63" i="11" s="1"/>
  <c r="J64" i="11" s="1"/>
  <c r="O64" i="11" s="1"/>
  <c r="Q64"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F15" i="14"/>
  <c r="Q10" i="14"/>
  <c r="Q15" i="14" s="1"/>
  <c r="W48" i="11"/>
  <c r="R48" i="11"/>
  <c r="Y48" i="11"/>
  <c r="AA48" i="11"/>
  <c r="Z48" i="11"/>
  <c r="L57" i="14"/>
  <c r="L58" i="14" s="1"/>
  <c r="O54" i="14"/>
  <c r="Q54" i="14" s="1"/>
  <c r="W54" i="14" s="1"/>
  <c r="R56" i="14"/>
  <c r="Y56" i="14"/>
  <c r="X56" i="14"/>
  <c r="AA56" i="14"/>
  <c r="Z56" i="14"/>
  <c r="L73" i="11"/>
  <c r="L74" i="11" s="1"/>
  <c r="O55" i="14"/>
  <c r="Q55" i="14" s="1"/>
  <c r="P12" i="14"/>
  <c r="K44" i="14" s="1"/>
  <c r="L44" i="14"/>
  <c r="L45" i="14" s="1"/>
  <c r="L46" i="14" s="1"/>
  <c r="X98" i="14"/>
  <c r="AA98" i="14"/>
  <c r="W98" i="14"/>
  <c r="Y98" i="14"/>
  <c r="Z98" i="14"/>
  <c r="L33" i="11"/>
  <c r="L34"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O60" i="11" l="1"/>
  <c r="Q60" i="11" s="1"/>
  <c r="Z60" i="11" s="1"/>
  <c r="O61" i="11"/>
  <c r="Q61" i="11" s="1"/>
  <c r="O32" i="11"/>
  <c r="Q32" i="11" s="1"/>
  <c r="AA32" i="11" s="1"/>
  <c r="AA50" i="11"/>
  <c r="X50" i="11"/>
  <c r="Y50" i="11"/>
  <c r="Z50" i="11"/>
  <c r="R50" i="11"/>
  <c r="AB50" i="11" s="1"/>
  <c r="K53" i="11"/>
  <c r="K54" i="11" s="1"/>
  <c r="O52" i="11"/>
  <c r="Q52" i="11" s="1"/>
  <c r="Z40" i="11"/>
  <c r="R40" i="11"/>
  <c r="AB40" i="11" s="1"/>
  <c r="Y40" i="11"/>
  <c r="AA40" i="11"/>
  <c r="X40" i="11"/>
  <c r="K43" i="11"/>
  <c r="K44" i="11" s="1"/>
  <c r="O42" i="11"/>
  <c r="Q42" i="11" s="1"/>
  <c r="O29" i="11"/>
  <c r="Q29" i="11" s="1"/>
  <c r="Y29" i="11" s="1"/>
  <c r="AA30" i="11"/>
  <c r="H19" i="11"/>
  <c r="I19" i="11" s="1"/>
  <c r="J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P94" i="11" s="1"/>
  <c r="R94" i="11" s="1"/>
  <c r="R62" i="11"/>
  <c r="Y62" i="11"/>
  <c r="W62" i="11"/>
  <c r="W65" i="11" s="1"/>
  <c r="X62" i="11"/>
  <c r="AA62" i="11"/>
  <c r="AA111" i="11"/>
  <c r="Z111" i="11"/>
  <c r="Y111" i="11"/>
  <c r="W111" i="11"/>
  <c r="Y60" i="11"/>
  <c r="X60" i="11"/>
  <c r="AA60" i="11"/>
  <c r="R60" i="11"/>
  <c r="AA102" i="11"/>
  <c r="W84" i="11"/>
  <c r="K24" i="11"/>
  <c r="X84" i="11"/>
  <c r="Y84" i="11"/>
  <c r="Z93" i="11"/>
  <c r="Z84" i="11"/>
  <c r="Y93" i="11"/>
  <c r="W68" i="11"/>
  <c r="X68" i="11"/>
  <c r="W102" i="11"/>
  <c r="Z102" i="11"/>
  <c r="Y102" i="11"/>
  <c r="R93" i="11"/>
  <c r="P24" i="11"/>
  <c r="X93" i="11"/>
  <c r="K69" i="11"/>
  <c r="K70"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AB48" i="11"/>
  <c r="O57" i="14"/>
  <c r="Q57" i="14" s="1"/>
  <c r="R57" i="14" s="1"/>
  <c r="Y54" i="14"/>
  <c r="Z54" i="14"/>
  <c r="AA54" i="14"/>
  <c r="X54" i="14"/>
  <c r="R54" i="14"/>
  <c r="X32" i="11"/>
  <c r="Y32" i="11"/>
  <c r="W32" i="11"/>
  <c r="R32" i="11"/>
  <c r="Z32" i="11"/>
  <c r="AB56" i="14"/>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R52" i="11" l="1"/>
  <c r="Y52" i="11"/>
  <c r="X52" i="11"/>
  <c r="Z52" i="11"/>
  <c r="AA52" i="11"/>
  <c r="W52" i="11"/>
  <c r="W55" i="11" s="1"/>
  <c r="K71" i="11"/>
  <c r="O70" i="11"/>
  <c r="Q70" i="11" s="1"/>
  <c r="Y42" i="11"/>
  <c r="Z42" i="11"/>
  <c r="AA42" i="11"/>
  <c r="R42" i="11"/>
  <c r="AB42" i="11" s="1"/>
  <c r="X42" i="11"/>
  <c r="W42" i="11"/>
  <c r="W45" i="11" s="1"/>
  <c r="Z90" i="11"/>
  <c r="R29" i="11"/>
  <c r="AA29" i="11"/>
  <c r="X29" i="11"/>
  <c r="Z29" i="11"/>
  <c r="X28" i="11"/>
  <c r="R90" i="11"/>
  <c r="R95" i="11" s="1"/>
  <c r="Y90" i="11"/>
  <c r="Y94" i="11"/>
  <c r="W28" i="11"/>
  <c r="W35" i="11" s="1"/>
  <c r="R28" i="11"/>
  <c r="W119" i="11"/>
  <c r="AA90" i="11"/>
  <c r="Z28" i="11"/>
  <c r="AA28" i="11"/>
  <c r="AB30" i="11"/>
  <c r="G24" i="11"/>
  <c r="Y81" i="11"/>
  <c r="X81" i="11"/>
  <c r="W81" i="11"/>
  <c r="Z81" i="11"/>
  <c r="AB19" i="11"/>
  <c r="C5" i="1" s="1"/>
  <c r="B16" i="1" s="1"/>
  <c r="O85" i="11"/>
  <c r="P85" i="11" s="1"/>
  <c r="W85" i="11" s="1"/>
  <c r="AA94" i="11"/>
  <c r="R23" i="11"/>
  <c r="R24" i="11" s="1"/>
  <c r="C32" i="1" s="1"/>
  <c r="H23" i="11"/>
  <c r="I23" i="11" s="1"/>
  <c r="J23" i="11" s="1"/>
  <c r="Z94" i="1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P95" i="11"/>
  <c r="X94" i="11"/>
  <c r="X95" i="11" s="1"/>
  <c r="AB111" i="11"/>
  <c r="F10" i="1" s="1"/>
  <c r="AA119" i="11"/>
  <c r="AB60" i="11"/>
  <c r="AB62" i="11"/>
  <c r="Z119" i="11"/>
  <c r="Y119"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l="1"/>
  <c r="AB52" i="11"/>
  <c r="Z70" i="11"/>
  <c r="R70" i="11"/>
  <c r="AA70" i="11"/>
  <c r="Y70" i="11"/>
  <c r="X70" i="11"/>
  <c r="K72" i="11"/>
  <c r="O71" i="11"/>
  <c r="Q71" i="11" s="1"/>
  <c r="Z95" i="11"/>
  <c r="Y95" i="11"/>
  <c r="AB29" i="11"/>
  <c r="AB28" i="11"/>
  <c r="AB90" i="11"/>
  <c r="C8" i="1" s="1"/>
  <c r="AA95" i="11"/>
  <c r="W86" i="11"/>
  <c r="O73" i="11"/>
  <c r="Q73" i="11" s="1"/>
  <c r="Z73" i="11" s="1"/>
  <c r="Z74" i="11"/>
  <c r="AB81" i="11"/>
  <c r="AA74" i="11"/>
  <c r="X74" i="11"/>
  <c r="Z103" i="11"/>
  <c r="Z120" i="11" s="1"/>
  <c r="Z85" i="11"/>
  <c r="Z86" i="11" s="1"/>
  <c r="Y112" i="11"/>
  <c r="Y113" i="11" s="1"/>
  <c r="AB94" i="11"/>
  <c r="G8" i="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70" i="11" l="1"/>
  <c r="Z71" i="11"/>
  <c r="X71" i="11"/>
  <c r="R71" i="11"/>
  <c r="Y71" i="11"/>
  <c r="AA71" i="11"/>
  <c r="K73" i="11"/>
  <c r="K74" i="11" s="1"/>
  <c r="O72" i="11"/>
  <c r="Q72" i="11" s="1"/>
  <c r="R73" i="11"/>
  <c r="AA73" i="11"/>
  <c r="H8" i="1"/>
  <c r="X73" i="11"/>
  <c r="Y73" i="11"/>
  <c r="AB74" i="11"/>
  <c r="Y120" i="11"/>
  <c r="AA120" i="11"/>
  <c r="AB24" i="11"/>
  <c r="AB112" i="11"/>
  <c r="G10" i="1" s="1"/>
  <c r="H10" i="1" s="1"/>
  <c r="AB95" i="11"/>
  <c r="E16"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71" i="11" l="1"/>
  <c r="W72" i="11"/>
  <c r="W75" i="11" s="1"/>
  <c r="W77" i="11" s="1"/>
  <c r="Y72" i="11"/>
  <c r="X72" i="11"/>
  <c r="X75" i="11" s="1"/>
  <c r="X77" i="11" s="1"/>
  <c r="Z72" i="11"/>
  <c r="Z75" i="11" s="1"/>
  <c r="Z77" i="11" s="1"/>
  <c r="R72" i="11"/>
  <c r="R75" i="11" s="1"/>
  <c r="R77" i="11" s="1"/>
  <c r="R124" i="11" s="1"/>
  <c r="AA72" i="11"/>
  <c r="AA75" i="11" s="1"/>
  <c r="AA77" i="11" s="1"/>
  <c r="AB73" i="11"/>
  <c r="Y75" i="11"/>
  <c r="Y77" i="11" s="1"/>
  <c r="AB120" i="11"/>
  <c r="AB113" i="11"/>
  <c r="H7" i="1"/>
  <c r="AB91" i="14"/>
  <c r="H9" i="1"/>
  <c r="X100" i="14"/>
  <c r="Z121" i="14"/>
  <c r="AB95" i="14"/>
  <c r="L9" i="1" s="1"/>
  <c r="Q9" i="1" s="1"/>
  <c r="W121" i="14"/>
  <c r="AB29" i="14"/>
  <c r="AB125" i="14"/>
  <c r="P10" i="1"/>
  <c r="X109" i="14"/>
  <c r="Z121" i="11"/>
  <c r="X121" i="11"/>
  <c r="AA121" i="11"/>
  <c r="Y121" i="11"/>
  <c r="W121" i="1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X124" i="11" l="1"/>
  <c r="X125" i="11" s="1"/>
  <c r="AB72" i="11"/>
  <c r="AB75" i="11" s="1"/>
  <c r="AA124" i="11"/>
  <c r="AA125" i="11" s="1"/>
  <c r="Z124" i="11"/>
  <c r="Z125" i="11" s="1"/>
  <c r="W124" i="11"/>
  <c r="W125" i="11" s="1"/>
  <c r="W126" i="11" s="1"/>
  <c r="C20" i="1" s="1"/>
  <c r="AB121" i="11"/>
  <c r="Y124" i="11"/>
  <c r="Y125" i="11" s="1"/>
  <c r="X126" i="14"/>
  <c r="X129" i="14" s="1"/>
  <c r="X130" i="14" s="1"/>
  <c r="AB100" i="14"/>
  <c r="P11" i="1"/>
  <c r="G17" i="1" s="1"/>
  <c r="AB121" i="14"/>
  <c r="L10" i="1"/>
  <c r="AB123" i="14"/>
  <c r="N10" i="1"/>
  <c r="AB124" i="14"/>
  <c r="O10" i="1"/>
  <c r="O11" i="1" s="1"/>
  <c r="M10" i="1"/>
  <c r="AB122" i="14"/>
  <c r="F16" i="1"/>
  <c r="AB109" i="14"/>
  <c r="W129" i="14"/>
  <c r="AA129" i="14"/>
  <c r="AA130" i="14" s="1"/>
  <c r="Y129" i="14"/>
  <c r="Y130" i="14" s="1"/>
  <c r="Z129" i="14"/>
  <c r="Z130" i="14" s="1"/>
  <c r="Q5" i="1"/>
  <c r="R73" i="14"/>
  <c r="R129" i="14" s="1"/>
  <c r="M6" i="1"/>
  <c r="N6" i="1"/>
  <c r="AB31" i="14"/>
  <c r="L6" i="1" s="1"/>
  <c r="AB77" i="11" l="1"/>
  <c r="G6" i="1"/>
  <c r="H6" i="1" s="1"/>
  <c r="AB124" i="11"/>
  <c r="G11" i="1"/>
  <c r="G16" i="1" s="1"/>
  <c r="AB126" i="14"/>
  <c r="F17" i="1" s="1"/>
  <c r="M11" i="1"/>
  <c r="Q10" i="1"/>
  <c r="AB125" i="11"/>
  <c r="H16" i="1"/>
  <c r="W130" i="14"/>
  <c r="W131" i="14" s="1"/>
  <c r="C21" i="1" s="1"/>
  <c r="H11" i="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<sst xmlns="http://schemas.openxmlformats.org/spreadsheetml/2006/main" count="987" uniqueCount="354">
  <si>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</si>
  <si>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</si>
  <si>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</si>
  <si>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</si>
  <si>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</si>
  <si>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</si>
  <si>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</si>
  <si>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</si>
  <si>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</si>
  <si>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</si>
  <si>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</si>
  <si>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</si>
  <si>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</si>
  <si>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</si>
  <si>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</si>
  <si>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</si>
  <si>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</si>
  <si>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</si>
  <si>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</si>
  <si>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</si>
  <si>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</si>
  <si>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</si>
  <si>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</si>
  <si>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</si>
  <si>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</si>
  <si>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</si>
  <si>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</si>
  <si>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</si>
  <si>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</si>
  <si>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</si>
  <si>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</si>
  <si>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</si>
  <si>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</si>
  <si>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</si>
  <si>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</si>
  <si>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</si>
  <si>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</si>
  <si>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</si>
  <si>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</si>
  <si>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</si>
  <si>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</si>
  <si>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</si>
  <si>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</si>
  <si>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</si>
  <si>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</si>
  <si>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</si>
  <si>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</si>
  <si>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</si>
  <si>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</si>
  <si>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</si>
  <si>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</si>
  <si>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</si>
  <si>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</si>
  <si>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</si>
  <si>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</si>
  <si>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</si>
  <si>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</si>
  <si>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</si>
  <si>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</si>
  <si>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</si>
  <si>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</si>
  <si>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</si>
  <si>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</si>
  <si>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</si>
  <si>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</si>
  <si>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</si>
  <si>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</si>
  <si>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</si>
  <si>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</si>
  <si>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</si>
  <si>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</si>
  <si>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</si>
  <si>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</si>
  <si>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</si>
  <si>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</si>
  <si>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</si>
  <si>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</si>
  <si>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</si>
  <si>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</si>
  <si>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</si>
  <si>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</si>
  <si>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</si>
  <si>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</si>
  <si>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</si>
  <si>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</si>
  <si>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</si>
  <si>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</si>
  <si>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</si>
  <si>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</si>
  <si>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</si>
  <si>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</si>
  <si>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</si>
  <si>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</si>
  <si>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</si>
  <si>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</si>
  <si>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</si>
  <si>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</si>
  <si>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</si>
  <si>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</si>
  <si>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</si>
  <si>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</si>
  <si>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</si>
  <si>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</si>
  <si>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</si>
  <si>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</si>
  <si>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</si>
  <si>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</si>
  <si>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</si>
  <si>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</si>
  <si>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</si>
  <si>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</si>
  <si>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</si>
  <si>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</si>
  <si>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</si>
  <si>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</si>
  <si>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</si>
  <si>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</si>
  <si>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</si>
  <si>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</si>
  <si>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</si>
  <si>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</si>
  <si>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</si>
  <si>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</si>
  <si>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</si>
  <si>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</si>
  <si>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</si>
  <si>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</si>
  <si>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</si>
  <si>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</si>
  <si>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</si>
  <si>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</si>
  <si>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</si>
  <si>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</si>
  <si>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</si>
  <si>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</si>
  <si>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</si>
  <si>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</si>
  <si>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</si>
  <si>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</si>
  <si>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</si>
  <si>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</si>
  <si>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</si>
  <si>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</si>
  <si>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</si>
  <si>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</si>
  <si>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</si>
  <si>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</si>
  <si>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</si>
  <si>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</si>
  <si>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</si>
  <si>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</si>
  <si>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</si>
  <si>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</si>
  <si>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</si>
  <si>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</si>
  <si>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</si>
  <si>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</si>
  <si>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</si>
  <si>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</si>
  <si>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</si>
  <si>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</si>
  <si>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</si>
  <si>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</si>
  <si>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</si>
  <si>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</si>
  <si>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</si>
  <si>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</si>
  <si>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</si>
  <si>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</si>
  <si>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</si>
  <si>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</si>
  <si>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</si>
  <si>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</si>
  <si>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</si>
  <si>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</si>
  <si>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</si>
  <si>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</si>
  <si>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</si>
  <si>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</si>
  <si>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</si>
  <si>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</si>
  <si>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</si>
  <si>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</si>
  <si>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Quanti core per ogni ambiente?</t>
  </si>
  <si>
    <t>Disaster recovery</t>
  </si>
  <si>
    <t>Un core LinuxONE riesce a fare 10 volte più transazioni rispetto agli x86.</t>
  </si>
  <si>
    <t>Invece di core attivi, su LinuxONE abbiamo i CBU, spare core attivati solo se ci sono disastri. Non si paga il software  perché sono inattivi</t>
  </si>
  <si>
    <t>Se scrivi una S, scegli un certo server!!!</t>
  </si>
  <si>
    <t>Numero di CPU</t>
  </si>
  <si>
    <t>282 per 22 servers</t>
  </si>
  <si>
    <t>Dati provenienti dall'esempio 1 x86</t>
  </si>
  <si>
    <t>Tipicamente, dopo aver progettato una configurazione, viene fornita al cliente un'offerta.</t>
  </si>
  <si>
    <t>Ipotizzato uno sconto del 30%</t>
  </si>
  <si>
    <t>Non toccare!!!!!</t>
  </si>
  <si>
    <t>Costo di acquisto</t>
  </si>
  <si>
    <t>Il server include questi core</t>
  </si>
  <si>
    <t>costo dei core aggiuntivi</t>
  </si>
  <si>
    <t>costo dei core spare</t>
  </si>
  <si>
    <t>max numero di core per server</t>
  </si>
  <si>
    <t>Allocato nelle varie voci.</t>
  </si>
  <si>
    <t>Anni:</t>
  </si>
  <si>
    <t>Costi del supporto tecnico (nei primi tre anni ipotizziamo sia gratis)</t>
  </si>
  <si>
    <t>Dobbiamo cambiare queste cose!!!!</t>
  </si>
  <si>
    <t>Il costo di manutenzione dipende dal software</t>
  </si>
  <si>
    <t>PVU=Performance Value Unit: prezzo diverso a seconda della macchina target (es. 100$ per PVU, ogni core 70 PVU).</t>
  </si>
  <si>
    <t>Cambia solo questo</t>
  </si>
  <si>
    <t>Non toccare!!!</t>
  </si>
  <si>
    <t>Scegli (medio o di picco?? Meditaci)</t>
  </si>
  <si>
    <t>Costo energia aggiornato a Marzo 2021 (media delle fasce orarie)</t>
  </si>
  <si>
    <t>R1-XES08ef	S68813  w Xeon Gold 6126  12C 2.60Ghz (2 Chips, 24 Cores, 128GB total RAM 2666Mhz)</t>
  </si>
  <si>
    <t>6029U-E1CRT  w Xeon Platinum 8160T 2.1Ghz 2 Chips, 48 Cores, 256 GB total RAM 2933Mhz</t>
  </si>
  <si>
    <t>WildFly</t>
  </si>
  <si>
    <t>Red Hat</t>
  </si>
  <si>
    <t>23.0.0.Final[2]</t>
  </si>
  <si>
    <t>8 full platform</t>
  </si>
  <si>
    <t>4.0</t>
  </si>
  <si>
    <t>2.3</t>
  </si>
  <si>
    <t>Yes</t>
  </si>
  <si>
    <t>Free, LGPL</t>
  </si>
  <si>
    <t>WebLogic Server</t>
  </si>
  <si>
    <t>Oracle Corporation</t>
  </si>
  <si>
    <t>14.1.1.0.0</t>
  </si>
  <si>
    <t>2020-03-30 [6]</t>
  </si>
  <si>
    <r>
      <t>Proprietary</t>
    </r>
    <r>
      <rPr>
        <sz val="7"/>
        <color rgb="FF202122"/>
        <rFont val="Arial"/>
        <family val="2"/>
      </rPr>
      <t>, </t>
    </r>
    <r>
      <rPr>
        <sz val="7"/>
        <color rgb="FF0645AD"/>
        <rFont val="Arial"/>
        <family val="2"/>
      </rPr>
      <t>commercial</t>
    </r>
  </si>
  <si>
    <t>Payara</t>
  </si>
  <si>
    <r>
      <t>Free, </t>
    </r>
    <r>
      <rPr>
        <sz val="7"/>
        <color rgb="FF0645AD"/>
        <rFont val="Arial"/>
        <family val="2"/>
      </rPr>
      <t>CDDL</t>
    </r>
    <r>
      <rPr>
        <sz val="7"/>
        <color rgb="FF000000"/>
        <rFont val="Arial"/>
        <family val="2"/>
      </rPr>
      <t>, </t>
    </r>
    <r>
      <rPr>
        <sz val="7"/>
        <color rgb="FF0645AD"/>
        <rFont val="Arial"/>
        <family val="2"/>
      </rPr>
      <t>GPL</t>
    </r>
    <r>
      <rPr>
        <sz val="7"/>
        <color rgb="FF000000"/>
        <rFont val="Arial"/>
        <family val="2"/>
      </rPr>
      <t> + </t>
    </r>
    <r>
      <rPr>
        <sz val="7"/>
        <color rgb="FF0645AD"/>
        <rFont val="Arial"/>
        <family val="2"/>
      </rPr>
      <t>classpath exception</t>
    </r>
  </si>
  <si>
    <t>Tomcat</t>
  </si>
  <si>
    <t>ASF</t>
  </si>
  <si>
    <t>9.0.24</t>
  </si>
  <si>
    <t>8 partial platform</t>
  </si>
  <si>
    <t>Free, Apache v2</t>
  </si>
  <si>
    <t>Jetty</t>
  </si>
  <si>
    <t>Eclipse Foundation</t>
  </si>
  <si>
    <t>9.4.20</t>
  </si>
  <si>
    <t>7 partial platform[4]</t>
  </si>
  <si>
    <t>3.1</t>
  </si>
  <si>
    <r>
      <t>Free, </t>
    </r>
    <r>
      <rPr>
        <sz val="7"/>
        <color rgb="FF0645AD"/>
        <rFont val="Arial"/>
        <family val="2"/>
      </rPr>
      <t>Apache</t>
    </r>
    <r>
      <rPr>
        <sz val="7"/>
        <color rgb="FF000000"/>
        <rFont val="Arial"/>
        <family val="2"/>
      </rPr>
      <t> 2.0, </t>
    </r>
    <r>
      <rPr>
        <sz val="7"/>
        <color rgb="FF0645AD"/>
        <rFont val="Arial"/>
        <family val="2"/>
      </rPr>
      <t>EPL</t>
    </r>
  </si>
  <si>
    <t>TomEE</t>
  </si>
  <si>
    <t>7.1.1</t>
  </si>
  <si>
    <t>6 Web Profile</t>
  </si>
  <si>
    <t>3.0</t>
  </si>
  <si>
    <t>2.2</t>
  </si>
  <si>
    <t>No</t>
  </si>
  <si>
    <t>Free, Apache</t>
  </si>
  <si>
    <r>
      <t>Lucee</t>
    </r>
    <r>
      <rPr>
        <sz val="7"/>
        <color rgb="FF202122"/>
        <rFont val="Arial"/>
        <family val="2"/>
      </rPr>
      <t> (Formerly </t>
    </r>
    <r>
      <rPr>
        <sz val="7"/>
        <color rgb="FF0645AD"/>
        <rFont val="Arial"/>
        <family val="2"/>
      </rPr>
      <t>Railo</t>
    </r>
    <r>
      <rPr>
        <sz val="7"/>
        <color rgb="FF202122"/>
        <rFont val="Arial"/>
        <family val="2"/>
      </rPr>
      <t>)</t>
    </r>
  </si>
  <si>
    <t>Lucee Association Switzerland</t>
  </si>
  <si>
    <t>5.3.2.77</t>
  </si>
  <si>
    <t>7 partial platform</t>
  </si>
  <si>
    <t>Resin Servlet Container (open source)</t>
  </si>
  <si>
    <t>Caucho Technology</t>
  </si>
  <si>
    <t>4.0.62</t>
  </si>
  <si>
    <t>6 Web Profile[5]</t>
  </si>
  <si>
    <t>Free, GPL</t>
  </si>
  <si>
    <t>Resin Professional Application Server</t>
  </si>
  <si>
    <t>GlassFish</t>
  </si>
  <si>
    <t>5.1.0</t>
  </si>
  <si>
    <r>
      <t>Free, </t>
    </r>
    <r>
      <rPr>
        <sz val="7"/>
        <color rgb="FF0645AD"/>
        <rFont val="Arial"/>
        <family val="2"/>
      </rPr>
      <t>EPL</t>
    </r>
    <r>
      <rPr>
        <sz val="7"/>
        <color rgb="FF000000"/>
        <rFont val="Arial"/>
        <family val="2"/>
      </rPr>
      <t>, </t>
    </r>
    <r>
      <rPr>
        <sz val="7"/>
        <color rgb="FF0645AD"/>
        <rFont val="Arial"/>
        <family val="2"/>
      </rPr>
      <t>GPL</t>
    </r>
    <r>
      <rPr>
        <sz val="7"/>
        <color rgb="FF000000"/>
        <rFont val="Arial"/>
        <family val="2"/>
      </rPr>
      <t> + </t>
    </r>
    <r>
      <rPr>
        <sz val="7"/>
        <color rgb="FF0645AD"/>
        <rFont val="Arial"/>
        <family val="2"/>
      </rPr>
      <t>classpath exception</t>
    </r>
  </si>
  <si>
    <t>JBoss Enterprise Application Platform</t>
  </si>
  <si>
    <t>7.2</t>
  </si>
  <si>
    <t>iPlanet Web Server</t>
  </si>
  <si>
    <t>7.0.27</t>
  </si>
  <si>
    <t>2018-01</t>
  </si>
  <si>
    <t>Yes[3]</t>
  </si>
  <si>
    <t>2.5</t>
  </si>
  <si>
    <t>2.1</t>
  </si>
  <si>
    <t>IBM WebSphere Application Server</t>
  </si>
  <si>
    <t>IBM</t>
  </si>
  <si>
    <t>9.0</t>
  </si>
  <si>
    <t>ColdFusion</t>
  </si>
  <si>
    <t>Adobe Systems</t>
  </si>
  <si>
    <t>2016.0.1</t>
  </si>
  <si>
    <t>JOnAS</t>
  </si>
  <si>
    <t>OW2 Consortium</t>
  </si>
  <si>
    <t>(formerly ObjectWeb)</t>
  </si>
  <si>
    <t>5.3</t>
  </si>
  <si>
    <t>JEUS</t>
  </si>
  <si>
    <t>TmaxSoft</t>
  </si>
  <si>
    <t>2013-08</t>
  </si>
  <si>
    <t>7 full platform</t>
  </si>
  <si>
    <t>WebSphere AS Community Edition</t>
  </si>
  <si>
    <t>3.0.0.4</t>
  </si>
  <si>
    <t>6 full platform</t>
  </si>
  <si>
    <t>Geronimo</t>
  </si>
  <si>
    <t>3.0.1</t>
  </si>
  <si>
    <t>NetWeaver Application Server</t>
  </si>
  <si>
    <t>SAP AG</t>
  </si>
  <si>
    <t>7.4</t>
  </si>
  <si>
    <t>Oracle Containers for J2EE</t>
  </si>
  <si>
    <t>10.1.3.5.0</t>
  </si>
  <si>
    <t>2009-08</t>
  </si>
  <si>
    <t>1.4</t>
  </si>
  <si>
    <t>2.4</t>
  </si>
  <si>
    <t>2.0</t>
  </si>
  <si>
    <t>WebObjects</t>
  </si>
  <si>
    <t>Apple Inc.</t>
  </si>
  <si>
    <t>5.4.3</t>
  </si>
  <si>
    <t>Partial[7]</t>
  </si>
  <si>
    <t>JRun</t>
  </si>
  <si>
    <t>4 updater 7</t>
  </si>
  <si>
    <t>1.3</t>
  </si>
  <si>
    <t>Enterprise Server</t>
  </si>
  <si>
    <t>Borland</t>
  </si>
  <si>
    <t>6.7</t>
  </si>
  <si>
    <t>2007-01</t>
  </si>
  <si>
    <t>Orion Application Server</t>
  </si>
  <si>
    <t>IronFlare</t>
  </si>
  <si>
    <t>2.0.7</t>
  </si>
  <si>
    <t>1.2</t>
  </si>
  <si>
    <t>Enhydra</t>
  </si>
  <si>
    <t>Lutris</t>
  </si>
  <si>
    <t>5.1.9</t>
  </si>
  <si>
    <t>Product</t>
  </si>
  <si>
    <t>Vendor</t>
  </si>
  <si>
    <t>Edition</t>
  </si>
  <si>
    <t>Last release</t>
  </si>
  <si>
    <t>Jakarta EE Compatibility</t>
  </si>
  <si>
    <t>Servlet</t>
  </si>
  <si>
    <t>JSP</t>
  </si>
  <si>
    <t>HTTP/2</t>
  </si>
  <si>
    <t>License</t>
  </si>
  <si>
    <t>Opzione 1</t>
  </si>
  <si>
    <t>Webserver</t>
  </si>
  <si>
    <t>Application server</t>
  </si>
  <si>
    <t>Oracle Corporation (formerly BEA Systems)</t>
  </si>
  <si>
    <t>Red Hat (formerly JBoss)</t>
  </si>
  <si>
    <t>Opzione 3</t>
  </si>
  <si>
    <t>Opzione 2</t>
  </si>
  <si>
    <t>Opzione 4</t>
  </si>
  <si>
    <t>Opzione 5</t>
  </si>
  <si>
    <t>VM - Oracle Virtual Box Perpetual License</t>
  </si>
  <si>
    <t>Costo</t>
  </si>
  <si>
    <t>Supporto</t>
  </si>
  <si>
    <t>Gratuito</t>
  </si>
  <si>
    <t>Open source</t>
  </si>
  <si>
    <t>Oracle</t>
  </si>
  <si>
    <t>Fujitsu</t>
  </si>
  <si>
    <t>Hitachi</t>
  </si>
  <si>
    <t>WebLogic</t>
  </si>
  <si>
    <t>WebSphere</t>
  </si>
  <si>
    <t>TomEE+</t>
  </si>
  <si>
    <t>Jboss</t>
  </si>
  <si>
    <t>Interstage</t>
  </si>
  <si>
    <t>Cosminexus</t>
  </si>
  <si>
    <t>????</t>
  </si>
  <si>
    <t>Gratis</t>
  </si>
  <si>
    <t>No supporto</t>
  </si>
  <si>
    <t>5000$</t>
  </si>
  <si>
    <t>Open source(Oracle)</t>
  </si>
  <si>
    <t>Enterprise Edition 950 209.00 47,500 10,450.00</t>
  </si>
  <si>
    <t>DB - Oracle DB Enterprise Edition</t>
  </si>
  <si>
    <t>OS - SUSE Linux Enterprise Server 15 for x86 &amp; x86-64 (Unlimited VM) - 3 Year std subscription</t>
  </si>
  <si>
    <t>Application Server - Oracle WebLogic Server Enterprise Edition</t>
  </si>
  <si>
    <t>Data Replication Tools - GoldenGate For Teradata replication Services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</si>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</sst>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sz val="7"/>
      <color rgb="FF202122"/>
      <name val="Arial"/>
      <family val="2"/>
    </font>
    <font>
      <sz val="7"/>
      <color rgb="FF0645AD"/>
      <name val="Arial"/>
      <family val="2"/>
    </font>
    <font>
      <sz val="7"/>
      <color rgb="FF000000"/>
      <name val="Arial"/>
      <family val="2"/>
    </font>
  </fonts>
  <fills count="1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8F9FA"/>
        <bgColor indexed="64"/>
      </patternFill>
    </fill>
    <fill>
      <patternFill patternType="solid">
        <fgColor rgb="FF99FF99"/>
        <bgColor indexed="64"/>
      </patternFill>
    </fill>
    <fill>
      <patternFill patternType="solid">
        <fgColor rgb="FFDDDDFF"/>
        <bgColor indexed="64"/>
      </patternFill>
    </fill>
    <fill>
      <patternFill patternType="solid">
        <fgColor rgb="FFFFFFBB"/>
        <bgColor indexed="64"/>
      </patternFill>
    </fill>
    <fill>
      <patternFill patternType="solid">
        <fgColor rgb="FFFF999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D6D6D8"/>
      </right>
      <top style="medium">
        <color rgb="FFD6D6D8"/>
      </top>
      <bottom style="medium">
        <color rgb="FFD6D6D8"/>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207">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0" fillId="0" borderId="0" xfId="0" applyAlignment="1">
      <alignment horizontal="left" vertical="center"/>
    </xf>
    <xf numFmtId="0" fontId="13" fillId="6" borderId="21" xfId="4" applyFill="1" applyBorder="1" applyAlignment="1">
      <alignment vertical="center" wrapText="1"/>
    </xf>
    <xf numFmtId="170" fontId="0" fillId="6" borderId="1" xfId="2" quotePrefix="1" applyNumberFormat="1" applyFont="1" applyFill="1" applyBorder="1" applyAlignment="1">
      <alignment horizontal="center"/>
    </xf>
    <xf numFmtId="0" fontId="13" fillId="13" borderId="23" xfId="4" applyFill="1" applyBorder="1" applyAlignment="1">
      <alignment vertical="center" wrapText="1"/>
    </xf>
    <xf numFmtId="0" fontId="13" fillId="13" borderId="24" xfId="4" applyFill="1" applyBorder="1" applyAlignment="1">
      <alignment vertical="center" wrapText="1"/>
    </xf>
    <xf numFmtId="0" fontId="16" fillId="14" borderId="23" xfId="0" applyFont="1" applyFill="1" applyBorder="1" applyAlignment="1">
      <alignment horizontal="center" vertical="center" wrapText="1"/>
    </xf>
    <xf numFmtId="0" fontId="16" fillId="13" borderId="23" xfId="0" applyFont="1" applyFill="1" applyBorder="1" applyAlignment="1">
      <alignment vertical="center" wrapText="1"/>
    </xf>
    <xf numFmtId="0" fontId="17" fillId="15" borderId="23" xfId="0" applyFont="1" applyFill="1" applyBorder="1" applyAlignment="1">
      <alignment horizontal="center" vertical="center" wrapText="1"/>
    </xf>
    <xf numFmtId="0" fontId="17" fillId="13" borderId="22" xfId="0" applyFont="1" applyFill="1" applyBorder="1" applyAlignment="1">
      <alignment vertical="center" wrapText="1"/>
    </xf>
    <xf numFmtId="0" fontId="13" fillId="13" borderId="22" xfId="4" applyFill="1" applyBorder="1" applyAlignment="1">
      <alignment vertical="center" wrapText="1"/>
    </xf>
    <xf numFmtId="0" fontId="16" fillId="13" borderId="22" xfId="0" applyFont="1" applyFill="1" applyBorder="1" applyAlignment="1">
      <alignment vertical="center" wrapText="1"/>
    </xf>
    <xf numFmtId="3" fontId="16" fillId="13" borderId="22" xfId="0" applyNumberFormat="1" applyFont="1" applyFill="1" applyBorder="1" applyAlignment="1">
      <alignment vertical="center" wrapText="1"/>
    </xf>
    <xf numFmtId="14" fontId="16" fillId="13" borderId="22" xfId="0" applyNumberFormat="1" applyFont="1" applyFill="1" applyBorder="1" applyAlignment="1">
      <alignment vertical="center" wrapText="1"/>
    </xf>
    <xf numFmtId="0" fontId="16" fillId="14" borderId="22" xfId="0" applyFont="1" applyFill="1" applyBorder="1" applyAlignment="1">
      <alignment horizontal="center" vertical="center" wrapText="1"/>
    </xf>
    <xf numFmtId="0" fontId="18" fillId="13" borderId="22" xfId="0" applyFont="1" applyFill="1" applyBorder="1" applyAlignment="1">
      <alignment horizontal="center" vertical="center" wrapText="1"/>
    </xf>
    <xf numFmtId="0" fontId="16" fillId="16" borderId="22" xfId="0" applyFont="1" applyFill="1" applyBorder="1" applyAlignment="1">
      <alignment horizontal="center" vertical="center" wrapText="1"/>
    </xf>
    <xf numFmtId="0" fontId="13" fillId="13" borderId="22" xfId="4" applyFill="1" applyBorder="1" applyAlignment="1">
      <alignment horizontal="center" vertical="center" wrapText="1"/>
    </xf>
    <xf numFmtId="0" fontId="13" fillId="16" borderId="22" xfId="4" applyFill="1" applyBorder="1" applyAlignment="1">
      <alignment horizontal="center" vertical="center" wrapText="1"/>
    </xf>
    <xf numFmtId="0" fontId="16" fillId="17" borderId="22" xfId="0" applyFont="1" applyFill="1" applyBorder="1" applyAlignment="1">
      <alignment horizontal="center" vertical="center" wrapText="1"/>
    </xf>
    <xf numFmtId="0" fontId="13" fillId="14" borderId="22" xfId="4" applyFill="1" applyBorder="1" applyAlignment="1">
      <alignment horizontal="center" vertical="center" wrapText="1"/>
    </xf>
    <xf numFmtId="0" fontId="17" fillId="15" borderId="2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0" fontId="16" fillId="17" borderId="23" xfId="0" applyFont="1" applyFill="1" applyBorder="1" applyAlignment="1">
      <alignment horizontal="center" vertical="center" wrapText="1"/>
    </xf>
    <xf numFmtId="0" fontId="16" fillId="17" borderId="24" xfId="0" applyFont="1" applyFill="1" applyBorder="1" applyAlignment="1">
      <alignment horizontal="center" vertical="center" wrapText="1"/>
    </xf>
    <xf numFmtId="0" fontId="13" fillId="13" borderId="23" xfId="4" applyFill="1" applyBorder="1" applyAlignment="1">
      <alignment horizontal="center" vertical="center" wrapText="1"/>
    </xf>
    <xf numFmtId="0" fontId="13" fillId="13" borderId="24" xfId="4" applyFill="1" applyBorder="1" applyAlignment="1">
      <alignment horizontal="center" vertical="center" wrapText="1"/>
    </xf>
    <xf numFmtId="0" fontId="13" fillId="13" borderId="23" xfId="4" applyFill="1" applyBorder="1" applyAlignment="1">
      <alignment vertical="center" wrapText="1"/>
    </xf>
    <xf numFmtId="0" fontId="13" fillId="13" borderId="24" xfId="4" applyFill="1" applyBorder="1" applyAlignment="1">
      <alignment vertical="center" wrapText="1"/>
    </xf>
    <xf numFmtId="0" fontId="16" fillId="13" borderId="23" xfId="0" applyFont="1" applyFill="1" applyBorder="1" applyAlignment="1">
      <alignment vertical="center" wrapText="1"/>
    </xf>
    <xf numFmtId="0" fontId="16" fillId="13" borderId="24" xfId="0" applyFont="1" applyFill="1" applyBorder="1" applyAlignment="1">
      <alignment vertical="center" wrapText="1"/>
    </xf>
    <xf numFmtId="14" fontId="16" fillId="13" borderId="23" xfId="0" applyNumberFormat="1" applyFont="1" applyFill="1" applyBorder="1" applyAlignment="1">
      <alignment vertical="center" wrapText="1"/>
    </xf>
    <xf numFmtId="14" fontId="16" fillId="13" borderId="24" xfId="0" applyNumberFormat="1" applyFont="1" applyFill="1" applyBorder="1" applyAlignment="1">
      <alignment vertical="center" wrapText="1"/>
    </xf>
    <xf numFmtId="0" fontId="16" fillId="14" borderId="23" xfId="0" applyFont="1" applyFill="1" applyBorder="1" applyAlignment="1">
      <alignment horizontal="center" vertical="center" wrapText="1"/>
    </xf>
    <xf numFmtId="0" fontId="16" fillId="14" borderId="24" xfId="0" applyFont="1" applyFill="1" applyBorder="1" applyAlignment="1">
      <alignment horizontal="center" vertical="center" wrapText="1"/>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161980.41999999998</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3630422.3999999994</c:v>
                </c:pt>
                <c:pt idx="1">
                  <c:v>3438917.3999999994</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466666.66666666663</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2511728.6599999997</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3770536.4879999999</c:v>
                </c:pt>
                <c:pt idx="1">
                  <c:v>4529587.716</c:v>
                </c:pt>
                <c:pt idx="2">
                  <c:v>5307174.6639999999</c:v>
                </c:pt>
                <c:pt idx="3">
                  <c:v>6122874.6519999998</c:v>
                </c:pt>
                <c:pt idx="4">
                  <c:v>6938574.6399999997</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3539425.8421052634</c:v>
                </c:pt>
                <c:pt idx="1">
                  <c:v>3942403.4842105266</c:v>
                </c:pt>
                <c:pt idx="2">
                  <c:v>4356729.5263157897</c:v>
                </c:pt>
                <c:pt idx="3">
                  <c:v>4925055.5684210528</c:v>
                </c:pt>
                <c:pt idx="4">
                  <c:v>5493381.6105263159</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javascript:__doPostBack('ctl00$ContentPlaceHolder1$ConfigMain$btnModelInfoLin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en.wikipedia.org/wiki/Apache_TomEE" TargetMode="External"/><Relationship Id="rId18" Type="http://schemas.openxmlformats.org/officeDocument/2006/relationships/hyperlink" Target="https://en.wikipedia.org/wiki/List_of_application_servers" TargetMode="External"/><Relationship Id="rId26" Type="http://schemas.openxmlformats.org/officeDocument/2006/relationships/hyperlink" Target="https://en.wikipedia.org/wiki/GNU_Lesser_General_Public_License" TargetMode="External"/><Relationship Id="rId39" Type="http://schemas.openxmlformats.org/officeDocument/2006/relationships/hyperlink" Target="https://en.wikipedia.org/wiki/TmaxSoft" TargetMode="External"/><Relationship Id="rId21" Type="http://schemas.openxmlformats.org/officeDocument/2006/relationships/hyperlink" Target="https://en.wikipedia.org/wiki/Caucho_Technology" TargetMode="External"/><Relationship Id="rId34" Type="http://schemas.openxmlformats.org/officeDocument/2006/relationships/hyperlink" Target="https://en.wikipedia.org/wiki/JOnAS" TargetMode="External"/><Relationship Id="rId42" Type="http://schemas.openxmlformats.org/officeDocument/2006/relationships/hyperlink" Target="https://en.wikipedia.org/wiki/Apache_Geronimo" TargetMode="External"/><Relationship Id="rId47" Type="http://schemas.openxmlformats.org/officeDocument/2006/relationships/hyperlink" Target="https://en.wikipedia.org/wiki/OC4J" TargetMode="External"/><Relationship Id="rId50" Type="http://schemas.openxmlformats.org/officeDocument/2006/relationships/hyperlink" Target="https://en.wikipedia.org/wiki/Apple_Inc." TargetMode="External"/><Relationship Id="rId55" Type="http://schemas.openxmlformats.org/officeDocument/2006/relationships/hyperlink" Target="https://en.wikipedia.org/wiki/Borland" TargetMode="External"/><Relationship Id="rId7" Type="http://schemas.openxmlformats.org/officeDocument/2006/relationships/hyperlink" Target="https://en.wikipedia.org/wiki/Apache_Tomcat" TargetMode="External"/><Relationship Id="rId2" Type="http://schemas.openxmlformats.org/officeDocument/2006/relationships/hyperlink" Target="https://en.wikipedia.org/wiki/GNU_Lesser_General_Public_License" TargetMode="External"/><Relationship Id="rId16" Type="http://schemas.openxmlformats.org/officeDocument/2006/relationships/hyperlink" Target="https://en.wikipedia.org/wiki/Resin_(software)" TargetMode="External"/><Relationship Id="rId29" Type="http://schemas.openxmlformats.org/officeDocument/2006/relationships/hyperlink" Target="https://en.wikipedia.org/wiki/List_of_application_servers" TargetMode="External"/><Relationship Id="rId11" Type="http://schemas.openxmlformats.org/officeDocument/2006/relationships/hyperlink" Target="https://en.wikipedia.org/wiki/Eclipse_Foundation" TargetMode="External"/><Relationship Id="rId24" Type="http://schemas.openxmlformats.org/officeDocument/2006/relationships/hyperlink" Target="https://en.wikipedia.org/wiki/JBoss_Enterprise_Application_Platform" TargetMode="External"/><Relationship Id="rId32" Type="http://schemas.openxmlformats.org/officeDocument/2006/relationships/hyperlink" Target="https://en.wikipedia.org/wiki/ColdFusion" TargetMode="External"/><Relationship Id="rId37" Type="http://schemas.openxmlformats.org/officeDocument/2006/relationships/hyperlink" Target="https://en.wikipedia.org/wiki/GNU_Lesser_General_Public_License" TargetMode="External"/><Relationship Id="rId40" Type="http://schemas.openxmlformats.org/officeDocument/2006/relationships/hyperlink" Target="https://en.wikipedia.org/wiki/IBM_WebSphere_Application_Server_Community_Edition" TargetMode="External"/><Relationship Id="rId45" Type="http://schemas.openxmlformats.org/officeDocument/2006/relationships/hyperlink" Target="https://en.wikipedia.org/wiki/SAP_NetWeaver_Application_Server" TargetMode="External"/><Relationship Id="rId53" Type="http://schemas.openxmlformats.org/officeDocument/2006/relationships/hyperlink" Target="https://en.wikipedia.org/wiki/Adobe_Systems" TargetMode="External"/><Relationship Id="rId58" Type="http://schemas.openxmlformats.org/officeDocument/2006/relationships/hyperlink" Target="https://en.wikipedia.org/wiki/Lutris_Technologies" TargetMode="External"/><Relationship Id="rId5" Type="http://schemas.openxmlformats.org/officeDocument/2006/relationships/hyperlink" Target="https://en.wikipedia.org/wiki/List_of_application_servers" TargetMode="External"/><Relationship Id="rId61" Type="http://schemas.openxmlformats.org/officeDocument/2006/relationships/hyperlink" Target="https://en.wikipedia.org/wiki/Red_Hat" TargetMode="External"/><Relationship Id="rId19" Type="http://schemas.openxmlformats.org/officeDocument/2006/relationships/hyperlink" Target="https://en.wikipedia.org/wiki/GNU_General_Public_License" TargetMode="External"/><Relationship Id="rId14" Type="http://schemas.openxmlformats.org/officeDocument/2006/relationships/hyperlink" Target="https://en.wikipedia.org/wiki/Apache_Software_Foundation" TargetMode="External"/><Relationship Id="rId22" Type="http://schemas.openxmlformats.org/officeDocument/2006/relationships/hyperlink" Target="https://en.wikipedia.org/wiki/GlassFish" TargetMode="External"/><Relationship Id="rId27" Type="http://schemas.openxmlformats.org/officeDocument/2006/relationships/hyperlink" Target="https://en.wikipedia.org/wiki/Oracle_iPlanet_Web_Server" TargetMode="External"/><Relationship Id="rId30" Type="http://schemas.openxmlformats.org/officeDocument/2006/relationships/hyperlink" Target="https://en.wikipedia.org/wiki/IBM_WebSphere_Application_Server" TargetMode="External"/><Relationship Id="rId35" Type="http://schemas.openxmlformats.org/officeDocument/2006/relationships/hyperlink" Target="https://en.wikipedia.org/wiki/OW2_Consortium" TargetMode="External"/><Relationship Id="rId43" Type="http://schemas.openxmlformats.org/officeDocument/2006/relationships/hyperlink" Target="https://en.wikipedia.org/wiki/Apache_Software_Foundation" TargetMode="External"/><Relationship Id="rId48" Type="http://schemas.openxmlformats.org/officeDocument/2006/relationships/hyperlink" Target="https://en.wikipedia.org/wiki/Oracle_Corporation" TargetMode="External"/><Relationship Id="rId56" Type="http://schemas.openxmlformats.org/officeDocument/2006/relationships/hyperlink" Target="https://en.wikipedia.org/wiki/Orion_Application_Server" TargetMode="External"/><Relationship Id="rId8" Type="http://schemas.openxmlformats.org/officeDocument/2006/relationships/hyperlink" Target="https://en.wikipedia.org/wiki/Apache_Software_Foundation" TargetMode="External"/><Relationship Id="rId51" Type="http://schemas.openxmlformats.org/officeDocument/2006/relationships/hyperlink" Target="https://en.wikipedia.org/wiki/List_of_application_servers" TargetMode="External"/><Relationship Id="rId3" Type="http://schemas.openxmlformats.org/officeDocument/2006/relationships/hyperlink" Target="https://en.wikipedia.org/wiki/Oracle_WebLogic_Server" TargetMode="External"/><Relationship Id="rId12" Type="http://schemas.openxmlformats.org/officeDocument/2006/relationships/hyperlink" Target="https://en.wikipedia.org/wiki/List_of_application_servers" TargetMode="External"/><Relationship Id="rId17" Type="http://schemas.openxmlformats.org/officeDocument/2006/relationships/hyperlink" Target="https://en.wikipedia.org/wiki/Caucho_Technology" TargetMode="External"/><Relationship Id="rId25" Type="http://schemas.openxmlformats.org/officeDocument/2006/relationships/hyperlink" Target="https://en.wikipedia.org/wiki/Red_Hat" TargetMode="External"/><Relationship Id="rId33" Type="http://schemas.openxmlformats.org/officeDocument/2006/relationships/hyperlink" Target="https://en.wikipedia.org/wiki/Adobe_Systems" TargetMode="External"/><Relationship Id="rId38" Type="http://schemas.openxmlformats.org/officeDocument/2006/relationships/hyperlink" Target="https://en.wikipedia.org/wiki/JEUS" TargetMode="External"/><Relationship Id="rId46" Type="http://schemas.openxmlformats.org/officeDocument/2006/relationships/hyperlink" Target="https://en.wikipedia.org/wiki/SAP_AG" TargetMode="External"/><Relationship Id="rId59" Type="http://schemas.openxmlformats.org/officeDocument/2006/relationships/hyperlink" Target="https://en.wikipedia.org/wiki/GNU_General_Public_License" TargetMode="External"/><Relationship Id="rId20" Type="http://schemas.openxmlformats.org/officeDocument/2006/relationships/hyperlink" Target="https://en.wikipedia.org/wiki/Resin_(software)" TargetMode="External"/><Relationship Id="rId41" Type="http://schemas.openxmlformats.org/officeDocument/2006/relationships/hyperlink" Target="https://en.wikipedia.org/wiki/IBM" TargetMode="External"/><Relationship Id="rId54" Type="http://schemas.openxmlformats.org/officeDocument/2006/relationships/hyperlink" Target="https://en.wikipedia.org/wiki/Borland_Enterprise_Server" TargetMode="External"/><Relationship Id="rId1" Type="http://schemas.openxmlformats.org/officeDocument/2006/relationships/hyperlink" Target="https://en.wikipedia.org/wiki/List_of_application_servers" TargetMode="External"/><Relationship Id="rId6" Type="http://schemas.openxmlformats.org/officeDocument/2006/relationships/hyperlink" Target="https://en.wikipedia.org/wiki/Payara_Server" TargetMode="External"/><Relationship Id="rId15" Type="http://schemas.openxmlformats.org/officeDocument/2006/relationships/hyperlink" Target="https://en.wikipedia.org/wiki/Apache_License" TargetMode="External"/><Relationship Id="rId23" Type="http://schemas.openxmlformats.org/officeDocument/2006/relationships/hyperlink" Target="https://en.wikipedia.org/wiki/Eclipse_Foundation" TargetMode="External"/><Relationship Id="rId28" Type="http://schemas.openxmlformats.org/officeDocument/2006/relationships/hyperlink" Target="https://en.wikipedia.org/wiki/Oracle_Corporation" TargetMode="External"/><Relationship Id="rId36" Type="http://schemas.openxmlformats.org/officeDocument/2006/relationships/hyperlink" Target="https://en.wikipedia.org/wiki/ObjectWeb" TargetMode="External"/><Relationship Id="rId49" Type="http://schemas.openxmlformats.org/officeDocument/2006/relationships/hyperlink" Target="https://en.wikipedia.org/wiki/WebObjects" TargetMode="External"/><Relationship Id="rId57" Type="http://schemas.openxmlformats.org/officeDocument/2006/relationships/hyperlink" Target="https://en.wikipedia.org/wiki/Enhydra_Server" TargetMode="External"/><Relationship Id="rId10" Type="http://schemas.openxmlformats.org/officeDocument/2006/relationships/hyperlink" Target="https://en.wikipedia.org/wiki/Jetty_(web_server)" TargetMode="External"/><Relationship Id="rId31" Type="http://schemas.openxmlformats.org/officeDocument/2006/relationships/hyperlink" Target="https://en.wikipedia.org/wiki/IBM" TargetMode="External"/><Relationship Id="rId44" Type="http://schemas.openxmlformats.org/officeDocument/2006/relationships/hyperlink" Target="https://en.wikipedia.org/wiki/Apache_License" TargetMode="External"/><Relationship Id="rId52" Type="http://schemas.openxmlformats.org/officeDocument/2006/relationships/hyperlink" Target="https://en.wikipedia.org/wiki/JRun" TargetMode="External"/><Relationship Id="rId60" Type="http://schemas.openxmlformats.org/officeDocument/2006/relationships/hyperlink" Target="https://en.wikipedia.org/wiki/WildFly" TargetMode="External"/><Relationship Id="rId4" Type="http://schemas.openxmlformats.org/officeDocument/2006/relationships/hyperlink" Target="https://en.wikipedia.org/wiki/Oracle_Corporation" TargetMode="External"/><Relationship Id="rId9" Type="http://schemas.openxmlformats.org/officeDocument/2006/relationships/hyperlink" Target="https://en.wikipedia.org/wiki/Apache_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workbookViewId="0">
      <selection activeCell="D2" sqref="D2"/>
    </sheetView>
  </sheetViews>
  <sheetFormatPr defaultRowHeight="14.4" x14ac:dyDescent="0.3"/>
  <cols>
    <col min="1" max="1" width="14.33203125" customWidth="1"/>
    <col min="2" max="2" width="21.33203125"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142</v>
      </c>
      <c r="D1" s="6" t="s">
        <v>177</v>
      </c>
      <c r="E1" s="6" t="s">
        <v>181</v>
      </c>
      <c r="F1" s="6" t="s">
        <v>182</v>
      </c>
      <c r="I1" s="6"/>
    </row>
    <row r="2" spans="1:23" x14ac:dyDescent="0.3">
      <c r="B2" t="s">
        <v>207</v>
      </c>
      <c r="C2" s="157">
        <v>2000</v>
      </c>
      <c r="D2" s="160">
        <f>'x86 TCO'!G5</f>
        <v>24</v>
      </c>
      <c r="E2" s="162">
        <v>1</v>
      </c>
      <c r="F2" s="159">
        <f>E4/D4</f>
        <v>0.24</v>
      </c>
      <c r="H2" s="165" t="s">
        <v>183</v>
      </c>
      <c r="I2" s="163"/>
      <c r="N2" s="10" t="s">
        <v>184</v>
      </c>
    </row>
    <row r="3" spans="1:23" s="10" customFormat="1" ht="69" x14ac:dyDescent="0.3">
      <c r="B3" s="18" t="s">
        <v>52</v>
      </c>
      <c r="C3" s="10" t="s">
        <v>51</v>
      </c>
      <c r="D3" s="6" t="s">
        <v>140</v>
      </c>
      <c r="E3" s="18" t="s">
        <v>54</v>
      </c>
      <c r="F3" s="134" t="s">
        <v>53</v>
      </c>
      <c r="H3" s="110" t="s">
        <v>127</v>
      </c>
      <c r="I3" s="18" t="s">
        <v>56</v>
      </c>
      <c r="J3" s="110" t="s">
        <v>128</v>
      </c>
      <c r="K3" s="18" t="s">
        <v>57</v>
      </c>
      <c r="L3" s="110" t="s">
        <v>178</v>
      </c>
      <c r="M3" s="18" t="s">
        <v>59</v>
      </c>
      <c r="N3" s="110" t="s">
        <v>179</v>
      </c>
      <c r="O3" s="18" t="s">
        <v>55</v>
      </c>
      <c r="P3" s="18" t="s">
        <v>175</v>
      </c>
      <c r="R3" s="134" t="s">
        <v>176</v>
      </c>
      <c r="S3" s="6" t="s">
        <v>173</v>
      </c>
      <c r="T3" s="18" t="s">
        <v>174</v>
      </c>
      <c r="U3" s="18" t="s">
        <v>129</v>
      </c>
      <c r="V3" s="18" t="s">
        <v>60</v>
      </c>
      <c r="W3" s="18" t="s">
        <v>130</v>
      </c>
    </row>
    <row r="4" spans="1:23" x14ac:dyDescent="0.3">
      <c r="A4" s="39" t="s">
        <v>106</v>
      </c>
      <c r="B4" s="43">
        <v>10</v>
      </c>
      <c r="C4" s="45">
        <v>20</v>
      </c>
      <c r="D4" s="119">
        <f>ROUNDUP($C$2/$C4,0)</f>
        <v>100</v>
      </c>
      <c r="E4" s="44">
        <f>IF(E2*D2&gt;D4,D4,E2*D2)</f>
        <v>24</v>
      </c>
      <c r="F4" s="135">
        <f>D4+E4</f>
        <v>124</v>
      </c>
      <c r="H4" s="158">
        <v>0.5</v>
      </c>
      <c r="I4" s="119">
        <f>ROUNDUP($D4*H4,0)</f>
        <v>50</v>
      </c>
      <c r="J4" s="158">
        <f>H4</f>
        <v>0.5</v>
      </c>
      <c r="K4" s="119">
        <f>ROUNDUP($D4*J4,0)</f>
        <v>50</v>
      </c>
      <c r="L4" s="158">
        <v>1</v>
      </c>
      <c r="M4" s="119">
        <f>ROUNDUP($D4*L4,0)</f>
        <v>100</v>
      </c>
      <c r="N4" s="158">
        <v>1</v>
      </c>
      <c r="O4" s="119">
        <f>ROUNDUP(($F4+M4)*N4,0)</f>
        <v>224</v>
      </c>
      <c r="P4" s="115"/>
      <c r="R4" s="135">
        <f>F4+I4+K4+M4+O4</f>
        <v>548</v>
      </c>
      <c r="S4" s="120">
        <f>R$4/R5</f>
        <v>18.266666666666666</v>
      </c>
      <c r="T4" s="121">
        <f>F4+I4+K4+M4</f>
        <v>324</v>
      </c>
      <c r="U4" s="116">
        <f>T$4/T5</f>
        <v>10.8</v>
      </c>
      <c r="V4" s="121">
        <f>R4</f>
        <v>548</v>
      </c>
      <c r="W4" s="116">
        <f>V$4/V5</f>
        <v>10.96</v>
      </c>
    </row>
    <row r="5" spans="1:23" x14ac:dyDescent="0.3">
      <c r="A5" s="39" t="s">
        <v>144</v>
      </c>
      <c r="B5" s="43">
        <v>1</v>
      </c>
      <c r="C5" s="44">
        <f>$C$4*B4</f>
        <v>200</v>
      </c>
      <c r="D5" s="119">
        <f>ROUNDUP($C$2/$C5,0)</f>
        <v>10</v>
      </c>
      <c r="E5" s="115"/>
      <c r="F5" s="135">
        <f>D5+E5</f>
        <v>10</v>
      </c>
      <c r="H5" s="158">
        <f>H4</f>
        <v>0.5</v>
      </c>
      <c r="I5" s="126">
        <f>ROUNDUP($D5*H5,0)</f>
        <v>5</v>
      </c>
      <c r="J5" s="158">
        <f>J4</f>
        <v>0.5</v>
      </c>
      <c r="K5" s="126">
        <f>ROUNDUP($D5*J5,0)</f>
        <v>5</v>
      </c>
      <c r="L5" s="158">
        <v>1</v>
      </c>
      <c r="M5" s="119">
        <f>ROUNDUP($D5*L5,0)</f>
        <v>10</v>
      </c>
      <c r="N5" s="115"/>
      <c r="O5" s="156"/>
      <c r="P5" s="119">
        <f>F5+M5</f>
        <v>20</v>
      </c>
      <c r="R5" s="135">
        <f>F5+I5+K5+M5+O5</f>
        <v>30</v>
      </c>
      <c r="T5" s="121">
        <f>F5+I5+K5+M5</f>
        <v>30</v>
      </c>
      <c r="V5" s="121">
        <f>R5+P5</f>
        <v>50</v>
      </c>
    </row>
    <row r="6" spans="1:23" x14ac:dyDescent="0.3">
      <c r="B6" t="s">
        <v>185</v>
      </c>
      <c r="L6" s="117" t="s">
        <v>134</v>
      </c>
    </row>
    <row r="7" spans="1:23" ht="21" x14ac:dyDescent="0.4">
      <c r="A7" s="41" t="s">
        <v>159</v>
      </c>
      <c r="H7" s="46"/>
      <c r="N7" s="10" t="s">
        <v>186</v>
      </c>
    </row>
    <row r="8" spans="1:23" x14ac:dyDescent="0.3">
      <c r="A8" t="s">
        <v>165</v>
      </c>
      <c r="H8" s="46"/>
    </row>
    <row r="9" spans="1:23" x14ac:dyDescent="0.3">
      <c r="A9" t="s">
        <v>135</v>
      </c>
    </row>
    <row r="10" spans="1:23" x14ac:dyDescent="0.3">
      <c r="A10" t="s">
        <v>61</v>
      </c>
    </row>
    <row r="11" spans="1:23" x14ac:dyDescent="0.3">
      <c r="A11" t="s">
        <v>131</v>
      </c>
    </row>
    <row r="12" spans="1:23" x14ac:dyDescent="0.3">
      <c r="A12" t="s">
        <v>138</v>
      </c>
    </row>
    <row r="13" spans="1:23" x14ac:dyDescent="0.3">
      <c r="A13" t="s">
        <v>156</v>
      </c>
    </row>
    <row r="14" spans="1:23" x14ac:dyDescent="0.3">
      <c r="A14" t="s">
        <v>157</v>
      </c>
      <c r="B14" s="130" t="s">
        <v>158</v>
      </c>
    </row>
    <row r="16" spans="1:23" x14ac:dyDescent="0.3">
      <c r="A16" s="39" t="s">
        <v>163</v>
      </c>
    </row>
    <row r="17" spans="1:2" x14ac:dyDescent="0.3">
      <c r="A17" s="12"/>
      <c r="B17" t="s">
        <v>170</v>
      </c>
    </row>
    <row r="18" spans="1:2" x14ac:dyDescent="0.3">
      <c r="A18" s="107"/>
      <c r="B18" t="s">
        <v>164</v>
      </c>
    </row>
    <row r="19" spans="1:2" x14ac:dyDescent="0.3">
      <c r="A19" s="45"/>
      <c r="B19" t="s">
        <v>171</v>
      </c>
    </row>
    <row r="20" spans="1:2" x14ac:dyDescent="0.3">
      <c r="A20" s="38"/>
      <c r="B20" t="s">
        <v>166</v>
      </c>
    </row>
    <row r="21" spans="1:2" x14ac:dyDescent="0.3">
      <c r="A21" s="136"/>
      <c r="B21" t="s">
        <v>169</v>
      </c>
    </row>
    <row r="22" spans="1:2" x14ac:dyDescent="0.3">
      <c r="A22" s="19"/>
      <c r="B22" t="s">
        <v>168</v>
      </c>
    </row>
    <row r="23" spans="1:2" x14ac:dyDescent="0.3">
      <c r="A23" s="43"/>
      <c r="B23" t="s">
        <v>167</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63" zoomScaleNormal="73" workbookViewId="0">
      <pane xSplit="1" ySplit="2" topLeftCell="B6" activePane="bottomRight" state="frozen"/>
      <selection pane="topRight" activeCell="B1" sqref="B1"/>
      <selection pane="bottomLeft" activeCell="A3" sqref="A3"/>
      <selection pane="bottomRight" activeCell="L13" sqref="L13"/>
    </sheetView>
  </sheetViews>
  <sheetFormatPr defaultRowHeight="14.4" outlineLevelRow="2" outlineLevelCol="1" x14ac:dyDescent="0.3"/>
  <cols>
    <col min="1" max="1" width="95.21875" bestFit="1"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13</v>
      </c>
      <c r="B1" s="41"/>
      <c r="R1" s="186" t="s">
        <v>20</v>
      </c>
      <c r="S1" s="187"/>
      <c r="T1" s="187"/>
      <c r="U1" s="187"/>
      <c r="V1" s="188"/>
      <c r="W1" s="186" t="s">
        <v>21</v>
      </c>
      <c r="X1" s="187"/>
      <c r="Y1" s="187"/>
      <c r="Z1" s="187"/>
      <c r="AA1" s="188"/>
      <c r="AB1" s="1" t="s">
        <v>66</v>
      </c>
    </row>
    <row r="2" spans="1:28" ht="18" x14ac:dyDescent="0.35">
      <c r="A2" s="40" t="s">
        <v>12</v>
      </c>
      <c r="C2" s="40" t="s">
        <v>187</v>
      </c>
      <c r="H2" t="s">
        <v>188</v>
      </c>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14</v>
      </c>
      <c r="C4" s="11" t="s">
        <v>20</v>
      </c>
      <c r="D4" s="11" t="s">
        <v>21</v>
      </c>
      <c r="E4" s="11" t="s">
        <v>15</v>
      </c>
      <c r="F4" s="11" t="s">
        <v>22</v>
      </c>
      <c r="G4" s="11" t="s">
        <v>24</v>
      </c>
      <c r="H4" s="11" t="s">
        <v>18</v>
      </c>
      <c r="I4" s="11" t="s">
        <v>23</v>
      </c>
      <c r="J4" s="11" t="s">
        <v>36</v>
      </c>
      <c r="K4" s="11"/>
      <c r="L4" s="11" t="s">
        <v>16</v>
      </c>
    </row>
    <row r="5" spans="1:28" s="39" customFormat="1" outlineLevel="1" x14ac:dyDescent="0.3">
      <c r="A5" s="31" t="str" cm="1">
        <f t="array" ref="A5">INDEX(A6:A16,$B$5)</f>
        <v>R1-XES08ef	S68813  w Xeon Gold 6126  12C 2.60Ghz (2 Chips, 24 Cores, 128GB total RAM 2666Mhz)</v>
      </c>
      <c r="B5" s="22">
        <f>MATCH("S",B6:B16)</f>
        <v>5</v>
      </c>
      <c r="C5" s="21" cm="1">
        <f t="array" ref="C5">INDEX(C6:C16,$B$5)</f>
        <v>6805.9</v>
      </c>
      <c r="D5" s="21" cm="1">
        <f t="array" ref="D5">INDEX(D6:D16,$B$5)</f>
        <v>1361.18</v>
      </c>
      <c r="E5" s="22" cm="1">
        <f t="array" ref="E5">INDEX(E6:E16,$B$5)</f>
        <v>4</v>
      </c>
      <c r="F5" s="23" cm="1">
        <f t="array" ref="F5">INDEX(F6:F16,$B$5)</f>
        <v>0</v>
      </c>
      <c r="G5" s="32" cm="1">
        <f t="array" ref="G5">INDEX(G6:G16,$B$5)</f>
        <v>24</v>
      </c>
      <c r="H5" s="22" cm="1">
        <f t="array" ref="H5">INDEX(H6:H16,$B$5)</f>
        <v>2</v>
      </c>
      <c r="I5" s="22" cm="1">
        <f t="array" ref="I5">INDEX(I6:I16,$B$5)</f>
        <v>12</v>
      </c>
      <c r="J5" s="22" cm="1">
        <f t="array" ref="J5">INDEX(J6:J16,$B$5)</f>
        <v>30</v>
      </c>
      <c r="K5" s="22"/>
      <c r="L5" s="49" cm="1">
        <f t="array" ref="L5">INDEX(L6:L16,$B$5)</f>
        <v>0.6</v>
      </c>
    </row>
    <row r="6" spans="1:28" outlineLevel="2" x14ac:dyDescent="0.3">
      <c r="A6" s="47" t="s">
        <v>153</v>
      </c>
      <c r="B6" s="13">
        <v>0</v>
      </c>
      <c r="C6" s="127">
        <v>8000</v>
      </c>
      <c r="D6" s="127">
        <f>C6*0.2</f>
        <v>1600</v>
      </c>
      <c r="E6" s="30">
        <v>4</v>
      </c>
      <c r="F6" s="128">
        <v>0.3</v>
      </c>
      <c r="G6" s="15">
        <f t="shared" ref="G6" si="0">H6*I6</f>
        <v>16</v>
      </c>
      <c r="H6" s="30">
        <v>2</v>
      </c>
      <c r="I6" s="30">
        <v>8</v>
      </c>
      <c r="J6" s="51">
        <v>30</v>
      </c>
      <c r="K6" s="51"/>
      <c r="L6" s="137">
        <v>0.5</v>
      </c>
    </row>
    <row r="7" spans="1:28" outlineLevel="2" x14ac:dyDescent="0.3">
      <c r="A7" s="47" t="s">
        <v>152</v>
      </c>
      <c r="B7" s="13">
        <v>0</v>
      </c>
      <c r="C7" s="127">
        <v>10000</v>
      </c>
      <c r="D7" s="127">
        <f t="shared" ref="D7:D11" si="1">C7*0.2</f>
        <v>2000</v>
      </c>
      <c r="E7" s="30">
        <v>4</v>
      </c>
      <c r="F7" s="128">
        <v>0.3</v>
      </c>
      <c r="G7" s="15">
        <f t="shared" ref="G7:G8" si="2">H7*I7</f>
        <v>20</v>
      </c>
      <c r="H7" s="30">
        <v>2</v>
      </c>
      <c r="I7" s="30">
        <v>10</v>
      </c>
      <c r="J7" s="51">
        <v>30</v>
      </c>
      <c r="K7" s="51"/>
      <c r="L7" s="137">
        <v>0.6</v>
      </c>
    </row>
    <row r="8" spans="1:28" outlineLevel="2" x14ac:dyDescent="0.3">
      <c r="A8" s="47" t="s">
        <v>172</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151</v>
      </c>
      <c r="B9" s="13">
        <v>0</v>
      </c>
      <c r="C9" s="127">
        <v>24000</v>
      </c>
      <c r="D9" s="127">
        <f t="shared" si="1"/>
        <v>4800</v>
      </c>
      <c r="E9" s="30">
        <v>4</v>
      </c>
      <c r="F9" s="128">
        <v>0.3</v>
      </c>
      <c r="G9" s="15">
        <f t="shared" ref="G9:G10" si="3">H9*I9</f>
        <v>48</v>
      </c>
      <c r="H9" s="30">
        <v>4</v>
      </c>
      <c r="I9" s="30">
        <v>12</v>
      </c>
      <c r="J9" s="51">
        <v>15</v>
      </c>
      <c r="K9" s="51"/>
      <c r="L9" s="137">
        <v>1.2</v>
      </c>
    </row>
    <row r="10" spans="1:28" ht="15" outlineLevel="2" thickBot="1" x14ac:dyDescent="0.35">
      <c r="A10" s="12" t="s">
        <v>209</v>
      </c>
      <c r="B10" s="13" t="s">
        <v>353</v>
      </c>
      <c r="C10" s="26">
        <v>6805.9</v>
      </c>
      <c r="D10" s="127">
        <f t="shared" si="1"/>
        <v>1361.18</v>
      </c>
      <c r="E10" s="16">
        <v>4</v>
      </c>
      <c r="F10" s="17">
        <v>0</v>
      </c>
      <c r="G10" s="15">
        <f t="shared" si="3"/>
        <v>24</v>
      </c>
      <c r="H10" s="16">
        <v>2</v>
      </c>
      <c r="I10" s="16">
        <v>12</v>
      </c>
      <c r="J10" s="51">
        <v>30</v>
      </c>
      <c r="K10" s="51"/>
      <c r="L10" s="133">
        <v>0.6</v>
      </c>
    </row>
    <row r="11" spans="1:28" ht="15" outlineLevel="2" thickBot="1" x14ac:dyDescent="0.35">
      <c r="A11" s="166" t="s">
        <v>210</v>
      </c>
      <c r="B11" s="13">
        <v>0</v>
      </c>
      <c r="C11" s="26">
        <v>20801.34</v>
      </c>
      <c r="D11" s="127">
        <f t="shared" si="1"/>
        <v>4160.268</v>
      </c>
      <c r="E11" s="16">
        <v>4</v>
      </c>
      <c r="F11" s="17">
        <v>0</v>
      </c>
      <c r="G11" s="15">
        <f t="shared" ref="G11:G16" si="4">H11*I11</f>
        <v>48</v>
      </c>
      <c r="H11" s="16">
        <v>2</v>
      </c>
      <c r="I11" s="16">
        <v>24</v>
      </c>
      <c r="J11" s="51">
        <v>30</v>
      </c>
      <c r="K11" s="51"/>
      <c r="L11" s="167">
        <v>1.2</v>
      </c>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68</v>
      </c>
      <c r="D16" s="26"/>
      <c r="E16" s="16"/>
      <c r="F16" s="17"/>
      <c r="G16" s="15">
        <f t="shared" si="4"/>
        <v>0</v>
      </c>
      <c r="H16" s="16"/>
      <c r="I16" s="16"/>
      <c r="J16" s="51"/>
      <c r="K16" s="51"/>
      <c r="L16" s="133"/>
      <c r="O16" t="s">
        <v>190</v>
      </c>
      <c r="AB16" t="s">
        <v>192</v>
      </c>
    </row>
    <row r="17" spans="1:29" ht="15" outlineLevel="1" thickBot="1" x14ac:dyDescent="0.35"/>
    <row r="18" spans="1:29" s="10" customFormat="1" ht="43.8" outlineLevel="1" thickBot="1" x14ac:dyDescent="0.35">
      <c r="A18" s="10" t="s">
        <v>67</v>
      </c>
      <c r="C18" s="94" t="s">
        <v>84</v>
      </c>
      <c r="D18" s="96" t="s">
        <v>86</v>
      </c>
      <c r="E18" s="95" t="s">
        <v>85</v>
      </c>
      <c r="F18" s="73" t="s">
        <v>87</v>
      </c>
      <c r="G18" s="74" t="s">
        <v>91</v>
      </c>
      <c r="H18" s="73" t="s">
        <v>89</v>
      </c>
      <c r="I18" s="73" t="s">
        <v>88</v>
      </c>
      <c r="J18" s="73" t="s">
        <v>90</v>
      </c>
      <c r="K18" s="74" t="s">
        <v>92</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3">
      <c r="A19" s="14" t="s">
        <v>6</v>
      </c>
      <c r="B19" s="14"/>
      <c r="C19" s="10">
        <f>sizing!D4</f>
        <v>100</v>
      </c>
      <c r="D19" s="1" t="s">
        <v>133</v>
      </c>
      <c r="E19" s="92">
        <f>sizing!F4</f>
        <v>124</v>
      </c>
      <c r="F19" s="75">
        <f>$G$5</f>
        <v>24</v>
      </c>
      <c r="G19" s="72">
        <f>ROUNDUP(E19/F19,0)</f>
        <v>6</v>
      </c>
      <c r="H19" s="76">
        <f>F19*G19</f>
        <v>144</v>
      </c>
      <c r="I19" s="76">
        <f>H19-E19</f>
        <v>20</v>
      </c>
      <c r="J19" s="77">
        <f>I19/H19</f>
        <v>0.1388888888888889</v>
      </c>
      <c r="K19" s="72">
        <f>ROUNDUP(E19/$I$5,0)</f>
        <v>11</v>
      </c>
      <c r="N19" s="14" t="s">
        <v>6</v>
      </c>
      <c r="O19" s="84">
        <f>G19</f>
        <v>6</v>
      </c>
      <c r="P19" s="84">
        <f>K19</f>
        <v>11</v>
      </c>
      <c r="Q19" s="84">
        <f>E19</f>
        <v>124</v>
      </c>
      <c r="R19" s="52">
        <f>$O19*$C$5*(1-$F$5)</f>
        <v>40835.399999999994</v>
      </c>
      <c r="S19" s="52"/>
      <c r="T19" s="52"/>
      <c r="U19" s="52"/>
      <c r="V19" s="52"/>
      <c r="W19" s="52">
        <f t="shared" ref="W19:AA23" si="5">IF(W$18&lt;$E$5,0,$O19*$D$5)*(1-$F$5)</f>
        <v>0</v>
      </c>
      <c r="X19" s="52">
        <f t="shared" si="5"/>
        <v>0</v>
      </c>
      <c r="Y19" s="52">
        <f t="shared" si="5"/>
        <v>0</v>
      </c>
      <c r="Z19" s="52">
        <f t="shared" si="5"/>
        <v>8167.08</v>
      </c>
      <c r="AA19" s="52">
        <f t="shared" si="5"/>
        <v>8167.08</v>
      </c>
      <c r="AB19" s="56">
        <f>SUM(R19:AA19)</f>
        <v>57169.56</v>
      </c>
      <c r="AC19" s="1" t="s">
        <v>6</v>
      </c>
    </row>
    <row r="20" spans="1:29" outlineLevel="1" x14ac:dyDescent="0.3">
      <c r="A20" s="14" t="s">
        <v>7</v>
      </c>
      <c r="B20" s="14"/>
      <c r="D20" s="111">
        <f>sizing!H4</f>
        <v>0.5</v>
      </c>
      <c r="E20" s="92">
        <f>sizing!I4</f>
        <v>50</v>
      </c>
      <c r="F20" s="75">
        <f t="shared" ref="F20:F23" si="6">$G$5</f>
        <v>24</v>
      </c>
      <c r="G20" s="72">
        <f t="shared" ref="G20:G22" si="7">ROUNDUP(E20/F20,0)</f>
        <v>3</v>
      </c>
      <c r="H20" s="76">
        <f t="shared" ref="H20:H23" si="8">F20*G20</f>
        <v>72</v>
      </c>
      <c r="I20" s="76">
        <f t="shared" ref="I20:I23" si="9">H20-E20</f>
        <v>22</v>
      </c>
      <c r="J20" s="77">
        <f t="shared" ref="J20:J24" si="10">I20/H20</f>
        <v>0.30555555555555558</v>
      </c>
      <c r="K20" s="72">
        <f t="shared" ref="K20:K23" si="11">ROUNDUP(E20/$I$5,0)</f>
        <v>5</v>
      </c>
      <c r="N20" s="14" t="s">
        <v>7</v>
      </c>
      <c r="O20" s="84">
        <f t="shared" ref="O20:O23" si="12">G20</f>
        <v>3</v>
      </c>
      <c r="P20" s="84">
        <f t="shared" ref="P20:P23" si="13">K20</f>
        <v>5</v>
      </c>
      <c r="Q20" s="84">
        <f t="shared" ref="Q20:Q23" si="14">E20</f>
        <v>50</v>
      </c>
      <c r="R20" s="19">
        <f>$O20*$C$5*(1-$F$5)</f>
        <v>20417.699999999997</v>
      </c>
      <c r="S20" s="19"/>
      <c r="T20" s="19"/>
      <c r="U20" s="19"/>
      <c r="V20" s="19"/>
      <c r="W20" s="19">
        <f t="shared" si="5"/>
        <v>0</v>
      </c>
      <c r="X20" s="19">
        <f t="shared" si="5"/>
        <v>0</v>
      </c>
      <c r="Y20" s="19">
        <f t="shared" si="5"/>
        <v>0</v>
      </c>
      <c r="Z20" s="19">
        <f t="shared" si="5"/>
        <v>4083.54</v>
      </c>
      <c r="AA20" s="19">
        <f t="shared" si="5"/>
        <v>4083.54</v>
      </c>
      <c r="AB20" s="20">
        <f>SUM(R20:AA20)</f>
        <v>28584.78</v>
      </c>
      <c r="AC20" s="1" t="s">
        <v>7</v>
      </c>
    </row>
    <row r="21" spans="1:29" outlineLevel="1" x14ac:dyDescent="0.3">
      <c r="A21" s="14" t="s">
        <v>8</v>
      </c>
      <c r="B21" s="14"/>
      <c r="D21" s="111">
        <f>sizing!J4</f>
        <v>0.5</v>
      </c>
      <c r="E21" s="92">
        <f>sizing!K4</f>
        <v>50</v>
      </c>
      <c r="F21" s="75">
        <f t="shared" si="6"/>
        <v>24</v>
      </c>
      <c r="G21" s="72">
        <f t="shared" si="7"/>
        <v>3</v>
      </c>
      <c r="H21" s="76">
        <f t="shared" si="8"/>
        <v>72</v>
      </c>
      <c r="I21" s="76">
        <f t="shared" si="9"/>
        <v>22</v>
      </c>
      <c r="J21" s="77">
        <f t="shared" si="10"/>
        <v>0.30555555555555558</v>
      </c>
      <c r="K21" s="72">
        <f t="shared" si="11"/>
        <v>5</v>
      </c>
      <c r="N21" s="14" t="s">
        <v>8</v>
      </c>
      <c r="O21" s="84">
        <f t="shared" si="12"/>
        <v>3</v>
      </c>
      <c r="P21" s="84">
        <f t="shared" si="13"/>
        <v>5</v>
      </c>
      <c r="Q21" s="84">
        <f t="shared" si="14"/>
        <v>50</v>
      </c>
      <c r="R21" s="19">
        <f>$O21*$C$5*(1-$F$5)</f>
        <v>20417.699999999997</v>
      </c>
      <c r="S21" s="19"/>
      <c r="T21" s="19"/>
      <c r="U21" s="19"/>
      <c r="V21" s="19"/>
      <c r="W21" s="19">
        <f t="shared" si="5"/>
        <v>0</v>
      </c>
      <c r="X21" s="19">
        <f t="shared" si="5"/>
        <v>0</v>
      </c>
      <c r="Y21" s="19">
        <f t="shared" si="5"/>
        <v>0</v>
      </c>
      <c r="Z21" s="19">
        <f t="shared" si="5"/>
        <v>4083.54</v>
      </c>
      <c r="AA21" s="19">
        <f t="shared" si="5"/>
        <v>4083.54</v>
      </c>
      <c r="AB21" s="20">
        <f>SUM(R21:AA21)</f>
        <v>28584.78</v>
      </c>
      <c r="AC21" s="1" t="s">
        <v>8</v>
      </c>
    </row>
    <row r="22" spans="1:29" ht="15" outlineLevel="1" thickBot="1" x14ac:dyDescent="0.35">
      <c r="A22" s="14" t="s">
        <v>132</v>
      </c>
      <c r="B22" s="14"/>
      <c r="D22" s="112">
        <f>sizing!L4</f>
        <v>1</v>
      </c>
      <c r="E22" s="92">
        <f>sizing!M4</f>
        <v>100</v>
      </c>
      <c r="F22" s="75">
        <f t="shared" si="6"/>
        <v>24</v>
      </c>
      <c r="G22" s="72">
        <f t="shared" si="7"/>
        <v>5</v>
      </c>
      <c r="H22" s="76">
        <f t="shared" si="8"/>
        <v>120</v>
      </c>
      <c r="I22" s="76">
        <f t="shared" si="9"/>
        <v>20</v>
      </c>
      <c r="J22" s="77">
        <f t="shared" si="10"/>
        <v>0.16666666666666666</v>
      </c>
      <c r="K22" s="72">
        <f t="shared" si="11"/>
        <v>9</v>
      </c>
      <c r="N22" s="14" t="s">
        <v>132</v>
      </c>
      <c r="O22" s="84">
        <f t="shared" si="12"/>
        <v>5</v>
      </c>
      <c r="P22" s="84">
        <f t="shared" si="13"/>
        <v>9</v>
      </c>
      <c r="Q22" s="84">
        <f t="shared" si="14"/>
        <v>100</v>
      </c>
      <c r="R22" s="19">
        <f>$O22*$C$5*(1-$F$5)</f>
        <v>34029.5</v>
      </c>
      <c r="S22" s="19"/>
      <c r="T22" s="19"/>
      <c r="U22" s="19"/>
      <c r="V22" s="19"/>
      <c r="W22" s="19">
        <f t="shared" si="5"/>
        <v>0</v>
      </c>
      <c r="X22" s="19">
        <f t="shared" si="5"/>
        <v>0</v>
      </c>
      <c r="Y22" s="19">
        <f t="shared" si="5"/>
        <v>0</v>
      </c>
      <c r="Z22" s="19">
        <f t="shared" si="5"/>
        <v>6805.9000000000005</v>
      </c>
      <c r="AA22" s="19">
        <f t="shared" si="5"/>
        <v>6805.9000000000005</v>
      </c>
      <c r="AB22" s="20">
        <f>SUM(R22:AA22)</f>
        <v>47641.3</v>
      </c>
      <c r="AC22" s="1" t="s">
        <v>9</v>
      </c>
    </row>
    <row r="23" spans="1:29" ht="15" outlineLevel="1" thickBot="1" x14ac:dyDescent="0.35">
      <c r="A23" s="14" t="s">
        <v>10</v>
      </c>
      <c r="B23" s="14"/>
      <c r="C23" s="164"/>
      <c r="D23" s="113">
        <f>sizing!N4</f>
        <v>1</v>
      </c>
      <c r="E23" s="92">
        <f>sizing!O4</f>
        <v>224</v>
      </c>
      <c r="F23" s="75">
        <f t="shared" si="6"/>
        <v>24</v>
      </c>
      <c r="G23" s="72">
        <f>G19+G22</f>
        <v>11</v>
      </c>
      <c r="H23" s="76">
        <f t="shared" si="8"/>
        <v>264</v>
      </c>
      <c r="I23" s="76">
        <f t="shared" si="9"/>
        <v>40</v>
      </c>
      <c r="J23" s="77">
        <f t="shared" si="10"/>
        <v>0.15151515151515152</v>
      </c>
      <c r="K23" s="72">
        <f t="shared" si="11"/>
        <v>19</v>
      </c>
      <c r="N23" s="14" t="s">
        <v>10</v>
      </c>
      <c r="O23" s="84">
        <f t="shared" si="12"/>
        <v>11</v>
      </c>
      <c r="P23" s="84">
        <f t="shared" si="13"/>
        <v>19</v>
      </c>
      <c r="Q23" s="84">
        <f t="shared" si="14"/>
        <v>224</v>
      </c>
      <c r="R23" s="19">
        <f>$O23*$C$5*(1-$F$5)</f>
        <v>74864.899999999994</v>
      </c>
      <c r="S23" s="19"/>
      <c r="T23" s="19"/>
      <c r="U23" s="19"/>
      <c r="V23" s="19"/>
      <c r="W23" s="19">
        <f t="shared" si="5"/>
        <v>0</v>
      </c>
      <c r="X23" s="19">
        <f t="shared" si="5"/>
        <v>0</v>
      </c>
      <c r="Y23" s="19">
        <f t="shared" si="5"/>
        <v>0</v>
      </c>
      <c r="Z23" s="19">
        <f t="shared" si="5"/>
        <v>14972.980000000001</v>
      </c>
      <c r="AA23" s="19">
        <f t="shared" si="5"/>
        <v>14972.980000000001</v>
      </c>
      <c r="AB23" s="20">
        <f>SUM(R23:AA23)</f>
        <v>104810.85999999999</v>
      </c>
      <c r="AC23" s="1" t="s">
        <v>10</v>
      </c>
    </row>
    <row r="24" spans="1:29" x14ac:dyDescent="0.3">
      <c r="A24" s="64" t="s">
        <v>19</v>
      </c>
      <c r="B24" s="64"/>
      <c r="C24" s="39"/>
      <c r="D24" s="93"/>
      <c r="E24" s="78">
        <f>SUM(E19:E23)</f>
        <v>548</v>
      </c>
      <c r="F24" s="79"/>
      <c r="G24" s="80">
        <f>SUM(G19:G23)</f>
        <v>28</v>
      </c>
      <c r="H24" s="81">
        <f>SUM(H19:H23)</f>
        <v>672</v>
      </c>
      <c r="I24" s="81">
        <f>SUM(I19:I23)</f>
        <v>124</v>
      </c>
      <c r="J24" s="82">
        <f t="shared" si="10"/>
        <v>0.18452380952380953</v>
      </c>
      <c r="K24" s="80">
        <f>SUM(K19:K23)</f>
        <v>49</v>
      </c>
      <c r="N24" s="5"/>
      <c r="O24" s="50">
        <f>SUM(O19:O23)</f>
        <v>28</v>
      </c>
      <c r="P24" s="50">
        <f>SUM(P19:P23)</f>
        <v>49</v>
      </c>
      <c r="Q24" s="50">
        <f>SUM(Q19:Q23)</f>
        <v>548</v>
      </c>
      <c r="R24" s="71">
        <f t="shared" ref="R24:AB24" si="15">SUM(R19:R23)</f>
        <v>190565.19999999998</v>
      </c>
      <c r="S24" s="71">
        <f t="shared" si="15"/>
        <v>0</v>
      </c>
      <c r="T24" s="71">
        <f t="shared" si="15"/>
        <v>0</v>
      </c>
      <c r="U24" s="71">
        <f t="shared" si="15"/>
        <v>0</v>
      </c>
      <c r="V24" s="71">
        <f t="shared" si="15"/>
        <v>0</v>
      </c>
      <c r="W24" s="71">
        <f t="shared" si="15"/>
        <v>0</v>
      </c>
      <c r="X24" s="71">
        <f t="shared" si="15"/>
        <v>0</v>
      </c>
      <c r="Y24" s="71">
        <f t="shared" si="15"/>
        <v>0</v>
      </c>
      <c r="Z24" s="71">
        <f t="shared" si="15"/>
        <v>38113.040000000001</v>
      </c>
      <c r="AA24" s="71">
        <f t="shared" si="15"/>
        <v>38113.040000000001</v>
      </c>
      <c r="AB24" s="71">
        <f t="shared" si="15"/>
        <v>266791.27999999997</v>
      </c>
      <c r="AC24" s="5" t="s">
        <v>19</v>
      </c>
    </row>
    <row r="25" spans="1:29" ht="28.8" x14ac:dyDescent="0.3">
      <c r="G25" t="s">
        <v>189</v>
      </c>
      <c r="O25" s="18" t="s">
        <v>17</v>
      </c>
      <c r="P25" s="18" t="s">
        <v>25</v>
      </c>
      <c r="Q25" s="18" t="s">
        <v>26</v>
      </c>
    </row>
    <row r="26" spans="1:29" s="60" customFormat="1" ht="28.5" customHeight="1" thickBot="1" x14ac:dyDescent="0.35">
      <c r="A26" s="58" t="s">
        <v>30</v>
      </c>
      <c r="B26" s="58"/>
      <c r="R26" s="59"/>
      <c r="S26" s="59"/>
      <c r="T26" s="59"/>
      <c r="U26" s="59"/>
      <c r="V26" s="59"/>
      <c r="W26" s="59"/>
      <c r="X26" s="59"/>
      <c r="Y26" s="59"/>
      <c r="Z26" s="59"/>
      <c r="AA26" s="59"/>
      <c r="AB26" s="59"/>
      <c r="AC26" s="59"/>
    </row>
    <row r="27" spans="1:29" ht="38.25" customHeight="1" outlineLevel="1" thickBot="1" x14ac:dyDescent="0.35">
      <c r="A27" s="48" t="s">
        <v>69</v>
      </c>
      <c r="C27" s="11" t="s">
        <v>63</v>
      </c>
      <c r="D27" s="11" t="s">
        <v>21</v>
      </c>
      <c r="E27" s="11" t="s">
        <v>162</v>
      </c>
      <c r="F27" s="11" t="s">
        <v>22</v>
      </c>
      <c r="G27" s="11" t="s">
        <v>64</v>
      </c>
      <c r="H27" s="131" t="s">
        <v>93</v>
      </c>
      <c r="I27" s="83" t="s">
        <v>94</v>
      </c>
      <c r="J27" s="83" t="s">
        <v>33</v>
      </c>
      <c r="K27" s="83" t="s">
        <v>31</v>
      </c>
      <c r="L27" s="83" t="s">
        <v>32</v>
      </c>
      <c r="O27" s="5" t="s">
        <v>96</v>
      </c>
      <c r="P27" s="11" t="s">
        <v>64</v>
      </c>
      <c r="Q27" s="10" t="s">
        <v>65</v>
      </c>
      <c r="R27" s="53">
        <v>1</v>
      </c>
      <c r="S27" s="54">
        <v>2</v>
      </c>
      <c r="T27" s="54">
        <v>3</v>
      </c>
      <c r="U27" s="54">
        <v>4</v>
      </c>
      <c r="V27" s="55">
        <v>5</v>
      </c>
      <c r="W27" s="53">
        <v>1</v>
      </c>
      <c r="X27" s="54">
        <v>2</v>
      </c>
      <c r="Y27" s="54">
        <v>3</v>
      </c>
      <c r="Z27" s="54">
        <v>4</v>
      </c>
      <c r="AA27" s="55">
        <v>5</v>
      </c>
      <c r="AB27" s="57" t="s">
        <v>19</v>
      </c>
      <c r="AC27" s="10"/>
    </row>
    <row r="28" spans="1:29" outlineLevel="2" x14ac:dyDescent="0.3">
      <c r="A28" s="12" t="s">
        <v>350</v>
      </c>
      <c r="B28" s="12"/>
      <c r="C28" s="26">
        <v>2702</v>
      </c>
      <c r="D28" s="26">
        <f>C28*0.2</f>
        <v>540.4</v>
      </c>
      <c r="E28" s="16">
        <v>3</v>
      </c>
      <c r="F28" s="138">
        <v>0.3</v>
      </c>
      <c r="G28" s="85" t="s">
        <v>31</v>
      </c>
      <c r="H28" s="132" t="s">
        <v>31</v>
      </c>
      <c r="I28" s="85">
        <v>1</v>
      </c>
      <c r="J28" s="36">
        <f>$O$19</f>
        <v>6</v>
      </c>
      <c r="K28" s="36">
        <f>$P$19</f>
        <v>11</v>
      </c>
      <c r="L28" s="36">
        <f>$Q$19</f>
        <v>124</v>
      </c>
      <c r="O28">
        <f>_xlfn.XLOOKUP($H28,$J$27:$L$27,$J28:$L28)</f>
        <v>11</v>
      </c>
      <c r="P28" s="10" t="s">
        <v>31</v>
      </c>
      <c r="Q28" s="86">
        <f>I28*O28</f>
        <v>11</v>
      </c>
      <c r="R28" s="19">
        <f>$Q28*$C28*(1-$F28)</f>
        <v>20805.399999999998</v>
      </c>
      <c r="S28" s="19"/>
      <c r="T28" s="19"/>
      <c r="U28" s="19"/>
      <c r="V28" s="19"/>
      <c r="W28" s="19">
        <f>IF(W$18&lt;$E28,0,$Q28*$D28)*(1-$F28)</f>
        <v>0</v>
      </c>
      <c r="X28" s="19">
        <f>IF(X$18&lt;$E28,0,$Q28*$D28)*(1-$F28)</f>
        <v>0</v>
      </c>
      <c r="Y28" s="19">
        <f>IF(Y$18&lt;$E28,0,$Q28*$D28)*(1-$F28)</f>
        <v>4161.08</v>
      </c>
      <c r="Z28" s="19">
        <f>IF(Z$18&lt;$E28,0,$Q28*$D28)*(1-$F28)</f>
        <v>4161.08</v>
      </c>
      <c r="AA28" s="19">
        <f>IF(AA$18&lt;$E28,0,$Q28*$D28)*(1-$F28)</f>
        <v>4161.08</v>
      </c>
      <c r="AB28" s="20">
        <f>SUM(R28:AA28)</f>
        <v>33288.639999999999</v>
      </c>
    </row>
    <row r="29" spans="1:29" outlineLevel="2" x14ac:dyDescent="0.3">
      <c r="A29" s="12" t="s">
        <v>329</v>
      </c>
      <c r="B29" s="12"/>
      <c r="C29" s="26">
        <v>1065</v>
      </c>
      <c r="D29" s="27">
        <f>C29*0.2</f>
        <v>213</v>
      </c>
      <c r="E29" s="16">
        <v>2</v>
      </c>
      <c r="F29" s="138">
        <v>0.3</v>
      </c>
      <c r="G29" s="85" t="s">
        <v>31</v>
      </c>
      <c r="H29" s="132" t="s">
        <v>31</v>
      </c>
      <c r="I29" s="85">
        <v>1</v>
      </c>
      <c r="J29" s="1">
        <f>J28</f>
        <v>6</v>
      </c>
      <c r="K29" s="1">
        <f t="shared" ref="K29:L29" si="16">K28</f>
        <v>11</v>
      </c>
      <c r="L29" s="1">
        <f t="shared" si="16"/>
        <v>124</v>
      </c>
      <c r="O29">
        <f t="shared" ref="O29:O34" si="17">_xlfn.XLOOKUP($H29,$J$27:$L$27,$J29:$L29)</f>
        <v>11</v>
      </c>
      <c r="P29" s="10" t="s">
        <v>31</v>
      </c>
      <c r="Q29" s="86">
        <f t="shared" ref="Q29:Q34" si="18">I29*O29</f>
        <v>11</v>
      </c>
      <c r="R29" s="19">
        <f t="shared" ref="R29:R34" si="19">$Q29*$C29*(1-$F29)</f>
        <v>8200.5</v>
      </c>
      <c r="S29" s="19"/>
      <c r="T29" s="19"/>
      <c r="U29" s="19"/>
      <c r="V29" s="19"/>
      <c r="W29" s="19">
        <f t="shared" ref="W28:AA34" si="20">IF(W$18&lt;$E29,0,$Q29*$D29)*(1-$F29)</f>
        <v>0</v>
      </c>
      <c r="X29" s="19">
        <f t="shared" si="20"/>
        <v>1640.1</v>
      </c>
      <c r="Y29" s="19">
        <f t="shared" si="20"/>
        <v>1640.1</v>
      </c>
      <c r="Z29" s="19">
        <f t="shared" si="20"/>
        <v>1640.1</v>
      </c>
      <c r="AA29" s="19">
        <f t="shared" si="20"/>
        <v>1640.1</v>
      </c>
      <c r="AB29" s="20">
        <f t="shared" ref="AB29:AB30" si="21">SUM(R29:AA29)</f>
        <v>14760.900000000001</v>
      </c>
    </row>
    <row r="30" spans="1:29" outlineLevel="2" x14ac:dyDescent="0.3">
      <c r="A30" s="12" t="s">
        <v>351</v>
      </c>
      <c r="B30" s="12"/>
      <c r="C30" s="26">
        <v>29830</v>
      </c>
      <c r="D30" s="27">
        <f>C30*0.2</f>
        <v>5966</v>
      </c>
      <c r="E30" s="16">
        <v>2</v>
      </c>
      <c r="F30" s="138">
        <v>0.3</v>
      </c>
      <c r="G30" s="85" t="s">
        <v>31</v>
      </c>
      <c r="H30" s="132" t="s">
        <v>31</v>
      </c>
      <c r="I30" s="139">
        <v>1</v>
      </c>
      <c r="J30" s="1">
        <f t="shared" ref="J30:J34" si="22">J29</f>
        <v>6</v>
      </c>
      <c r="K30" s="1">
        <f t="shared" ref="K30:K34" si="23">K29</f>
        <v>11</v>
      </c>
      <c r="L30" s="1">
        <f t="shared" ref="L30:L34" si="24">L29</f>
        <v>124</v>
      </c>
      <c r="O30">
        <f t="shared" si="17"/>
        <v>11</v>
      </c>
      <c r="P30" s="10" t="s">
        <v>31</v>
      </c>
      <c r="Q30" s="86">
        <f t="shared" si="18"/>
        <v>11</v>
      </c>
      <c r="R30" s="19">
        <f t="shared" si="19"/>
        <v>229690.99999999997</v>
      </c>
      <c r="S30" s="19"/>
      <c r="T30" s="19"/>
      <c r="U30" s="19"/>
      <c r="V30" s="19"/>
      <c r="W30" s="19">
        <f t="shared" si="20"/>
        <v>0</v>
      </c>
      <c r="X30" s="19">
        <f t="shared" si="20"/>
        <v>45938.2</v>
      </c>
      <c r="Y30" s="19">
        <f t="shared" si="20"/>
        <v>45938.2</v>
      </c>
      <c r="Z30" s="19">
        <f t="shared" si="20"/>
        <v>45938.2</v>
      </c>
      <c r="AA30" s="19">
        <f t="shared" si="20"/>
        <v>45938.2</v>
      </c>
      <c r="AB30" s="20">
        <f t="shared" si="21"/>
        <v>413443.8</v>
      </c>
    </row>
    <row r="31" spans="1:29" outlineLevel="2" x14ac:dyDescent="0.3">
      <c r="A31" s="12" t="s">
        <v>349</v>
      </c>
      <c r="B31" s="12"/>
      <c r="C31" s="26">
        <v>40489</v>
      </c>
      <c r="D31" s="27">
        <f>C31*0.2</f>
        <v>8097.8</v>
      </c>
      <c r="E31" s="16">
        <v>2</v>
      </c>
      <c r="F31" s="138">
        <v>0.3</v>
      </c>
      <c r="G31" s="85" t="s">
        <v>31</v>
      </c>
      <c r="H31" s="132" t="s">
        <v>31</v>
      </c>
      <c r="I31" s="139">
        <v>1</v>
      </c>
      <c r="J31" s="1">
        <f t="shared" si="22"/>
        <v>6</v>
      </c>
      <c r="K31" s="1">
        <f t="shared" si="23"/>
        <v>11</v>
      </c>
      <c r="L31" s="1">
        <f t="shared" si="24"/>
        <v>124</v>
      </c>
      <c r="O31">
        <f t="shared" si="17"/>
        <v>11</v>
      </c>
      <c r="P31" s="10" t="s">
        <v>31</v>
      </c>
      <c r="Q31" s="86">
        <f>I31*O31</f>
        <v>11</v>
      </c>
      <c r="R31" s="19">
        <f t="shared" si="19"/>
        <v>311765.3</v>
      </c>
      <c r="S31" s="19"/>
      <c r="T31" s="19"/>
      <c r="U31" s="19"/>
      <c r="V31" s="19"/>
      <c r="W31" s="19">
        <f t="shared" si="20"/>
        <v>0</v>
      </c>
      <c r="X31" s="19">
        <f t="shared" si="20"/>
        <v>62353.06</v>
      </c>
      <c r="Y31" s="19">
        <f t="shared" si="20"/>
        <v>62353.06</v>
      </c>
      <c r="Z31" s="19">
        <f t="shared" si="20"/>
        <v>62353.06</v>
      </c>
      <c r="AA31" s="19">
        <f t="shared" si="20"/>
        <v>62353.06</v>
      </c>
      <c r="AB31" s="20">
        <f>SUM(R31:AA31)</f>
        <v>561177.54</v>
      </c>
    </row>
    <row r="32" spans="1:29" outlineLevel="2" x14ac:dyDescent="0.3">
      <c r="A32" s="12" t="s">
        <v>352</v>
      </c>
      <c r="B32" s="12"/>
      <c r="C32" s="26">
        <v>14915</v>
      </c>
      <c r="D32" s="26">
        <v>3281</v>
      </c>
      <c r="E32" s="16">
        <v>1</v>
      </c>
      <c r="F32" s="138">
        <v>0.3</v>
      </c>
      <c r="G32" s="10" t="s">
        <v>31</v>
      </c>
      <c r="H32" s="10" t="s">
        <v>31</v>
      </c>
      <c r="I32" s="139">
        <v>1</v>
      </c>
      <c r="J32" s="1">
        <f t="shared" si="22"/>
        <v>6</v>
      </c>
      <c r="K32" s="1">
        <f t="shared" si="23"/>
        <v>11</v>
      </c>
      <c r="L32" s="1">
        <f t="shared" si="24"/>
        <v>124</v>
      </c>
      <c r="O32">
        <f t="shared" si="17"/>
        <v>11</v>
      </c>
      <c r="P32" s="10" t="s">
        <v>31</v>
      </c>
      <c r="Q32" s="86">
        <f t="shared" si="18"/>
        <v>11</v>
      </c>
      <c r="R32" s="19">
        <f t="shared" si="19"/>
        <v>114845.49999999999</v>
      </c>
      <c r="S32" s="19"/>
      <c r="T32" s="19"/>
      <c r="U32" s="19"/>
      <c r="V32" s="19"/>
      <c r="W32" s="19">
        <f t="shared" si="20"/>
        <v>25263.699999999997</v>
      </c>
      <c r="X32" s="19">
        <f t="shared" si="20"/>
        <v>25263.699999999997</v>
      </c>
      <c r="Y32" s="19">
        <f t="shared" si="20"/>
        <v>25263.699999999997</v>
      </c>
      <c r="Z32" s="19">
        <f t="shared" si="20"/>
        <v>25263.699999999997</v>
      </c>
      <c r="AA32" s="19">
        <f t="shared" si="20"/>
        <v>25263.699999999997</v>
      </c>
      <c r="AB32" s="20">
        <f>SUM(R32:AA32)</f>
        <v>241164</v>
      </c>
    </row>
    <row r="33" spans="1:29" outlineLevel="2" x14ac:dyDescent="0.3">
      <c r="A33" s="12" t="s">
        <v>125</v>
      </c>
      <c r="B33" s="12"/>
      <c r="C33" s="26">
        <v>5000</v>
      </c>
      <c r="D33" s="27">
        <f>C33*0.2</f>
        <v>1000</v>
      </c>
      <c r="E33" s="16">
        <v>2</v>
      </c>
      <c r="F33" s="17">
        <v>0.4</v>
      </c>
      <c r="G33" s="85" t="s">
        <v>33</v>
      </c>
      <c r="H33" s="132" t="s">
        <v>33</v>
      </c>
      <c r="I33" s="85">
        <v>1</v>
      </c>
      <c r="J33" s="1">
        <f t="shared" si="22"/>
        <v>6</v>
      </c>
      <c r="K33" s="1">
        <f t="shared" si="23"/>
        <v>11</v>
      </c>
      <c r="L33" s="1">
        <f t="shared" si="24"/>
        <v>124</v>
      </c>
      <c r="O33">
        <f t="shared" si="17"/>
        <v>6</v>
      </c>
      <c r="P33" s="10" t="s">
        <v>33</v>
      </c>
      <c r="Q33" s="86">
        <f t="shared" si="18"/>
        <v>6</v>
      </c>
      <c r="R33" s="19">
        <f t="shared" si="19"/>
        <v>18000</v>
      </c>
      <c r="S33" s="19"/>
      <c r="T33" s="19"/>
      <c r="U33" s="19"/>
      <c r="V33" s="19"/>
      <c r="W33" s="19">
        <f t="shared" si="20"/>
        <v>0</v>
      </c>
      <c r="X33" s="19">
        <f t="shared" si="20"/>
        <v>3600</v>
      </c>
      <c r="Y33" s="19">
        <f t="shared" si="20"/>
        <v>3600</v>
      </c>
      <c r="Z33" s="19">
        <f t="shared" si="20"/>
        <v>3600</v>
      </c>
      <c r="AA33" s="19">
        <f t="shared" si="20"/>
        <v>3600</v>
      </c>
      <c r="AB33" s="20">
        <f t="shared" ref="AB33:AB34" si="25">SUM(R33:AA33)</f>
        <v>32400</v>
      </c>
    </row>
    <row r="34" spans="1:29" outlineLevel="2" x14ac:dyDescent="0.3">
      <c r="A34" s="12" t="s">
        <v>126</v>
      </c>
      <c r="B34" s="12"/>
      <c r="C34" s="26">
        <v>5000</v>
      </c>
      <c r="D34" s="27">
        <f>C34*0.2</f>
        <v>1000</v>
      </c>
      <c r="E34" s="16">
        <v>2</v>
      </c>
      <c r="F34" s="17">
        <v>0.4</v>
      </c>
      <c r="G34" s="85" t="s">
        <v>33</v>
      </c>
      <c r="H34" s="132" t="s">
        <v>33</v>
      </c>
      <c r="I34" s="85">
        <v>1</v>
      </c>
      <c r="J34" s="1">
        <f t="shared" si="22"/>
        <v>6</v>
      </c>
      <c r="K34" s="1">
        <f t="shared" si="23"/>
        <v>11</v>
      </c>
      <c r="L34" s="1">
        <f t="shared" si="24"/>
        <v>124</v>
      </c>
      <c r="O34">
        <f t="shared" si="17"/>
        <v>6</v>
      </c>
      <c r="P34" s="10" t="s">
        <v>33</v>
      </c>
      <c r="Q34" s="86">
        <f t="shared" si="18"/>
        <v>6</v>
      </c>
      <c r="R34" s="19">
        <f t="shared" si="19"/>
        <v>18000</v>
      </c>
      <c r="S34" s="19"/>
      <c r="T34" s="19"/>
      <c r="U34" s="19"/>
      <c r="V34" s="19"/>
      <c r="W34" s="19">
        <f t="shared" si="20"/>
        <v>0</v>
      </c>
      <c r="X34" s="19">
        <f t="shared" si="20"/>
        <v>3600</v>
      </c>
      <c r="Y34" s="19">
        <f t="shared" si="20"/>
        <v>3600</v>
      </c>
      <c r="Z34" s="19">
        <f t="shared" si="20"/>
        <v>3600</v>
      </c>
      <c r="AA34" s="19">
        <f t="shared" si="20"/>
        <v>3600</v>
      </c>
      <c r="AB34" s="20">
        <f t="shared" si="25"/>
        <v>32400</v>
      </c>
    </row>
    <row r="35" spans="1:29" s="39" customFormat="1" outlineLevel="1" x14ac:dyDescent="0.3">
      <c r="C35" s="39" t="s">
        <v>202</v>
      </c>
      <c r="G35" s="39" t="s">
        <v>204</v>
      </c>
      <c r="Q35" s="64" t="s">
        <v>97</v>
      </c>
      <c r="R35" s="61">
        <f>SUM(R28:R34)</f>
        <v>721307.7</v>
      </c>
      <c r="S35" s="61">
        <f t="shared" ref="S35:AB35" si="26">SUM(S28:S34)</f>
        <v>0</v>
      </c>
      <c r="T35" s="61">
        <f t="shared" si="26"/>
        <v>0</v>
      </c>
      <c r="U35" s="61">
        <f t="shared" si="26"/>
        <v>0</v>
      </c>
      <c r="V35" s="61">
        <f t="shared" si="26"/>
        <v>0</v>
      </c>
      <c r="W35" s="61">
        <f t="shared" si="26"/>
        <v>25263.699999999997</v>
      </c>
      <c r="X35" s="61">
        <f t="shared" si="26"/>
        <v>142395.06</v>
      </c>
      <c r="Y35" s="61">
        <f t="shared" si="26"/>
        <v>146556.14000000001</v>
      </c>
      <c r="Z35" s="61">
        <f t="shared" si="26"/>
        <v>146556.14000000001</v>
      </c>
      <c r="AA35" s="61">
        <f t="shared" si="26"/>
        <v>146556.14000000001</v>
      </c>
      <c r="AB35" s="62">
        <f t="shared" si="26"/>
        <v>1328634.8799999999</v>
      </c>
    </row>
    <row r="36" spans="1:29" ht="15" outlineLevel="1" thickBot="1" x14ac:dyDescent="0.35">
      <c r="D36" t="s">
        <v>203</v>
      </c>
    </row>
    <row r="37" spans="1:29" ht="42" customHeight="1" outlineLevel="1" thickBot="1" x14ac:dyDescent="0.35">
      <c r="A37" s="48" t="s">
        <v>7</v>
      </c>
      <c r="C37" s="11" t="s">
        <v>63</v>
      </c>
      <c r="D37" s="11" t="s">
        <v>21</v>
      </c>
      <c r="E37" s="11" t="str">
        <f>E27</f>
        <v>Starting Year of yearly charges</v>
      </c>
      <c r="F37" s="11" t="s">
        <v>22</v>
      </c>
      <c r="G37" s="11" t="s">
        <v>64</v>
      </c>
      <c r="H37" s="11" t="s">
        <v>93</v>
      </c>
      <c r="I37" s="83" t="s">
        <v>94</v>
      </c>
      <c r="J37" s="83" t="s">
        <v>33</v>
      </c>
      <c r="K37" s="83" t="s">
        <v>31</v>
      </c>
      <c r="L37" s="83" t="s">
        <v>32</v>
      </c>
      <c r="O37" s="5" t="s">
        <v>96</v>
      </c>
      <c r="P37" s="11" t="s">
        <v>64</v>
      </c>
      <c r="Q37" s="10" t="s">
        <v>65</v>
      </c>
      <c r="R37" s="53">
        <v>1</v>
      </c>
      <c r="S37" s="54">
        <v>2</v>
      </c>
      <c r="T37" s="54">
        <v>3</v>
      </c>
      <c r="U37" s="54">
        <v>4</v>
      </c>
      <c r="V37" s="55">
        <v>5</v>
      </c>
      <c r="W37" s="53">
        <v>1</v>
      </c>
      <c r="X37" s="54">
        <v>2</v>
      </c>
      <c r="Y37" s="54">
        <v>3</v>
      </c>
      <c r="Z37" s="54">
        <v>4</v>
      </c>
      <c r="AA37" s="55">
        <v>5</v>
      </c>
      <c r="AB37" s="57" t="s">
        <v>19</v>
      </c>
      <c r="AC37" s="10"/>
    </row>
    <row r="38" spans="1:29" outlineLevel="2" x14ac:dyDescent="0.3">
      <c r="A38" s="24" t="str">
        <f t="shared" ref="A38:A44" si="27">A28</f>
        <v>OS - SUSE Linux Enterprise Server 15 for x86 &amp; x86-64 (Unlimited VM) - 3 Year std subscription</v>
      </c>
      <c r="B38" s="24"/>
      <c r="C38" s="27">
        <f>C28</f>
        <v>2702</v>
      </c>
      <c r="D38" s="27">
        <f>D28</f>
        <v>540.4</v>
      </c>
      <c r="E38" s="28">
        <f t="shared" ref="E38:I38" si="28">E28</f>
        <v>3</v>
      </c>
      <c r="F38" s="29">
        <f t="shared" si="28"/>
        <v>0.3</v>
      </c>
      <c r="G38" s="87" t="str">
        <f t="shared" si="28"/>
        <v>socket</v>
      </c>
      <c r="H38" s="87" t="str">
        <f t="shared" si="28"/>
        <v>socket</v>
      </c>
      <c r="I38" s="85">
        <f t="shared" si="28"/>
        <v>1</v>
      </c>
      <c r="J38" s="36">
        <f>$O$20</f>
        <v>3</v>
      </c>
      <c r="K38" s="36">
        <f>$P$20</f>
        <v>5</v>
      </c>
      <c r="L38" s="36">
        <f>$Q$20</f>
        <v>50</v>
      </c>
      <c r="O38">
        <f>_xlfn.XLOOKUP($H38,$J$27:$L$27,$J38:$L38)</f>
        <v>5</v>
      </c>
      <c r="P38" s="10" t="s">
        <v>31</v>
      </c>
      <c r="Q38" s="86">
        <f>I38*O38</f>
        <v>5</v>
      </c>
      <c r="R38" s="19">
        <f t="shared" ref="R38:R44" si="29">$Q38*$C38*(1-$F38)</f>
        <v>9457</v>
      </c>
      <c r="S38" s="19"/>
      <c r="T38" s="19"/>
      <c r="U38" s="19"/>
      <c r="V38" s="19"/>
      <c r="W38" s="19">
        <f t="shared" ref="W38:AA44" si="30">IF(W$18&lt;$E38,0,$Q38*$D38)*(1-$F38)</f>
        <v>0</v>
      </c>
      <c r="X38" s="19">
        <f t="shared" si="30"/>
        <v>0</v>
      </c>
      <c r="Y38" s="19">
        <f t="shared" si="30"/>
        <v>1891.3999999999999</v>
      </c>
      <c r="Z38" s="19">
        <f t="shared" si="30"/>
        <v>1891.3999999999999</v>
      </c>
      <c r="AA38" s="19">
        <f t="shared" si="30"/>
        <v>1891.3999999999999</v>
      </c>
      <c r="AB38" s="20">
        <f>SUM(R38:AA38)</f>
        <v>15131.199999999999</v>
      </c>
    </row>
    <row r="39" spans="1:29" outlineLevel="2" x14ac:dyDescent="0.3">
      <c r="A39" s="24" t="str">
        <f t="shared" si="27"/>
        <v>VM - Oracle Virtual Box Perpetual License</v>
      </c>
      <c r="B39" s="24"/>
      <c r="C39" s="27">
        <f t="shared" ref="C39:F44" si="31">C29</f>
        <v>1065</v>
      </c>
      <c r="D39" s="27">
        <f t="shared" si="31"/>
        <v>213</v>
      </c>
      <c r="E39" s="28">
        <f t="shared" si="31"/>
        <v>2</v>
      </c>
      <c r="F39" s="29">
        <f t="shared" si="31"/>
        <v>0.3</v>
      </c>
      <c r="G39" s="87" t="str">
        <f t="shared" ref="G39:I44" si="32">G29</f>
        <v>socket</v>
      </c>
      <c r="H39" s="87" t="str">
        <f t="shared" si="32"/>
        <v>socket</v>
      </c>
      <c r="I39" s="85">
        <f t="shared" si="32"/>
        <v>1</v>
      </c>
      <c r="J39" s="1">
        <f>J38</f>
        <v>3</v>
      </c>
      <c r="K39" s="1">
        <f t="shared" ref="K39:K44" si="33">K38</f>
        <v>5</v>
      </c>
      <c r="L39" s="1">
        <f t="shared" ref="L39:L44" si="34">L38</f>
        <v>50</v>
      </c>
      <c r="O39">
        <f t="shared" ref="O39:O44" si="35">_xlfn.XLOOKUP($H39,$J$27:$L$27,$J39:$L39)</f>
        <v>5</v>
      </c>
      <c r="P39" s="10" t="s">
        <v>31</v>
      </c>
      <c r="Q39" s="86">
        <f t="shared" ref="Q39:Q44" si="36">I39*O39</f>
        <v>5</v>
      </c>
      <c r="R39" s="19">
        <f t="shared" si="29"/>
        <v>3727.4999999999995</v>
      </c>
      <c r="S39" s="19"/>
      <c r="T39" s="19"/>
      <c r="U39" s="19"/>
      <c r="V39" s="19"/>
      <c r="W39" s="19">
        <f t="shared" si="30"/>
        <v>0</v>
      </c>
      <c r="X39" s="19">
        <f t="shared" si="30"/>
        <v>745.5</v>
      </c>
      <c r="Y39" s="19">
        <f t="shared" si="30"/>
        <v>745.5</v>
      </c>
      <c r="Z39" s="19">
        <f t="shared" si="30"/>
        <v>745.5</v>
      </c>
      <c r="AA39" s="19">
        <f t="shared" si="30"/>
        <v>745.5</v>
      </c>
      <c r="AB39" s="20">
        <f t="shared" ref="AB39:AB40" si="37">SUM(R39:AA39)</f>
        <v>6709.5</v>
      </c>
    </row>
    <row r="40" spans="1:29" outlineLevel="2" x14ac:dyDescent="0.3">
      <c r="A40" s="24" t="str">
        <f t="shared" si="27"/>
        <v>Application Server - Oracle WebLogic Server Enterprise Edition</v>
      </c>
      <c r="B40" s="24"/>
      <c r="C40" s="27">
        <f t="shared" si="31"/>
        <v>29830</v>
      </c>
      <c r="D40" s="27">
        <f t="shared" si="31"/>
        <v>5966</v>
      </c>
      <c r="E40" s="28">
        <f t="shared" si="31"/>
        <v>2</v>
      </c>
      <c r="F40" s="29">
        <f t="shared" si="31"/>
        <v>0.3</v>
      </c>
      <c r="G40" s="87" t="str">
        <f t="shared" si="32"/>
        <v>socket</v>
      </c>
      <c r="H40" s="87" t="str">
        <f t="shared" si="32"/>
        <v>socket</v>
      </c>
      <c r="I40" s="85">
        <f t="shared" si="32"/>
        <v>1</v>
      </c>
      <c r="J40" s="1">
        <f t="shared" ref="J40:J44" si="38">J39</f>
        <v>3</v>
      </c>
      <c r="K40" s="1">
        <f t="shared" si="33"/>
        <v>5</v>
      </c>
      <c r="L40" s="1">
        <f t="shared" si="34"/>
        <v>50</v>
      </c>
      <c r="O40">
        <f t="shared" si="35"/>
        <v>5</v>
      </c>
      <c r="P40" s="10" t="s">
        <v>95</v>
      </c>
      <c r="Q40" s="86">
        <f t="shared" si="36"/>
        <v>5</v>
      </c>
      <c r="R40" s="19">
        <f t="shared" si="29"/>
        <v>104405</v>
      </c>
      <c r="S40" s="19"/>
      <c r="T40" s="19"/>
      <c r="U40" s="19"/>
      <c r="V40" s="19"/>
      <c r="W40" s="19">
        <f t="shared" si="30"/>
        <v>0</v>
      </c>
      <c r="X40" s="19">
        <f t="shared" si="30"/>
        <v>20881</v>
      </c>
      <c r="Y40" s="19">
        <f t="shared" si="30"/>
        <v>20881</v>
      </c>
      <c r="Z40" s="19">
        <f t="shared" si="30"/>
        <v>20881</v>
      </c>
      <c r="AA40" s="19">
        <f t="shared" si="30"/>
        <v>20881</v>
      </c>
      <c r="AB40" s="20">
        <f t="shared" si="37"/>
        <v>187929</v>
      </c>
    </row>
    <row r="41" spans="1:29" outlineLevel="2" x14ac:dyDescent="0.3">
      <c r="A41" s="24" t="str">
        <f t="shared" si="27"/>
        <v>DB - Oracle DB Enterprise Edition</v>
      </c>
      <c r="B41" s="24"/>
      <c r="C41" s="27">
        <f t="shared" si="31"/>
        <v>40489</v>
      </c>
      <c r="D41" s="27">
        <f t="shared" si="31"/>
        <v>8097.8</v>
      </c>
      <c r="E41" s="28">
        <f t="shared" si="31"/>
        <v>2</v>
      </c>
      <c r="F41" s="29">
        <f t="shared" si="31"/>
        <v>0.3</v>
      </c>
      <c r="G41" s="87" t="str">
        <f t="shared" si="32"/>
        <v>socket</v>
      </c>
      <c r="H41" s="87" t="str">
        <f t="shared" si="32"/>
        <v>socket</v>
      </c>
      <c r="I41" s="85">
        <f t="shared" si="32"/>
        <v>1</v>
      </c>
      <c r="J41" s="1">
        <f t="shared" si="38"/>
        <v>3</v>
      </c>
      <c r="K41" s="1">
        <f t="shared" si="33"/>
        <v>5</v>
      </c>
      <c r="L41" s="1">
        <f t="shared" si="34"/>
        <v>50</v>
      </c>
      <c r="O41">
        <f t="shared" si="35"/>
        <v>5</v>
      </c>
      <c r="P41" s="10" t="s">
        <v>32</v>
      </c>
      <c r="Q41" s="86">
        <f t="shared" si="36"/>
        <v>5</v>
      </c>
      <c r="R41" s="19">
        <f t="shared" si="29"/>
        <v>141711.5</v>
      </c>
      <c r="S41" s="19"/>
      <c r="T41" s="19"/>
      <c r="U41" s="19"/>
      <c r="V41" s="19"/>
      <c r="W41" s="19">
        <f t="shared" si="30"/>
        <v>0</v>
      </c>
      <c r="X41" s="19">
        <f t="shared" si="30"/>
        <v>28342.3</v>
      </c>
      <c r="Y41" s="19">
        <f t="shared" si="30"/>
        <v>28342.3</v>
      </c>
      <c r="Z41" s="19">
        <f t="shared" si="30"/>
        <v>28342.3</v>
      </c>
      <c r="AA41" s="19">
        <f t="shared" si="30"/>
        <v>28342.3</v>
      </c>
      <c r="AB41" s="20">
        <f>SUM(R41:AA41)</f>
        <v>255080.69999999995</v>
      </c>
    </row>
    <row r="42" spans="1:29" outlineLevel="2" x14ac:dyDescent="0.3">
      <c r="A42" s="24" t="str">
        <f t="shared" si="27"/>
        <v>Data Replication Tools - GoldenGate For Teradata replication Services</v>
      </c>
      <c r="B42" s="24"/>
      <c r="C42" s="27">
        <f t="shared" si="31"/>
        <v>14915</v>
      </c>
      <c r="D42" s="27">
        <f t="shared" si="31"/>
        <v>3281</v>
      </c>
      <c r="E42" s="28">
        <f t="shared" si="31"/>
        <v>1</v>
      </c>
      <c r="F42" s="29">
        <f t="shared" si="31"/>
        <v>0.3</v>
      </c>
      <c r="G42" s="87" t="str">
        <f t="shared" si="32"/>
        <v>socket</v>
      </c>
      <c r="H42" s="87" t="str">
        <f t="shared" si="32"/>
        <v>socket</v>
      </c>
      <c r="I42" s="85">
        <f t="shared" si="32"/>
        <v>1</v>
      </c>
      <c r="J42" s="1">
        <f t="shared" si="38"/>
        <v>3</v>
      </c>
      <c r="K42" s="1">
        <f t="shared" si="33"/>
        <v>5</v>
      </c>
      <c r="L42" s="1">
        <f t="shared" si="34"/>
        <v>50</v>
      </c>
      <c r="O42">
        <f t="shared" si="35"/>
        <v>5</v>
      </c>
      <c r="P42" s="10" t="s">
        <v>32</v>
      </c>
      <c r="Q42" s="86">
        <f t="shared" si="36"/>
        <v>5</v>
      </c>
      <c r="R42" s="19">
        <f t="shared" si="29"/>
        <v>52202.5</v>
      </c>
      <c r="S42" s="19"/>
      <c r="T42" s="19"/>
      <c r="U42" s="19"/>
      <c r="V42" s="19"/>
      <c r="W42" s="19">
        <f t="shared" si="30"/>
        <v>11483.5</v>
      </c>
      <c r="X42" s="19">
        <f t="shared" si="30"/>
        <v>11483.5</v>
      </c>
      <c r="Y42" s="19">
        <f t="shared" si="30"/>
        <v>11483.5</v>
      </c>
      <c r="Z42" s="19">
        <f t="shared" si="30"/>
        <v>11483.5</v>
      </c>
      <c r="AA42" s="19">
        <f t="shared" si="30"/>
        <v>11483.5</v>
      </c>
      <c r="AB42" s="20">
        <f>SUM(R42:AA42)</f>
        <v>109620</v>
      </c>
    </row>
    <row r="43" spans="1:29"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3</v>
      </c>
      <c r="K43" s="1">
        <f t="shared" si="33"/>
        <v>5</v>
      </c>
      <c r="L43" s="1">
        <f t="shared" si="34"/>
        <v>50</v>
      </c>
      <c r="O43">
        <f t="shared" si="35"/>
        <v>3</v>
      </c>
      <c r="P43" s="10" t="s">
        <v>33</v>
      </c>
      <c r="Q43" s="86">
        <f t="shared" si="36"/>
        <v>3</v>
      </c>
      <c r="R43" s="19">
        <f t="shared" si="29"/>
        <v>9000</v>
      </c>
      <c r="S43" s="19"/>
      <c r="T43" s="19"/>
      <c r="U43" s="19"/>
      <c r="V43" s="19"/>
      <c r="W43" s="19">
        <f t="shared" si="30"/>
        <v>0</v>
      </c>
      <c r="X43" s="19">
        <f t="shared" si="30"/>
        <v>1800</v>
      </c>
      <c r="Y43" s="19">
        <f t="shared" si="30"/>
        <v>1800</v>
      </c>
      <c r="Z43" s="19">
        <f t="shared" si="30"/>
        <v>1800</v>
      </c>
      <c r="AA43" s="19">
        <f t="shared" si="30"/>
        <v>1800</v>
      </c>
      <c r="AB43" s="20">
        <f t="shared" ref="AB43:AB44" si="39">SUM(R43:AA43)</f>
        <v>16200</v>
      </c>
    </row>
    <row r="44" spans="1:29"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3</v>
      </c>
      <c r="K44" s="1">
        <f t="shared" si="33"/>
        <v>5</v>
      </c>
      <c r="L44" s="1">
        <f t="shared" si="34"/>
        <v>50</v>
      </c>
      <c r="O44">
        <f t="shared" si="35"/>
        <v>3</v>
      </c>
      <c r="P44" s="10" t="s">
        <v>33</v>
      </c>
      <c r="Q44" s="86">
        <f t="shared" si="36"/>
        <v>3</v>
      </c>
      <c r="R44" s="19">
        <f t="shared" si="29"/>
        <v>9000</v>
      </c>
      <c r="S44" s="19"/>
      <c r="T44" s="19"/>
      <c r="U44" s="19"/>
      <c r="V44" s="19"/>
      <c r="W44" s="19">
        <f t="shared" si="30"/>
        <v>0</v>
      </c>
      <c r="X44" s="19">
        <f t="shared" si="30"/>
        <v>1800</v>
      </c>
      <c r="Y44" s="19">
        <f t="shared" si="30"/>
        <v>1800</v>
      </c>
      <c r="Z44" s="19">
        <f t="shared" si="30"/>
        <v>1800</v>
      </c>
      <c r="AA44" s="19">
        <f t="shared" si="30"/>
        <v>1800</v>
      </c>
      <c r="AB44" s="20">
        <f t="shared" si="39"/>
        <v>16200</v>
      </c>
    </row>
    <row r="45" spans="1:29" s="39" customFormat="1" outlineLevel="1" x14ac:dyDescent="0.3">
      <c r="Q45" s="64" t="s">
        <v>98</v>
      </c>
      <c r="R45" s="61">
        <f>SUM(R38:R44)</f>
        <v>329503.5</v>
      </c>
      <c r="S45" s="61">
        <f t="shared" ref="S45" si="40">SUM(S38:S44)</f>
        <v>0</v>
      </c>
      <c r="T45" s="61">
        <f t="shared" ref="T45" si="41">SUM(T38:T44)</f>
        <v>0</v>
      </c>
      <c r="U45" s="61">
        <f t="shared" ref="U45" si="42">SUM(U38:U44)</f>
        <v>0</v>
      </c>
      <c r="V45" s="61">
        <f t="shared" ref="V45" si="43">SUM(V38:V44)</f>
        <v>0</v>
      </c>
      <c r="W45" s="61">
        <f t="shared" ref="W45" si="44">SUM(W38:W44)</f>
        <v>11483.5</v>
      </c>
      <c r="X45" s="61">
        <f t="shared" ref="X45" si="45">SUM(X38:X44)</f>
        <v>65052.3</v>
      </c>
      <c r="Y45" s="61">
        <f t="shared" ref="Y45" si="46">SUM(Y38:Y44)</f>
        <v>66943.7</v>
      </c>
      <c r="Z45" s="61">
        <f t="shared" ref="Z45" si="47">SUM(Z38:Z44)</f>
        <v>66943.7</v>
      </c>
      <c r="AA45" s="61">
        <f t="shared" ref="AA45" si="48">SUM(AA38:AA44)</f>
        <v>66943.7</v>
      </c>
      <c r="AB45" s="62">
        <f t="shared" ref="AB45" si="49">SUM(AB38:AB44)</f>
        <v>606870.39999999991</v>
      </c>
    </row>
    <row r="46" spans="1:29" ht="15" outlineLevel="1" thickBot="1" x14ac:dyDescent="0.35"/>
    <row r="47" spans="1:29" ht="37.5" customHeight="1" outlineLevel="1" thickBot="1" x14ac:dyDescent="0.35">
      <c r="A47" s="48" t="s">
        <v>8</v>
      </c>
      <c r="C47" s="11" t="s">
        <v>63</v>
      </c>
      <c r="D47" s="11" t="s">
        <v>21</v>
      </c>
      <c r="E47" s="11" t="str">
        <f>E37</f>
        <v>Starting Year of yearly charges</v>
      </c>
      <c r="F47" s="11" t="s">
        <v>22</v>
      </c>
      <c r="G47" s="11" t="s">
        <v>64</v>
      </c>
      <c r="H47" s="11" t="s">
        <v>93</v>
      </c>
      <c r="I47" s="83" t="s">
        <v>94</v>
      </c>
      <c r="J47" s="83" t="s">
        <v>33</v>
      </c>
      <c r="K47" s="83" t="s">
        <v>31</v>
      </c>
      <c r="L47" s="83" t="s">
        <v>32</v>
      </c>
      <c r="O47" s="5" t="s">
        <v>96</v>
      </c>
      <c r="P47" s="11" t="s">
        <v>64</v>
      </c>
      <c r="Q47" s="10" t="s">
        <v>65</v>
      </c>
      <c r="R47" s="53">
        <v>1</v>
      </c>
      <c r="S47" s="54">
        <v>2</v>
      </c>
      <c r="T47" s="54">
        <v>3</v>
      </c>
      <c r="U47" s="54">
        <v>4</v>
      </c>
      <c r="V47" s="55">
        <v>5</v>
      </c>
      <c r="W47" s="53">
        <v>1</v>
      </c>
      <c r="X47" s="54">
        <v>2</v>
      </c>
      <c r="Y47" s="54">
        <v>3</v>
      </c>
      <c r="Z47" s="54">
        <v>4</v>
      </c>
      <c r="AA47" s="55">
        <v>5</v>
      </c>
      <c r="AB47" s="57" t="s">
        <v>19</v>
      </c>
      <c r="AC47" s="10"/>
    </row>
    <row r="48" spans="1:29" outlineLevel="2" x14ac:dyDescent="0.3">
      <c r="A48" s="24" t="str">
        <f t="shared" ref="A48:A54" si="50">A28</f>
        <v>OS - SUSE Linux Enterprise Server 15 for x86 &amp; x86-64 (Unlimited VM) - 3 Year std subscription</v>
      </c>
      <c r="B48" s="24"/>
      <c r="C48" s="27">
        <f>C28</f>
        <v>2702</v>
      </c>
      <c r="D48" s="27">
        <f>D28</f>
        <v>540.4</v>
      </c>
      <c r="E48" s="28">
        <f t="shared" ref="C48:F54" si="51">E28</f>
        <v>3</v>
      </c>
      <c r="F48" s="29">
        <f t="shared" si="51"/>
        <v>0.3</v>
      </c>
      <c r="G48" s="87" t="str">
        <f>G38</f>
        <v>socket</v>
      </c>
      <c r="H48" s="87" t="str">
        <f>H38</f>
        <v>socket</v>
      </c>
      <c r="I48" s="87">
        <f>I38</f>
        <v>1</v>
      </c>
      <c r="J48" s="36">
        <f>$O$21</f>
        <v>3</v>
      </c>
      <c r="K48" s="36">
        <f>$P$21</f>
        <v>5</v>
      </c>
      <c r="L48" s="36">
        <f>$Q$21</f>
        <v>50</v>
      </c>
      <c r="O48">
        <f>_xlfn.XLOOKUP($H48,$J$27:$L$27,$J48:$L48)</f>
        <v>5</v>
      </c>
      <c r="P48" s="10" t="s">
        <v>31</v>
      </c>
      <c r="Q48" s="86">
        <f>I48*O48</f>
        <v>5</v>
      </c>
      <c r="R48" s="19">
        <f t="shared" ref="R48:R54" si="52">$Q48*$C48*(1-$F48)</f>
        <v>9457</v>
      </c>
      <c r="S48" s="19"/>
      <c r="T48" s="19"/>
      <c r="U48" s="19"/>
      <c r="V48" s="19"/>
      <c r="W48" s="19">
        <f t="shared" ref="W48:AA54" si="53">IF(W$18&lt;$E48,0,$Q48*$D48)*(1-$F48)</f>
        <v>0</v>
      </c>
      <c r="X48" s="19">
        <f t="shared" si="53"/>
        <v>0</v>
      </c>
      <c r="Y48" s="19">
        <f t="shared" si="53"/>
        <v>1891.3999999999999</v>
      </c>
      <c r="Z48" s="19">
        <f t="shared" si="53"/>
        <v>1891.3999999999999</v>
      </c>
      <c r="AA48" s="19">
        <f t="shared" si="53"/>
        <v>1891.3999999999999</v>
      </c>
      <c r="AB48" s="20">
        <f>SUM(R48:AA48)</f>
        <v>15131.199999999999</v>
      </c>
    </row>
    <row r="49" spans="1:29" outlineLevel="2" x14ac:dyDescent="0.3">
      <c r="A49" s="24" t="str">
        <f t="shared" si="50"/>
        <v>VM - Oracle Virtual Box Perpetual License</v>
      </c>
      <c r="B49" s="24"/>
      <c r="C49" s="27">
        <f t="shared" si="51"/>
        <v>1065</v>
      </c>
      <c r="D49" s="27">
        <f t="shared" si="51"/>
        <v>213</v>
      </c>
      <c r="E49" s="28">
        <f t="shared" si="51"/>
        <v>2</v>
      </c>
      <c r="F49" s="29">
        <f t="shared" si="51"/>
        <v>0.3</v>
      </c>
      <c r="G49" s="87" t="str">
        <f t="shared" ref="G49:I49" si="54">G39</f>
        <v>socket</v>
      </c>
      <c r="H49" s="87" t="str">
        <f t="shared" si="54"/>
        <v>socket</v>
      </c>
      <c r="I49" s="87">
        <f t="shared" si="54"/>
        <v>1</v>
      </c>
      <c r="J49" s="1">
        <f>J48</f>
        <v>3</v>
      </c>
      <c r="K49" s="1">
        <f t="shared" ref="K49:K54" si="55">K48</f>
        <v>5</v>
      </c>
      <c r="L49" s="1">
        <f t="shared" ref="L49:L54" si="56">L48</f>
        <v>50</v>
      </c>
      <c r="O49">
        <f t="shared" ref="O49:O54" si="57">_xlfn.XLOOKUP($H49,$J$27:$L$27,$J49:$L49)</f>
        <v>5</v>
      </c>
      <c r="P49" s="10" t="s">
        <v>31</v>
      </c>
      <c r="Q49" s="86">
        <f t="shared" ref="Q49:Q54" si="58">I49*O49</f>
        <v>5</v>
      </c>
      <c r="R49" s="19">
        <f t="shared" si="52"/>
        <v>3727.4999999999995</v>
      </c>
      <c r="S49" s="19"/>
      <c r="T49" s="19"/>
      <c r="U49" s="19"/>
      <c r="V49" s="19"/>
      <c r="W49" s="19">
        <f t="shared" si="53"/>
        <v>0</v>
      </c>
      <c r="X49" s="19">
        <f t="shared" si="53"/>
        <v>745.5</v>
      </c>
      <c r="Y49" s="19">
        <f t="shared" si="53"/>
        <v>745.5</v>
      </c>
      <c r="Z49" s="19">
        <f t="shared" si="53"/>
        <v>745.5</v>
      </c>
      <c r="AA49" s="19">
        <f t="shared" si="53"/>
        <v>745.5</v>
      </c>
      <c r="AB49" s="20">
        <f t="shared" ref="AB49:AB50" si="59">SUM(R49:AA49)</f>
        <v>6709.5</v>
      </c>
    </row>
    <row r="50" spans="1:29" outlineLevel="2" x14ac:dyDescent="0.3">
      <c r="A50" s="24" t="str">
        <f t="shared" si="50"/>
        <v>Application Server - Oracle WebLogic Server Enterprise Edition</v>
      </c>
      <c r="B50" s="24"/>
      <c r="C50" s="27">
        <f t="shared" si="51"/>
        <v>29830</v>
      </c>
      <c r="D50" s="27">
        <f t="shared" si="51"/>
        <v>5966</v>
      </c>
      <c r="E50" s="28">
        <f t="shared" si="51"/>
        <v>2</v>
      </c>
      <c r="F50" s="29">
        <f t="shared" si="51"/>
        <v>0.3</v>
      </c>
      <c r="G50" s="87" t="str">
        <f t="shared" ref="G50:I50" si="60">G40</f>
        <v>socket</v>
      </c>
      <c r="H50" s="87" t="str">
        <f t="shared" si="60"/>
        <v>socket</v>
      </c>
      <c r="I50" s="87">
        <f t="shared" si="60"/>
        <v>1</v>
      </c>
      <c r="J50" s="1">
        <f t="shared" ref="J50:J54" si="61">J49</f>
        <v>3</v>
      </c>
      <c r="K50" s="1">
        <f t="shared" si="55"/>
        <v>5</v>
      </c>
      <c r="L50" s="1">
        <f t="shared" si="56"/>
        <v>50</v>
      </c>
      <c r="O50">
        <f t="shared" si="57"/>
        <v>5</v>
      </c>
      <c r="P50" s="10" t="s">
        <v>95</v>
      </c>
      <c r="Q50" s="86">
        <f t="shared" si="58"/>
        <v>5</v>
      </c>
      <c r="R50" s="19">
        <f t="shared" si="52"/>
        <v>104405</v>
      </c>
      <c r="S50" s="19"/>
      <c r="T50" s="19"/>
      <c r="U50" s="19"/>
      <c r="V50" s="19"/>
      <c r="W50" s="19">
        <f t="shared" si="53"/>
        <v>0</v>
      </c>
      <c r="X50" s="19">
        <f t="shared" si="53"/>
        <v>20881</v>
      </c>
      <c r="Y50" s="19">
        <f t="shared" si="53"/>
        <v>20881</v>
      </c>
      <c r="Z50" s="19">
        <f t="shared" si="53"/>
        <v>20881</v>
      </c>
      <c r="AA50" s="19">
        <f t="shared" si="53"/>
        <v>20881</v>
      </c>
      <c r="AB50" s="20">
        <f t="shared" si="59"/>
        <v>187929</v>
      </c>
    </row>
    <row r="51" spans="1:29" outlineLevel="2" x14ac:dyDescent="0.3">
      <c r="A51" s="24" t="str">
        <f t="shared" si="50"/>
        <v>DB - Oracle DB Enterprise Edition</v>
      </c>
      <c r="B51" s="24"/>
      <c r="C51" s="27">
        <f t="shared" si="51"/>
        <v>40489</v>
      </c>
      <c r="D51" s="27">
        <f t="shared" si="51"/>
        <v>8097.8</v>
      </c>
      <c r="E51" s="28">
        <f t="shared" si="51"/>
        <v>2</v>
      </c>
      <c r="F51" s="29">
        <f t="shared" si="51"/>
        <v>0.3</v>
      </c>
      <c r="G51" s="87" t="str">
        <f t="shared" ref="G51:I51" si="62">G41</f>
        <v>socket</v>
      </c>
      <c r="H51" s="87" t="str">
        <f t="shared" si="62"/>
        <v>socket</v>
      </c>
      <c r="I51" s="87">
        <f t="shared" si="62"/>
        <v>1</v>
      </c>
      <c r="J51" s="1">
        <f t="shared" si="61"/>
        <v>3</v>
      </c>
      <c r="K51" s="1">
        <f t="shared" si="55"/>
        <v>5</v>
      </c>
      <c r="L51" s="1">
        <f t="shared" si="56"/>
        <v>50</v>
      </c>
      <c r="O51">
        <f t="shared" si="57"/>
        <v>5</v>
      </c>
      <c r="P51" s="10" t="s">
        <v>32</v>
      </c>
      <c r="Q51" s="86">
        <f t="shared" si="58"/>
        <v>5</v>
      </c>
      <c r="R51" s="19">
        <f t="shared" si="52"/>
        <v>141711.5</v>
      </c>
      <c r="S51" s="19"/>
      <c r="T51" s="19"/>
      <c r="U51" s="19"/>
      <c r="V51" s="19"/>
      <c r="W51" s="19">
        <f t="shared" si="53"/>
        <v>0</v>
      </c>
      <c r="X51" s="19">
        <f t="shared" si="53"/>
        <v>28342.3</v>
      </c>
      <c r="Y51" s="19">
        <f t="shared" si="53"/>
        <v>28342.3</v>
      </c>
      <c r="Z51" s="19">
        <f t="shared" si="53"/>
        <v>28342.3</v>
      </c>
      <c r="AA51" s="19">
        <f t="shared" si="53"/>
        <v>28342.3</v>
      </c>
      <c r="AB51" s="20">
        <f>SUM(R51:AA51)</f>
        <v>255080.69999999995</v>
      </c>
    </row>
    <row r="52" spans="1:29" outlineLevel="2" x14ac:dyDescent="0.3">
      <c r="A52" s="24" t="str">
        <f t="shared" si="50"/>
        <v>Data Replication Tools - GoldenGate For Teradata replication Services</v>
      </c>
      <c r="B52" s="24"/>
      <c r="C52" s="27">
        <f t="shared" si="51"/>
        <v>14915</v>
      </c>
      <c r="D52" s="27">
        <f t="shared" si="51"/>
        <v>3281</v>
      </c>
      <c r="E52" s="28">
        <f t="shared" si="51"/>
        <v>1</v>
      </c>
      <c r="F52" s="29">
        <f t="shared" si="51"/>
        <v>0.3</v>
      </c>
      <c r="G52" s="87" t="str">
        <f t="shared" ref="G52:I52" si="63">G42</f>
        <v>socket</v>
      </c>
      <c r="H52" s="87" t="str">
        <f t="shared" si="63"/>
        <v>socket</v>
      </c>
      <c r="I52" s="87">
        <f t="shared" si="63"/>
        <v>1</v>
      </c>
      <c r="J52" s="1">
        <f t="shared" si="61"/>
        <v>3</v>
      </c>
      <c r="K52" s="1">
        <f t="shared" si="55"/>
        <v>5</v>
      </c>
      <c r="L52" s="1">
        <f t="shared" si="56"/>
        <v>50</v>
      </c>
      <c r="O52">
        <f t="shared" si="57"/>
        <v>5</v>
      </c>
      <c r="P52" s="10" t="s">
        <v>32</v>
      </c>
      <c r="Q52" s="86">
        <f t="shared" si="58"/>
        <v>5</v>
      </c>
      <c r="R52" s="19">
        <f t="shared" si="52"/>
        <v>52202.5</v>
      </c>
      <c r="S52" s="19"/>
      <c r="T52" s="19"/>
      <c r="U52" s="19"/>
      <c r="V52" s="19"/>
      <c r="W52" s="19">
        <f t="shared" si="53"/>
        <v>11483.5</v>
      </c>
      <c r="X52" s="19">
        <f t="shared" si="53"/>
        <v>11483.5</v>
      </c>
      <c r="Y52" s="19">
        <f t="shared" si="53"/>
        <v>11483.5</v>
      </c>
      <c r="Z52" s="19">
        <f t="shared" si="53"/>
        <v>11483.5</v>
      </c>
      <c r="AA52" s="19">
        <f t="shared" si="53"/>
        <v>11483.5</v>
      </c>
      <c r="AB52" s="20">
        <f>SUM(R52:AA52)</f>
        <v>109620</v>
      </c>
    </row>
    <row r="53" spans="1:29"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3</v>
      </c>
      <c r="K53" s="1">
        <f t="shared" si="55"/>
        <v>5</v>
      </c>
      <c r="L53" s="1">
        <f t="shared" si="56"/>
        <v>50</v>
      </c>
      <c r="O53">
        <f t="shared" si="57"/>
        <v>3</v>
      </c>
      <c r="P53" s="10" t="s">
        <v>33</v>
      </c>
      <c r="Q53" s="86">
        <f t="shared" si="58"/>
        <v>3</v>
      </c>
      <c r="R53" s="19">
        <f t="shared" si="52"/>
        <v>9000</v>
      </c>
      <c r="S53" s="19"/>
      <c r="T53" s="19"/>
      <c r="U53" s="19"/>
      <c r="V53" s="19"/>
      <c r="W53" s="19">
        <f t="shared" si="53"/>
        <v>0</v>
      </c>
      <c r="X53" s="19">
        <f t="shared" si="53"/>
        <v>1800</v>
      </c>
      <c r="Y53" s="19">
        <f t="shared" si="53"/>
        <v>1800</v>
      </c>
      <c r="Z53" s="19">
        <f t="shared" si="53"/>
        <v>1800</v>
      </c>
      <c r="AA53" s="19">
        <f t="shared" si="53"/>
        <v>1800</v>
      </c>
      <c r="AB53" s="20">
        <f t="shared" ref="AB53:AB54" si="65">SUM(R53:AA53)</f>
        <v>16200</v>
      </c>
    </row>
    <row r="54" spans="1:29"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3</v>
      </c>
      <c r="K54" s="1">
        <f t="shared" si="55"/>
        <v>5</v>
      </c>
      <c r="L54" s="1">
        <f t="shared" si="56"/>
        <v>50</v>
      </c>
      <c r="O54">
        <f t="shared" si="57"/>
        <v>3</v>
      </c>
      <c r="P54" s="10" t="s">
        <v>33</v>
      </c>
      <c r="Q54" s="86">
        <f t="shared" si="58"/>
        <v>3</v>
      </c>
      <c r="R54" s="19">
        <f t="shared" si="52"/>
        <v>9000</v>
      </c>
      <c r="S54" s="19"/>
      <c r="T54" s="19"/>
      <c r="U54" s="19"/>
      <c r="V54" s="19"/>
      <c r="W54" s="19">
        <f t="shared" si="53"/>
        <v>0</v>
      </c>
      <c r="X54" s="19">
        <f t="shared" si="53"/>
        <v>1800</v>
      </c>
      <c r="Y54" s="19">
        <f t="shared" si="53"/>
        <v>1800</v>
      </c>
      <c r="Z54" s="19">
        <f t="shared" si="53"/>
        <v>1800</v>
      </c>
      <c r="AA54" s="19">
        <f t="shared" si="53"/>
        <v>1800</v>
      </c>
      <c r="AB54" s="20">
        <f t="shared" si="65"/>
        <v>16200</v>
      </c>
    </row>
    <row r="55" spans="1:29" s="39" customFormat="1" outlineLevel="1" x14ac:dyDescent="0.3">
      <c r="Q55" s="64" t="s">
        <v>8</v>
      </c>
      <c r="R55" s="61">
        <f>SUM(R48:R54)</f>
        <v>329503.5</v>
      </c>
      <c r="S55" s="61">
        <f t="shared" ref="S55" si="67">SUM(S48:S54)</f>
        <v>0</v>
      </c>
      <c r="T55" s="61">
        <f t="shared" ref="T55" si="68">SUM(T48:T54)</f>
        <v>0</v>
      </c>
      <c r="U55" s="61">
        <f t="shared" ref="U55" si="69">SUM(U48:U54)</f>
        <v>0</v>
      </c>
      <c r="V55" s="61">
        <f t="shared" ref="V55" si="70">SUM(V48:V54)</f>
        <v>0</v>
      </c>
      <c r="W55" s="61">
        <f t="shared" ref="W55" si="71">SUM(W48:W54)</f>
        <v>11483.5</v>
      </c>
      <c r="X55" s="61">
        <f t="shared" ref="X55" si="72">SUM(X48:X54)</f>
        <v>65052.3</v>
      </c>
      <c r="Y55" s="61">
        <f t="shared" ref="Y55" si="73">SUM(Y48:Y54)</f>
        <v>66943.7</v>
      </c>
      <c r="Z55" s="61">
        <f t="shared" ref="Z55" si="74">SUM(Z48:Z54)</f>
        <v>66943.7</v>
      </c>
      <c r="AA55" s="61">
        <f t="shared" ref="AA55" si="75">SUM(AA48:AA54)</f>
        <v>66943.7</v>
      </c>
      <c r="AB55" s="62">
        <f t="shared" ref="AB55" si="76">SUM(AB48:AB54)</f>
        <v>606870.39999999991</v>
      </c>
    </row>
    <row r="56" spans="1:29" ht="15" outlineLevel="1" thickBot="1" x14ac:dyDescent="0.35"/>
    <row r="57" spans="1:29" ht="38.25" customHeight="1" outlineLevel="1" thickBot="1" x14ac:dyDescent="0.35">
      <c r="A57" s="48" t="s">
        <v>70</v>
      </c>
      <c r="C57" s="11" t="s">
        <v>63</v>
      </c>
      <c r="D57" s="11" t="s">
        <v>21</v>
      </c>
      <c r="E57" s="11" t="str">
        <f>E47</f>
        <v>Starting Year of yearly charges</v>
      </c>
      <c r="F57" s="11" t="s">
        <v>22</v>
      </c>
      <c r="G57" s="11" t="s">
        <v>64</v>
      </c>
      <c r="H57" s="11" t="s">
        <v>93</v>
      </c>
      <c r="I57" s="83" t="s">
        <v>94</v>
      </c>
      <c r="J57" s="83" t="s">
        <v>33</v>
      </c>
      <c r="K57" s="83" t="s">
        <v>31</v>
      </c>
      <c r="L57" s="83" t="s">
        <v>32</v>
      </c>
      <c r="O57" s="5" t="s">
        <v>96</v>
      </c>
      <c r="P57" s="11" t="s">
        <v>64</v>
      </c>
      <c r="Q57" s="10" t="s">
        <v>65</v>
      </c>
      <c r="R57" s="53">
        <v>1</v>
      </c>
      <c r="S57" s="54">
        <v>2</v>
      </c>
      <c r="T57" s="54">
        <v>3</v>
      </c>
      <c r="U57" s="54">
        <v>4</v>
      </c>
      <c r="V57" s="55">
        <v>5</v>
      </c>
      <c r="W57" s="53">
        <v>1</v>
      </c>
      <c r="X57" s="54">
        <v>2</v>
      </c>
      <c r="Y57" s="54">
        <v>3</v>
      </c>
      <c r="Z57" s="54">
        <v>4</v>
      </c>
      <c r="AA57" s="55">
        <v>5</v>
      </c>
      <c r="AB57" s="57" t="s">
        <v>19</v>
      </c>
      <c r="AC57" s="10"/>
    </row>
    <row r="58" spans="1:29" outlineLevel="2" x14ac:dyDescent="0.3">
      <c r="A58" s="24" t="str">
        <f t="shared" ref="A58:A64" si="77">A28</f>
        <v>OS - SUSE Linux Enterprise Server 15 for x86 &amp; x86-64 (Unlimited VM) - 3 Year std subscription</v>
      </c>
      <c r="B58" s="24"/>
      <c r="C58" s="27">
        <f>C28</f>
        <v>2702</v>
      </c>
      <c r="D58" s="27">
        <f>D28</f>
        <v>540.4</v>
      </c>
      <c r="E58" s="28">
        <f t="shared" ref="C58:F64" si="78">E28</f>
        <v>3</v>
      </c>
      <c r="F58" s="29">
        <f t="shared" si="78"/>
        <v>0.3</v>
      </c>
      <c r="G58" s="87" t="str">
        <f>G48</f>
        <v>socket</v>
      </c>
      <c r="H58" s="87" t="str">
        <f>H48</f>
        <v>socket</v>
      </c>
      <c r="I58" s="87">
        <f>I48</f>
        <v>1</v>
      </c>
      <c r="J58" s="36">
        <f>$O$22</f>
        <v>5</v>
      </c>
      <c r="K58" s="36">
        <f>$P$22</f>
        <v>9</v>
      </c>
      <c r="L58" s="36">
        <f>$Q$22</f>
        <v>100</v>
      </c>
      <c r="O58">
        <f>_xlfn.XLOOKUP($H58,$J$27:$L$27,$J58:$L58)</f>
        <v>9</v>
      </c>
      <c r="P58" s="10" t="s">
        <v>31</v>
      </c>
      <c r="Q58" s="86">
        <f>I58*O58</f>
        <v>9</v>
      </c>
      <c r="R58" s="19">
        <f t="shared" ref="R58:R64" si="79">$Q58*$C58*(1-$F58)</f>
        <v>17022.599999999999</v>
      </c>
      <c r="S58" s="19"/>
      <c r="T58" s="19"/>
      <c r="U58" s="19"/>
      <c r="V58" s="19"/>
      <c r="W58" s="19">
        <f t="shared" ref="W58:AA64" si="80">IF(W$18&lt;$E58,0,$Q58*$D58)*(1-$F58)</f>
        <v>0</v>
      </c>
      <c r="X58" s="19">
        <f t="shared" si="80"/>
        <v>0</v>
      </c>
      <c r="Y58" s="19">
        <f t="shared" si="80"/>
        <v>3404.5199999999995</v>
      </c>
      <c r="Z58" s="19">
        <f t="shared" si="80"/>
        <v>3404.5199999999995</v>
      </c>
      <c r="AA58" s="19">
        <f t="shared" si="80"/>
        <v>3404.5199999999995</v>
      </c>
      <c r="AB58" s="20">
        <f>SUM(R58:AA58)</f>
        <v>27236.16</v>
      </c>
    </row>
    <row r="59" spans="1:29" outlineLevel="2" x14ac:dyDescent="0.3">
      <c r="A59" s="24" t="str">
        <f t="shared" si="77"/>
        <v>VM - Oracle Virtual Box Perpetual License</v>
      </c>
      <c r="B59" s="24"/>
      <c r="C59" s="27">
        <f t="shared" si="78"/>
        <v>1065</v>
      </c>
      <c r="D59" s="27">
        <f t="shared" si="78"/>
        <v>213</v>
      </c>
      <c r="E59" s="28">
        <f t="shared" si="78"/>
        <v>2</v>
      </c>
      <c r="F59" s="29">
        <f t="shared" si="78"/>
        <v>0.3</v>
      </c>
      <c r="G59" s="87" t="str">
        <f t="shared" ref="G59:I59" si="81">G49</f>
        <v>socket</v>
      </c>
      <c r="H59" s="87" t="str">
        <f t="shared" si="81"/>
        <v>socket</v>
      </c>
      <c r="I59" s="87">
        <f t="shared" si="81"/>
        <v>1</v>
      </c>
      <c r="J59" s="1">
        <f>J58</f>
        <v>5</v>
      </c>
      <c r="K59" s="1">
        <f t="shared" ref="K59:K64" si="82">K58</f>
        <v>9</v>
      </c>
      <c r="L59" s="1">
        <f t="shared" ref="L59:L64" si="83">L58</f>
        <v>100</v>
      </c>
      <c r="O59">
        <f t="shared" ref="O59:O64" si="84">_xlfn.XLOOKUP($H59,$J$27:$L$27,$J59:$L59)</f>
        <v>9</v>
      </c>
      <c r="P59" s="10" t="s">
        <v>31</v>
      </c>
      <c r="Q59" s="86">
        <f t="shared" ref="Q59:Q64" si="85">I59*O59</f>
        <v>9</v>
      </c>
      <c r="R59" s="19">
        <f t="shared" si="79"/>
        <v>6709.5</v>
      </c>
      <c r="S59" s="19"/>
      <c r="T59" s="19"/>
      <c r="U59" s="19"/>
      <c r="V59" s="19"/>
      <c r="W59" s="19">
        <f t="shared" si="80"/>
        <v>0</v>
      </c>
      <c r="X59" s="19">
        <f t="shared" si="80"/>
        <v>1341.8999999999999</v>
      </c>
      <c r="Y59" s="19">
        <f t="shared" si="80"/>
        <v>1341.8999999999999</v>
      </c>
      <c r="Z59" s="19">
        <f t="shared" si="80"/>
        <v>1341.8999999999999</v>
      </c>
      <c r="AA59" s="19">
        <f t="shared" si="80"/>
        <v>1341.8999999999999</v>
      </c>
      <c r="AB59" s="20">
        <f t="shared" ref="AB59:AB60" si="86">SUM(R59:AA59)</f>
        <v>12077.099999999999</v>
      </c>
    </row>
    <row r="60" spans="1:29" outlineLevel="2" x14ac:dyDescent="0.3">
      <c r="A60" s="24" t="str">
        <f t="shared" si="77"/>
        <v>Application Server - Oracle WebLogic Server Enterprise Edition</v>
      </c>
      <c r="B60" s="24"/>
      <c r="C60" s="27">
        <f t="shared" si="78"/>
        <v>29830</v>
      </c>
      <c r="D60" s="27">
        <f t="shared" si="78"/>
        <v>5966</v>
      </c>
      <c r="E60" s="28">
        <f t="shared" si="78"/>
        <v>2</v>
      </c>
      <c r="F60" s="29">
        <f t="shared" si="78"/>
        <v>0.3</v>
      </c>
      <c r="G60" s="87" t="str">
        <f t="shared" ref="G60:I60" si="87">G50</f>
        <v>socket</v>
      </c>
      <c r="H60" s="87" t="str">
        <f t="shared" si="87"/>
        <v>socket</v>
      </c>
      <c r="I60" s="87">
        <f t="shared" si="87"/>
        <v>1</v>
      </c>
      <c r="J60" s="1">
        <f t="shared" ref="J60:J64" si="88">J59</f>
        <v>5</v>
      </c>
      <c r="K60" s="1">
        <f t="shared" si="82"/>
        <v>9</v>
      </c>
      <c r="L60" s="1">
        <f t="shared" si="83"/>
        <v>100</v>
      </c>
      <c r="O60">
        <f t="shared" si="84"/>
        <v>9</v>
      </c>
      <c r="P60" s="10" t="s">
        <v>95</v>
      </c>
      <c r="Q60" s="86">
        <f t="shared" si="85"/>
        <v>9</v>
      </c>
      <c r="R60" s="19">
        <f t="shared" si="79"/>
        <v>187929</v>
      </c>
      <c r="S60" s="19"/>
      <c r="T60" s="19"/>
      <c r="U60" s="19"/>
      <c r="V60" s="19"/>
      <c r="W60" s="19">
        <f t="shared" si="80"/>
        <v>0</v>
      </c>
      <c r="X60" s="19">
        <f t="shared" si="80"/>
        <v>37585.799999999996</v>
      </c>
      <c r="Y60" s="19">
        <f t="shared" si="80"/>
        <v>37585.799999999996</v>
      </c>
      <c r="Z60" s="19">
        <f t="shared" si="80"/>
        <v>37585.799999999996</v>
      </c>
      <c r="AA60" s="19">
        <f t="shared" si="80"/>
        <v>37585.799999999996</v>
      </c>
      <c r="AB60" s="20">
        <f t="shared" si="86"/>
        <v>338272.19999999995</v>
      </c>
    </row>
    <row r="61" spans="1:29" outlineLevel="2" x14ac:dyDescent="0.3">
      <c r="A61" s="24" t="str">
        <f t="shared" si="77"/>
        <v>DB - Oracle DB Enterprise Edition</v>
      </c>
      <c r="B61" s="24"/>
      <c r="C61" s="27">
        <f t="shared" si="78"/>
        <v>40489</v>
      </c>
      <c r="D61" s="27">
        <f t="shared" si="78"/>
        <v>8097.8</v>
      </c>
      <c r="E61" s="28">
        <f t="shared" si="78"/>
        <v>2</v>
      </c>
      <c r="F61" s="29">
        <f t="shared" si="78"/>
        <v>0.3</v>
      </c>
      <c r="G61" s="87" t="str">
        <f t="shared" ref="G61:I61" si="89">G51</f>
        <v>socket</v>
      </c>
      <c r="H61" s="87" t="str">
        <f t="shared" si="89"/>
        <v>socket</v>
      </c>
      <c r="I61" s="87">
        <f t="shared" si="89"/>
        <v>1</v>
      </c>
      <c r="J61" s="1">
        <f t="shared" si="88"/>
        <v>5</v>
      </c>
      <c r="K61" s="1">
        <f t="shared" si="82"/>
        <v>9</v>
      </c>
      <c r="L61" s="1">
        <f t="shared" si="83"/>
        <v>100</v>
      </c>
      <c r="O61">
        <f t="shared" si="84"/>
        <v>9</v>
      </c>
      <c r="P61" s="10" t="s">
        <v>32</v>
      </c>
      <c r="Q61" s="86">
        <f t="shared" si="85"/>
        <v>9</v>
      </c>
      <c r="R61" s="19">
        <f t="shared" si="79"/>
        <v>255080.69999999998</v>
      </c>
      <c r="S61" s="19"/>
      <c r="T61" s="19"/>
      <c r="U61" s="19"/>
      <c r="V61" s="19"/>
      <c r="W61" s="19">
        <f t="shared" si="80"/>
        <v>0</v>
      </c>
      <c r="X61" s="19">
        <f t="shared" si="80"/>
        <v>51016.139999999992</v>
      </c>
      <c r="Y61" s="19">
        <f t="shared" si="80"/>
        <v>51016.139999999992</v>
      </c>
      <c r="Z61" s="19">
        <f t="shared" si="80"/>
        <v>51016.139999999992</v>
      </c>
      <c r="AA61" s="19">
        <f t="shared" si="80"/>
        <v>51016.139999999992</v>
      </c>
      <c r="AB61" s="20">
        <f>SUM(R61:AA61)</f>
        <v>459145.26</v>
      </c>
    </row>
    <row r="62" spans="1:29" outlineLevel="2" x14ac:dyDescent="0.3">
      <c r="A62" s="24" t="str">
        <f t="shared" si="77"/>
        <v>Data Replication Tools - GoldenGate For Teradata replication Services</v>
      </c>
      <c r="B62" s="24"/>
      <c r="C62" s="27">
        <f t="shared" si="78"/>
        <v>14915</v>
      </c>
      <c r="D62" s="27">
        <f t="shared" si="78"/>
        <v>3281</v>
      </c>
      <c r="E62" s="28">
        <f t="shared" si="78"/>
        <v>1</v>
      </c>
      <c r="F62" s="29">
        <f t="shared" si="78"/>
        <v>0.3</v>
      </c>
      <c r="G62" s="87" t="str">
        <f t="shared" ref="G62:I62" si="90">G52</f>
        <v>socket</v>
      </c>
      <c r="H62" s="87" t="str">
        <f t="shared" si="90"/>
        <v>socket</v>
      </c>
      <c r="I62" s="87">
        <f t="shared" si="90"/>
        <v>1</v>
      </c>
      <c r="J62" s="1">
        <f t="shared" si="88"/>
        <v>5</v>
      </c>
      <c r="K62" s="1">
        <f t="shared" si="82"/>
        <v>9</v>
      </c>
      <c r="L62" s="1">
        <f t="shared" si="83"/>
        <v>100</v>
      </c>
      <c r="O62">
        <f t="shared" si="84"/>
        <v>9</v>
      </c>
      <c r="P62" s="10" t="s">
        <v>32</v>
      </c>
      <c r="Q62" s="86">
        <f t="shared" si="85"/>
        <v>9</v>
      </c>
      <c r="R62" s="19">
        <f t="shared" si="79"/>
        <v>93964.5</v>
      </c>
      <c r="S62" s="19"/>
      <c r="T62" s="19"/>
      <c r="U62" s="19"/>
      <c r="V62" s="19"/>
      <c r="W62" s="19">
        <f t="shared" si="80"/>
        <v>20670.3</v>
      </c>
      <c r="X62" s="19">
        <f t="shared" si="80"/>
        <v>20670.3</v>
      </c>
      <c r="Y62" s="19">
        <f t="shared" si="80"/>
        <v>20670.3</v>
      </c>
      <c r="Z62" s="19">
        <f t="shared" si="80"/>
        <v>20670.3</v>
      </c>
      <c r="AA62" s="19">
        <f t="shared" si="80"/>
        <v>20670.3</v>
      </c>
      <c r="AB62" s="20">
        <f>SUM(R62:AA62)</f>
        <v>197315.99999999997</v>
      </c>
    </row>
    <row r="63" spans="1:29"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5</v>
      </c>
      <c r="K63" s="1">
        <f t="shared" si="82"/>
        <v>9</v>
      </c>
      <c r="L63" s="1">
        <f t="shared" si="83"/>
        <v>100</v>
      </c>
      <c r="O63">
        <f t="shared" si="84"/>
        <v>5</v>
      </c>
      <c r="P63" s="10" t="s">
        <v>33</v>
      </c>
      <c r="Q63" s="86">
        <f t="shared" si="85"/>
        <v>5</v>
      </c>
      <c r="R63" s="19">
        <f t="shared" si="79"/>
        <v>15000</v>
      </c>
      <c r="S63" s="19"/>
      <c r="T63" s="19"/>
      <c r="U63" s="19"/>
      <c r="V63" s="19"/>
      <c r="W63" s="19">
        <f t="shared" si="80"/>
        <v>0</v>
      </c>
      <c r="X63" s="19">
        <f t="shared" si="80"/>
        <v>3000</v>
      </c>
      <c r="Y63" s="19">
        <f t="shared" si="80"/>
        <v>3000</v>
      </c>
      <c r="Z63" s="19">
        <f t="shared" si="80"/>
        <v>3000</v>
      </c>
      <c r="AA63" s="19">
        <f t="shared" si="80"/>
        <v>3000</v>
      </c>
      <c r="AB63" s="20">
        <f t="shared" ref="AB63:AB64" si="92">SUM(R63:AA63)</f>
        <v>27000</v>
      </c>
    </row>
    <row r="64" spans="1:29"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5</v>
      </c>
      <c r="K64" s="1">
        <f t="shared" si="82"/>
        <v>9</v>
      </c>
      <c r="L64" s="1">
        <f t="shared" si="83"/>
        <v>100</v>
      </c>
      <c r="O64">
        <f t="shared" si="84"/>
        <v>5</v>
      </c>
      <c r="P64" s="10" t="s">
        <v>33</v>
      </c>
      <c r="Q64" s="86">
        <f t="shared" si="85"/>
        <v>5</v>
      </c>
      <c r="R64" s="19">
        <f t="shared" si="79"/>
        <v>15000</v>
      </c>
      <c r="S64" s="19"/>
      <c r="T64" s="19"/>
      <c r="U64" s="19"/>
      <c r="V64" s="19"/>
      <c r="W64" s="19">
        <f t="shared" si="80"/>
        <v>0</v>
      </c>
      <c r="X64" s="19">
        <f t="shared" si="80"/>
        <v>3000</v>
      </c>
      <c r="Y64" s="19">
        <f t="shared" si="80"/>
        <v>3000</v>
      </c>
      <c r="Z64" s="19">
        <f t="shared" si="80"/>
        <v>3000</v>
      </c>
      <c r="AA64" s="19">
        <f t="shared" si="80"/>
        <v>3000</v>
      </c>
      <c r="AB64" s="20">
        <f t="shared" si="92"/>
        <v>27000</v>
      </c>
    </row>
    <row r="65" spans="1:29" s="39" customFormat="1" outlineLevel="1" x14ac:dyDescent="0.3">
      <c r="Q65" s="64" t="s">
        <v>99</v>
      </c>
      <c r="R65" s="61">
        <f>SUM(R58:R64)</f>
        <v>590706.30000000005</v>
      </c>
      <c r="S65" s="61">
        <f t="shared" ref="S65" si="94">SUM(S58:S64)</f>
        <v>0</v>
      </c>
      <c r="T65" s="61">
        <f t="shared" ref="T65" si="95">SUM(T58:T64)</f>
        <v>0</v>
      </c>
      <c r="U65" s="61">
        <f t="shared" ref="U65" si="96">SUM(U58:U64)</f>
        <v>0</v>
      </c>
      <c r="V65" s="61">
        <f t="shared" ref="V65" si="97">SUM(V58:V64)</f>
        <v>0</v>
      </c>
      <c r="W65" s="61">
        <f t="shared" ref="W65" si="98">SUM(W58:W64)</f>
        <v>20670.3</v>
      </c>
      <c r="X65" s="61">
        <f t="shared" ref="X65" si="99">SUM(X58:X64)</f>
        <v>116614.14</v>
      </c>
      <c r="Y65" s="61">
        <f t="shared" ref="Y65" si="100">SUM(Y58:Y64)</f>
        <v>120018.65999999999</v>
      </c>
      <c r="Z65" s="61">
        <f t="shared" ref="Z65" si="101">SUM(Z58:Z64)</f>
        <v>120018.65999999999</v>
      </c>
      <c r="AA65" s="61">
        <f t="shared" ref="AA65" si="102">SUM(AA58:AA64)</f>
        <v>120018.65999999999</v>
      </c>
      <c r="AB65" s="62">
        <f t="shared" ref="AB65" si="103">SUM(AB58:AB64)</f>
        <v>1088046.72</v>
      </c>
    </row>
    <row r="66" spans="1:29" ht="15" outlineLevel="1" thickBot="1" x14ac:dyDescent="0.35"/>
    <row r="67" spans="1:29" ht="41.25" customHeight="1" outlineLevel="1" thickBot="1" x14ac:dyDescent="0.35">
      <c r="A67" s="48" t="s">
        <v>10</v>
      </c>
      <c r="C67" s="11" t="s">
        <v>63</v>
      </c>
      <c r="D67" s="11" t="s">
        <v>21</v>
      </c>
      <c r="E67" s="11" t="str">
        <f>E57</f>
        <v>Starting Year of yearly charges</v>
      </c>
      <c r="F67" s="11" t="s">
        <v>22</v>
      </c>
      <c r="G67" s="11" t="s">
        <v>64</v>
      </c>
      <c r="H67" s="11" t="s">
        <v>93</v>
      </c>
      <c r="I67" s="83" t="s">
        <v>94</v>
      </c>
      <c r="J67" s="83" t="s">
        <v>33</v>
      </c>
      <c r="K67" s="83" t="s">
        <v>31</v>
      </c>
      <c r="L67" s="83" t="s">
        <v>32</v>
      </c>
      <c r="O67" s="5" t="s">
        <v>96</v>
      </c>
      <c r="P67" s="11" t="s">
        <v>64</v>
      </c>
      <c r="Q67" s="10" t="s">
        <v>65</v>
      </c>
      <c r="R67" s="53">
        <v>1</v>
      </c>
      <c r="S67" s="54">
        <v>2</v>
      </c>
      <c r="T67" s="54">
        <v>3</v>
      </c>
      <c r="U67" s="54">
        <v>4</v>
      </c>
      <c r="V67" s="55">
        <v>5</v>
      </c>
      <c r="W67" s="53">
        <v>1</v>
      </c>
      <c r="X67" s="54">
        <v>2</v>
      </c>
      <c r="Y67" s="54">
        <v>3</v>
      </c>
      <c r="Z67" s="54">
        <v>4</v>
      </c>
      <c r="AA67" s="55">
        <v>5</v>
      </c>
      <c r="AB67" s="57" t="s">
        <v>19</v>
      </c>
      <c r="AC67" s="10"/>
    </row>
    <row r="68" spans="1:29" outlineLevel="2" x14ac:dyDescent="0.3">
      <c r="A68" s="24" t="str">
        <f t="shared" ref="A68:A74" si="104">A28</f>
        <v>OS - SUSE Linux Enterprise Server 15 for x86 &amp; x86-64 (Unlimited VM) - 3 Year std subscription</v>
      </c>
      <c r="B68" s="24"/>
      <c r="C68" s="27">
        <f>C28</f>
        <v>2702</v>
      </c>
      <c r="D68" s="27">
        <f>D28</f>
        <v>540.4</v>
      </c>
      <c r="E68" s="28">
        <f t="shared" ref="C68:F74" si="105">E28</f>
        <v>3</v>
      </c>
      <c r="F68" s="29">
        <f t="shared" si="105"/>
        <v>0.3</v>
      </c>
      <c r="G68" s="87" t="str">
        <f>G58</f>
        <v>socket</v>
      </c>
      <c r="H68" s="87" t="str">
        <f>H58</f>
        <v>socket</v>
      </c>
      <c r="I68" s="87">
        <f>I58</f>
        <v>1</v>
      </c>
      <c r="J68" s="36">
        <f>$O$23</f>
        <v>11</v>
      </c>
      <c r="K68" s="36">
        <f>$P$23</f>
        <v>19</v>
      </c>
      <c r="L68" s="36">
        <f>$Q$23</f>
        <v>224</v>
      </c>
      <c r="O68">
        <f>_xlfn.XLOOKUP($H68,$J$27:$L$27,$J68:$L68)</f>
        <v>19</v>
      </c>
      <c r="P68" s="10" t="s">
        <v>31</v>
      </c>
      <c r="Q68" s="86">
        <f>I68*O68</f>
        <v>19</v>
      </c>
      <c r="R68" s="19">
        <f t="shared" ref="R68:R74" si="106">$Q68*$C68*(1-$F68)</f>
        <v>35936.6</v>
      </c>
      <c r="S68" s="19"/>
      <c r="T68" s="19"/>
      <c r="U68" s="19"/>
      <c r="V68" s="19"/>
      <c r="W68" s="19">
        <f t="shared" ref="W68:AA74" si="107">IF(W$18&lt;$E68,0,$Q68*$D68)*(1-$F68)</f>
        <v>0</v>
      </c>
      <c r="X68" s="19">
        <f t="shared" si="107"/>
        <v>0</v>
      </c>
      <c r="Y68" s="19">
        <f t="shared" si="107"/>
        <v>7187.32</v>
      </c>
      <c r="Z68" s="19">
        <f t="shared" si="107"/>
        <v>7187.32</v>
      </c>
      <c r="AA68" s="19">
        <f t="shared" si="107"/>
        <v>7187.32</v>
      </c>
      <c r="AB68" s="20">
        <f>SUM(R68:AA68)</f>
        <v>57498.559999999998</v>
      </c>
    </row>
    <row r="69" spans="1:29" outlineLevel="2" x14ac:dyDescent="0.3">
      <c r="A69" s="24" t="str">
        <f t="shared" si="104"/>
        <v>VM - Oracle Virtual Box Perpetual License</v>
      </c>
      <c r="B69" s="24"/>
      <c r="C69" s="27">
        <f t="shared" si="105"/>
        <v>1065</v>
      </c>
      <c r="D69" s="27">
        <f t="shared" si="105"/>
        <v>213</v>
      </c>
      <c r="E69" s="28">
        <f t="shared" si="105"/>
        <v>2</v>
      </c>
      <c r="F69" s="29">
        <f t="shared" si="105"/>
        <v>0.3</v>
      </c>
      <c r="G69" s="87" t="str">
        <f t="shared" ref="G69:I69" si="108">G59</f>
        <v>socket</v>
      </c>
      <c r="H69" s="87" t="str">
        <f t="shared" si="108"/>
        <v>socket</v>
      </c>
      <c r="I69" s="87">
        <f t="shared" si="108"/>
        <v>1</v>
      </c>
      <c r="J69" s="1">
        <f>J68</f>
        <v>11</v>
      </c>
      <c r="K69" s="1">
        <f t="shared" ref="K69:K74" si="109">K68</f>
        <v>19</v>
      </c>
      <c r="L69" s="1">
        <f t="shared" ref="L69:L74" si="110">L68</f>
        <v>224</v>
      </c>
      <c r="O69">
        <f t="shared" ref="O69:O74" si="111">_xlfn.XLOOKUP($H69,$J$27:$L$27,$J69:$L69)</f>
        <v>19</v>
      </c>
      <c r="P69" s="10" t="s">
        <v>31</v>
      </c>
      <c r="Q69" s="86">
        <f t="shared" ref="Q69:Q74" si="112">I69*O69</f>
        <v>19</v>
      </c>
      <c r="R69" s="19">
        <f t="shared" si="106"/>
        <v>14164.5</v>
      </c>
      <c r="S69" s="19"/>
      <c r="T69" s="19"/>
      <c r="U69" s="19"/>
      <c r="V69" s="19"/>
      <c r="W69" s="19">
        <f t="shared" si="107"/>
        <v>0</v>
      </c>
      <c r="X69" s="19">
        <f t="shared" si="107"/>
        <v>2832.8999999999996</v>
      </c>
      <c r="Y69" s="19">
        <f t="shared" si="107"/>
        <v>2832.8999999999996</v>
      </c>
      <c r="Z69" s="19">
        <f t="shared" si="107"/>
        <v>2832.8999999999996</v>
      </c>
      <c r="AA69" s="19">
        <f t="shared" si="107"/>
        <v>2832.8999999999996</v>
      </c>
      <c r="AB69" s="20">
        <f t="shared" ref="AB69:AB70" si="113">SUM(R69:AA69)</f>
        <v>25496.100000000006</v>
      </c>
    </row>
    <row r="70" spans="1:29" outlineLevel="2" x14ac:dyDescent="0.3">
      <c r="A70" s="24" t="str">
        <f t="shared" si="104"/>
        <v>Application Server - Oracle WebLogic Server Enterprise Edition</v>
      </c>
      <c r="B70" s="24"/>
      <c r="C70" s="27">
        <f t="shared" si="105"/>
        <v>29830</v>
      </c>
      <c r="D70" s="27">
        <f t="shared" si="105"/>
        <v>5966</v>
      </c>
      <c r="E70" s="28">
        <f t="shared" si="105"/>
        <v>2</v>
      </c>
      <c r="F70" s="29">
        <f t="shared" si="105"/>
        <v>0.3</v>
      </c>
      <c r="G70" s="87" t="str">
        <f t="shared" ref="G70:I70" si="114">G60</f>
        <v>socket</v>
      </c>
      <c r="H70" s="87" t="str">
        <f t="shared" si="114"/>
        <v>socket</v>
      </c>
      <c r="I70" s="87">
        <f t="shared" si="114"/>
        <v>1</v>
      </c>
      <c r="J70" s="1">
        <f t="shared" ref="J70:J74" si="115">J69</f>
        <v>11</v>
      </c>
      <c r="K70" s="1">
        <f t="shared" si="109"/>
        <v>19</v>
      </c>
      <c r="L70" s="1">
        <f t="shared" si="110"/>
        <v>224</v>
      </c>
      <c r="O70">
        <f t="shared" si="111"/>
        <v>19</v>
      </c>
      <c r="P70" s="10" t="s">
        <v>95</v>
      </c>
      <c r="Q70" s="86">
        <f t="shared" si="112"/>
        <v>19</v>
      </c>
      <c r="R70" s="19">
        <f t="shared" si="106"/>
        <v>396739</v>
      </c>
      <c r="S70" s="19"/>
      <c r="T70" s="19"/>
      <c r="U70" s="19"/>
      <c r="V70" s="19"/>
      <c r="W70" s="19">
        <f t="shared" si="107"/>
        <v>0</v>
      </c>
      <c r="X70" s="19">
        <f t="shared" si="107"/>
        <v>79347.799999999988</v>
      </c>
      <c r="Y70" s="19">
        <f t="shared" si="107"/>
        <v>79347.799999999988</v>
      </c>
      <c r="Z70" s="19">
        <f t="shared" si="107"/>
        <v>79347.799999999988</v>
      </c>
      <c r="AA70" s="19">
        <f t="shared" si="107"/>
        <v>79347.799999999988</v>
      </c>
      <c r="AB70" s="20">
        <f t="shared" si="113"/>
        <v>714130.2</v>
      </c>
    </row>
    <row r="71" spans="1:29" outlineLevel="2" x14ac:dyDescent="0.3">
      <c r="A71" s="24" t="str">
        <f t="shared" si="104"/>
        <v>DB - Oracle DB Enterprise Edition</v>
      </c>
      <c r="B71" s="24"/>
      <c r="C71" s="27">
        <f t="shared" si="105"/>
        <v>40489</v>
      </c>
      <c r="D71" s="27">
        <f t="shared" si="105"/>
        <v>8097.8</v>
      </c>
      <c r="E71" s="28">
        <f t="shared" si="105"/>
        <v>2</v>
      </c>
      <c r="F71" s="29">
        <f t="shared" si="105"/>
        <v>0.3</v>
      </c>
      <c r="G71" s="87" t="str">
        <f t="shared" ref="G71:I71" si="116">G61</f>
        <v>socket</v>
      </c>
      <c r="H71" s="87" t="str">
        <f t="shared" si="116"/>
        <v>socket</v>
      </c>
      <c r="I71" s="87">
        <f t="shared" si="116"/>
        <v>1</v>
      </c>
      <c r="J71" s="1">
        <f t="shared" si="115"/>
        <v>11</v>
      </c>
      <c r="K71" s="1">
        <f t="shared" si="109"/>
        <v>19</v>
      </c>
      <c r="L71" s="1">
        <f t="shared" si="110"/>
        <v>224</v>
      </c>
      <c r="O71">
        <f t="shared" si="111"/>
        <v>19</v>
      </c>
      <c r="P71" s="10" t="s">
        <v>32</v>
      </c>
      <c r="Q71" s="86">
        <f t="shared" si="112"/>
        <v>19</v>
      </c>
      <c r="R71" s="19">
        <f t="shared" si="106"/>
        <v>538503.69999999995</v>
      </c>
      <c r="S71" s="19"/>
      <c r="T71" s="19"/>
      <c r="U71" s="19"/>
      <c r="V71" s="19"/>
      <c r="W71" s="19">
        <f t="shared" si="107"/>
        <v>0</v>
      </c>
      <c r="X71" s="19">
        <f t="shared" si="107"/>
        <v>107700.74</v>
      </c>
      <c r="Y71" s="19">
        <f t="shared" si="107"/>
        <v>107700.74</v>
      </c>
      <c r="Z71" s="19">
        <f t="shared" si="107"/>
        <v>107700.74</v>
      </c>
      <c r="AA71" s="19">
        <f t="shared" si="107"/>
        <v>107700.74</v>
      </c>
      <c r="AB71" s="20">
        <f>SUM(R71:AA71)</f>
        <v>969306.65999999992</v>
      </c>
    </row>
    <row r="72" spans="1:29" outlineLevel="2" x14ac:dyDescent="0.3">
      <c r="A72" s="24" t="str">
        <f t="shared" si="104"/>
        <v>Data Replication Tools - GoldenGate For Teradata replication Services</v>
      </c>
      <c r="B72" s="24"/>
      <c r="C72" s="27">
        <f t="shared" si="105"/>
        <v>14915</v>
      </c>
      <c r="D72" s="27">
        <f t="shared" si="105"/>
        <v>3281</v>
      </c>
      <c r="E72" s="28">
        <f t="shared" si="105"/>
        <v>1</v>
      </c>
      <c r="F72" s="29">
        <f t="shared" si="105"/>
        <v>0.3</v>
      </c>
      <c r="G72" s="87" t="str">
        <f t="shared" ref="G72:I72" si="117">G62</f>
        <v>socket</v>
      </c>
      <c r="H72" s="87" t="str">
        <f t="shared" si="117"/>
        <v>socket</v>
      </c>
      <c r="I72" s="87">
        <f t="shared" si="117"/>
        <v>1</v>
      </c>
      <c r="J72" s="1">
        <f t="shared" si="115"/>
        <v>11</v>
      </c>
      <c r="K72" s="1">
        <f t="shared" si="109"/>
        <v>19</v>
      </c>
      <c r="L72" s="1">
        <f t="shared" si="110"/>
        <v>224</v>
      </c>
      <c r="O72">
        <f t="shared" si="111"/>
        <v>19</v>
      </c>
      <c r="P72" s="10" t="s">
        <v>32</v>
      </c>
      <c r="Q72" s="86">
        <f t="shared" si="112"/>
        <v>19</v>
      </c>
      <c r="R72" s="19">
        <f t="shared" si="106"/>
        <v>198369.5</v>
      </c>
      <c r="S72" s="19"/>
      <c r="T72" s="19"/>
      <c r="U72" s="19"/>
      <c r="V72" s="19"/>
      <c r="W72" s="19">
        <f t="shared" si="107"/>
        <v>43637.299999999996</v>
      </c>
      <c r="X72" s="19">
        <f t="shared" si="107"/>
        <v>43637.299999999996</v>
      </c>
      <c r="Y72" s="19">
        <f t="shared" si="107"/>
        <v>43637.299999999996</v>
      </c>
      <c r="Z72" s="19">
        <f t="shared" si="107"/>
        <v>43637.299999999996</v>
      </c>
      <c r="AA72" s="19">
        <f t="shared" si="107"/>
        <v>43637.299999999996</v>
      </c>
      <c r="AB72" s="20">
        <f>SUM(R72:AA72)</f>
        <v>416555.99999999994</v>
      </c>
    </row>
    <row r="73" spans="1:29"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11</v>
      </c>
      <c r="K73" s="1">
        <f t="shared" si="109"/>
        <v>19</v>
      </c>
      <c r="L73" s="1">
        <f t="shared" si="110"/>
        <v>224</v>
      </c>
      <c r="O73">
        <f t="shared" si="111"/>
        <v>11</v>
      </c>
      <c r="P73" s="10" t="s">
        <v>33</v>
      </c>
      <c r="Q73" s="86">
        <f t="shared" si="112"/>
        <v>11</v>
      </c>
      <c r="R73" s="19">
        <f t="shared" si="106"/>
        <v>33000</v>
      </c>
      <c r="S73" s="19"/>
      <c r="T73" s="19"/>
      <c r="U73" s="19"/>
      <c r="V73" s="19"/>
      <c r="W73" s="19">
        <f t="shared" si="107"/>
        <v>0</v>
      </c>
      <c r="X73" s="19">
        <f t="shared" si="107"/>
        <v>6600</v>
      </c>
      <c r="Y73" s="19">
        <f t="shared" si="107"/>
        <v>6600</v>
      </c>
      <c r="Z73" s="19">
        <f t="shared" si="107"/>
        <v>6600</v>
      </c>
      <c r="AA73" s="19">
        <f t="shared" si="107"/>
        <v>6600</v>
      </c>
      <c r="AB73" s="20">
        <f t="shared" ref="AB73:AB74" si="119">SUM(R73:AA73)</f>
        <v>59400</v>
      </c>
    </row>
    <row r="74" spans="1:29"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11</v>
      </c>
      <c r="K74" s="1">
        <f t="shared" si="109"/>
        <v>19</v>
      </c>
      <c r="L74" s="1">
        <f t="shared" si="110"/>
        <v>224</v>
      </c>
      <c r="O74">
        <f t="shared" si="111"/>
        <v>11</v>
      </c>
      <c r="P74" s="10" t="s">
        <v>33</v>
      </c>
      <c r="Q74" s="86">
        <f t="shared" si="112"/>
        <v>11</v>
      </c>
      <c r="R74" s="19">
        <f t="shared" si="106"/>
        <v>33000</v>
      </c>
      <c r="S74" s="19"/>
      <c r="T74" s="19"/>
      <c r="U74" s="19"/>
      <c r="V74" s="19"/>
      <c r="W74" s="19">
        <f t="shared" si="107"/>
        <v>0</v>
      </c>
      <c r="X74" s="19">
        <f t="shared" si="107"/>
        <v>6600</v>
      </c>
      <c r="Y74" s="19">
        <f t="shared" si="107"/>
        <v>6600</v>
      </c>
      <c r="Z74" s="19">
        <f t="shared" si="107"/>
        <v>6600</v>
      </c>
      <c r="AA74" s="19">
        <f t="shared" si="107"/>
        <v>6600</v>
      </c>
      <c r="AB74" s="20">
        <f t="shared" si="119"/>
        <v>59400</v>
      </c>
    </row>
    <row r="75" spans="1:29" s="39" customFormat="1" outlineLevel="1" x14ac:dyDescent="0.3">
      <c r="Q75" s="64" t="s">
        <v>10</v>
      </c>
      <c r="R75" s="61">
        <f>SUM(R68:R74)</f>
        <v>1249713.2999999998</v>
      </c>
      <c r="S75" s="61">
        <f t="shared" ref="S75" si="121">SUM(S68:S74)</f>
        <v>0</v>
      </c>
      <c r="T75" s="61">
        <f t="shared" ref="T75" si="122">SUM(T68:T74)</f>
        <v>0</v>
      </c>
      <c r="U75" s="61">
        <f t="shared" ref="U75" si="123">SUM(U68:U74)</f>
        <v>0</v>
      </c>
      <c r="V75" s="61">
        <f t="shared" ref="V75" si="124">SUM(V68:V74)</f>
        <v>0</v>
      </c>
      <c r="W75" s="61">
        <f t="shared" ref="W75" si="125">SUM(W68:W74)</f>
        <v>43637.299999999996</v>
      </c>
      <c r="X75" s="61">
        <f t="shared" ref="X75" si="126">SUM(X68:X74)</f>
        <v>246718.74</v>
      </c>
      <c r="Y75" s="61">
        <f t="shared" ref="Y75" si="127">SUM(Y68:Y74)</f>
        <v>253906.06</v>
      </c>
      <c r="Z75" s="61">
        <f t="shared" ref="Z75" si="128">SUM(Z68:Z74)</f>
        <v>253906.06</v>
      </c>
      <c r="AA75" s="61">
        <f t="shared" ref="AA75" si="129">SUM(AA68:AA74)</f>
        <v>253906.06</v>
      </c>
      <c r="AB75" s="62">
        <f t="shared" ref="AB75" si="130">SUM(AB68:AB74)</f>
        <v>2301787.52</v>
      </c>
    </row>
    <row r="76" spans="1:29" outlineLevel="1" x14ac:dyDescent="0.3"/>
    <row r="77" spans="1:29" x14ac:dyDescent="0.3">
      <c r="O77" s="64" t="s">
        <v>71</v>
      </c>
      <c r="P77" s="8"/>
      <c r="R77" s="62">
        <f>R35+R45+R55+R65+R75</f>
        <v>3220734.3</v>
      </c>
      <c r="S77" s="62">
        <f t="shared" ref="S77:AB77" si="131">S35+S45+S55+S65+S75</f>
        <v>0</v>
      </c>
      <c r="T77" s="62">
        <f t="shared" si="131"/>
        <v>0</v>
      </c>
      <c r="U77" s="62">
        <f t="shared" si="131"/>
        <v>0</v>
      </c>
      <c r="V77" s="62">
        <f t="shared" si="131"/>
        <v>0</v>
      </c>
      <c r="W77" s="62">
        <f t="shared" si="131"/>
        <v>112538.29999999999</v>
      </c>
      <c r="X77" s="62">
        <f t="shared" si="131"/>
        <v>635832.54</v>
      </c>
      <c r="Y77" s="62">
        <f t="shared" si="131"/>
        <v>654368.26</v>
      </c>
      <c r="Z77" s="62">
        <f t="shared" si="131"/>
        <v>654368.26</v>
      </c>
      <c r="AA77" s="62">
        <f t="shared" si="131"/>
        <v>654368.26</v>
      </c>
      <c r="AB77" s="62">
        <f t="shared" si="131"/>
        <v>5932209.9199999999</v>
      </c>
      <c r="AC77" s="5" t="s">
        <v>19</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17</v>
      </c>
      <c r="P80" s="7" t="s">
        <v>77</v>
      </c>
      <c r="R80" s="53">
        <v>1</v>
      </c>
      <c r="S80" s="54">
        <v>2</v>
      </c>
      <c r="T80" s="54">
        <v>3</v>
      </c>
      <c r="U80" s="54">
        <v>4</v>
      </c>
      <c r="V80" s="55">
        <v>5</v>
      </c>
      <c r="W80" s="53">
        <v>1</v>
      </c>
      <c r="X80" s="54">
        <v>2</v>
      </c>
      <c r="Y80" s="54">
        <v>3</v>
      </c>
      <c r="Z80" s="54">
        <v>4</v>
      </c>
      <c r="AA80" s="55">
        <v>5</v>
      </c>
      <c r="AB80" s="57" t="s">
        <v>19</v>
      </c>
    </row>
    <row r="81" spans="1:29" outlineLevel="1" x14ac:dyDescent="0.3">
      <c r="A81" t="s">
        <v>79</v>
      </c>
      <c r="D81" s="13">
        <v>30</v>
      </c>
      <c r="E81" t="s">
        <v>72</v>
      </c>
      <c r="N81" s="14" t="s">
        <v>6</v>
      </c>
      <c r="O81" s="33">
        <f>$O$19</f>
        <v>6</v>
      </c>
      <c r="P81" s="9">
        <f>$O81/$D$81</f>
        <v>0.2</v>
      </c>
      <c r="R81" s="19"/>
      <c r="S81" s="19"/>
      <c r="T81" s="19"/>
      <c r="U81" s="19"/>
      <c r="V81" s="19"/>
      <c r="W81" s="19">
        <f>$D$82*$P81</f>
        <v>20000</v>
      </c>
      <c r="X81" s="19">
        <f t="shared" ref="X81:AA85" si="132">$D$82*$P81</f>
        <v>20000</v>
      </c>
      <c r="Y81" s="19">
        <f t="shared" si="132"/>
        <v>20000</v>
      </c>
      <c r="Z81" s="19">
        <f t="shared" si="132"/>
        <v>20000</v>
      </c>
      <c r="AA81" s="19">
        <f t="shared" si="132"/>
        <v>20000</v>
      </c>
      <c r="AB81" s="20">
        <f>SUM(R81:AA81)</f>
        <v>100000</v>
      </c>
      <c r="AC81" s="1" t="s">
        <v>6</v>
      </c>
    </row>
    <row r="82" spans="1:29" outlineLevel="1" x14ac:dyDescent="0.3">
      <c r="A82" t="s">
        <v>34</v>
      </c>
      <c r="D82" s="26">
        <v>100000</v>
      </c>
      <c r="N82" s="14" t="s">
        <v>7</v>
      </c>
      <c r="O82" s="33">
        <f>$O$20</f>
        <v>3</v>
      </c>
      <c r="P82" s="9">
        <f t="shared" ref="P82:P85" si="133">$O82/$D$81</f>
        <v>0.1</v>
      </c>
      <c r="R82" s="19"/>
      <c r="S82" s="19"/>
      <c r="T82" s="19"/>
      <c r="U82" s="19"/>
      <c r="V82" s="19"/>
      <c r="W82" s="19">
        <f t="shared" ref="W82:W85" si="134">$D$82*$P82</f>
        <v>10000</v>
      </c>
      <c r="X82" s="19">
        <f t="shared" si="132"/>
        <v>10000</v>
      </c>
      <c r="Y82" s="19">
        <f t="shared" si="132"/>
        <v>10000</v>
      </c>
      <c r="Z82" s="19">
        <f t="shared" si="132"/>
        <v>10000</v>
      </c>
      <c r="AA82" s="19">
        <f t="shared" si="132"/>
        <v>10000</v>
      </c>
      <c r="AB82" s="20">
        <f t="shared" ref="AB82:AB85" si="135">SUM(R82:AA82)</f>
        <v>50000</v>
      </c>
      <c r="AC82" s="1" t="s">
        <v>7</v>
      </c>
    </row>
    <row r="83" spans="1:29" outlineLevel="1" x14ac:dyDescent="0.3">
      <c r="J83" s="63"/>
      <c r="N83" s="14" t="s">
        <v>8</v>
      </c>
      <c r="O83" s="33">
        <f>$O$21</f>
        <v>3</v>
      </c>
      <c r="P83" s="9">
        <f t="shared" si="133"/>
        <v>0.1</v>
      </c>
      <c r="R83" s="19"/>
      <c r="S83" s="19"/>
      <c r="T83" s="19"/>
      <c r="U83" s="19"/>
      <c r="V83" s="19"/>
      <c r="W83" s="19">
        <f t="shared" si="134"/>
        <v>10000</v>
      </c>
      <c r="X83" s="19">
        <f t="shared" si="132"/>
        <v>10000</v>
      </c>
      <c r="Y83" s="19">
        <f t="shared" si="132"/>
        <v>10000</v>
      </c>
      <c r="Z83" s="19">
        <f t="shared" si="132"/>
        <v>10000</v>
      </c>
      <c r="AA83" s="19">
        <f t="shared" si="132"/>
        <v>10000</v>
      </c>
      <c r="AB83" s="20">
        <f t="shared" si="135"/>
        <v>50000</v>
      </c>
      <c r="AC83" s="1" t="s">
        <v>8</v>
      </c>
    </row>
    <row r="84" spans="1:29" outlineLevel="1" x14ac:dyDescent="0.3">
      <c r="N84" s="14" t="s">
        <v>9</v>
      </c>
      <c r="O84" s="33">
        <f>$O$22</f>
        <v>5</v>
      </c>
      <c r="P84" s="9">
        <f t="shared" si="133"/>
        <v>0.16666666666666666</v>
      </c>
      <c r="R84" s="19"/>
      <c r="S84" s="19"/>
      <c r="T84" s="19"/>
      <c r="U84" s="19"/>
      <c r="V84" s="19"/>
      <c r="W84" s="19">
        <f t="shared" si="134"/>
        <v>16666.666666666664</v>
      </c>
      <c r="X84" s="19">
        <f t="shared" si="132"/>
        <v>16666.666666666664</v>
      </c>
      <c r="Y84" s="19">
        <f t="shared" si="132"/>
        <v>16666.666666666664</v>
      </c>
      <c r="Z84" s="19">
        <f t="shared" si="132"/>
        <v>16666.666666666664</v>
      </c>
      <c r="AA84" s="19">
        <f t="shared" si="132"/>
        <v>16666.666666666664</v>
      </c>
      <c r="AB84" s="20">
        <f t="shared" si="135"/>
        <v>83333.333333333314</v>
      </c>
      <c r="AC84" s="1" t="s">
        <v>9</v>
      </c>
    </row>
    <row r="85" spans="1:29" outlineLevel="1" x14ac:dyDescent="0.3">
      <c r="N85" s="14" t="s">
        <v>10</v>
      </c>
      <c r="O85" s="33">
        <f>$O$23</f>
        <v>11</v>
      </c>
      <c r="P85" s="9">
        <f t="shared" si="133"/>
        <v>0.36666666666666664</v>
      </c>
      <c r="R85" s="19"/>
      <c r="S85" s="19"/>
      <c r="T85" s="19"/>
      <c r="U85" s="19"/>
      <c r="V85" s="19"/>
      <c r="W85" s="19">
        <f t="shared" si="134"/>
        <v>36666.666666666664</v>
      </c>
      <c r="X85" s="19">
        <f t="shared" si="132"/>
        <v>36666.666666666664</v>
      </c>
      <c r="Y85" s="19">
        <f t="shared" si="132"/>
        <v>36666.666666666664</v>
      </c>
      <c r="Z85" s="19">
        <f t="shared" si="132"/>
        <v>36666.666666666664</v>
      </c>
      <c r="AA85" s="19">
        <f t="shared" si="132"/>
        <v>36666.666666666664</v>
      </c>
      <c r="AB85" s="20">
        <f t="shared" si="135"/>
        <v>183333.33333333331</v>
      </c>
      <c r="AC85" s="1" t="s">
        <v>10</v>
      </c>
    </row>
    <row r="86" spans="1:29" x14ac:dyDescent="0.3">
      <c r="N86" s="14"/>
      <c r="O86" s="64" t="s">
        <v>78</v>
      </c>
      <c r="P86" s="118">
        <f>SUM(P81:P85)</f>
        <v>0.93333333333333335</v>
      </c>
      <c r="R86" s="62">
        <f>SUM(R81:R85)</f>
        <v>0</v>
      </c>
      <c r="S86" s="62">
        <f t="shared" ref="S86:AB86" si="136">SUM(S81:S85)</f>
        <v>0</v>
      </c>
      <c r="T86" s="62">
        <f t="shared" si="136"/>
        <v>0</v>
      </c>
      <c r="U86" s="62">
        <f t="shared" si="136"/>
        <v>0</v>
      </c>
      <c r="V86" s="62">
        <f t="shared" si="136"/>
        <v>0</v>
      </c>
      <c r="W86" s="62">
        <f t="shared" si="136"/>
        <v>93333.333333333328</v>
      </c>
      <c r="X86" s="62">
        <f t="shared" si="136"/>
        <v>93333.333333333328</v>
      </c>
      <c r="Y86" s="62">
        <f t="shared" si="136"/>
        <v>93333.333333333328</v>
      </c>
      <c r="Z86" s="62">
        <f t="shared" si="136"/>
        <v>93333.333333333328</v>
      </c>
      <c r="AA86" s="62">
        <f t="shared" si="136"/>
        <v>93333.333333333328</v>
      </c>
      <c r="AB86" s="62">
        <f t="shared" si="136"/>
        <v>466666.66666666663</v>
      </c>
      <c r="AC86" s="5" t="s">
        <v>19</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3">
      <c r="A90" t="s">
        <v>35</v>
      </c>
      <c r="D90" s="26">
        <v>7000</v>
      </c>
      <c r="E90" t="s">
        <v>205</v>
      </c>
      <c r="O90" s="14" t="s">
        <v>6</v>
      </c>
      <c r="P90" s="33">
        <f>$O$19</f>
        <v>6</v>
      </c>
      <c r="R90" s="19">
        <f>$P90*($D$90*(1-$D$91))</f>
        <v>29400</v>
      </c>
      <c r="S90" s="19"/>
      <c r="T90" s="19"/>
      <c r="U90" s="19"/>
      <c r="V90" s="19"/>
      <c r="W90" s="19">
        <f t="shared" ref="W90:AA94" si="137">IF(W$89&gt;=$D$94,$P90*($D$93*(1-$D$91)),0)</f>
        <v>0</v>
      </c>
      <c r="X90" s="19">
        <f t="shared" si="137"/>
        <v>2939.9999999999995</v>
      </c>
      <c r="Y90" s="19">
        <f t="shared" si="137"/>
        <v>2939.9999999999995</v>
      </c>
      <c r="Z90" s="19">
        <f t="shared" si="137"/>
        <v>2939.9999999999995</v>
      </c>
      <c r="AA90" s="19">
        <f t="shared" si="137"/>
        <v>2939.9999999999995</v>
      </c>
      <c r="AB90" s="20">
        <f>SUM(R90:AA90)</f>
        <v>41160</v>
      </c>
      <c r="AC90" s="1" t="s">
        <v>6</v>
      </c>
    </row>
    <row r="91" spans="1:29" outlineLevel="1" x14ac:dyDescent="0.3">
      <c r="A91" t="s">
        <v>73</v>
      </c>
      <c r="D91" s="17">
        <v>0.3</v>
      </c>
      <c r="O91" s="14" t="s">
        <v>7</v>
      </c>
      <c r="P91" s="33">
        <f>$O$20</f>
        <v>3</v>
      </c>
      <c r="R91" s="19">
        <f>$P91*($D$90*(1-$D$91))</f>
        <v>14700</v>
      </c>
      <c r="S91" s="19"/>
      <c r="T91" s="19"/>
      <c r="U91" s="19"/>
      <c r="V91" s="19"/>
      <c r="W91" s="19">
        <f t="shared" si="137"/>
        <v>0</v>
      </c>
      <c r="X91" s="19">
        <f t="shared" si="137"/>
        <v>1469.9999999999998</v>
      </c>
      <c r="Y91" s="19">
        <f t="shared" si="137"/>
        <v>1469.9999999999998</v>
      </c>
      <c r="Z91" s="19">
        <f t="shared" si="137"/>
        <v>1469.9999999999998</v>
      </c>
      <c r="AA91" s="19">
        <f t="shared" si="137"/>
        <v>1469.9999999999998</v>
      </c>
      <c r="AB91" s="20">
        <f t="shared" ref="AB91:AB94" si="138">SUM(R91:AA91)</f>
        <v>20580</v>
      </c>
      <c r="AC91" s="1" t="s">
        <v>7</v>
      </c>
    </row>
    <row r="92" spans="1:29" outlineLevel="1" x14ac:dyDescent="0.3">
      <c r="A92" t="s">
        <v>74</v>
      </c>
      <c r="D92" s="17">
        <v>0.1</v>
      </c>
      <c r="J92" s="63"/>
      <c r="O92" s="14" t="s">
        <v>8</v>
      </c>
      <c r="P92" s="33">
        <f>$O$21</f>
        <v>3</v>
      </c>
      <c r="R92" s="19">
        <f>$P92*($D$90*(1-$D$91))</f>
        <v>14700</v>
      </c>
      <c r="S92" s="19"/>
      <c r="T92" s="19"/>
      <c r="U92" s="19"/>
      <c r="V92" s="19"/>
      <c r="W92" s="19">
        <f t="shared" si="137"/>
        <v>0</v>
      </c>
      <c r="X92" s="19">
        <f t="shared" si="137"/>
        <v>1469.9999999999998</v>
      </c>
      <c r="Y92" s="19">
        <f t="shared" si="137"/>
        <v>1469.9999999999998</v>
      </c>
      <c r="Z92" s="19">
        <f t="shared" si="137"/>
        <v>1469.9999999999998</v>
      </c>
      <c r="AA92" s="19">
        <f t="shared" si="137"/>
        <v>1469.9999999999998</v>
      </c>
      <c r="AB92" s="20">
        <f t="shared" si="138"/>
        <v>20580</v>
      </c>
      <c r="AC92" s="1" t="s">
        <v>8</v>
      </c>
    </row>
    <row r="93" spans="1:29" outlineLevel="1" x14ac:dyDescent="0.3">
      <c r="A93" t="s">
        <v>75</v>
      </c>
      <c r="D93" s="19">
        <f>D90*D92</f>
        <v>700</v>
      </c>
      <c r="O93" s="14" t="s">
        <v>9</v>
      </c>
      <c r="P93" s="33">
        <f>$O$22</f>
        <v>5</v>
      </c>
      <c r="R93" s="19">
        <f>$P93*($D$90*(1-$D$91))</f>
        <v>24500</v>
      </c>
      <c r="S93" s="19"/>
      <c r="T93" s="19"/>
      <c r="U93" s="19"/>
      <c r="V93" s="19"/>
      <c r="W93" s="19">
        <f t="shared" si="137"/>
        <v>0</v>
      </c>
      <c r="X93" s="19">
        <f t="shared" si="137"/>
        <v>2449.9999999999995</v>
      </c>
      <c r="Y93" s="19">
        <f t="shared" si="137"/>
        <v>2449.9999999999995</v>
      </c>
      <c r="Z93" s="19">
        <f t="shared" si="137"/>
        <v>2449.9999999999995</v>
      </c>
      <c r="AA93" s="19">
        <f t="shared" si="137"/>
        <v>2449.9999999999995</v>
      </c>
      <c r="AB93" s="20">
        <f t="shared" si="138"/>
        <v>34300</v>
      </c>
      <c r="AC93" s="1" t="s">
        <v>9</v>
      </c>
    </row>
    <row r="94" spans="1:29" outlineLevel="1" x14ac:dyDescent="0.3">
      <c r="A94" t="s">
        <v>15</v>
      </c>
      <c r="D94" s="13">
        <v>2</v>
      </c>
      <c r="O94" s="14" t="s">
        <v>10</v>
      </c>
      <c r="P94" s="33">
        <f>$O$23</f>
        <v>11</v>
      </c>
      <c r="R94" s="19">
        <f>$P94*($D$90*(1-$D$91))</f>
        <v>53900</v>
      </c>
      <c r="S94" s="19"/>
      <c r="T94" s="19"/>
      <c r="U94" s="19"/>
      <c r="V94" s="19"/>
      <c r="W94" s="19">
        <f t="shared" si="137"/>
        <v>0</v>
      </c>
      <c r="X94" s="19">
        <f t="shared" si="137"/>
        <v>5389.9999999999991</v>
      </c>
      <c r="Y94" s="19">
        <f t="shared" si="137"/>
        <v>5389.9999999999991</v>
      </c>
      <c r="Z94" s="19">
        <f t="shared" si="137"/>
        <v>5389.9999999999991</v>
      </c>
      <c r="AA94" s="19">
        <f t="shared" si="137"/>
        <v>5389.9999999999991</v>
      </c>
      <c r="AB94" s="20">
        <f t="shared" si="138"/>
        <v>75460</v>
      </c>
      <c r="AC94" s="1" t="s">
        <v>10</v>
      </c>
    </row>
    <row r="95" spans="1:29" x14ac:dyDescent="0.3">
      <c r="O95" s="64" t="s">
        <v>76</v>
      </c>
      <c r="P95" s="50">
        <f>SUM(P90:P94)</f>
        <v>28</v>
      </c>
      <c r="R95" s="62">
        <f>SUM(R90:R94)</f>
        <v>137200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13719.999999999996</v>
      </c>
      <c r="Y95" s="62">
        <f t="shared" ref="Y95" si="145">SUM(Y90:Y94)</f>
        <v>13719.999999999996</v>
      </c>
      <c r="Z95" s="62">
        <f t="shared" ref="Z95" si="146">SUM(Z90:Z94)</f>
        <v>13719.999999999996</v>
      </c>
      <c r="AA95" s="62">
        <f t="shared" ref="AA95" si="147">SUM(AA90:AA94)</f>
        <v>13719.999999999996</v>
      </c>
      <c r="AB95" s="62">
        <f t="shared" ref="AB95" si="148">SUM(AB90:AB94)</f>
        <v>192080</v>
      </c>
      <c r="AC95" s="5" t="s">
        <v>19</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47</v>
      </c>
      <c r="B98" s="5"/>
      <c r="N98" s="10"/>
      <c r="O98" s="18" t="s">
        <v>17</v>
      </c>
      <c r="P98" s="18" t="s">
        <v>45</v>
      </c>
      <c r="Q98" s="18" t="s">
        <v>46</v>
      </c>
      <c r="R98" s="53">
        <v>1</v>
      </c>
      <c r="S98" s="54">
        <v>2</v>
      </c>
      <c r="T98" s="54">
        <v>3</v>
      </c>
      <c r="U98" s="54">
        <v>4</v>
      </c>
      <c r="V98" s="55">
        <v>5</v>
      </c>
      <c r="W98" s="53">
        <v>1</v>
      </c>
      <c r="X98" s="54">
        <v>2</v>
      </c>
      <c r="Y98" s="54">
        <v>3</v>
      </c>
      <c r="Z98" s="54">
        <v>4</v>
      </c>
      <c r="AA98" s="55">
        <v>5</v>
      </c>
      <c r="AB98" s="57" t="s">
        <v>19</v>
      </c>
    </row>
    <row r="99" spans="1:29" outlineLevel="2" x14ac:dyDescent="0.3">
      <c r="A99" t="s">
        <v>37</v>
      </c>
      <c r="C99" s="1" t="s">
        <v>43</v>
      </c>
      <c r="D99" s="25">
        <v>2.6</v>
      </c>
      <c r="E99" s="46" t="s">
        <v>206</v>
      </c>
      <c r="N99" s="14" t="s">
        <v>6</v>
      </c>
      <c r="O99" s="33">
        <f>$O$19</f>
        <v>6</v>
      </c>
      <c r="P99" s="37">
        <f>$O99/$D$100</f>
        <v>0.2</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3">
      <c r="A100" s="4" t="s">
        <v>36</v>
      </c>
      <c r="B100" s="4"/>
      <c r="C100" s="1"/>
      <c r="D100" s="140">
        <f>$J$5</f>
        <v>30</v>
      </c>
      <c r="N100" s="14" t="s">
        <v>7</v>
      </c>
      <c r="O100" s="33">
        <f>$O$20</f>
        <v>3</v>
      </c>
      <c r="P100" s="37">
        <f t="shared" ref="P100:P103" si="150">$O100/$D$100</f>
        <v>0.1</v>
      </c>
      <c r="Q100" s="37">
        <f t="shared" ref="Q100:Q102" si="151">$P100*$D$99</f>
        <v>0.26</v>
      </c>
      <c r="R100" s="19"/>
      <c r="S100" s="19"/>
      <c r="T100" s="19"/>
      <c r="U100" s="19"/>
      <c r="V100" s="19"/>
      <c r="W100" s="19">
        <f t="shared" ref="W100:AA103" si="152">$Q100*$D$101</f>
        <v>676</v>
      </c>
      <c r="X100" s="19">
        <f t="shared" si="152"/>
        <v>676</v>
      </c>
      <c r="Y100" s="19">
        <f t="shared" si="152"/>
        <v>676</v>
      </c>
      <c r="Z100" s="19">
        <f t="shared" si="152"/>
        <v>676</v>
      </c>
      <c r="AA100" s="19">
        <f t="shared" si="152"/>
        <v>676</v>
      </c>
      <c r="AB100" s="20">
        <f t="shared" ref="AB100:AB103" si="153">SUM(R100:AA100)</f>
        <v>3380</v>
      </c>
      <c r="AC100" s="1" t="s">
        <v>7</v>
      </c>
    </row>
    <row r="101" spans="1:29" outlineLevel="2" x14ac:dyDescent="0.3">
      <c r="A101" t="s">
        <v>38</v>
      </c>
      <c r="C101" s="1" t="s">
        <v>42</v>
      </c>
      <c r="D101" s="34">
        <v>2600</v>
      </c>
      <c r="N101" s="14" t="s">
        <v>8</v>
      </c>
      <c r="O101" s="33">
        <f>$O$21</f>
        <v>3</v>
      </c>
      <c r="P101" s="37">
        <f t="shared" si="150"/>
        <v>0.1</v>
      </c>
      <c r="Q101" s="37">
        <f t="shared" si="151"/>
        <v>0.26</v>
      </c>
      <c r="R101" s="19"/>
      <c r="S101" s="19"/>
      <c r="T101" s="19"/>
      <c r="U101" s="19"/>
      <c r="V101" s="19"/>
      <c r="W101" s="19">
        <f t="shared" si="152"/>
        <v>676</v>
      </c>
      <c r="X101" s="19">
        <f t="shared" si="152"/>
        <v>676</v>
      </c>
      <c r="Y101" s="19">
        <f t="shared" si="152"/>
        <v>676</v>
      </c>
      <c r="Z101" s="19">
        <f t="shared" si="152"/>
        <v>676</v>
      </c>
      <c r="AA101" s="19">
        <f t="shared" si="152"/>
        <v>676</v>
      </c>
      <c r="AB101" s="20">
        <f t="shared" si="153"/>
        <v>3380</v>
      </c>
      <c r="AC101" s="1" t="s">
        <v>8</v>
      </c>
    </row>
    <row r="102" spans="1:29" outlineLevel="2" x14ac:dyDescent="0.3">
      <c r="N102" s="14" t="s">
        <v>9</v>
      </c>
      <c r="O102" s="33">
        <f>$O$22</f>
        <v>5</v>
      </c>
      <c r="P102" s="37">
        <f t="shared" si="150"/>
        <v>0.16666666666666666</v>
      </c>
      <c r="Q102" s="37">
        <f t="shared" si="151"/>
        <v>0.43333333333333335</v>
      </c>
      <c r="R102" s="19"/>
      <c r="S102" s="19"/>
      <c r="T102" s="19"/>
      <c r="U102" s="19"/>
      <c r="V102" s="19"/>
      <c r="W102" s="19">
        <f t="shared" si="152"/>
        <v>1126.6666666666667</v>
      </c>
      <c r="X102" s="19">
        <f t="shared" si="152"/>
        <v>1126.6666666666667</v>
      </c>
      <c r="Y102" s="19">
        <f t="shared" si="152"/>
        <v>1126.6666666666667</v>
      </c>
      <c r="Z102" s="19">
        <f t="shared" si="152"/>
        <v>1126.6666666666667</v>
      </c>
      <c r="AA102" s="19">
        <f t="shared" si="152"/>
        <v>1126.6666666666667</v>
      </c>
      <c r="AB102" s="20">
        <f t="shared" si="153"/>
        <v>5633.3333333333339</v>
      </c>
      <c r="AC102" s="1" t="s">
        <v>9</v>
      </c>
    </row>
    <row r="103" spans="1:29" outlineLevel="2" x14ac:dyDescent="0.3">
      <c r="N103" s="14" t="s">
        <v>10</v>
      </c>
      <c r="O103" s="33">
        <f>$O$23</f>
        <v>11</v>
      </c>
      <c r="P103" s="37">
        <f t="shared" si="150"/>
        <v>0.36666666666666664</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10</v>
      </c>
    </row>
    <row r="104" spans="1:29" outlineLevel="1" x14ac:dyDescent="0.3">
      <c r="N104" s="14"/>
      <c r="O104" s="50">
        <f>SUM(O99:O103)</f>
        <v>28</v>
      </c>
      <c r="P104" s="65">
        <f>SUM(P99:P103)</f>
        <v>0.93333333333333335</v>
      </c>
      <c r="Q104" s="65">
        <f>SUM(Q99:Q103)</f>
        <v>2.9533333333333331</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7678.666666666667</v>
      </c>
      <c r="X104" s="61">
        <f t="shared" ref="X104" si="160">SUM(X99:X103)</f>
        <v>7678.666666666667</v>
      </c>
      <c r="Y104" s="61">
        <f t="shared" ref="Y104" si="161">SUM(Y99:Y103)</f>
        <v>7678.666666666667</v>
      </c>
      <c r="Z104" s="61">
        <f t="shared" ref="Z104" si="162">SUM(Z99:Z103)</f>
        <v>7678.666666666667</v>
      </c>
      <c r="AA104" s="61">
        <f t="shared" ref="AA104" si="163">SUM(AA99:AA103)</f>
        <v>7678.666666666667</v>
      </c>
      <c r="AB104" s="62">
        <f t="shared" ref="AB104" si="164">SUM(AB99:AB103)</f>
        <v>38393.333333333336</v>
      </c>
      <c r="AC104" s="5" t="s">
        <v>19</v>
      </c>
    </row>
    <row r="105" spans="1:29" ht="28.8" outlineLevel="1" x14ac:dyDescent="0.3">
      <c r="O105" s="18" t="s">
        <v>17</v>
      </c>
      <c r="P105" s="18" t="s">
        <v>45</v>
      </c>
      <c r="Q105" s="37">
        <f>ROUNDUP($P104*$D$99,0)</f>
        <v>3</v>
      </c>
      <c r="W105" s="19">
        <f>$Q104*$D$101</f>
        <v>7678.6666666666661</v>
      </c>
    </row>
    <row r="106" spans="1:29" ht="15" outlineLevel="1" thickBot="1" x14ac:dyDescent="0.35"/>
    <row r="107" spans="1:29" ht="29.4" outlineLevel="1" thickBot="1" x14ac:dyDescent="0.35">
      <c r="A107" s="5" t="s">
        <v>50</v>
      </c>
      <c r="O107" s="18" t="s">
        <v>44</v>
      </c>
      <c r="P107" s="18" t="s">
        <v>82</v>
      </c>
      <c r="R107" s="53">
        <v>1</v>
      </c>
      <c r="S107" s="54">
        <v>2</v>
      </c>
      <c r="T107" s="54">
        <v>3</v>
      </c>
      <c r="U107" s="54">
        <v>4</v>
      </c>
      <c r="V107" s="55">
        <v>5</v>
      </c>
      <c r="W107" s="53">
        <v>1</v>
      </c>
      <c r="X107" s="54">
        <v>2</v>
      </c>
      <c r="Y107" s="54">
        <v>3</v>
      </c>
      <c r="Z107" s="54">
        <v>4</v>
      </c>
      <c r="AA107" s="55">
        <v>5</v>
      </c>
      <c r="AB107" s="57" t="s">
        <v>19</v>
      </c>
    </row>
    <row r="108" spans="1:29" outlineLevel="2" x14ac:dyDescent="0.3">
      <c r="A108" t="s">
        <v>80</v>
      </c>
      <c r="C108" s="1" t="s">
        <v>41</v>
      </c>
      <c r="D108" s="35">
        <f>AVERAGE(0.056,0.065,0.052)</f>
        <v>5.7666666666666665E-2</v>
      </c>
      <c r="E108" t="s">
        <v>208</v>
      </c>
      <c r="N108" s="14" t="s">
        <v>6</v>
      </c>
      <c r="O108" s="33">
        <f>$O$19</f>
        <v>6</v>
      </c>
      <c r="P108" s="42">
        <f>$D$111*O108</f>
        <v>31535.999999999993</v>
      </c>
      <c r="R108" s="19"/>
      <c r="S108" s="19"/>
      <c r="T108" s="19"/>
      <c r="U108" s="19"/>
      <c r="V108" s="19"/>
      <c r="W108" s="19">
        <f>$P108*$D$108</f>
        <v>1818.5759999999996</v>
      </c>
      <c r="X108" s="19">
        <f t="shared" ref="X108:AA108" si="165">$P108*$D$108</f>
        <v>1818.5759999999996</v>
      </c>
      <c r="Y108" s="19">
        <f t="shared" si="165"/>
        <v>1818.5759999999996</v>
      </c>
      <c r="Z108" s="19">
        <f t="shared" si="165"/>
        <v>1818.5759999999996</v>
      </c>
      <c r="AA108" s="19">
        <f t="shared" si="165"/>
        <v>1818.5759999999996</v>
      </c>
      <c r="AB108" s="20">
        <f>SUM(R108:AA108)</f>
        <v>9092.8799999999974</v>
      </c>
      <c r="AC108" s="1" t="s">
        <v>6</v>
      </c>
    </row>
    <row r="109" spans="1:29" outlineLevel="2" x14ac:dyDescent="0.3">
      <c r="A109" t="s">
        <v>39</v>
      </c>
      <c r="C109" s="1" t="s">
        <v>40</v>
      </c>
      <c r="D109" s="17">
        <v>0.66</v>
      </c>
      <c r="N109" s="14" t="s">
        <v>7</v>
      </c>
      <c r="O109" s="33">
        <f>$O$20</f>
        <v>3</v>
      </c>
      <c r="P109" s="42">
        <f t="shared" ref="P109:P112" si="166">$D$111*O109</f>
        <v>15767.999999999996</v>
      </c>
      <c r="R109" s="19"/>
      <c r="S109" s="19"/>
      <c r="T109" s="19"/>
      <c r="U109" s="19"/>
      <c r="V109" s="19"/>
      <c r="W109" s="19">
        <f t="shared" ref="W109:AA112" si="167">$P109*$D$108</f>
        <v>909.28799999999978</v>
      </c>
      <c r="X109" s="19">
        <f t="shared" si="167"/>
        <v>909.28799999999978</v>
      </c>
      <c r="Y109" s="19">
        <f t="shared" si="167"/>
        <v>909.28799999999978</v>
      </c>
      <c r="Z109" s="19">
        <f t="shared" si="167"/>
        <v>909.28799999999978</v>
      </c>
      <c r="AA109" s="19">
        <f t="shared" si="167"/>
        <v>909.28799999999978</v>
      </c>
      <c r="AB109" s="20">
        <f t="shared" ref="AB109:AB112" si="168">SUM(R109:AA109)</f>
        <v>4546.4399999999987</v>
      </c>
      <c r="AC109" s="1" t="s">
        <v>7</v>
      </c>
    </row>
    <row r="110" spans="1:29" outlineLevel="2" x14ac:dyDescent="0.3">
      <c r="A110" t="s">
        <v>48</v>
      </c>
      <c r="C110" s="1" t="s">
        <v>49</v>
      </c>
      <c r="D110" s="101">
        <f>L5</f>
        <v>0.6</v>
      </c>
      <c r="H110" s="38"/>
      <c r="N110" s="14" t="s">
        <v>8</v>
      </c>
      <c r="O110" s="33">
        <f>$O$21</f>
        <v>3</v>
      </c>
      <c r="P110" s="42">
        <f t="shared" si="166"/>
        <v>15767.999999999996</v>
      </c>
      <c r="R110" s="19"/>
      <c r="S110" s="19"/>
      <c r="T110" s="19"/>
      <c r="U110" s="19"/>
      <c r="V110" s="19"/>
      <c r="W110" s="19">
        <f t="shared" si="167"/>
        <v>909.28799999999978</v>
      </c>
      <c r="X110" s="19">
        <f t="shared" si="167"/>
        <v>909.28799999999978</v>
      </c>
      <c r="Y110" s="19">
        <f t="shared" si="167"/>
        <v>909.28799999999978</v>
      </c>
      <c r="Z110" s="19">
        <f t="shared" si="167"/>
        <v>909.28799999999978</v>
      </c>
      <c r="AA110" s="19">
        <f t="shared" si="167"/>
        <v>909.28799999999978</v>
      </c>
      <c r="AB110" s="20">
        <f t="shared" si="168"/>
        <v>4546.4399999999987</v>
      </c>
      <c r="AC110" s="1" t="s">
        <v>8</v>
      </c>
    </row>
    <row r="111" spans="1:29" outlineLevel="2" x14ac:dyDescent="0.3">
      <c r="A111" t="s">
        <v>81</v>
      </c>
      <c r="C111" s="1" t="s">
        <v>49</v>
      </c>
      <c r="D111" s="37">
        <f>$D$110*24*365</f>
        <v>5255.9999999999991</v>
      </c>
      <c r="H111" s="37"/>
      <c r="N111" s="14" t="s">
        <v>9</v>
      </c>
      <c r="O111" s="33">
        <f>$O$22</f>
        <v>5</v>
      </c>
      <c r="P111" s="42">
        <f t="shared" si="166"/>
        <v>26279.999999999996</v>
      </c>
      <c r="R111" s="19"/>
      <c r="S111" s="19"/>
      <c r="T111" s="19"/>
      <c r="U111" s="19"/>
      <c r="V111" s="19"/>
      <c r="W111" s="19">
        <f t="shared" si="167"/>
        <v>1515.4799999999998</v>
      </c>
      <c r="X111" s="19">
        <f t="shared" si="167"/>
        <v>1515.4799999999998</v>
      </c>
      <c r="Y111" s="19">
        <f t="shared" si="167"/>
        <v>1515.4799999999998</v>
      </c>
      <c r="Z111" s="19">
        <f t="shared" si="167"/>
        <v>1515.4799999999998</v>
      </c>
      <c r="AA111" s="19">
        <f t="shared" si="167"/>
        <v>1515.4799999999998</v>
      </c>
      <c r="AB111" s="20">
        <f t="shared" si="168"/>
        <v>7577.3999999999987</v>
      </c>
      <c r="AC111" s="1" t="s">
        <v>9</v>
      </c>
    </row>
    <row r="112" spans="1:29" outlineLevel="2" x14ac:dyDescent="0.3">
      <c r="H112" s="1"/>
      <c r="N112" s="14" t="s">
        <v>10</v>
      </c>
      <c r="O112" s="33">
        <f>$O$23</f>
        <v>11</v>
      </c>
      <c r="P112" s="42">
        <f t="shared" si="166"/>
        <v>57815.999999999993</v>
      </c>
      <c r="R112" s="19"/>
      <c r="S112" s="19"/>
      <c r="T112" s="19"/>
      <c r="U112" s="19"/>
      <c r="V112" s="19"/>
      <c r="W112" s="19">
        <f t="shared" si="167"/>
        <v>3334.0559999999996</v>
      </c>
      <c r="X112" s="19">
        <f t="shared" si="167"/>
        <v>3334.0559999999996</v>
      </c>
      <c r="Y112" s="19">
        <f t="shared" si="167"/>
        <v>3334.0559999999996</v>
      </c>
      <c r="Z112" s="19">
        <f t="shared" si="167"/>
        <v>3334.0559999999996</v>
      </c>
      <c r="AA112" s="19">
        <f t="shared" si="167"/>
        <v>3334.0559999999996</v>
      </c>
      <c r="AB112" s="20">
        <f t="shared" si="168"/>
        <v>16670.28</v>
      </c>
      <c r="AC112" s="1" t="s">
        <v>10</v>
      </c>
    </row>
    <row r="113" spans="1:29" outlineLevel="1" x14ac:dyDescent="0.3">
      <c r="N113" s="14"/>
      <c r="O113" s="50">
        <f>SUM(O108:O112)</f>
        <v>28</v>
      </c>
      <c r="P113" s="66">
        <f>SUM(P108:P112)</f>
        <v>147167.99999999997</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8486.6879999999983</v>
      </c>
      <c r="X113" s="61">
        <f t="shared" ref="X113" si="175">SUM(X108:X112)</f>
        <v>8486.6879999999983</v>
      </c>
      <c r="Y113" s="61">
        <f t="shared" ref="Y113" si="176">SUM(Y108:Y112)</f>
        <v>8486.6879999999983</v>
      </c>
      <c r="Z113" s="61">
        <f t="shared" ref="Z113" si="177">SUM(Z108:Z112)</f>
        <v>8486.6879999999983</v>
      </c>
      <c r="AA113" s="61">
        <f t="shared" ref="AA113" si="178">SUM(AA108:AA112)</f>
        <v>8486.6879999999983</v>
      </c>
      <c r="AB113" s="62">
        <f t="shared" ref="AB113" si="179">SUM(AB108:AB112)</f>
        <v>42433.439999999988</v>
      </c>
      <c r="AC113" s="5" t="s">
        <v>19</v>
      </c>
    </row>
    <row r="114" spans="1:29" ht="28.8" outlineLevel="1" x14ac:dyDescent="0.3">
      <c r="O114" s="18" t="s">
        <v>44</v>
      </c>
      <c r="P114" s="18" t="s">
        <v>82</v>
      </c>
    </row>
    <row r="115" spans="1:29" outlineLevel="1" x14ac:dyDescent="0.3"/>
    <row r="116" spans="1:29" outlineLevel="1" x14ac:dyDescent="0.3">
      <c r="N116" s="14" t="s">
        <v>6</v>
      </c>
      <c r="R116" s="21">
        <f t="shared" ref="R116:AB116" si="180">R99+R108</f>
        <v>0</v>
      </c>
      <c r="S116" s="21">
        <f t="shared" si="180"/>
        <v>0</v>
      </c>
      <c r="T116" s="21">
        <f t="shared" si="180"/>
        <v>0</v>
      </c>
      <c r="U116" s="21">
        <f t="shared" si="180"/>
        <v>0</v>
      </c>
      <c r="V116" s="21">
        <f t="shared" si="180"/>
        <v>0</v>
      </c>
      <c r="W116" s="21">
        <f t="shared" si="180"/>
        <v>4418.5759999999991</v>
      </c>
      <c r="X116" s="21">
        <f t="shared" si="180"/>
        <v>4418.5759999999991</v>
      </c>
      <c r="Y116" s="21">
        <f t="shared" si="180"/>
        <v>4418.5759999999991</v>
      </c>
      <c r="Z116" s="21">
        <f t="shared" si="180"/>
        <v>4418.5759999999991</v>
      </c>
      <c r="AA116" s="21">
        <f t="shared" si="180"/>
        <v>4418.5759999999991</v>
      </c>
      <c r="AB116" s="20">
        <f t="shared" si="180"/>
        <v>22092.879999999997</v>
      </c>
      <c r="AC116" s="1" t="s">
        <v>6</v>
      </c>
    </row>
    <row r="117" spans="1:29" outlineLevel="1" x14ac:dyDescent="0.3">
      <c r="N117" s="14" t="s">
        <v>7</v>
      </c>
      <c r="R117" s="21">
        <f t="shared" ref="R117:AB117" si="181">R100+R109</f>
        <v>0</v>
      </c>
      <c r="S117" s="21">
        <f t="shared" si="181"/>
        <v>0</v>
      </c>
      <c r="T117" s="21">
        <f t="shared" si="181"/>
        <v>0</v>
      </c>
      <c r="U117" s="21">
        <f t="shared" si="181"/>
        <v>0</v>
      </c>
      <c r="V117" s="21">
        <f t="shared" si="181"/>
        <v>0</v>
      </c>
      <c r="W117" s="21">
        <f t="shared" si="181"/>
        <v>1585.2879999999998</v>
      </c>
      <c r="X117" s="21">
        <f t="shared" si="181"/>
        <v>1585.2879999999998</v>
      </c>
      <c r="Y117" s="21">
        <f t="shared" si="181"/>
        <v>1585.2879999999998</v>
      </c>
      <c r="Z117" s="21">
        <f t="shared" si="181"/>
        <v>1585.2879999999998</v>
      </c>
      <c r="AA117" s="21">
        <f t="shared" si="181"/>
        <v>1585.2879999999998</v>
      </c>
      <c r="AB117" s="20">
        <f t="shared" si="181"/>
        <v>7926.4399999999987</v>
      </c>
      <c r="AC117" s="1" t="s">
        <v>7</v>
      </c>
    </row>
    <row r="118" spans="1:29" outlineLevel="1" x14ac:dyDescent="0.3">
      <c r="N118" s="14" t="s">
        <v>8</v>
      </c>
      <c r="R118" s="21">
        <f t="shared" ref="R118:AB118" si="182">R101+R110</f>
        <v>0</v>
      </c>
      <c r="S118" s="21">
        <f t="shared" si="182"/>
        <v>0</v>
      </c>
      <c r="T118" s="21">
        <f t="shared" si="182"/>
        <v>0</v>
      </c>
      <c r="U118" s="21">
        <f t="shared" si="182"/>
        <v>0</v>
      </c>
      <c r="V118" s="21">
        <f t="shared" si="182"/>
        <v>0</v>
      </c>
      <c r="W118" s="21">
        <f t="shared" si="182"/>
        <v>1585.2879999999998</v>
      </c>
      <c r="X118" s="21">
        <f t="shared" si="182"/>
        <v>1585.2879999999998</v>
      </c>
      <c r="Y118" s="21">
        <f t="shared" si="182"/>
        <v>1585.2879999999998</v>
      </c>
      <c r="Z118" s="21">
        <f t="shared" si="182"/>
        <v>1585.2879999999998</v>
      </c>
      <c r="AA118" s="21">
        <f t="shared" si="182"/>
        <v>1585.2879999999998</v>
      </c>
      <c r="AB118" s="20">
        <f t="shared" si="182"/>
        <v>7926.4399999999987</v>
      </c>
      <c r="AC118" s="1" t="s">
        <v>8</v>
      </c>
    </row>
    <row r="119" spans="1:29" outlineLevel="1" x14ac:dyDescent="0.3">
      <c r="N119" s="14" t="s">
        <v>9</v>
      </c>
      <c r="R119" s="21">
        <f t="shared" ref="R119:AB119" si="183">R102+R111</f>
        <v>0</v>
      </c>
      <c r="S119" s="21">
        <f t="shared" si="183"/>
        <v>0</v>
      </c>
      <c r="T119" s="21">
        <f t="shared" si="183"/>
        <v>0</v>
      </c>
      <c r="U119" s="21">
        <f t="shared" si="183"/>
        <v>0</v>
      </c>
      <c r="V119" s="21">
        <f t="shared" si="183"/>
        <v>0</v>
      </c>
      <c r="W119" s="21">
        <f t="shared" si="183"/>
        <v>2642.1466666666665</v>
      </c>
      <c r="X119" s="21">
        <f t="shared" si="183"/>
        <v>2642.1466666666665</v>
      </c>
      <c r="Y119" s="21">
        <f t="shared" si="183"/>
        <v>2642.1466666666665</v>
      </c>
      <c r="Z119" s="21">
        <f t="shared" si="183"/>
        <v>2642.1466666666665</v>
      </c>
      <c r="AA119" s="21">
        <f t="shared" si="183"/>
        <v>2642.1466666666665</v>
      </c>
      <c r="AB119" s="20">
        <f t="shared" si="183"/>
        <v>13210.733333333334</v>
      </c>
      <c r="AC119" s="1" t="s">
        <v>9</v>
      </c>
    </row>
    <row r="120" spans="1:29" outlineLevel="1" x14ac:dyDescent="0.3">
      <c r="N120" s="14" t="s">
        <v>10</v>
      </c>
      <c r="R120" s="21">
        <f t="shared" ref="R120:AB120" si="184">R103+R112</f>
        <v>0</v>
      </c>
      <c r="S120" s="21">
        <f t="shared" si="184"/>
        <v>0</v>
      </c>
      <c r="T120" s="21">
        <f t="shared" si="184"/>
        <v>0</v>
      </c>
      <c r="U120" s="21">
        <f t="shared" si="184"/>
        <v>0</v>
      </c>
      <c r="V120" s="21">
        <f t="shared" si="184"/>
        <v>0</v>
      </c>
      <c r="W120" s="21">
        <f t="shared" si="184"/>
        <v>5934.0559999999996</v>
      </c>
      <c r="X120" s="21">
        <f t="shared" si="184"/>
        <v>5934.0559999999996</v>
      </c>
      <c r="Y120" s="21">
        <f t="shared" si="184"/>
        <v>5934.0559999999996</v>
      </c>
      <c r="Z120" s="21">
        <f t="shared" si="184"/>
        <v>5934.0559999999996</v>
      </c>
      <c r="AA120" s="21">
        <f t="shared" si="184"/>
        <v>5934.0559999999996</v>
      </c>
      <c r="AB120" s="20">
        <f t="shared" si="184"/>
        <v>29670.28</v>
      </c>
      <c r="AC120" s="1" t="s">
        <v>10</v>
      </c>
    </row>
    <row r="121" spans="1:29" x14ac:dyDescent="0.3">
      <c r="O121" s="39" t="s">
        <v>83</v>
      </c>
      <c r="R121" s="62">
        <f t="shared" ref="R121:AB121" si="185">R104+R113</f>
        <v>0</v>
      </c>
      <c r="S121" s="62">
        <f t="shared" si="185"/>
        <v>0</v>
      </c>
      <c r="T121" s="62">
        <f t="shared" si="185"/>
        <v>0</v>
      </c>
      <c r="U121" s="62">
        <f t="shared" si="185"/>
        <v>0</v>
      </c>
      <c r="V121" s="62">
        <f t="shared" si="185"/>
        <v>0</v>
      </c>
      <c r="W121" s="62">
        <f t="shared" si="185"/>
        <v>16165.354666666666</v>
      </c>
      <c r="X121" s="62">
        <f t="shared" si="185"/>
        <v>16165.354666666666</v>
      </c>
      <c r="Y121" s="62">
        <f t="shared" si="185"/>
        <v>16165.354666666666</v>
      </c>
      <c r="Z121" s="62">
        <f t="shared" si="185"/>
        <v>16165.354666666666</v>
      </c>
      <c r="AA121" s="62">
        <f t="shared" si="185"/>
        <v>16165.354666666666</v>
      </c>
      <c r="AB121" s="62">
        <f t="shared" si="185"/>
        <v>80826.773333333316</v>
      </c>
      <c r="AC121" s="5" t="s">
        <v>19</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107</v>
      </c>
      <c r="R124" s="62">
        <f t="shared" ref="R124:AB124" si="186">R24+R77+R86+R95+R121</f>
        <v>3548499.5</v>
      </c>
      <c r="S124" s="62">
        <f t="shared" si="186"/>
        <v>0</v>
      </c>
      <c r="T124" s="62">
        <f t="shared" si="186"/>
        <v>0</v>
      </c>
      <c r="U124" s="62">
        <f t="shared" si="186"/>
        <v>0</v>
      </c>
      <c r="V124" s="62">
        <f t="shared" si="186"/>
        <v>0</v>
      </c>
      <c r="W124" s="62">
        <f t="shared" si="186"/>
        <v>222036.98799999995</v>
      </c>
      <c r="X124" s="62">
        <f t="shared" si="186"/>
        <v>759051.22800000012</v>
      </c>
      <c r="Y124" s="62">
        <f t="shared" si="186"/>
        <v>777586.94800000009</v>
      </c>
      <c r="Z124" s="62">
        <f t="shared" si="186"/>
        <v>815699.98800000013</v>
      </c>
      <c r="AA124" s="62">
        <f t="shared" si="186"/>
        <v>815699.98800000013</v>
      </c>
      <c r="AB124" s="62">
        <f t="shared" si="186"/>
        <v>6938574.6400000006</v>
      </c>
      <c r="AC124" s="5" t="s">
        <v>19</v>
      </c>
    </row>
    <row r="125" spans="1:29" x14ac:dyDescent="0.3">
      <c r="P125" s="64" t="s">
        <v>108</v>
      </c>
      <c r="W125" s="62">
        <f>R124+W124</f>
        <v>3770536.4879999999</v>
      </c>
      <c r="X125" s="62">
        <f t="shared" ref="X125:AA125" si="187">S124+X124</f>
        <v>759051.22800000012</v>
      </c>
      <c r="Y125" s="62">
        <f t="shared" si="187"/>
        <v>777586.94800000009</v>
      </c>
      <c r="Z125" s="62">
        <f t="shared" si="187"/>
        <v>815699.98800000013</v>
      </c>
      <c r="AA125" s="62">
        <f t="shared" si="187"/>
        <v>815699.98800000013</v>
      </c>
      <c r="AB125" s="62">
        <f>SUM(W125:AA125)</f>
        <v>6938574.6399999997</v>
      </c>
    </row>
    <row r="126" spans="1:29" x14ac:dyDescent="0.3">
      <c r="P126" s="64" t="s">
        <v>109</v>
      </c>
      <c r="W126" s="62">
        <f>W125</f>
        <v>3770536.4879999999</v>
      </c>
      <c r="X126" s="62">
        <f>W126+X125</f>
        <v>4529587.716</v>
      </c>
      <c r="Y126" s="62">
        <f t="shared" ref="Y126:AA126" si="188">X126+Y125</f>
        <v>5307174.6639999999</v>
      </c>
      <c r="Z126" s="62">
        <f t="shared" si="188"/>
        <v>6122874.6519999998</v>
      </c>
      <c r="AA126" s="62">
        <f t="shared" si="188"/>
        <v>6938574.6399999997</v>
      </c>
    </row>
  </sheetData>
  <mergeCells count="2">
    <mergeCell ref="R1:V1"/>
    <mergeCell ref="W1:AA1"/>
  </mergeCells>
  <hyperlinks>
    <hyperlink ref="A11" r:id="rId1" display="javascript:__doPostBack('ctl00$ContentPlaceHolder1$ConfigMain$btnModelInfoLink','')" xr:uid="{C920D7E8-218E-4AFD-914A-32621B7E9526}"/>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tabSelected="1" zoomScale="73" zoomScaleNormal="73" workbookViewId="0">
      <pane xSplit="1" ySplit="2" topLeftCell="B3" activePane="bottomRight" state="frozen"/>
      <selection pane="topRight" activeCell="B1" sqref="B1"/>
      <selection pane="bottomLeft" activeCell="A3" sqref="A3"/>
      <selection pane="bottomRight" activeCell="D105" sqref="D105"/>
    </sheetView>
  </sheetViews>
  <sheetFormatPr defaultRowHeight="14.4" outlineLevelRow="2" outlineLevelCol="1" x14ac:dyDescent="0.3"/>
  <cols>
    <col min="1" max="1" width="89.33203125" bestFit="1"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114</v>
      </c>
      <c r="B1" s="41"/>
      <c r="E1" t="s">
        <v>196</v>
      </c>
      <c r="H1" t="s">
        <v>198</v>
      </c>
      <c r="R1" s="186" t="s">
        <v>154</v>
      </c>
      <c r="S1" s="187"/>
      <c r="T1" s="187"/>
      <c r="U1" s="187"/>
      <c r="V1" s="188"/>
      <c r="W1" s="186" t="s">
        <v>21</v>
      </c>
      <c r="X1" s="187"/>
      <c r="Y1" s="187"/>
      <c r="Z1" s="187"/>
      <c r="AA1" s="188"/>
      <c r="AB1" s="1" t="s">
        <v>66</v>
      </c>
    </row>
    <row r="2" spans="1:29" ht="18" x14ac:dyDescent="0.35">
      <c r="A2" s="40" t="s">
        <v>115</v>
      </c>
      <c r="B2" s="40"/>
      <c r="C2" t="s">
        <v>194</v>
      </c>
      <c r="D2" t="s">
        <v>195</v>
      </c>
      <c r="F2" t="s">
        <v>197</v>
      </c>
      <c r="Q2" t="s">
        <v>200</v>
      </c>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113</v>
      </c>
      <c r="C4" s="11" t="s">
        <v>20</v>
      </c>
      <c r="D4" s="11" t="s">
        <v>150</v>
      </c>
      <c r="E4" s="11" t="s">
        <v>145</v>
      </c>
      <c r="F4" s="11" t="s">
        <v>110</v>
      </c>
      <c r="G4" s="11" t="s">
        <v>22</v>
      </c>
      <c r="H4" s="11" t="s">
        <v>24</v>
      </c>
      <c r="I4" s="11" t="s">
        <v>21</v>
      </c>
      <c r="J4" s="11" t="s">
        <v>15</v>
      </c>
      <c r="K4" s="11" t="s">
        <v>16</v>
      </c>
      <c r="O4" s="11" t="s">
        <v>119</v>
      </c>
      <c r="P4" s="11" t="s">
        <v>120</v>
      </c>
      <c r="Q4" s="11" t="s">
        <v>120</v>
      </c>
      <c r="R4" s="11" t="s">
        <v>120</v>
      </c>
    </row>
    <row r="5" spans="1:29" outlineLevel="1" x14ac:dyDescent="0.3">
      <c r="A5" s="39" t="s">
        <v>143</v>
      </c>
      <c r="C5" s="21">
        <v>600000</v>
      </c>
      <c r="D5" s="21">
        <v>6</v>
      </c>
      <c r="E5" s="21">
        <v>50000</v>
      </c>
      <c r="F5" s="22">
        <v>5000</v>
      </c>
      <c r="G5" s="17">
        <v>0.3</v>
      </c>
      <c r="H5" s="32">
        <v>190</v>
      </c>
      <c r="I5" s="23">
        <v>0.1</v>
      </c>
      <c r="J5" s="22">
        <v>4</v>
      </c>
      <c r="K5" s="49">
        <v>15</v>
      </c>
      <c r="O5" s="22" t="s">
        <v>29</v>
      </c>
      <c r="P5" s="49" t="s">
        <v>27</v>
      </c>
      <c r="Q5" s="49" t="s">
        <v>122</v>
      </c>
      <c r="R5" s="49" t="s">
        <v>123</v>
      </c>
    </row>
    <row r="6" spans="1:29" outlineLevel="1" x14ac:dyDescent="0.3">
      <c r="A6" t="s">
        <v>161</v>
      </c>
      <c r="C6" s="130" t="s">
        <v>160</v>
      </c>
    </row>
    <row r="7" spans="1:29" outlineLevel="1" x14ac:dyDescent="0.3">
      <c r="C7" t="s">
        <v>193</v>
      </c>
      <c r="W7" t="s">
        <v>201</v>
      </c>
      <c r="AB7" t="s">
        <v>192</v>
      </c>
    </row>
    <row r="8" spans="1:29" ht="15" outlineLevel="1" thickBot="1" x14ac:dyDescent="0.35">
      <c r="A8" s="39" t="s">
        <v>137</v>
      </c>
      <c r="E8" s="70"/>
    </row>
    <row r="9" spans="1:29" ht="43.8" outlineLevel="1" thickBot="1" x14ac:dyDescent="0.35">
      <c r="C9" s="73" t="s">
        <v>146</v>
      </c>
      <c r="D9" s="73" t="s">
        <v>86</v>
      </c>
      <c r="E9" s="144" t="s">
        <v>85</v>
      </c>
      <c r="F9" s="148" t="s">
        <v>147</v>
      </c>
      <c r="G9" s="149" t="s">
        <v>148</v>
      </c>
      <c r="H9" s="149" t="s">
        <v>116</v>
      </c>
      <c r="I9" s="150" t="s">
        <v>117</v>
      </c>
      <c r="J9" s="10"/>
      <c r="K9" s="83" t="s">
        <v>121</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3">
      <c r="A10" s="14" t="s">
        <v>6</v>
      </c>
      <c r="C10" s="5">
        <f>sizing!D5</f>
        <v>10</v>
      </c>
      <c r="D10" t="s">
        <v>133</v>
      </c>
      <c r="E10" s="145">
        <f>sizing!F5</f>
        <v>10</v>
      </c>
      <c r="F10" s="151">
        <f>ROUNDUP(E10,0)</f>
        <v>10</v>
      </c>
      <c r="G10" s="75"/>
      <c r="H10" s="75"/>
      <c r="I10" s="152">
        <f>F10</f>
        <v>10</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3">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3">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5" outlineLevel="1" thickBot="1" x14ac:dyDescent="0.35">
      <c r="A13" s="14" t="s">
        <v>132</v>
      </c>
      <c r="D13" s="111">
        <f>sizing!L5</f>
        <v>1</v>
      </c>
      <c r="E13" s="145">
        <f>ROUNDUP($C$10*D13,0)</f>
        <v>10</v>
      </c>
      <c r="F13" s="153"/>
      <c r="G13" s="154">
        <f>C10</f>
        <v>10</v>
      </c>
      <c r="H13" s="154">
        <f>G13</f>
        <v>10</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3">
      <c r="A14" s="14" t="s">
        <v>10</v>
      </c>
      <c r="F14" s="146"/>
      <c r="G14" s="146"/>
      <c r="H14" s="147">
        <f>SUM(H10:H13)</f>
        <v>10</v>
      </c>
      <c r="I14" s="147">
        <f>SUM(I10:I13)</f>
        <v>10</v>
      </c>
      <c r="J14" s="14" t="s">
        <v>10</v>
      </c>
      <c r="K14" s="84"/>
      <c r="N14" s="14" t="s">
        <v>10</v>
      </c>
      <c r="O14" s="100"/>
      <c r="P14" s="84"/>
      <c r="Q14" s="84"/>
      <c r="R14" s="52">
        <f>($H$16+$I$16)*(1-$G$5)</f>
        <v>70000</v>
      </c>
      <c r="S14" s="19"/>
      <c r="T14" s="19"/>
      <c r="U14" s="19"/>
      <c r="V14" s="19"/>
      <c r="W14" s="52">
        <f t="shared" si="0"/>
        <v>0</v>
      </c>
      <c r="X14" s="52">
        <f t="shared" si="0"/>
        <v>0</v>
      </c>
      <c r="Y14" s="52">
        <f t="shared" si="0"/>
        <v>0</v>
      </c>
      <c r="Z14" s="52">
        <f t="shared" si="0"/>
        <v>7000</v>
      </c>
      <c r="AA14" s="52">
        <f t="shared" si="0"/>
        <v>7000</v>
      </c>
      <c r="AB14" s="20">
        <f>SUM(R14:AA14)</f>
        <v>84000</v>
      </c>
      <c r="AC14" s="1" t="s">
        <v>10</v>
      </c>
    </row>
    <row r="15" spans="1:29" outlineLevel="1" x14ac:dyDescent="0.3">
      <c r="A15" s="64" t="s">
        <v>19</v>
      </c>
      <c r="C15" s="39"/>
      <c r="E15" s="78">
        <f>SUM(E10:E14)</f>
        <v>30</v>
      </c>
      <c r="F15" s="78">
        <f>SUM(F10:F14)</f>
        <v>15</v>
      </c>
      <c r="G15" s="78">
        <f>SUM(G10:G14)</f>
        <v>15</v>
      </c>
      <c r="H15" s="78">
        <f>H14</f>
        <v>10</v>
      </c>
      <c r="I15" s="78">
        <f>I14</f>
        <v>10</v>
      </c>
      <c r="J15" s="5"/>
      <c r="K15" s="98">
        <f>SUM(K10:K14)</f>
        <v>1</v>
      </c>
      <c r="N15" s="5"/>
      <c r="O15" s="50">
        <f>SUM(O10:O14)</f>
        <v>2</v>
      </c>
      <c r="P15" s="50">
        <f>SUM(P10:P14)</f>
        <v>30</v>
      </c>
      <c r="Q15" s="50">
        <f>SUM(Q10:Q14)</f>
        <v>30</v>
      </c>
      <c r="R15" s="71">
        <f t="shared" ref="R15:AB15" si="2">SUM(R10:R14)</f>
        <v>1539999.9999999998</v>
      </c>
      <c r="S15" s="71">
        <f t="shared" si="2"/>
        <v>0</v>
      </c>
      <c r="T15" s="71">
        <f t="shared" si="2"/>
        <v>0</v>
      </c>
      <c r="U15" s="71">
        <f t="shared" si="2"/>
        <v>0</v>
      </c>
      <c r="V15" s="71">
        <f t="shared" si="2"/>
        <v>0</v>
      </c>
      <c r="W15" s="71">
        <f t="shared" si="2"/>
        <v>0</v>
      </c>
      <c r="X15" s="71">
        <f t="shared" si="2"/>
        <v>0</v>
      </c>
      <c r="Y15" s="71">
        <f t="shared" si="2"/>
        <v>0</v>
      </c>
      <c r="Z15" s="71">
        <f t="shared" si="2"/>
        <v>154000</v>
      </c>
      <c r="AA15" s="71">
        <f t="shared" si="2"/>
        <v>154000</v>
      </c>
      <c r="AB15" s="71">
        <f t="shared" si="2"/>
        <v>1848000</v>
      </c>
      <c r="AC15" s="5" t="s">
        <v>19</v>
      </c>
    </row>
    <row r="16" spans="1:29" ht="28.8" outlineLevel="1" x14ac:dyDescent="0.3">
      <c r="E16" s="143" t="s">
        <v>118</v>
      </c>
      <c r="F16" s="99">
        <f>IF($D$5&lt;F15,((F15-$D$5)*$E$5+$C$5),$C$5)</f>
        <v>1050000</v>
      </c>
      <c r="G16" s="99">
        <f>IF($D$5&lt;G15,((G15-$D$5)*$E$5+$C$5),$C$5)</f>
        <v>1050000</v>
      </c>
      <c r="H16" s="99">
        <f>($H$15*$F$5)</f>
        <v>50000</v>
      </c>
      <c r="I16" s="99">
        <f>($I$15*$F$5)</f>
        <v>50000</v>
      </c>
      <c r="O16" s="18" t="s">
        <v>17</v>
      </c>
      <c r="P16" s="18" t="s">
        <v>25</v>
      </c>
      <c r="Q16" s="18" t="s">
        <v>26</v>
      </c>
      <c r="R16" s="18" t="s">
        <v>199</v>
      </c>
    </row>
    <row r="17" spans="1:29" outlineLevel="1" x14ac:dyDescent="0.3">
      <c r="E17" t="s">
        <v>191</v>
      </c>
    </row>
    <row r="18" spans="1:29" outlineLevel="1" x14ac:dyDescent="0.3">
      <c r="F18" s="70"/>
      <c r="G18" s="70"/>
    </row>
    <row r="19" spans="1:29" outlineLevel="1" x14ac:dyDescent="0.3"/>
    <row r="20" spans="1:29" outlineLevel="1" x14ac:dyDescent="0.3"/>
    <row r="22" spans="1:29" s="60" customFormat="1" ht="28.5" customHeight="1" thickBot="1" x14ac:dyDescent="0.35">
      <c r="A22" s="58" t="s">
        <v>30</v>
      </c>
      <c r="B22" s="58"/>
      <c r="R22" s="59"/>
      <c r="S22" s="59"/>
      <c r="T22" s="59"/>
      <c r="U22" s="59"/>
      <c r="V22" s="59"/>
      <c r="W22" s="59"/>
      <c r="X22" s="59"/>
      <c r="Y22" s="59"/>
      <c r="Z22" s="59"/>
      <c r="AA22" s="59"/>
      <c r="AB22" s="59"/>
      <c r="AC22" s="59"/>
    </row>
    <row r="23" spans="1:29" ht="36.75" customHeight="1" outlineLevel="1" thickBot="1" x14ac:dyDescent="0.35">
      <c r="A23" s="48" t="s">
        <v>69</v>
      </c>
      <c r="C23" s="11" t="s">
        <v>63</v>
      </c>
      <c r="D23" s="11" t="s">
        <v>124</v>
      </c>
      <c r="E23" s="11" t="s">
        <v>62</v>
      </c>
      <c r="F23" s="11" t="s">
        <v>22</v>
      </c>
      <c r="G23" s="11" t="s">
        <v>64</v>
      </c>
      <c r="H23" s="11" t="s">
        <v>93</v>
      </c>
      <c r="I23" s="83" t="s">
        <v>94</v>
      </c>
      <c r="J23" s="83" t="s">
        <v>33</v>
      </c>
      <c r="K23" s="83" t="s">
        <v>31</v>
      </c>
      <c r="L23" s="83" t="s">
        <v>32</v>
      </c>
      <c r="O23" s="5" t="s">
        <v>96</v>
      </c>
      <c r="P23" s="11" t="s">
        <v>64</v>
      </c>
      <c r="Q23" s="10" t="s">
        <v>65</v>
      </c>
      <c r="R23" s="53">
        <v>1</v>
      </c>
      <c r="S23" s="54">
        <v>2</v>
      </c>
      <c r="T23" s="54">
        <v>3</v>
      </c>
      <c r="U23" s="54">
        <v>4</v>
      </c>
      <c r="V23" s="55">
        <v>5</v>
      </c>
      <c r="W23" s="53">
        <v>1</v>
      </c>
      <c r="X23" s="54">
        <v>2</v>
      </c>
      <c r="Y23" s="54">
        <v>3</v>
      </c>
      <c r="Z23" s="54">
        <v>4</v>
      </c>
      <c r="AA23" s="55">
        <v>5</v>
      </c>
      <c r="AB23" s="57" t="s">
        <v>19</v>
      </c>
      <c r="AC23" s="10"/>
    </row>
    <row r="24" spans="1:29" outlineLevel="2" x14ac:dyDescent="0.3">
      <c r="A24" s="12" t="s">
        <v>350</v>
      </c>
      <c r="B24" s="12"/>
      <c r="C24" s="26">
        <v>2702</v>
      </c>
      <c r="D24" s="26">
        <f>C24*0.2</f>
        <v>540.4</v>
      </c>
      <c r="E24" s="16">
        <v>3</v>
      </c>
      <c r="F24" s="17">
        <v>0.3</v>
      </c>
      <c r="G24" s="85" t="s">
        <v>31</v>
      </c>
      <c r="H24" s="85" t="s">
        <v>31</v>
      </c>
      <c r="I24" s="85">
        <v>1</v>
      </c>
      <c r="J24" s="36">
        <f>$O$10</f>
        <v>0.66666666666666663</v>
      </c>
      <c r="K24" s="36">
        <f>$P$10</f>
        <v>10</v>
      </c>
      <c r="L24" s="36">
        <f>$Q$10</f>
        <v>10</v>
      </c>
      <c r="O24">
        <f>_xlfn.XLOOKUP($H24,$J$23:$L$23,$J24:$L24)</f>
        <v>10</v>
      </c>
      <c r="P24" s="10" t="s">
        <v>31</v>
      </c>
      <c r="Q24" s="86">
        <f>I24*O24</f>
        <v>10</v>
      </c>
      <c r="R24" s="19">
        <f t="shared" ref="R24:R30" si="3">$Q24*$C24*(1-$F24)</f>
        <v>18914</v>
      </c>
      <c r="S24" s="19"/>
      <c r="T24" s="19"/>
      <c r="U24" s="19"/>
      <c r="V24" s="19"/>
      <c r="W24" s="19">
        <f t="shared" ref="W24:AA30" si="4">IF(W$9&lt;$E24,0,$Q24*$D24)*(1-$F24)</f>
        <v>0</v>
      </c>
      <c r="X24" s="19">
        <f t="shared" si="4"/>
        <v>0</v>
      </c>
      <c r="Y24" s="19">
        <f t="shared" si="4"/>
        <v>3782.7999999999997</v>
      </c>
      <c r="Z24" s="19">
        <f t="shared" si="4"/>
        <v>3782.7999999999997</v>
      </c>
      <c r="AA24" s="19">
        <f t="shared" si="4"/>
        <v>3782.7999999999997</v>
      </c>
      <c r="AB24" s="20">
        <f>SUM(R24:AA24)</f>
        <v>30262.399999999998</v>
      </c>
    </row>
    <row r="25" spans="1:29" outlineLevel="2" x14ac:dyDescent="0.3">
      <c r="A25" s="12" t="s">
        <v>329</v>
      </c>
      <c r="B25" s="12"/>
      <c r="C25" s="26">
        <v>1065</v>
      </c>
      <c r="D25" s="27">
        <f>C25*0.2</f>
        <v>213</v>
      </c>
      <c r="E25" s="16">
        <v>2</v>
      </c>
      <c r="F25" s="17">
        <v>0.3</v>
      </c>
      <c r="G25" s="85" t="s">
        <v>31</v>
      </c>
      <c r="H25" s="85" t="s">
        <v>31</v>
      </c>
      <c r="I25" s="85">
        <v>1</v>
      </c>
      <c r="J25" s="1">
        <f>J24</f>
        <v>0.66666666666666663</v>
      </c>
      <c r="K25" s="1">
        <f t="shared" ref="K25:L30" si="5">K24</f>
        <v>10</v>
      </c>
      <c r="L25" s="1">
        <f t="shared" si="5"/>
        <v>10</v>
      </c>
      <c r="O25">
        <f t="shared" ref="O25:O30" si="6">_xlfn.XLOOKUP($H25,$J$23:$L$23,$J25:$L25)</f>
        <v>10</v>
      </c>
      <c r="P25" s="10" t="s">
        <v>31</v>
      </c>
      <c r="Q25" s="86">
        <f t="shared" ref="Q25:Q30" si="7">I25*O25</f>
        <v>10</v>
      </c>
      <c r="R25" s="19">
        <f t="shared" si="3"/>
        <v>7454.9999999999991</v>
      </c>
      <c r="S25" s="19"/>
      <c r="T25" s="19"/>
      <c r="U25" s="19"/>
      <c r="V25" s="19"/>
      <c r="W25" s="19">
        <f t="shared" si="4"/>
        <v>0</v>
      </c>
      <c r="X25" s="19">
        <f t="shared" si="4"/>
        <v>1491</v>
      </c>
      <c r="Y25" s="19">
        <f t="shared" si="4"/>
        <v>1491</v>
      </c>
      <c r="Z25" s="19">
        <f t="shared" si="4"/>
        <v>1491</v>
      </c>
      <c r="AA25" s="19">
        <f t="shared" si="4"/>
        <v>1491</v>
      </c>
      <c r="AB25" s="20">
        <f t="shared" ref="AB25:AB26" si="8">SUM(R25:AA25)</f>
        <v>13419</v>
      </c>
    </row>
    <row r="26" spans="1:29" outlineLevel="2" x14ac:dyDescent="0.3">
      <c r="A26" s="12" t="s">
        <v>351</v>
      </c>
      <c r="B26" s="12"/>
      <c r="C26" s="26">
        <v>29830</v>
      </c>
      <c r="D26" s="27">
        <f>C26*0.2</f>
        <v>5966</v>
      </c>
      <c r="E26" s="16">
        <v>2</v>
      </c>
      <c r="F26" s="17">
        <v>0.3</v>
      </c>
      <c r="G26" s="85" t="s">
        <v>31</v>
      </c>
      <c r="H26" s="85" t="s">
        <v>31</v>
      </c>
      <c r="I26" s="129">
        <v>1</v>
      </c>
      <c r="J26" s="1">
        <f t="shared" ref="J26:J30" si="9">J25</f>
        <v>0.66666666666666663</v>
      </c>
      <c r="K26" s="1">
        <f t="shared" si="5"/>
        <v>10</v>
      </c>
      <c r="L26" s="1">
        <f t="shared" si="5"/>
        <v>10</v>
      </c>
      <c r="O26">
        <f t="shared" si="6"/>
        <v>10</v>
      </c>
      <c r="P26" s="10" t="s">
        <v>95</v>
      </c>
      <c r="Q26" s="86">
        <f t="shared" si="7"/>
        <v>10</v>
      </c>
      <c r="R26" s="19">
        <f t="shared" si="3"/>
        <v>208810</v>
      </c>
      <c r="S26" s="19"/>
      <c r="T26" s="19"/>
      <c r="U26" s="19"/>
      <c r="V26" s="19"/>
      <c r="W26" s="19">
        <f t="shared" si="4"/>
        <v>0</v>
      </c>
      <c r="X26" s="19">
        <f t="shared" si="4"/>
        <v>41762</v>
      </c>
      <c r="Y26" s="19">
        <f t="shared" si="4"/>
        <v>41762</v>
      </c>
      <c r="Z26" s="19">
        <f t="shared" si="4"/>
        <v>41762</v>
      </c>
      <c r="AA26" s="19">
        <f t="shared" si="4"/>
        <v>41762</v>
      </c>
      <c r="AB26" s="20">
        <f t="shared" si="8"/>
        <v>375858</v>
      </c>
    </row>
    <row r="27" spans="1:29" outlineLevel="2" x14ac:dyDescent="0.3">
      <c r="A27" s="12" t="s">
        <v>349</v>
      </c>
      <c r="B27" s="12"/>
      <c r="C27" s="26">
        <v>40489</v>
      </c>
      <c r="D27" s="27">
        <f>C27*0.2</f>
        <v>8097.8</v>
      </c>
      <c r="E27" s="16">
        <v>2</v>
      </c>
      <c r="F27" s="17">
        <v>0.3</v>
      </c>
      <c r="G27" s="85" t="s">
        <v>31</v>
      </c>
      <c r="H27" s="85" t="s">
        <v>31</v>
      </c>
      <c r="I27" s="129">
        <v>1</v>
      </c>
      <c r="J27" s="1">
        <f t="shared" si="9"/>
        <v>0.66666666666666663</v>
      </c>
      <c r="K27" s="1">
        <f t="shared" si="5"/>
        <v>10</v>
      </c>
      <c r="L27" s="1">
        <f t="shared" si="5"/>
        <v>10</v>
      </c>
      <c r="O27">
        <f t="shared" si="6"/>
        <v>10</v>
      </c>
      <c r="P27" s="10" t="s">
        <v>32</v>
      </c>
      <c r="Q27" s="86">
        <f t="shared" si="7"/>
        <v>10</v>
      </c>
      <c r="R27" s="19">
        <f t="shared" si="3"/>
        <v>283423</v>
      </c>
      <c r="S27" s="19"/>
      <c r="T27" s="19"/>
      <c r="U27" s="19"/>
      <c r="V27" s="19"/>
      <c r="W27" s="19">
        <f t="shared" si="4"/>
        <v>0</v>
      </c>
      <c r="X27" s="19">
        <f t="shared" si="4"/>
        <v>56684.6</v>
      </c>
      <c r="Y27" s="19">
        <f t="shared" si="4"/>
        <v>56684.6</v>
      </c>
      <c r="Z27" s="19">
        <f t="shared" si="4"/>
        <v>56684.6</v>
      </c>
      <c r="AA27" s="19">
        <f t="shared" si="4"/>
        <v>56684.6</v>
      </c>
      <c r="AB27" s="20">
        <f>SUM(R27:AA27)</f>
        <v>510161.39999999991</v>
      </c>
    </row>
    <row r="28" spans="1:29" outlineLevel="2" x14ac:dyDescent="0.3">
      <c r="A28" s="12" t="s">
        <v>352</v>
      </c>
      <c r="B28" s="12"/>
      <c r="C28" s="26">
        <v>14915</v>
      </c>
      <c r="D28" s="26">
        <v>3000</v>
      </c>
      <c r="E28" s="16">
        <v>1</v>
      </c>
      <c r="F28" s="17">
        <v>0.3</v>
      </c>
      <c r="G28" s="85" t="s">
        <v>31</v>
      </c>
      <c r="H28" s="85" t="s">
        <v>31</v>
      </c>
      <c r="I28" s="129">
        <v>1</v>
      </c>
      <c r="J28" s="1">
        <f t="shared" si="9"/>
        <v>0.66666666666666663</v>
      </c>
      <c r="K28" s="1">
        <f t="shared" si="5"/>
        <v>10</v>
      </c>
      <c r="L28" s="1">
        <f t="shared" si="5"/>
        <v>10</v>
      </c>
      <c r="O28">
        <f t="shared" si="6"/>
        <v>10</v>
      </c>
      <c r="P28" s="10" t="s">
        <v>32</v>
      </c>
      <c r="Q28" s="86">
        <f t="shared" si="7"/>
        <v>10</v>
      </c>
      <c r="R28" s="19">
        <f t="shared" si="3"/>
        <v>104405</v>
      </c>
      <c r="S28" s="19"/>
      <c r="T28" s="19"/>
      <c r="U28" s="19"/>
      <c r="V28" s="19"/>
      <c r="W28" s="19">
        <f t="shared" si="4"/>
        <v>21000</v>
      </c>
      <c r="X28" s="19">
        <f t="shared" si="4"/>
        <v>21000</v>
      </c>
      <c r="Y28" s="19">
        <f t="shared" si="4"/>
        <v>21000</v>
      </c>
      <c r="Z28" s="19">
        <f t="shared" si="4"/>
        <v>21000</v>
      </c>
      <c r="AA28" s="19">
        <f t="shared" si="4"/>
        <v>21000</v>
      </c>
      <c r="AB28" s="20">
        <f>SUM(R28:AA28)</f>
        <v>209405</v>
      </c>
    </row>
    <row r="29" spans="1:29" outlineLevel="2" x14ac:dyDescent="0.3">
      <c r="A29" s="12" t="s">
        <v>125</v>
      </c>
      <c r="B29" s="12"/>
      <c r="C29" s="26">
        <v>5000</v>
      </c>
      <c r="D29" s="27">
        <f>C29*0.2</f>
        <v>1000</v>
      </c>
      <c r="E29" s="16">
        <v>2</v>
      </c>
      <c r="F29" s="17">
        <v>0.4</v>
      </c>
      <c r="G29" s="85" t="s">
        <v>33</v>
      </c>
      <c r="H29" s="85" t="s">
        <v>33</v>
      </c>
      <c r="I29" s="85">
        <v>1</v>
      </c>
      <c r="J29" s="1">
        <f t="shared" si="9"/>
        <v>0.66666666666666663</v>
      </c>
      <c r="K29" s="1">
        <f t="shared" si="5"/>
        <v>10</v>
      </c>
      <c r="L29" s="1">
        <f t="shared" si="5"/>
        <v>10</v>
      </c>
      <c r="O29">
        <f t="shared" si="6"/>
        <v>0.66666666666666663</v>
      </c>
      <c r="P29" s="10" t="s">
        <v>33</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126</v>
      </c>
      <c r="B30" s="12"/>
      <c r="C30" s="26">
        <v>5000</v>
      </c>
      <c r="D30" s="27">
        <f>C30*0.2</f>
        <v>1000</v>
      </c>
      <c r="E30" s="16">
        <v>2</v>
      </c>
      <c r="F30" s="17">
        <v>0.4</v>
      </c>
      <c r="G30" s="85" t="s">
        <v>33</v>
      </c>
      <c r="H30" s="85" t="s">
        <v>33</v>
      </c>
      <c r="I30" s="85">
        <v>1</v>
      </c>
      <c r="J30" s="1">
        <f t="shared" si="9"/>
        <v>0.66666666666666663</v>
      </c>
      <c r="K30" s="1">
        <f t="shared" si="5"/>
        <v>10</v>
      </c>
      <c r="L30" s="1">
        <f t="shared" si="5"/>
        <v>10</v>
      </c>
      <c r="O30">
        <f t="shared" si="6"/>
        <v>0.66666666666666663</v>
      </c>
      <c r="P30" s="10" t="s">
        <v>33</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97</v>
      </c>
      <c r="R31" s="61">
        <f>SUM(R24:R30)</f>
        <v>627007</v>
      </c>
      <c r="S31" s="61">
        <f t="shared" ref="S31:AB31" si="11">SUM(S24:S30)</f>
        <v>0</v>
      </c>
      <c r="T31" s="61">
        <f t="shared" si="11"/>
        <v>0</v>
      </c>
      <c r="U31" s="61">
        <f t="shared" si="11"/>
        <v>0</v>
      </c>
      <c r="V31" s="61">
        <f t="shared" si="11"/>
        <v>0</v>
      </c>
      <c r="W31" s="61">
        <f t="shared" si="11"/>
        <v>21000</v>
      </c>
      <c r="X31" s="61">
        <f t="shared" si="11"/>
        <v>121737.60000000001</v>
      </c>
      <c r="Y31" s="61">
        <f t="shared" si="11"/>
        <v>125520.4</v>
      </c>
      <c r="Z31" s="61">
        <f t="shared" si="11"/>
        <v>125520.4</v>
      </c>
      <c r="AA31" s="61">
        <f t="shared" si="11"/>
        <v>125520.4</v>
      </c>
      <c r="AB31" s="62">
        <f t="shared" si="11"/>
        <v>1146305.7999999998</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62</v>
      </c>
      <c r="F33" s="11" t="s">
        <v>22</v>
      </c>
      <c r="G33" s="11" t="s">
        <v>64</v>
      </c>
      <c r="H33" s="11" t="s">
        <v>93</v>
      </c>
      <c r="I33" s="83" t="s">
        <v>94</v>
      </c>
      <c r="J33" s="83" t="s">
        <v>33</v>
      </c>
      <c r="K33" s="83" t="s">
        <v>31</v>
      </c>
      <c r="L33" s="83" t="s">
        <v>32</v>
      </c>
      <c r="O33" s="5" t="s">
        <v>96</v>
      </c>
      <c r="P33" s="11" t="s">
        <v>64</v>
      </c>
      <c r="Q33" s="10" t="s">
        <v>65</v>
      </c>
      <c r="R33" s="53">
        <v>1</v>
      </c>
      <c r="S33" s="54">
        <v>2</v>
      </c>
      <c r="T33" s="54">
        <v>3</v>
      </c>
      <c r="U33" s="54">
        <v>4</v>
      </c>
      <c r="V33" s="55">
        <v>5</v>
      </c>
      <c r="W33" s="53">
        <v>1</v>
      </c>
      <c r="X33" s="54">
        <v>2</v>
      </c>
      <c r="Y33" s="54">
        <v>3</v>
      </c>
      <c r="Z33" s="54">
        <v>4</v>
      </c>
      <c r="AA33" s="55">
        <v>5</v>
      </c>
      <c r="AB33" s="57" t="s">
        <v>19</v>
      </c>
      <c r="AC33" s="10"/>
    </row>
    <row r="34" spans="1:29" outlineLevel="2" x14ac:dyDescent="0.3">
      <c r="A34" s="24" t="str">
        <f t="shared" ref="A34:A40" si="12">A24</f>
        <v>OS - SUSE Linux Enterprise Server 15 for x86 &amp; x86-64 (Unlimited VM) - 3 Year std subscription</v>
      </c>
      <c r="B34" s="24"/>
      <c r="C34" s="27">
        <f t="shared" ref="C34:I34" si="13">C24</f>
        <v>2702</v>
      </c>
      <c r="D34" s="27">
        <f t="shared" si="13"/>
        <v>540.4</v>
      </c>
      <c r="E34" s="28">
        <f t="shared" si="13"/>
        <v>3</v>
      </c>
      <c r="F34" s="29">
        <f t="shared" si="13"/>
        <v>0.3</v>
      </c>
      <c r="G34" s="87" t="str">
        <f t="shared" si="13"/>
        <v>socket</v>
      </c>
      <c r="H34" s="87" t="str">
        <f t="shared" si="13"/>
        <v>socket</v>
      </c>
      <c r="I34" s="87">
        <f t="shared" si="13"/>
        <v>1</v>
      </c>
      <c r="J34" s="36">
        <f>$O$11</f>
        <v>0.33333333333333331</v>
      </c>
      <c r="K34" s="36">
        <f>$P$11</f>
        <v>5</v>
      </c>
      <c r="L34" s="36">
        <f>$Q$11</f>
        <v>5</v>
      </c>
      <c r="O34">
        <f>_xlfn.XLOOKUP($H34,$J$23:$L$23,$J34:$L34)</f>
        <v>5</v>
      </c>
      <c r="P34" s="10" t="s">
        <v>31</v>
      </c>
      <c r="Q34" s="86">
        <f>I34*O34</f>
        <v>5</v>
      </c>
      <c r="R34" s="19">
        <f t="shared" ref="R34:R40" si="14">$Q34*$C34*(1-$F34)</f>
        <v>9457</v>
      </c>
      <c r="S34" s="19"/>
      <c r="T34" s="19"/>
      <c r="U34" s="19"/>
      <c r="V34" s="19"/>
      <c r="W34" s="19">
        <f t="shared" ref="W34:AA40" si="15">IF(W$9&lt;$E34,0,$Q34*$D34)*(1-$F34)</f>
        <v>0</v>
      </c>
      <c r="X34" s="19">
        <f t="shared" si="15"/>
        <v>0</v>
      </c>
      <c r="Y34" s="19">
        <f t="shared" si="15"/>
        <v>1891.3999999999999</v>
      </c>
      <c r="Z34" s="19">
        <f t="shared" si="15"/>
        <v>1891.3999999999999</v>
      </c>
      <c r="AA34" s="19">
        <f t="shared" si="15"/>
        <v>1891.3999999999999</v>
      </c>
      <c r="AB34" s="20">
        <f>SUM(R34:AA34)</f>
        <v>15131.199999999999</v>
      </c>
    </row>
    <row r="35" spans="1:29" outlineLevel="2" x14ac:dyDescent="0.3">
      <c r="A35" s="24" t="str">
        <f t="shared" si="12"/>
        <v>VM - Oracle Virtual Box Perpetual License</v>
      </c>
      <c r="B35" s="24"/>
      <c r="C35" s="27">
        <f t="shared" ref="C35:F40" si="16">C25</f>
        <v>1065</v>
      </c>
      <c r="D35" s="27">
        <f t="shared" si="16"/>
        <v>213</v>
      </c>
      <c r="E35" s="28">
        <f t="shared" si="16"/>
        <v>2</v>
      </c>
      <c r="F35" s="29">
        <f t="shared" si="16"/>
        <v>0.3</v>
      </c>
      <c r="G35" s="87" t="str">
        <f t="shared" ref="G35:I35" si="17">G25</f>
        <v>socket</v>
      </c>
      <c r="H35" s="87" t="str">
        <f t="shared" si="17"/>
        <v>socket</v>
      </c>
      <c r="I35" s="87">
        <f t="shared" si="17"/>
        <v>1</v>
      </c>
      <c r="J35" s="1">
        <f>J34</f>
        <v>0.33333333333333331</v>
      </c>
      <c r="K35" s="1">
        <f t="shared" ref="K35:L40" si="18">K34</f>
        <v>5</v>
      </c>
      <c r="L35" s="1">
        <f t="shared" si="18"/>
        <v>5</v>
      </c>
      <c r="O35">
        <f t="shared" ref="O35:O40" si="19">_xlfn.XLOOKUP($H35,$J$23:$L$23,$J35:$L35)</f>
        <v>5</v>
      </c>
      <c r="P35" s="10" t="s">
        <v>31</v>
      </c>
      <c r="Q35" s="86">
        <f t="shared" ref="Q35:Q40" si="20">I35*O35</f>
        <v>5</v>
      </c>
      <c r="R35" s="19">
        <f t="shared" si="14"/>
        <v>3727.4999999999995</v>
      </c>
      <c r="S35" s="19"/>
      <c r="T35" s="19"/>
      <c r="U35" s="19"/>
      <c r="V35" s="19"/>
      <c r="W35" s="19">
        <f t="shared" si="15"/>
        <v>0</v>
      </c>
      <c r="X35" s="19">
        <f t="shared" si="15"/>
        <v>745.5</v>
      </c>
      <c r="Y35" s="19">
        <f t="shared" si="15"/>
        <v>745.5</v>
      </c>
      <c r="Z35" s="19">
        <f t="shared" si="15"/>
        <v>745.5</v>
      </c>
      <c r="AA35" s="19">
        <f t="shared" si="15"/>
        <v>745.5</v>
      </c>
      <c r="AB35" s="20">
        <f t="shared" ref="AB35:AB36" si="21">SUM(R35:AA35)</f>
        <v>6709.5</v>
      </c>
    </row>
    <row r="36" spans="1:29" outlineLevel="2" x14ac:dyDescent="0.3">
      <c r="A36" s="24" t="str">
        <f t="shared" si="12"/>
        <v>Application Server - Oracle WebLogic Server Enterprise Edition</v>
      </c>
      <c r="B36" s="24"/>
      <c r="C36" s="27">
        <f t="shared" si="16"/>
        <v>29830</v>
      </c>
      <c r="D36" s="27">
        <f t="shared" si="16"/>
        <v>5966</v>
      </c>
      <c r="E36" s="28">
        <f t="shared" si="16"/>
        <v>2</v>
      </c>
      <c r="F36" s="29">
        <f t="shared" si="16"/>
        <v>0.3</v>
      </c>
      <c r="G36" s="87" t="str">
        <f t="shared" ref="G36:I36" si="22">G26</f>
        <v>socket</v>
      </c>
      <c r="H36" s="87" t="str">
        <f t="shared" si="22"/>
        <v>socket</v>
      </c>
      <c r="I36" s="87">
        <f t="shared" si="22"/>
        <v>1</v>
      </c>
      <c r="J36" s="1">
        <f t="shared" ref="J36:J40" si="23">J35</f>
        <v>0.33333333333333331</v>
      </c>
      <c r="K36" s="1">
        <f t="shared" si="18"/>
        <v>5</v>
      </c>
      <c r="L36" s="1">
        <f t="shared" si="18"/>
        <v>5</v>
      </c>
      <c r="O36">
        <f t="shared" si="19"/>
        <v>5</v>
      </c>
      <c r="P36" s="10" t="s">
        <v>95</v>
      </c>
      <c r="Q36" s="86">
        <f t="shared" si="20"/>
        <v>5</v>
      </c>
      <c r="R36" s="19">
        <f t="shared" si="14"/>
        <v>104405</v>
      </c>
      <c r="S36" s="19"/>
      <c r="T36" s="19"/>
      <c r="U36" s="19"/>
      <c r="V36" s="19"/>
      <c r="W36" s="19">
        <f t="shared" si="15"/>
        <v>0</v>
      </c>
      <c r="X36" s="19">
        <f t="shared" si="15"/>
        <v>20881</v>
      </c>
      <c r="Y36" s="19">
        <f t="shared" si="15"/>
        <v>20881</v>
      </c>
      <c r="Z36" s="19">
        <f t="shared" si="15"/>
        <v>20881</v>
      </c>
      <c r="AA36" s="19">
        <f t="shared" si="15"/>
        <v>20881</v>
      </c>
      <c r="AB36" s="20">
        <f t="shared" si="21"/>
        <v>187929</v>
      </c>
    </row>
    <row r="37" spans="1:29" outlineLevel="2" x14ac:dyDescent="0.3">
      <c r="A37" s="24" t="str">
        <f t="shared" si="12"/>
        <v>DB - Oracle DB Enterprise Edition</v>
      </c>
      <c r="B37" s="24"/>
      <c r="C37" s="27">
        <f t="shared" si="16"/>
        <v>40489</v>
      </c>
      <c r="D37" s="27">
        <f t="shared" si="16"/>
        <v>8097.8</v>
      </c>
      <c r="E37" s="28">
        <f t="shared" si="16"/>
        <v>2</v>
      </c>
      <c r="F37" s="29">
        <f t="shared" si="16"/>
        <v>0.3</v>
      </c>
      <c r="G37" s="87" t="str">
        <f t="shared" ref="G37:I37" si="24">G27</f>
        <v>socket</v>
      </c>
      <c r="H37" s="87" t="str">
        <f t="shared" si="24"/>
        <v>socket</v>
      </c>
      <c r="I37" s="87">
        <f t="shared" si="24"/>
        <v>1</v>
      </c>
      <c r="J37" s="1">
        <f t="shared" si="23"/>
        <v>0.33333333333333331</v>
      </c>
      <c r="K37" s="1">
        <f t="shared" si="18"/>
        <v>5</v>
      </c>
      <c r="L37" s="1">
        <f t="shared" si="18"/>
        <v>5</v>
      </c>
      <c r="O37">
        <f t="shared" si="19"/>
        <v>5</v>
      </c>
      <c r="P37" s="10" t="s">
        <v>32</v>
      </c>
      <c r="Q37" s="86">
        <f t="shared" si="20"/>
        <v>5</v>
      </c>
      <c r="R37" s="19">
        <f t="shared" si="14"/>
        <v>141711.5</v>
      </c>
      <c r="S37" s="19"/>
      <c r="T37" s="19"/>
      <c r="U37" s="19"/>
      <c r="V37" s="19"/>
      <c r="W37" s="19">
        <f t="shared" si="15"/>
        <v>0</v>
      </c>
      <c r="X37" s="19">
        <f t="shared" si="15"/>
        <v>28342.3</v>
      </c>
      <c r="Y37" s="19">
        <f t="shared" si="15"/>
        <v>28342.3</v>
      </c>
      <c r="Z37" s="19">
        <f t="shared" si="15"/>
        <v>28342.3</v>
      </c>
      <c r="AA37" s="19">
        <f t="shared" si="15"/>
        <v>28342.3</v>
      </c>
      <c r="AB37" s="20">
        <f>SUM(R37:AA37)</f>
        <v>255080.69999999995</v>
      </c>
    </row>
    <row r="38" spans="1:29" outlineLevel="2" x14ac:dyDescent="0.3">
      <c r="A38" s="24" t="str">
        <f t="shared" si="12"/>
        <v>Data Replication Tools - GoldenGate For Teradata replication Services</v>
      </c>
      <c r="B38" s="24"/>
      <c r="C38" s="27">
        <f t="shared" si="16"/>
        <v>14915</v>
      </c>
      <c r="D38" s="27">
        <f t="shared" si="16"/>
        <v>3000</v>
      </c>
      <c r="E38" s="28">
        <f t="shared" si="16"/>
        <v>1</v>
      </c>
      <c r="F38" s="29">
        <f t="shared" si="16"/>
        <v>0.3</v>
      </c>
      <c r="G38" s="87" t="str">
        <f t="shared" ref="G38:I38" si="25">G28</f>
        <v>socket</v>
      </c>
      <c r="H38" s="87" t="str">
        <f t="shared" si="25"/>
        <v>socket</v>
      </c>
      <c r="I38" s="87">
        <f t="shared" si="25"/>
        <v>1</v>
      </c>
      <c r="J38" s="1">
        <f t="shared" si="23"/>
        <v>0.33333333333333331</v>
      </c>
      <c r="K38" s="1">
        <f t="shared" si="18"/>
        <v>5</v>
      </c>
      <c r="L38" s="1">
        <f t="shared" si="18"/>
        <v>5</v>
      </c>
      <c r="O38">
        <f t="shared" si="19"/>
        <v>5</v>
      </c>
      <c r="P38" s="10" t="s">
        <v>32</v>
      </c>
      <c r="Q38" s="86">
        <f t="shared" si="20"/>
        <v>5</v>
      </c>
      <c r="R38" s="19">
        <f t="shared" si="14"/>
        <v>52202.5</v>
      </c>
      <c r="S38" s="19"/>
      <c r="T38" s="19"/>
      <c r="U38" s="19"/>
      <c r="V38" s="19"/>
      <c r="W38" s="19">
        <f t="shared" si="15"/>
        <v>10500</v>
      </c>
      <c r="X38" s="19">
        <f t="shared" si="15"/>
        <v>10500</v>
      </c>
      <c r="Y38" s="19">
        <f t="shared" si="15"/>
        <v>10500</v>
      </c>
      <c r="Z38" s="19">
        <f t="shared" si="15"/>
        <v>10500</v>
      </c>
      <c r="AA38" s="19">
        <f t="shared" si="15"/>
        <v>10500</v>
      </c>
      <c r="AB38" s="20">
        <f>SUM(R38:AA38)</f>
        <v>104702.5</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33</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33</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98</v>
      </c>
      <c r="R41" s="61">
        <f>SUM(R34:R40)</f>
        <v>313503.5</v>
      </c>
      <c r="S41" s="61">
        <f t="shared" ref="S41:AB41" si="29">SUM(S34:S40)</f>
        <v>0</v>
      </c>
      <c r="T41" s="61">
        <f t="shared" si="29"/>
        <v>0</v>
      </c>
      <c r="U41" s="61">
        <f t="shared" si="29"/>
        <v>0</v>
      </c>
      <c r="V41" s="61">
        <f t="shared" si="29"/>
        <v>0</v>
      </c>
      <c r="W41" s="61">
        <f t="shared" si="29"/>
        <v>10500</v>
      </c>
      <c r="X41" s="61">
        <f t="shared" si="29"/>
        <v>60868.800000000003</v>
      </c>
      <c r="Y41" s="61">
        <f t="shared" si="29"/>
        <v>62760.2</v>
      </c>
      <c r="Z41" s="61">
        <f t="shared" si="29"/>
        <v>62760.2</v>
      </c>
      <c r="AA41" s="61">
        <f t="shared" si="29"/>
        <v>62760.2</v>
      </c>
      <c r="AB41" s="62">
        <f t="shared" si="29"/>
        <v>573152.89999999991</v>
      </c>
    </row>
    <row r="42" spans="1:29" ht="15" outlineLevel="1" thickBot="1" x14ac:dyDescent="0.35"/>
    <row r="43" spans="1:29" ht="36" customHeight="1" outlineLevel="1" thickBot="1" x14ac:dyDescent="0.35">
      <c r="A43" s="48" t="s">
        <v>8</v>
      </c>
      <c r="C43" s="11" t="s">
        <v>63</v>
      </c>
      <c r="D43" s="11" t="s">
        <v>21</v>
      </c>
      <c r="E43" s="11" t="s">
        <v>62</v>
      </c>
      <c r="F43" s="11" t="s">
        <v>22</v>
      </c>
      <c r="G43" s="11" t="s">
        <v>64</v>
      </c>
      <c r="H43" s="11" t="s">
        <v>93</v>
      </c>
      <c r="I43" s="83" t="s">
        <v>94</v>
      </c>
      <c r="J43" s="83" t="s">
        <v>33</v>
      </c>
      <c r="K43" s="83" t="s">
        <v>31</v>
      </c>
      <c r="L43" s="83" t="s">
        <v>32</v>
      </c>
      <c r="O43" s="5" t="s">
        <v>96</v>
      </c>
      <c r="P43" s="11" t="s">
        <v>64</v>
      </c>
      <c r="Q43" s="10" t="s">
        <v>65</v>
      </c>
      <c r="R43" s="53">
        <v>1</v>
      </c>
      <c r="S43" s="54">
        <v>2</v>
      </c>
      <c r="T43" s="54">
        <v>3</v>
      </c>
      <c r="U43" s="54">
        <v>4</v>
      </c>
      <c r="V43" s="55">
        <v>5</v>
      </c>
      <c r="W43" s="53">
        <v>1</v>
      </c>
      <c r="X43" s="54">
        <v>2</v>
      </c>
      <c r="Y43" s="54">
        <v>3</v>
      </c>
      <c r="Z43" s="54">
        <v>4</v>
      </c>
      <c r="AA43" s="55">
        <v>5</v>
      </c>
      <c r="AB43" s="57" t="s">
        <v>19</v>
      </c>
      <c r="AC43" s="10"/>
    </row>
    <row r="44" spans="1:29" outlineLevel="2" x14ac:dyDescent="0.3">
      <c r="A44" s="24" t="str">
        <f t="shared" ref="A44:A50" si="30">A24</f>
        <v>OS - SUSE Linux Enterprise Server 15 for x86 &amp; x86-64 (Unlimited VM) - 3 Year std subscription</v>
      </c>
      <c r="B44" s="24"/>
      <c r="C44" s="27">
        <f t="shared" ref="C44:F50" si="31">C24</f>
        <v>2702</v>
      </c>
      <c r="D44" s="27">
        <f t="shared" si="31"/>
        <v>540.4</v>
      </c>
      <c r="E44" s="28">
        <f t="shared" si="31"/>
        <v>3</v>
      </c>
      <c r="F44" s="29">
        <f t="shared" si="31"/>
        <v>0.3</v>
      </c>
      <c r="G44" s="87" t="str">
        <f>G34</f>
        <v>socket</v>
      </c>
      <c r="H44" s="87" t="str">
        <f>H34</f>
        <v>socket</v>
      </c>
      <c r="I44" s="87">
        <f>I34</f>
        <v>1</v>
      </c>
      <c r="J44" s="36">
        <f>$O$12</f>
        <v>0.33333333333333331</v>
      </c>
      <c r="K44" s="36">
        <f>$P$12</f>
        <v>5</v>
      </c>
      <c r="L44" s="36">
        <f>$Q$12</f>
        <v>5</v>
      </c>
      <c r="O44">
        <f>_xlfn.XLOOKUP($H44,$J$23:$L$23,$J44:$L44)</f>
        <v>5</v>
      </c>
      <c r="P44" s="10" t="s">
        <v>31</v>
      </c>
      <c r="Q44" s="86">
        <f>I44*O44</f>
        <v>5</v>
      </c>
      <c r="R44" s="19">
        <f t="shared" ref="R44:R50" si="32">$Q44*$C44*(1-$F44)</f>
        <v>9457</v>
      </c>
      <c r="S44" s="19"/>
      <c r="T44" s="19"/>
      <c r="U44" s="19"/>
      <c r="V44" s="19"/>
      <c r="W44" s="19">
        <f t="shared" ref="W44:AA50" si="33">IF(W$9&lt;$E44,0,$Q44*$D44)*(1-$F44)</f>
        <v>0</v>
      </c>
      <c r="X44" s="19">
        <f t="shared" si="33"/>
        <v>0</v>
      </c>
      <c r="Y44" s="19">
        <f t="shared" si="33"/>
        <v>1891.3999999999999</v>
      </c>
      <c r="Z44" s="19">
        <f t="shared" si="33"/>
        <v>1891.3999999999999</v>
      </c>
      <c r="AA44" s="19">
        <f t="shared" si="33"/>
        <v>1891.3999999999999</v>
      </c>
      <c r="AB44" s="20">
        <f>SUM(R44:AA44)</f>
        <v>15131.199999999999</v>
      </c>
    </row>
    <row r="45" spans="1:29" outlineLevel="2" x14ac:dyDescent="0.3">
      <c r="A45" s="24" t="str">
        <f t="shared" si="30"/>
        <v>VM - Oracle Virtual Box Perpetual License</v>
      </c>
      <c r="B45" s="24"/>
      <c r="C45" s="27">
        <f t="shared" si="31"/>
        <v>1065</v>
      </c>
      <c r="D45" s="27">
        <f t="shared" si="31"/>
        <v>213</v>
      </c>
      <c r="E45" s="28">
        <f t="shared" si="31"/>
        <v>2</v>
      </c>
      <c r="F45" s="29">
        <f t="shared" si="31"/>
        <v>0.3</v>
      </c>
      <c r="G45" s="87" t="str">
        <f t="shared" ref="G45:I45" si="34">G35</f>
        <v>socket</v>
      </c>
      <c r="H45" s="87" t="str">
        <f t="shared" si="34"/>
        <v>socket</v>
      </c>
      <c r="I45" s="87">
        <f t="shared" si="34"/>
        <v>1</v>
      </c>
      <c r="J45" s="1">
        <f>J44</f>
        <v>0.33333333333333331</v>
      </c>
      <c r="K45" s="1">
        <f t="shared" ref="K45:L50" si="35">K44</f>
        <v>5</v>
      </c>
      <c r="L45" s="1">
        <f t="shared" si="35"/>
        <v>5</v>
      </c>
      <c r="O45">
        <f t="shared" ref="O45:O50" si="36">_xlfn.XLOOKUP($H45,$J$23:$L$23,$J45:$L45)</f>
        <v>5</v>
      </c>
      <c r="P45" s="10" t="s">
        <v>31</v>
      </c>
      <c r="Q45" s="86">
        <f t="shared" ref="Q45:Q50" si="37">I45*O45</f>
        <v>5</v>
      </c>
      <c r="R45" s="19">
        <f t="shared" si="32"/>
        <v>3727.4999999999995</v>
      </c>
      <c r="S45" s="19"/>
      <c r="T45" s="19"/>
      <c r="U45" s="19"/>
      <c r="V45" s="19"/>
      <c r="W45" s="19">
        <f t="shared" si="33"/>
        <v>0</v>
      </c>
      <c r="X45" s="19">
        <f t="shared" si="33"/>
        <v>745.5</v>
      </c>
      <c r="Y45" s="19">
        <f t="shared" si="33"/>
        <v>745.5</v>
      </c>
      <c r="Z45" s="19">
        <f t="shared" si="33"/>
        <v>745.5</v>
      </c>
      <c r="AA45" s="19">
        <f t="shared" si="33"/>
        <v>745.5</v>
      </c>
      <c r="AB45" s="20">
        <f t="shared" ref="AB45:AB46" si="38">SUM(R45:AA45)</f>
        <v>6709.5</v>
      </c>
    </row>
    <row r="46" spans="1:29" outlineLevel="2" x14ac:dyDescent="0.3">
      <c r="A46" s="24" t="str">
        <f t="shared" si="30"/>
        <v>Application Server - Oracle WebLogic Server Enterprise Edition</v>
      </c>
      <c r="B46" s="24"/>
      <c r="C46" s="27">
        <f t="shared" si="31"/>
        <v>29830</v>
      </c>
      <c r="D46" s="27">
        <f t="shared" si="31"/>
        <v>5966</v>
      </c>
      <c r="E46" s="28">
        <f t="shared" si="31"/>
        <v>2</v>
      </c>
      <c r="F46" s="29">
        <f t="shared" si="31"/>
        <v>0.3</v>
      </c>
      <c r="G46" s="87" t="str">
        <f t="shared" ref="G46:I46" si="39">G36</f>
        <v>socket</v>
      </c>
      <c r="H46" s="87" t="str">
        <f t="shared" si="39"/>
        <v>socket</v>
      </c>
      <c r="I46" s="87">
        <f t="shared" si="39"/>
        <v>1</v>
      </c>
      <c r="J46" s="1">
        <f t="shared" ref="J46:J50" si="40">J45</f>
        <v>0.33333333333333331</v>
      </c>
      <c r="K46" s="1">
        <f t="shared" si="35"/>
        <v>5</v>
      </c>
      <c r="L46" s="1">
        <f t="shared" si="35"/>
        <v>5</v>
      </c>
      <c r="O46">
        <f t="shared" si="36"/>
        <v>5</v>
      </c>
      <c r="P46" s="10" t="s">
        <v>95</v>
      </c>
      <c r="Q46" s="86">
        <f t="shared" si="37"/>
        <v>5</v>
      </c>
      <c r="R46" s="19">
        <f t="shared" si="32"/>
        <v>104405</v>
      </c>
      <c r="S46" s="19"/>
      <c r="T46" s="19"/>
      <c r="U46" s="19"/>
      <c r="V46" s="19"/>
      <c r="W46" s="19">
        <f t="shared" si="33"/>
        <v>0</v>
      </c>
      <c r="X46" s="19">
        <f t="shared" si="33"/>
        <v>20881</v>
      </c>
      <c r="Y46" s="19">
        <f t="shared" si="33"/>
        <v>20881</v>
      </c>
      <c r="Z46" s="19">
        <f t="shared" si="33"/>
        <v>20881</v>
      </c>
      <c r="AA46" s="19">
        <f t="shared" si="33"/>
        <v>20881</v>
      </c>
      <c r="AB46" s="20">
        <f t="shared" si="38"/>
        <v>187929</v>
      </c>
    </row>
    <row r="47" spans="1:29" outlineLevel="2" x14ac:dyDescent="0.3">
      <c r="A47" s="24" t="str">
        <f t="shared" si="30"/>
        <v>DB - Oracle DB Enterprise Edition</v>
      </c>
      <c r="B47" s="24"/>
      <c r="C47" s="27">
        <f t="shared" si="31"/>
        <v>40489</v>
      </c>
      <c r="D47" s="27">
        <f t="shared" si="31"/>
        <v>8097.8</v>
      </c>
      <c r="E47" s="28">
        <f t="shared" si="31"/>
        <v>2</v>
      </c>
      <c r="F47" s="29">
        <f t="shared" si="31"/>
        <v>0.3</v>
      </c>
      <c r="G47" s="87" t="str">
        <f t="shared" ref="G47:I47" si="41">G37</f>
        <v>socket</v>
      </c>
      <c r="H47" s="87" t="str">
        <f t="shared" si="41"/>
        <v>socket</v>
      </c>
      <c r="I47" s="87">
        <f t="shared" si="41"/>
        <v>1</v>
      </c>
      <c r="J47" s="1">
        <f t="shared" si="40"/>
        <v>0.33333333333333331</v>
      </c>
      <c r="K47" s="1">
        <f t="shared" si="35"/>
        <v>5</v>
      </c>
      <c r="L47" s="1">
        <f t="shared" si="35"/>
        <v>5</v>
      </c>
      <c r="O47">
        <f t="shared" si="36"/>
        <v>5</v>
      </c>
      <c r="P47" s="10" t="s">
        <v>32</v>
      </c>
      <c r="Q47" s="86">
        <f t="shared" si="37"/>
        <v>5</v>
      </c>
      <c r="R47" s="19">
        <f t="shared" si="32"/>
        <v>141711.5</v>
      </c>
      <c r="S47" s="19"/>
      <c r="T47" s="19"/>
      <c r="U47" s="19"/>
      <c r="V47" s="19"/>
      <c r="W47" s="19">
        <f t="shared" si="33"/>
        <v>0</v>
      </c>
      <c r="X47" s="19">
        <f t="shared" si="33"/>
        <v>28342.3</v>
      </c>
      <c r="Y47" s="19">
        <f t="shared" si="33"/>
        <v>28342.3</v>
      </c>
      <c r="Z47" s="19">
        <f t="shared" si="33"/>
        <v>28342.3</v>
      </c>
      <c r="AA47" s="19">
        <f t="shared" si="33"/>
        <v>28342.3</v>
      </c>
      <c r="AB47" s="20">
        <f>SUM(R47:AA47)</f>
        <v>255080.69999999995</v>
      </c>
    </row>
    <row r="48" spans="1:29" outlineLevel="2" x14ac:dyDescent="0.3">
      <c r="A48" s="24" t="str">
        <f t="shared" si="30"/>
        <v>Data Replication Tools - GoldenGate For Teradata replication Services</v>
      </c>
      <c r="B48" s="24"/>
      <c r="C48" s="27">
        <f t="shared" si="31"/>
        <v>14915</v>
      </c>
      <c r="D48" s="27">
        <f t="shared" si="31"/>
        <v>3000</v>
      </c>
      <c r="E48" s="28">
        <f t="shared" si="31"/>
        <v>1</v>
      </c>
      <c r="F48" s="29">
        <f t="shared" si="31"/>
        <v>0.3</v>
      </c>
      <c r="G48" s="87" t="str">
        <f t="shared" ref="G48:I48" si="42">G38</f>
        <v>socket</v>
      </c>
      <c r="H48" s="87" t="str">
        <f t="shared" si="42"/>
        <v>socket</v>
      </c>
      <c r="I48" s="87">
        <f t="shared" si="42"/>
        <v>1</v>
      </c>
      <c r="J48" s="1">
        <f t="shared" si="40"/>
        <v>0.33333333333333331</v>
      </c>
      <c r="K48" s="1">
        <f t="shared" si="35"/>
        <v>5</v>
      </c>
      <c r="L48" s="1">
        <f t="shared" si="35"/>
        <v>5</v>
      </c>
      <c r="O48">
        <f t="shared" si="36"/>
        <v>5</v>
      </c>
      <c r="P48" s="10" t="s">
        <v>32</v>
      </c>
      <c r="Q48" s="86">
        <f t="shared" si="37"/>
        <v>5</v>
      </c>
      <c r="R48" s="19">
        <f t="shared" si="32"/>
        <v>52202.5</v>
      </c>
      <c r="S48" s="19"/>
      <c r="T48" s="19"/>
      <c r="U48" s="19"/>
      <c r="V48" s="19"/>
      <c r="W48" s="19">
        <f t="shared" si="33"/>
        <v>10500</v>
      </c>
      <c r="X48" s="19">
        <f t="shared" si="33"/>
        <v>10500</v>
      </c>
      <c r="Y48" s="19">
        <f t="shared" si="33"/>
        <v>10500</v>
      </c>
      <c r="Z48" s="19">
        <f t="shared" si="33"/>
        <v>10500</v>
      </c>
      <c r="AA48" s="19">
        <f t="shared" si="33"/>
        <v>10500</v>
      </c>
      <c r="AB48" s="20">
        <f>SUM(R48:AA48)</f>
        <v>104702.5</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33</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33</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313503.5</v>
      </c>
      <c r="S51" s="61">
        <f t="shared" ref="S51:AB51" si="46">SUM(S44:S50)</f>
        <v>0</v>
      </c>
      <c r="T51" s="61">
        <f t="shared" si="46"/>
        <v>0</v>
      </c>
      <c r="U51" s="61">
        <f t="shared" si="46"/>
        <v>0</v>
      </c>
      <c r="V51" s="61">
        <f t="shared" si="46"/>
        <v>0</v>
      </c>
      <c r="W51" s="61">
        <f t="shared" si="46"/>
        <v>10500</v>
      </c>
      <c r="X51" s="61">
        <f t="shared" si="46"/>
        <v>60868.800000000003</v>
      </c>
      <c r="Y51" s="61">
        <f t="shared" si="46"/>
        <v>62760.2</v>
      </c>
      <c r="Z51" s="61">
        <f t="shared" si="46"/>
        <v>62760.2</v>
      </c>
      <c r="AA51" s="61">
        <f t="shared" si="46"/>
        <v>62760.2</v>
      </c>
      <c r="AB51" s="62">
        <f t="shared" si="46"/>
        <v>573152.89999999991</v>
      </c>
    </row>
    <row r="52" spans="1:29" ht="15" outlineLevel="1" thickBot="1" x14ac:dyDescent="0.35"/>
    <row r="53" spans="1:29" ht="36.75" customHeight="1" outlineLevel="1" thickBot="1" x14ac:dyDescent="0.35">
      <c r="A53" s="48" t="s">
        <v>70</v>
      </c>
      <c r="C53" s="11" t="s">
        <v>63</v>
      </c>
      <c r="D53" s="11" t="s">
        <v>21</v>
      </c>
      <c r="E53" s="11" t="s">
        <v>62</v>
      </c>
      <c r="F53" s="11" t="s">
        <v>22</v>
      </c>
      <c r="G53" s="11" t="s">
        <v>64</v>
      </c>
      <c r="H53" s="11" t="s">
        <v>93</v>
      </c>
      <c r="I53" s="83" t="s">
        <v>94</v>
      </c>
      <c r="J53" s="83" t="s">
        <v>33</v>
      </c>
      <c r="K53" s="83" t="s">
        <v>31</v>
      </c>
      <c r="L53" s="83" t="s">
        <v>32</v>
      </c>
      <c r="O53" s="5" t="s">
        <v>96</v>
      </c>
      <c r="P53" s="11" t="s">
        <v>64</v>
      </c>
      <c r="Q53" s="10" t="s">
        <v>65</v>
      </c>
      <c r="R53" s="53">
        <v>1</v>
      </c>
      <c r="S53" s="54">
        <v>2</v>
      </c>
      <c r="T53" s="54">
        <v>3</v>
      </c>
      <c r="U53" s="54">
        <v>4</v>
      </c>
      <c r="V53" s="55">
        <v>5</v>
      </c>
      <c r="W53" s="53">
        <v>1</v>
      </c>
      <c r="X53" s="54">
        <v>2</v>
      </c>
      <c r="Y53" s="54">
        <v>3</v>
      </c>
      <c r="Z53" s="54">
        <v>4</v>
      </c>
      <c r="AA53" s="55">
        <v>5</v>
      </c>
      <c r="AB53" s="57" t="s">
        <v>19</v>
      </c>
      <c r="AC53" s="10"/>
    </row>
    <row r="54" spans="1:29" outlineLevel="2" x14ac:dyDescent="0.3">
      <c r="A54" s="24" t="str">
        <f t="shared" ref="A54:A60" si="47">A24</f>
        <v>OS - SUSE Linux Enterprise Server 15 for x86 &amp; x86-64 (Unlimited VM) - 3 Year std subscription</v>
      </c>
      <c r="B54" s="24"/>
      <c r="C54" s="27">
        <f t="shared" ref="C54:F60" si="48">C24</f>
        <v>2702</v>
      </c>
      <c r="D54" s="27">
        <f t="shared" si="48"/>
        <v>540.4</v>
      </c>
      <c r="E54" s="28">
        <f t="shared" si="48"/>
        <v>3</v>
      </c>
      <c r="F54" s="29">
        <f t="shared" si="48"/>
        <v>0.3</v>
      </c>
      <c r="G54" s="87" t="str">
        <f>G44</f>
        <v>socket</v>
      </c>
      <c r="H54" s="87" t="str">
        <f>H44</f>
        <v>socket</v>
      </c>
      <c r="I54" s="87">
        <f>I44</f>
        <v>1</v>
      </c>
      <c r="J54" s="36">
        <f>$O$13</f>
        <v>0.66666666666666663</v>
      </c>
      <c r="K54" s="36">
        <f>$P$13</f>
        <v>10</v>
      </c>
      <c r="L54" s="36">
        <f>$Q$13</f>
        <v>10</v>
      </c>
      <c r="O54">
        <f>_xlfn.XLOOKUP($H54,$J$23:$L$23,$J54:$L54)</f>
        <v>10</v>
      </c>
      <c r="P54" s="10" t="s">
        <v>31</v>
      </c>
      <c r="Q54" s="86">
        <f>I54*O54</f>
        <v>10</v>
      </c>
      <c r="R54" s="19">
        <f t="shared" ref="R54:R60" si="49">$Q54*$C54*(1-$F54)</f>
        <v>18914</v>
      </c>
      <c r="S54" s="19"/>
      <c r="T54" s="19"/>
      <c r="U54" s="19"/>
      <c r="V54" s="19"/>
      <c r="W54" s="19">
        <f t="shared" ref="W54:AA60" si="50">IF(W$9&lt;$E54,0,$Q54*$D54)*(1-$F54)</f>
        <v>0</v>
      </c>
      <c r="X54" s="19">
        <f t="shared" si="50"/>
        <v>0</v>
      </c>
      <c r="Y54" s="19">
        <f t="shared" si="50"/>
        <v>3782.7999999999997</v>
      </c>
      <c r="Z54" s="19">
        <f t="shared" si="50"/>
        <v>3782.7999999999997</v>
      </c>
      <c r="AA54" s="19">
        <f t="shared" si="50"/>
        <v>3782.7999999999997</v>
      </c>
      <c r="AB54" s="20">
        <f>SUM(R54:AA54)</f>
        <v>30262.399999999998</v>
      </c>
    </row>
    <row r="55" spans="1:29" outlineLevel="2" x14ac:dyDescent="0.3">
      <c r="A55" s="24" t="str">
        <f t="shared" si="47"/>
        <v>VM - Oracle Virtual Box Perpetual License</v>
      </c>
      <c r="B55" s="24"/>
      <c r="C55" s="27">
        <f t="shared" si="48"/>
        <v>1065</v>
      </c>
      <c r="D55" s="27">
        <f t="shared" si="48"/>
        <v>213</v>
      </c>
      <c r="E55" s="28">
        <f t="shared" si="48"/>
        <v>2</v>
      </c>
      <c r="F55" s="29">
        <f t="shared" si="48"/>
        <v>0.3</v>
      </c>
      <c r="G55" s="87" t="str">
        <f t="shared" ref="G55:I55" si="51">G45</f>
        <v>socket</v>
      </c>
      <c r="H55" s="87" t="str">
        <f t="shared" si="51"/>
        <v>socket</v>
      </c>
      <c r="I55" s="87">
        <f t="shared" si="51"/>
        <v>1</v>
      </c>
      <c r="J55" s="1">
        <f>J54</f>
        <v>0.66666666666666663</v>
      </c>
      <c r="K55" s="1">
        <f t="shared" ref="K55:L60" si="52">K54</f>
        <v>10</v>
      </c>
      <c r="L55" s="1">
        <f t="shared" si="52"/>
        <v>10</v>
      </c>
      <c r="O55">
        <f t="shared" ref="O55:O60" si="53">_xlfn.XLOOKUP($H55,$J$23:$L$23,$J55:$L55)</f>
        <v>10</v>
      </c>
      <c r="P55" s="10" t="s">
        <v>31</v>
      </c>
      <c r="Q55" s="86">
        <f t="shared" ref="Q55:Q60" si="54">I55*O55</f>
        <v>10</v>
      </c>
      <c r="R55" s="19">
        <f t="shared" si="49"/>
        <v>7454.9999999999991</v>
      </c>
      <c r="S55" s="19"/>
      <c r="T55" s="19"/>
      <c r="U55" s="19"/>
      <c r="V55" s="19"/>
      <c r="W55" s="19">
        <f t="shared" si="50"/>
        <v>0</v>
      </c>
      <c r="X55" s="19">
        <f t="shared" si="50"/>
        <v>1491</v>
      </c>
      <c r="Y55" s="19">
        <f t="shared" si="50"/>
        <v>1491</v>
      </c>
      <c r="Z55" s="19">
        <f t="shared" si="50"/>
        <v>1491</v>
      </c>
      <c r="AA55" s="19">
        <f t="shared" si="50"/>
        <v>1491</v>
      </c>
      <c r="AB55" s="20">
        <f t="shared" ref="AB55:AB56" si="55">SUM(R55:AA55)</f>
        <v>13419</v>
      </c>
    </row>
    <row r="56" spans="1:29" outlineLevel="2" x14ac:dyDescent="0.3">
      <c r="A56" s="24" t="str">
        <f t="shared" si="47"/>
        <v>Application Server - Oracle WebLogic Server Enterprise Edition</v>
      </c>
      <c r="B56" s="24"/>
      <c r="C56" s="27">
        <f t="shared" si="48"/>
        <v>29830</v>
      </c>
      <c r="D56" s="27">
        <f t="shared" si="48"/>
        <v>5966</v>
      </c>
      <c r="E56" s="28">
        <f t="shared" si="48"/>
        <v>2</v>
      </c>
      <c r="F56" s="29">
        <f t="shared" si="48"/>
        <v>0.3</v>
      </c>
      <c r="G56" s="87" t="str">
        <f t="shared" ref="G56:I56" si="56">G46</f>
        <v>socket</v>
      </c>
      <c r="H56" s="87" t="str">
        <f t="shared" si="56"/>
        <v>socket</v>
      </c>
      <c r="I56" s="87">
        <f t="shared" si="56"/>
        <v>1</v>
      </c>
      <c r="J56" s="1">
        <f t="shared" ref="J56:J60" si="57">J55</f>
        <v>0.66666666666666663</v>
      </c>
      <c r="K56" s="1">
        <f t="shared" si="52"/>
        <v>10</v>
      </c>
      <c r="L56" s="1">
        <f t="shared" si="52"/>
        <v>10</v>
      </c>
      <c r="O56">
        <f t="shared" si="53"/>
        <v>10</v>
      </c>
      <c r="P56" s="10" t="s">
        <v>95</v>
      </c>
      <c r="Q56" s="86">
        <f t="shared" si="54"/>
        <v>10</v>
      </c>
      <c r="R56" s="19">
        <f t="shared" si="49"/>
        <v>208810</v>
      </c>
      <c r="S56" s="19"/>
      <c r="T56" s="19"/>
      <c r="U56" s="19"/>
      <c r="V56" s="19"/>
      <c r="W56" s="19">
        <f t="shared" si="50"/>
        <v>0</v>
      </c>
      <c r="X56" s="19">
        <f t="shared" si="50"/>
        <v>41762</v>
      </c>
      <c r="Y56" s="19">
        <f t="shared" si="50"/>
        <v>41762</v>
      </c>
      <c r="Z56" s="19">
        <f t="shared" si="50"/>
        <v>41762</v>
      </c>
      <c r="AA56" s="19">
        <f t="shared" si="50"/>
        <v>41762</v>
      </c>
      <c r="AB56" s="20">
        <f t="shared" si="55"/>
        <v>375858</v>
      </c>
    </row>
    <row r="57" spans="1:29" outlineLevel="2" x14ac:dyDescent="0.3">
      <c r="A57" s="24" t="str">
        <f t="shared" si="47"/>
        <v>DB - Oracle DB Enterprise Edition</v>
      </c>
      <c r="B57" s="24"/>
      <c r="C57" s="27">
        <f t="shared" si="48"/>
        <v>40489</v>
      </c>
      <c r="D57" s="27">
        <f t="shared" si="48"/>
        <v>8097.8</v>
      </c>
      <c r="E57" s="28">
        <f t="shared" si="48"/>
        <v>2</v>
      </c>
      <c r="F57" s="29">
        <f t="shared" si="48"/>
        <v>0.3</v>
      </c>
      <c r="G57" s="87" t="str">
        <f t="shared" ref="G57:I57" si="58">G47</f>
        <v>socket</v>
      </c>
      <c r="H57" s="87" t="str">
        <f t="shared" si="58"/>
        <v>socket</v>
      </c>
      <c r="I57" s="87">
        <f t="shared" si="58"/>
        <v>1</v>
      </c>
      <c r="J57" s="1">
        <f t="shared" si="57"/>
        <v>0.66666666666666663</v>
      </c>
      <c r="K57" s="1">
        <f t="shared" si="52"/>
        <v>10</v>
      </c>
      <c r="L57" s="1">
        <f t="shared" si="52"/>
        <v>10</v>
      </c>
      <c r="O57">
        <f t="shared" si="53"/>
        <v>10</v>
      </c>
      <c r="P57" s="10" t="s">
        <v>32</v>
      </c>
      <c r="Q57" s="86">
        <f t="shared" si="54"/>
        <v>10</v>
      </c>
      <c r="R57" s="19">
        <f t="shared" si="49"/>
        <v>283423</v>
      </c>
      <c r="S57" s="19"/>
      <c r="T57" s="19"/>
      <c r="U57" s="19"/>
      <c r="V57" s="19"/>
      <c r="W57" s="19">
        <f t="shared" si="50"/>
        <v>0</v>
      </c>
      <c r="X57" s="19">
        <f t="shared" si="50"/>
        <v>56684.6</v>
      </c>
      <c r="Y57" s="19">
        <f t="shared" si="50"/>
        <v>56684.6</v>
      </c>
      <c r="Z57" s="19">
        <f t="shared" si="50"/>
        <v>56684.6</v>
      </c>
      <c r="AA57" s="19">
        <f t="shared" si="50"/>
        <v>56684.6</v>
      </c>
      <c r="AB57" s="20">
        <f>SUM(R57:AA57)</f>
        <v>510161.39999999991</v>
      </c>
    </row>
    <row r="58" spans="1:29" outlineLevel="2" x14ac:dyDescent="0.3">
      <c r="A58" s="24" t="str">
        <f t="shared" si="47"/>
        <v>Data Replication Tools - GoldenGate For Teradata replication Services</v>
      </c>
      <c r="B58" s="24"/>
      <c r="C58" s="27">
        <f t="shared" si="48"/>
        <v>14915</v>
      </c>
      <c r="D58" s="27">
        <f t="shared" si="48"/>
        <v>3000</v>
      </c>
      <c r="E58" s="28">
        <f t="shared" si="48"/>
        <v>1</v>
      </c>
      <c r="F58" s="29">
        <f t="shared" si="48"/>
        <v>0.3</v>
      </c>
      <c r="G58" s="87" t="str">
        <f t="shared" ref="G58:I58" si="59">G48</f>
        <v>socket</v>
      </c>
      <c r="H58" s="87" t="str">
        <f t="shared" si="59"/>
        <v>socket</v>
      </c>
      <c r="I58" s="87">
        <f t="shared" si="59"/>
        <v>1</v>
      </c>
      <c r="J58" s="1">
        <f t="shared" si="57"/>
        <v>0.66666666666666663</v>
      </c>
      <c r="K58" s="1">
        <f t="shared" si="52"/>
        <v>10</v>
      </c>
      <c r="L58" s="1">
        <f t="shared" si="52"/>
        <v>10</v>
      </c>
      <c r="O58">
        <f t="shared" si="53"/>
        <v>10</v>
      </c>
      <c r="P58" s="10" t="s">
        <v>32</v>
      </c>
      <c r="Q58" s="86">
        <f t="shared" si="54"/>
        <v>10</v>
      </c>
      <c r="R58" s="19">
        <f t="shared" si="49"/>
        <v>104405</v>
      </c>
      <c r="S58" s="19"/>
      <c r="T58" s="19"/>
      <c r="U58" s="19"/>
      <c r="V58" s="19"/>
      <c r="W58" s="19">
        <f t="shared" si="50"/>
        <v>21000</v>
      </c>
      <c r="X58" s="19">
        <f t="shared" si="50"/>
        <v>21000</v>
      </c>
      <c r="Y58" s="19">
        <f t="shared" si="50"/>
        <v>21000</v>
      </c>
      <c r="Z58" s="19">
        <f t="shared" si="50"/>
        <v>21000</v>
      </c>
      <c r="AA58" s="19">
        <f t="shared" si="50"/>
        <v>21000</v>
      </c>
      <c r="AB58" s="20">
        <f>SUM(R58:AA58)</f>
        <v>209405</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33</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33</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99</v>
      </c>
      <c r="R61" s="61">
        <f>SUM(R54:R60)</f>
        <v>627007</v>
      </c>
      <c r="S61" s="61">
        <f t="shared" ref="S61:AB61" si="63">SUM(S54:S60)</f>
        <v>0</v>
      </c>
      <c r="T61" s="61">
        <f t="shared" si="63"/>
        <v>0</v>
      </c>
      <c r="U61" s="61">
        <f t="shared" si="63"/>
        <v>0</v>
      </c>
      <c r="V61" s="61">
        <f t="shared" si="63"/>
        <v>0</v>
      </c>
      <c r="W61" s="61">
        <f t="shared" si="63"/>
        <v>21000</v>
      </c>
      <c r="X61" s="61">
        <f t="shared" si="63"/>
        <v>121737.60000000001</v>
      </c>
      <c r="Y61" s="61">
        <f t="shared" si="63"/>
        <v>125520.4</v>
      </c>
      <c r="Z61" s="61">
        <f t="shared" si="63"/>
        <v>125520.4</v>
      </c>
      <c r="AA61" s="61">
        <f t="shared" si="63"/>
        <v>125520.4</v>
      </c>
      <c r="AB61" s="62">
        <f t="shared" si="63"/>
        <v>1146305.7999999998</v>
      </c>
    </row>
    <row r="62" spans="1:29" ht="15" outlineLevel="1" thickBot="1" x14ac:dyDescent="0.35"/>
    <row r="63" spans="1:29" ht="34.5" customHeight="1" outlineLevel="1" thickBot="1" x14ac:dyDescent="0.35">
      <c r="A63" s="48" t="s">
        <v>10</v>
      </c>
      <c r="C63" s="11" t="s">
        <v>63</v>
      </c>
      <c r="D63" s="11" t="s">
        <v>21</v>
      </c>
      <c r="E63" s="11" t="s">
        <v>62</v>
      </c>
      <c r="F63" s="11" t="s">
        <v>22</v>
      </c>
      <c r="G63" s="11" t="s">
        <v>64</v>
      </c>
      <c r="H63" s="11" t="s">
        <v>93</v>
      </c>
      <c r="I63" s="83" t="s">
        <v>94</v>
      </c>
      <c r="J63" s="83" t="s">
        <v>33</v>
      </c>
      <c r="K63" s="83" t="s">
        <v>31</v>
      </c>
      <c r="L63" s="83" t="s">
        <v>32</v>
      </c>
      <c r="O63" s="5" t="s">
        <v>96</v>
      </c>
      <c r="P63" s="11" t="s">
        <v>64</v>
      </c>
      <c r="Q63" s="10" t="s">
        <v>65</v>
      </c>
      <c r="R63" s="53">
        <v>1</v>
      </c>
      <c r="S63" s="54">
        <v>2</v>
      </c>
      <c r="T63" s="54">
        <v>3</v>
      </c>
      <c r="U63" s="54">
        <v>4</v>
      </c>
      <c r="V63" s="55">
        <v>5</v>
      </c>
      <c r="W63" s="53">
        <v>1</v>
      </c>
      <c r="X63" s="54">
        <v>2</v>
      </c>
      <c r="Y63" s="54">
        <v>3</v>
      </c>
      <c r="Z63" s="54">
        <v>4</v>
      </c>
      <c r="AA63" s="55">
        <v>5</v>
      </c>
      <c r="AB63" s="57" t="s">
        <v>19</v>
      </c>
      <c r="AC63" s="10"/>
    </row>
    <row r="64" spans="1:29" outlineLevel="2" x14ac:dyDescent="0.3">
      <c r="A64" s="24" t="str">
        <f t="shared" ref="A64:A70" si="64">A24</f>
        <v>OS - SUSE Linux Enterprise Server 15 for x86 &amp; x86-64 (Unlimited VM) - 3 Year std subscription</v>
      </c>
      <c r="B64" s="24"/>
      <c r="C64" s="27">
        <f t="shared" ref="C64:F70" si="65">C24</f>
        <v>2702</v>
      </c>
      <c r="D64" s="27">
        <f t="shared" si="65"/>
        <v>540.4</v>
      </c>
      <c r="E64" s="28">
        <f t="shared" si="65"/>
        <v>3</v>
      </c>
      <c r="F64" s="29">
        <f t="shared" si="65"/>
        <v>0.3</v>
      </c>
      <c r="G64" s="87" t="str">
        <f>G54</f>
        <v>socket</v>
      </c>
      <c r="H64" s="87" t="str">
        <f>H54</f>
        <v>socket</v>
      </c>
      <c r="I64" s="87">
        <f>I54</f>
        <v>1</v>
      </c>
      <c r="J64" s="36">
        <f>$O$14</f>
        <v>0</v>
      </c>
      <c r="K64" s="36">
        <f>$P$14</f>
        <v>0</v>
      </c>
      <c r="L64" s="36">
        <f>$Q$14</f>
        <v>0</v>
      </c>
      <c r="O64">
        <f>_xlfn.XLOOKUP($H64,$J$23:$L$23,$J64:$L64)</f>
        <v>0</v>
      </c>
      <c r="P64" s="10" t="s">
        <v>31</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 - Oracle Virtual Box Perpetual License</v>
      </c>
      <c r="B65" s="24"/>
      <c r="C65" s="27">
        <f t="shared" si="65"/>
        <v>1065</v>
      </c>
      <c r="D65" s="27">
        <f t="shared" si="65"/>
        <v>213</v>
      </c>
      <c r="E65" s="28">
        <f t="shared" si="65"/>
        <v>2</v>
      </c>
      <c r="F65" s="29">
        <f t="shared" si="65"/>
        <v>0.3</v>
      </c>
      <c r="G65" s="87" t="str">
        <f t="shared" ref="G65:I65" si="68">G55</f>
        <v>socket</v>
      </c>
      <c r="H65" s="87" t="str">
        <f t="shared" si="68"/>
        <v>socket</v>
      </c>
      <c r="I65" s="87">
        <f t="shared" si="68"/>
        <v>1</v>
      </c>
      <c r="J65" s="1">
        <f>J64</f>
        <v>0</v>
      </c>
      <c r="K65" s="1">
        <f t="shared" ref="K65:L70" si="69">K64</f>
        <v>0</v>
      </c>
      <c r="L65" s="1">
        <f t="shared" si="69"/>
        <v>0</v>
      </c>
      <c r="O65">
        <f t="shared" ref="O65:O70" si="70">_xlfn.XLOOKUP($H65,$J$23:$L$23,$J65:$L65)</f>
        <v>0</v>
      </c>
      <c r="P65" s="10" t="s">
        <v>31</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 - Oracle WebLogic Server Enterprise Edition</v>
      </c>
      <c r="B66" s="24"/>
      <c r="C66" s="27">
        <f t="shared" si="65"/>
        <v>29830</v>
      </c>
      <c r="D66" s="27">
        <f t="shared" si="65"/>
        <v>5966</v>
      </c>
      <c r="E66" s="28">
        <f t="shared" si="65"/>
        <v>2</v>
      </c>
      <c r="F66" s="29">
        <f t="shared" si="65"/>
        <v>0.3</v>
      </c>
      <c r="G66" s="87" t="str">
        <f t="shared" ref="G66:I66" si="73">G56</f>
        <v>socket</v>
      </c>
      <c r="H66" s="87" t="str">
        <f t="shared" si="73"/>
        <v>socket</v>
      </c>
      <c r="I66" s="87">
        <f t="shared" si="73"/>
        <v>1</v>
      </c>
      <c r="J66" s="1">
        <f t="shared" ref="J66:J70" si="74">J65</f>
        <v>0</v>
      </c>
      <c r="K66" s="1">
        <f t="shared" si="69"/>
        <v>0</v>
      </c>
      <c r="L66" s="1">
        <f t="shared" si="69"/>
        <v>0</v>
      </c>
      <c r="O66">
        <f t="shared" si="70"/>
        <v>0</v>
      </c>
      <c r="P66" s="10" t="s">
        <v>95</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 - Oracle DB Enterprise Edition</v>
      </c>
      <c r="B67" s="24"/>
      <c r="C67" s="27">
        <f t="shared" si="65"/>
        <v>40489</v>
      </c>
      <c r="D67" s="27">
        <f t="shared" si="65"/>
        <v>8097.8</v>
      </c>
      <c r="E67" s="28">
        <f t="shared" si="65"/>
        <v>2</v>
      </c>
      <c r="F67" s="29">
        <f t="shared" si="65"/>
        <v>0.3</v>
      </c>
      <c r="G67" s="87" t="str">
        <f t="shared" ref="G67:I67" si="75">G57</f>
        <v>socket</v>
      </c>
      <c r="H67" s="87" t="str">
        <f t="shared" si="75"/>
        <v>socket</v>
      </c>
      <c r="I67" s="87">
        <f t="shared" si="75"/>
        <v>1</v>
      </c>
      <c r="J67" s="1">
        <f t="shared" si="74"/>
        <v>0</v>
      </c>
      <c r="K67" s="1">
        <f t="shared" si="69"/>
        <v>0</v>
      </c>
      <c r="L67" s="1">
        <f t="shared" si="69"/>
        <v>0</v>
      </c>
      <c r="O67">
        <f t="shared" si="70"/>
        <v>0</v>
      </c>
      <c r="P67" s="10" t="s">
        <v>32</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 - GoldenGate For Teradata replication Services</v>
      </c>
      <c r="B68" s="24"/>
      <c r="C68" s="27">
        <f t="shared" si="65"/>
        <v>14915</v>
      </c>
      <c r="D68" s="27">
        <f t="shared" si="65"/>
        <v>3000</v>
      </c>
      <c r="E68" s="28">
        <f t="shared" si="65"/>
        <v>1</v>
      </c>
      <c r="F68" s="29">
        <f t="shared" si="65"/>
        <v>0.3</v>
      </c>
      <c r="G68" s="87" t="str">
        <f t="shared" ref="G68:I68" si="76">G58</f>
        <v>socket</v>
      </c>
      <c r="H68" s="87" t="str">
        <f t="shared" si="76"/>
        <v>socket</v>
      </c>
      <c r="I68" s="87">
        <f t="shared" si="76"/>
        <v>1</v>
      </c>
      <c r="J68" s="1">
        <f t="shared" si="74"/>
        <v>0</v>
      </c>
      <c r="K68" s="1">
        <f t="shared" si="69"/>
        <v>0</v>
      </c>
      <c r="L68" s="1">
        <f t="shared" si="69"/>
        <v>0</v>
      </c>
      <c r="O68">
        <f t="shared" si="70"/>
        <v>0</v>
      </c>
      <c r="P68" s="10" t="s">
        <v>32</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33</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33</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71</v>
      </c>
      <c r="P73" s="8"/>
      <c r="R73" s="62">
        <f>R31+R41+R51+R61+R71</f>
        <v>1881021</v>
      </c>
      <c r="S73" s="62">
        <f t="shared" ref="S73:AB73" si="81">S31+S41+S51+S61+S71</f>
        <v>0</v>
      </c>
      <c r="T73" s="62">
        <f t="shared" si="81"/>
        <v>0</v>
      </c>
      <c r="U73" s="62">
        <f t="shared" si="81"/>
        <v>0</v>
      </c>
      <c r="V73" s="62">
        <f t="shared" si="81"/>
        <v>0</v>
      </c>
      <c r="W73" s="62">
        <f t="shared" si="81"/>
        <v>63000</v>
      </c>
      <c r="X73" s="62">
        <f t="shared" si="81"/>
        <v>365212.80000000005</v>
      </c>
      <c r="Y73" s="62">
        <f t="shared" si="81"/>
        <v>376561.19999999995</v>
      </c>
      <c r="Z73" s="62">
        <f t="shared" si="81"/>
        <v>376561.19999999995</v>
      </c>
      <c r="AA73" s="62">
        <f t="shared" si="81"/>
        <v>376561.19999999995</v>
      </c>
      <c r="AB73" s="62">
        <f t="shared" si="81"/>
        <v>3438917.3999999994</v>
      </c>
      <c r="AC73" s="5" t="s">
        <v>19</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17</v>
      </c>
      <c r="P76" s="7" t="s">
        <v>77</v>
      </c>
      <c r="R76" s="53">
        <v>1</v>
      </c>
      <c r="S76" s="54">
        <v>2</v>
      </c>
      <c r="T76" s="54">
        <v>3</v>
      </c>
      <c r="U76" s="54">
        <v>4</v>
      </c>
      <c r="V76" s="55">
        <v>5</v>
      </c>
      <c r="W76" s="53">
        <v>1</v>
      </c>
      <c r="X76" s="54">
        <v>2</v>
      </c>
      <c r="Y76" s="54">
        <v>3</v>
      </c>
      <c r="Z76" s="54">
        <v>4</v>
      </c>
      <c r="AA76" s="55">
        <v>5</v>
      </c>
      <c r="AB76" s="57" t="s">
        <v>19</v>
      </c>
    </row>
    <row r="77" spans="1:29" outlineLevel="1" x14ac:dyDescent="0.3">
      <c r="A77" t="s">
        <v>79</v>
      </c>
      <c r="D77" s="13">
        <v>10</v>
      </c>
      <c r="E77" t="s">
        <v>72</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34</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78</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3">
      <c r="A86" t="s">
        <v>35</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73</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74</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75</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76</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47</v>
      </c>
      <c r="B94" s="5"/>
      <c r="N94" s="10"/>
      <c r="O94" s="18" t="s">
        <v>17</v>
      </c>
      <c r="P94" s="18" t="s">
        <v>45</v>
      </c>
      <c r="Q94" s="18" t="s">
        <v>46</v>
      </c>
      <c r="R94" s="53">
        <v>1</v>
      </c>
      <c r="S94" s="54">
        <v>2</v>
      </c>
      <c r="T94" s="54">
        <v>3</v>
      </c>
      <c r="U94" s="54">
        <v>4</v>
      </c>
      <c r="V94" s="55">
        <v>5</v>
      </c>
      <c r="W94" s="53">
        <v>1</v>
      </c>
      <c r="X94" s="54">
        <v>2</v>
      </c>
      <c r="Y94" s="54">
        <v>3</v>
      </c>
      <c r="Z94" s="54">
        <v>4</v>
      </c>
      <c r="AA94" s="55">
        <v>5</v>
      </c>
      <c r="AB94" s="57" t="s">
        <v>19</v>
      </c>
    </row>
    <row r="95" spans="1:29" outlineLevel="2" x14ac:dyDescent="0.3">
      <c r="A95" t="s">
        <v>37</v>
      </c>
      <c r="C95" s="1" t="s">
        <v>43</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38</v>
      </c>
      <c r="C97" s="1" t="s">
        <v>42</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19</v>
      </c>
    </row>
    <row r="101" spans="1:29" ht="28.8" outlineLevel="1" x14ac:dyDescent="0.3">
      <c r="O101" s="18" t="s">
        <v>17</v>
      </c>
      <c r="P101" s="18" t="s">
        <v>45</v>
      </c>
      <c r="Q101" s="18" t="s">
        <v>46</v>
      </c>
    </row>
    <row r="102" spans="1:29" ht="15" outlineLevel="1" thickBot="1" x14ac:dyDescent="0.35"/>
    <row r="103" spans="1:29" ht="29.4" outlineLevel="1" thickBot="1" x14ac:dyDescent="0.35">
      <c r="A103" s="5" t="s">
        <v>50</v>
      </c>
      <c r="O103" s="18" t="s">
        <v>44</v>
      </c>
      <c r="P103" s="18" t="s">
        <v>82</v>
      </c>
      <c r="R103" s="53">
        <v>1</v>
      </c>
      <c r="S103" s="54">
        <v>2</v>
      </c>
      <c r="T103" s="54">
        <v>3</v>
      </c>
      <c r="U103" s="54">
        <v>4</v>
      </c>
      <c r="V103" s="55">
        <v>5</v>
      </c>
      <c r="W103" s="53">
        <v>1</v>
      </c>
      <c r="X103" s="54">
        <v>2</v>
      </c>
      <c r="Y103" s="54">
        <v>3</v>
      </c>
      <c r="Z103" s="54">
        <v>4</v>
      </c>
      <c r="AA103" s="55">
        <v>5</v>
      </c>
      <c r="AB103" s="57" t="s">
        <v>19</v>
      </c>
    </row>
    <row r="104" spans="1:29" outlineLevel="2" x14ac:dyDescent="0.3">
      <c r="A104" t="s">
        <v>80</v>
      </c>
      <c r="C104" s="1" t="s">
        <v>41</v>
      </c>
      <c r="D104" s="35">
        <v>0.06</v>
      </c>
      <c r="I104" s="14" t="s">
        <v>136</v>
      </c>
      <c r="J104" s="1" t="s">
        <v>49</v>
      </c>
      <c r="K104" s="114">
        <f>K5</f>
        <v>15</v>
      </c>
      <c r="N104" s="14" t="s">
        <v>6</v>
      </c>
      <c r="O104" s="33">
        <f>$O$10</f>
        <v>0.66666666666666663</v>
      </c>
      <c r="P104" s="42">
        <f>$D$107*O104</f>
        <v>6915.78947368421</v>
      </c>
      <c r="R104" s="19"/>
      <c r="S104" s="19"/>
      <c r="T104" s="19"/>
      <c r="U104" s="19"/>
      <c r="V104" s="19"/>
      <c r="W104" s="19">
        <f>$P104*$D$104</f>
        <v>414.9473684210526</v>
      </c>
      <c r="X104" s="19">
        <f t="shared" ref="X104:AA104" si="95">$P104*$D$104</f>
        <v>414.9473684210526</v>
      </c>
      <c r="Y104" s="19">
        <f t="shared" si="95"/>
        <v>414.9473684210526</v>
      </c>
      <c r="Z104" s="19">
        <f t="shared" si="95"/>
        <v>414.9473684210526</v>
      </c>
      <c r="AA104" s="19">
        <f t="shared" si="95"/>
        <v>414.9473684210526</v>
      </c>
      <c r="AB104" s="20">
        <f>SUM(R104:AA104)</f>
        <v>2074.7368421052629</v>
      </c>
      <c r="AC104" s="1" t="s">
        <v>6</v>
      </c>
    </row>
    <row r="105" spans="1:29" outlineLevel="2" x14ac:dyDescent="0.3">
      <c r="A105" t="s">
        <v>39</v>
      </c>
      <c r="C105" s="1" t="s">
        <v>40</v>
      </c>
      <c r="D105" s="17">
        <v>0.66</v>
      </c>
      <c r="I105" s="14" t="s">
        <v>149</v>
      </c>
      <c r="J105" s="1" t="s">
        <v>49</v>
      </c>
      <c r="K105" s="101">
        <f>K104/H5</f>
        <v>7.8947368421052627E-2</v>
      </c>
      <c r="N105" s="14" t="s">
        <v>7</v>
      </c>
      <c r="O105" s="33">
        <f>$O$11</f>
        <v>0.33333333333333331</v>
      </c>
      <c r="P105" s="42">
        <f>$D$107*O105</f>
        <v>3457.894736842105</v>
      </c>
      <c r="R105" s="19"/>
      <c r="S105" s="19"/>
      <c r="T105" s="19"/>
      <c r="U105" s="19"/>
      <c r="V105" s="19"/>
      <c r="W105" s="19">
        <f t="shared" ref="W105:AA108" si="96">$P105*$D$104</f>
        <v>207.4736842105263</v>
      </c>
      <c r="X105" s="19">
        <f t="shared" si="96"/>
        <v>207.4736842105263</v>
      </c>
      <c r="Y105" s="19">
        <f t="shared" si="96"/>
        <v>207.4736842105263</v>
      </c>
      <c r="Z105" s="19">
        <f t="shared" si="96"/>
        <v>207.4736842105263</v>
      </c>
      <c r="AA105" s="19">
        <f t="shared" si="96"/>
        <v>207.4736842105263</v>
      </c>
      <c r="AB105" s="20">
        <f t="shared" ref="AB105:AB108" si="97">SUM(R105:AA105)</f>
        <v>1037.3684210526314</v>
      </c>
      <c r="AC105" s="1" t="s">
        <v>7</v>
      </c>
    </row>
    <row r="106" spans="1:29" outlineLevel="2" x14ac:dyDescent="0.3">
      <c r="A106" t="s">
        <v>48</v>
      </c>
      <c r="C106" s="1" t="s">
        <v>49</v>
      </c>
      <c r="D106" s="101">
        <f>(K107*K105)</f>
        <v>1.1842105263157894</v>
      </c>
      <c r="I106" s="14"/>
      <c r="J106" s="1"/>
      <c r="N106" s="14" t="s">
        <v>8</v>
      </c>
      <c r="O106" s="33">
        <f>$O$12</f>
        <v>0.33333333333333331</v>
      </c>
      <c r="P106" s="42">
        <f>$D$107*O106</f>
        <v>3457.894736842105</v>
      </c>
      <c r="R106" s="19"/>
      <c r="S106" s="19"/>
      <c r="T106" s="19"/>
      <c r="U106" s="19"/>
      <c r="V106" s="19"/>
      <c r="W106" s="19">
        <f t="shared" si="96"/>
        <v>207.4736842105263</v>
      </c>
      <c r="X106" s="19">
        <f t="shared" si="96"/>
        <v>207.4736842105263</v>
      </c>
      <c r="Y106" s="19">
        <f t="shared" si="96"/>
        <v>207.4736842105263</v>
      </c>
      <c r="Z106" s="19">
        <f t="shared" si="96"/>
        <v>207.4736842105263</v>
      </c>
      <c r="AA106" s="19">
        <f t="shared" si="96"/>
        <v>207.4736842105263</v>
      </c>
      <c r="AB106" s="20">
        <f t="shared" si="97"/>
        <v>1037.3684210526314</v>
      </c>
      <c r="AC106" s="1" t="s">
        <v>8</v>
      </c>
    </row>
    <row r="107" spans="1:29" outlineLevel="2" x14ac:dyDescent="0.3">
      <c r="A107" t="s">
        <v>81</v>
      </c>
      <c r="C107" s="1" t="s">
        <v>49</v>
      </c>
      <c r="D107" s="102">
        <f>$D$106*24*365</f>
        <v>10373.684210526315</v>
      </c>
      <c r="I107" s="14" t="s">
        <v>155</v>
      </c>
      <c r="K107" s="33">
        <f>F15</f>
        <v>15</v>
      </c>
      <c r="N107" s="14" t="s">
        <v>9</v>
      </c>
      <c r="O107" s="33">
        <f>$O$13</f>
        <v>0.66666666666666663</v>
      </c>
      <c r="P107" s="42">
        <f>$D$107*O107</f>
        <v>6915.78947368421</v>
      </c>
      <c r="R107" s="19"/>
      <c r="S107" s="19"/>
      <c r="T107" s="19"/>
      <c r="U107" s="19"/>
      <c r="V107" s="19"/>
      <c r="W107" s="19">
        <f t="shared" si="96"/>
        <v>414.9473684210526</v>
      </c>
      <c r="X107" s="19">
        <f t="shared" si="96"/>
        <v>414.9473684210526</v>
      </c>
      <c r="Y107" s="19">
        <f t="shared" si="96"/>
        <v>414.9473684210526</v>
      </c>
      <c r="Z107" s="19">
        <f t="shared" si="96"/>
        <v>414.9473684210526</v>
      </c>
      <c r="AA107" s="19">
        <f t="shared" si="96"/>
        <v>414.9473684210526</v>
      </c>
      <c r="AB107" s="20">
        <f t="shared" si="97"/>
        <v>2074.7368421052629</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1244.8421052631579</v>
      </c>
      <c r="X109" s="61">
        <f t="shared" si="98"/>
        <v>1244.8421052631579</v>
      </c>
      <c r="Y109" s="61">
        <f t="shared" si="98"/>
        <v>1244.8421052631579</v>
      </c>
      <c r="Z109" s="61">
        <f t="shared" si="98"/>
        <v>1244.8421052631579</v>
      </c>
      <c r="AA109" s="61">
        <f t="shared" si="98"/>
        <v>1244.8421052631579</v>
      </c>
      <c r="AB109" s="62">
        <f t="shared" si="98"/>
        <v>6224.2105263157882</v>
      </c>
      <c r="AC109" s="5" t="s">
        <v>19</v>
      </c>
    </row>
    <row r="110" spans="1:29" ht="28.8" outlineLevel="1" x14ac:dyDescent="0.3">
      <c r="O110" s="18" t="s">
        <v>44</v>
      </c>
      <c r="P110" s="18" t="s">
        <v>82</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5268.2807017543864</v>
      </c>
      <c r="X121" s="21">
        <f t="shared" si="99"/>
        <v>5268.2807017543864</v>
      </c>
      <c r="Y121" s="21">
        <f t="shared" si="99"/>
        <v>5268.2807017543864</v>
      </c>
      <c r="Z121" s="21">
        <f t="shared" si="99"/>
        <v>5268.2807017543864</v>
      </c>
      <c r="AA121" s="21">
        <f t="shared" si="99"/>
        <v>5268.2807017543864</v>
      </c>
      <c r="AB121" s="20">
        <f t="shared" si="99"/>
        <v>26341.403508771935</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2634.1403508771932</v>
      </c>
      <c r="X122" s="21">
        <f t="shared" si="100"/>
        <v>2634.1403508771932</v>
      </c>
      <c r="Y122" s="21">
        <f t="shared" si="100"/>
        <v>2634.1403508771932</v>
      </c>
      <c r="Z122" s="21">
        <f t="shared" si="100"/>
        <v>2634.1403508771932</v>
      </c>
      <c r="AA122" s="21">
        <f t="shared" si="100"/>
        <v>2634.1403508771932</v>
      </c>
      <c r="AB122" s="20">
        <f>AB96+AB105+AB114</f>
        <v>13170.701754385967</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2634.1403508771932</v>
      </c>
      <c r="X123" s="21">
        <f t="shared" si="101"/>
        <v>2634.1403508771932</v>
      </c>
      <c r="Y123" s="21">
        <f t="shared" si="101"/>
        <v>2634.1403508771932</v>
      </c>
      <c r="Z123" s="21">
        <f t="shared" si="101"/>
        <v>2634.1403508771932</v>
      </c>
      <c r="AA123" s="21">
        <f t="shared" si="101"/>
        <v>2634.1403508771932</v>
      </c>
      <c r="AB123" s="20">
        <f t="shared" si="101"/>
        <v>13170.701754385967</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5268.2807017543864</v>
      </c>
      <c r="X124" s="21">
        <f t="shared" si="102"/>
        <v>5268.2807017543864</v>
      </c>
      <c r="Y124" s="21">
        <f t="shared" si="102"/>
        <v>5268.2807017543864</v>
      </c>
      <c r="Z124" s="21">
        <f t="shared" si="102"/>
        <v>5268.2807017543864</v>
      </c>
      <c r="AA124" s="21">
        <f t="shared" si="102"/>
        <v>5268.2807017543864</v>
      </c>
      <c r="AB124" s="20">
        <f t="shared" si="102"/>
        <v>26341.403508771935</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83</v>
      </c>
      <c r="R126" s="62">
        <f t="shared" ref="R126:AB126" si="104">R100+R109+R118</f>
        <v>0</v>
      </c>
      <c r="S126" s="62">
        <f t="shared" si="104"/>
        <v>0</v>
      </c>
      <c r="T126" s="62">
        <f t="shared" si="104"/>
        <v>0</v>
      </c>
      <c r="U126" s="62">
        <f t="shared" si="104"/>
        <v>0</v>
      </c>
      <c r="V126" s="62">
        <f t="shared" si="104"/>
        <v>0</v>
      </c>
      <c r="W126" s="62">
        <f t="shared" si="104"/>
        <v>15804.84210526316</v>
      </c>
      <c r="X126" s="62">
        <f t="shared" si="104"/>
        <v>15804.84210526316</v>
      </c>
      <c r="Y126" s="62">
        <f t="shared" si="104"/>
        <v>15804.84210526316</v>
      </c>
      <c r="Z126" s="62">
        <f t="shared" si="104"/>
        <v>15804.84210526316</v>
      </c>
      <c r="AA126" s="62">
        <f t="shared" si="104"/>
        <v>15804.84210526316</v>
      </c>
      <c r="AB126" s="62">
        <f t="shared" si="104"/>
        <v>79024.210526315801</v>
      </c>
      <c r="AC126" s="5" t="s">
        <v>19</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107</v>
      </c>
      <c r="R129" s="62">
        <f t="shared" ref="R129:AB129" si="105">R15+R73+R82+R91+R126</f>
        <v>3440621</v>
      </c>
      <c r="S129" s="62">
        <f t="shared" si="105"/>
        <v>0</v>
      </c>
      <c r="T129" s="62">
        <f t="shared" si="105"/>
        <v>0</v>
      </c>
      <c r="U129" s="62">
        <f t="shared" si="105"/>
        <v>0</v>
      </c>
      <c r="V129" s="62">
        <f t="shared" si="105"/>
        <v>0</v>
      </c>
      <c r="W129" s="62">
        <f t="shared" si="105"/>
        <v>98804.84210526316</v>
      </c>
      <c r="X129" s="62">
        <f t="shared" si="105"/>
        <v>402977.64210526319</v>
      </c>
      <c r="Y129" s="62">
        <f t="shared" si="105"/>
        <v>414326.0421052631</v>
      </c>
      <c r="Z129" s="62">
        <f t="shared" si="105"/>
        <v>568326.0421052631</v>
      </c>
      <c r="AA129" s="62">
        <f t="shared" si="105"/>
        <v>568326.0421052631</v>
      </c>
      <c r="AB129" s="62">
        <f t="shared" si="105"/>
        <v>5493381.6105263149</v>
      </c>
      <c r="AC129" s="5" t="s">
        <v>19</v>
      </c>
    </row>
    <row r="130" spans="16:29" x14ac:dyDescent="0.3">
      <c r="P130" s="64" t="s">
        <v>108</v>
      </c>
      <c r="W130" s="62">
        <f>R129+W129</f>
        <v>3539425.8421052634</v>
      </c>
      <c r="X130" s="62">
        <f t="shared" ref="X130:AA130" si="106">S129+X129</f>
        <v>402977.64210526319</v>
      </c>
      <c r="Y130" s="62">
        <f t="shared" si="106"/>
        <v>414326.0421052631</v>
      </c>
      <c r="Z130" s="62">
        <f t="shared" si="106"/>
        <v>568326.0421052631</v>
      </c>
      <c r="AA130" s="62">
        <f t="shared" si="106"/>
        <v>568326.0421052631</v>
      </c>
      <c r="AB130" s="62">
        <f>SUM(W130:AA130)</f>
        <v>5493381.6105263159</v>
      </c>
    </row>
    <row r="131" spans="16:29" x14ac:dyDescent="0.3">
      <c r="P131" s="64" t="s">
        <v>109</v>
      </c>
      <c r="W131" s="62">
        <f>W130</f>
        <v>3539425.8421052634</v>
      </c>
      <c r="X131" s="62">
        <f>W131+X130</f>
        <v>3942403.4842105266</v>
      </c>
      <c r="Y131" s="62">
        <f t="shared" ref="Y131:AA131" si="107">X131+Y130</f>
        <v>4356729.5263157897</v>
      </c>
      <c r="Z131" s="62">
        <f t="shared" si="107"/>
        <v>4925055.5684210528</v>
      </c>
      <c r="AA131" s="62">
        <f t="shared" si="107"/>
        <v>5493381.6105263159</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84" workbookViewId="0">
      <pane xSplit="2" ySplit="4" topLeftCell="C11" activePane="bottomRight" state="frozen"/>
      <selection pane="topRight" activeCell="C1" sqref="C1"/>
      <selection pane="bottomLeft" activeCell="A4" sqref="A4"/>
      <selection pane="bottomRight" activeCell="G37" sqref="G37"/>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s>
  <sheetData>
    <row r="1" spans="1:17" x14ac:dyDescent="0.3">
      <c r="B1" s="122" t="s">
        <v>139</v>
      </c>
      <c r="C1" s="123">
        <f>sizing!C2</f>
        <v>2000</v>
      </c>
    </row>
    <row r="3" spans="1:17" s="108" customFormat="1" ht="21" x14ac:dyDescent="0.4">
      <c r="B3" s="109" t="s">
        <v>106</v>
      </c>
      <c r="C3" s="189" t="s">
        <v>11</v>
      </c>
      <c r="D3" s="189"/>
      <c r="E3" s="189"/>
      <c r="F3" s="189"/>
      <c r="G3" s="189"/>
      <c r="H3" s="41"/>
      <c r="K3" s="109" t="s">
        <v>144</v>
      </c>
      <c r="L3" s="189" t="s">
        <v>11</v>
      </c>
      <c r="M3" s="189"/>
      <c r="N3" s="189"/>
      <c r="O3" s="189"/>
      <c r="P3" s="189"/>
      <c r="Q3" s="41"/>
    </row>
    <row r="4" spans="1:17" s="3" customFormat="1" ht="37.5" customHeight="1" x14ac:dyDescent="0.3">
      <c r="A4" s="191" t="str">
        <f>'x86 TCO'!A5</f>
        <v>R1-XES08ef	S68813  w Xeon Gold 6126  12C 2.60Ghz (2 Chips, 24 Cores, 128GB total RAM 2666Mhz)</v>
      </c>
      <c r="B4" s="191"/>
      <c r="C4" s="105" t="s">
        <v>6</v>
      </c>
      <c r="D4" s="105" t="s">
        <v>7</v>
      </c>
      <c r="E4" s="105" t="s">
        <v>8</v>
      </c>
      <c r="F4" s="105" t="s">
        <v>58</v>
      </c>
      <c r="G4" s="105" t="s">
        <v>10</v>
      </c>
      <c r="H4" s="91" t="s">
        <v>112</v>
      </c>
      <c r="L4" s="105" t="s">
        <v>6</v>
      </c>
      <c r="M4" s="105" t="s">
        <v>7</v>
      </c>
      <c r="N4" s="105" t="s">
        <v>8</v>
      </c>
      <c r="O4" s="105" t="s">
        <v>58</v>
      </c>
      <c r="P4" s="105" t="s">
        <v>10</v>
      </c>
      <c r="Q4" s="91" t="s">
        <v>112</v>
      </c>
    </row>
    <row r="5" spans="1:17" s="3" customFormat="1" ht="29.25" customHeight="1" x14ac:dyDescent="0.3">
      <c r="A5" s="190" t="s">
        <v>0</v>
      </c>
      <c r="B5" s="2" t="s">
        <v>1</v>
      </c>
      <c r="C5" s="124">
        <f>'x86 TCO'!AB19</f>
        <v>57169.56</v>
      </c>
      <c r="D5" s="68">
        <f>'x86 TCO'!AB20</f>
        <v>28584.78</v>
      </c>
      <c r="E5" s="68">
        <f>'x86 TCO'!AB21</f>
        <v>28584.78</v>
      </c>
      <c r="F5" s="68">
        <f>'x86 TCO'!AB22</f>
        <v>47641.3</v>
      </c>
      <c r="G5" s="68">
        <f>'x86 TCO'!AB23</f>
        <v>104810.85999999999</v>
      </c>
      <c r="H5" s="69">
        <f>SUM(C5:G5)</f>
        <v>266791.27999999997</v>
      </c>
      <c r="J5" s="190" t="s">
        <v>0</v>
      </c>
      <c r="K5" s="2" t="s">
        <v>1</v>
      </c>
      <c r="L5" s="124">
        <f>'LinuxONE TCO'!AB10</f>
        <v>588000</v>
      </c>
      <c r="M5" s="68">
        <f>'LinuxONE TCO'!AB11</f>
        <v>294000</v>
      </c>
      <c r="N5" s="68">
        <f>'LinuxONE TCO'!AB12</f>
        <v>294000</v>
      </c>
      <c r="O5" s="68">
        <f>'LinuxONE TCO'!AB13</f>
        <v>588000</v>
      </c>
      <c r="P5" s="68">
        <f>'LinuxONE TCO'!AB14</f>
        <v>84000</v>
      </c>
      <c r="Q5" s="69">
        <f t="shared" ref="Q5:Q10" si="0">SUM(L5:P5)</f>
        <v>1848000</v>
      </c>
    </row>
    <row r="6" spans="1:17" s="3" customFormat="1" ht="29.25" customHeight="1" x14ac:dyDescent="0.3">
      <c r="A6" s="190"/>
      <c r="B6" s="2" t="s">
        <v>2</v>
      </c>
      <c r="C6" s="141">
        <f>'x86 TCO'!AB35</f>
        <v>1328634.8799999999</v>
      </c>
      <c r="D6" s="68">
        <f>'x86 TCO'!AB45</f>
        <v>606870.39999999991</v>
      </c>
      <c r="E6" s="68">
        <f>'x86 TCO'!AB55</f>
        <v>606870.39999999991</v>
      </c>
      <c r="F6" s="68">
        <f>'x86 TCO'!AB65</f>
        <v>1088046.72</v>
      </c>
      <c r="G6" s="68">
        <f>'x86 TCO'!AB75</f>
        <v>2301787.52</v>
      </c>
      <c r="H6" s="69">
        <f>SUM(C6:G6)</f>
        <v>5932209.9199999999</v>
      </c>
      <c r="J6" s="190"/>
      <c r="K6" s="2" t="s">
        <v>2</v>
      </c>
      <c r="L6" s="141">
        <f>'LinuxONE TCO'!AB31</f>
        <v>1146305.7999999998</v>
      </c>
      <c r="M6" s="68">
        <f>'LinuxONE TCO'!AB41</f>
        <v>573152.89999999991</v>
      </c>
      <c r="N6" s="68">
        <f>'LinuxONE TCO'!AB51</f>
        <v>573152.89999999991</v>
      </c>
      <c r="O6" s="68">
        <f>'LinuxONE TCO'!AB61</f>
        <v>1146305.7999999998</v>
      </c>
      <c r="P6" s="68">
        <f>'LinuxONE TCO'!AB71</f>
        <v>0</v>
      </c>
      <c r="Q6" s="69">
        <f t="shared" si="0"/>
        <v>3438917.3999999994</v>
      </c>
    </row>
    <row r="7" spans="1:17" s="3" customFormat="1" ht="29.25" customHeight="1" x14ac:dyDescent="0.3">
      <c r="A7" s="190"/>
      <c r="B7" s="2" t="s">
        <v>3</v>
      </c>
      <c r="C7" s="192">
        <f>'x86 TCO'!AB86</f>
        <v>466666.66666666663</v>
      </c>
      <c r="D7" s="193"/>
      <c r="E7" s="193"/>
      <c r="F7" s="193"/>
      <c r="G7" s="194"/>
      <c r="H7" s="69">
        <f t="shared" ref="H7" si="1">SUM(C7:G7)</f>
        <v>466666.66666666663</v>
      </c>
      <c r="J7" s="190"/>
      <c r="K7" s="2" t="s">
        <v>3</v>
      </c>
      <c r="L7" s="192">
        <f>'LinuxONE TCO'!AB82</f>
        <v>100000</v>
      </c>
      <c r="M7" s="193"/>
      <c r="N7" s="193"/>
      <c r="O7" s="193"/>
      <c r="P7" s="194"/>
      <c r="Q7" s="69">
        <f t="shared" si="0"/>
        <v>100000</v>
      </c>
    </row>
    <row r="8" spans="1:17" s="3" customFormat="1" ht="29.25" customHeight="1" x14ac:dyDescent="0.3">
      <c r="A8" s="190"/>
      <c r="B8" s="2" t="s">
        <v>4</v>
      </c>
      <c r="C8" s="68">
        <f>'x86 TCO'!AB90</f>
        <v>41160</v>
      </c>
      <c r="D8" s="68">
        <f>'x86 TCO'!AB91</f>
        <v>20580</v>
      </c>
      <c r="E8" s="68">
        <f>'x86 TCO'!AB92</f>
        <v>20580</v>
      </c>
      <c r="F8" s="68">
        <f>'x86 TCO'!AB93</f>
        <v>34300</v>
      </c>
      <c r="G8" s="68">
        <f>'x86 TCO'!AB94</f>
        <v>75460</v>
      </c>
      <c r="H8" s="69">
        <f>SUM(C8:G8)</f>
        <v>192080</v>
      </c>
      <c r="J8" s="190"/>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90"/>
      <c r="B9" s="2" t="s">
        <v>47</v>
      </c>
      <c r="C9" s="68">
        <f>'x86 TCO'!AB99</f>
        <v>13000</v>
      </c>
      <c r="D9" s="68">
        <f>'x86 TCO'!AB100</f>
        <v>3380</v>
      </c>
      <c r="E9" s="68">
        <f>'x86 TCO'!AB101</f>
        <v>3380</v>
      </c>
      <c r="F9" s="68">
        <f>'x86 TCO'!AB102</f>
        <v>5633.3333333333339</v>
      </c>
      <c r="G9" s="68">
        <f>'x86 TCO'!AB103</f>
        <v>13000</v>
      </c>
      <c r="H9" s="69">
        <f>SUM(C9:G9)</f>
        <v>38393.333333333336</v>
      </c>
      <c r="J9" s="190"/>
      <c r="K9" s="2" t="s">
        <v>47</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90"/>
      <c r="B10" s="2" t="s">
        <v>50</v>
      </c>
      <c r="C10" s="68">
        <f>'x86 TCO'!AB108</f>
        <v>9092.8799999999974</v>
      </c>
      <c r="D10" s="68">
        <f>'x86 TCO'!AB109</f>
        <v>4546.4399999999987</v>
      </c>
      <c r="E10" s="68">
        <f>'x86 TCO'!AB110</f>
        <v>4546.4399999999987</v>
      </c>
      <c r="F10" s="68">
        <f>'x86 TCO'!AB111</f>
        <v>7577.3999999999987</v>
      </c>
      <c r="G10" s="68">
        <f>'x86 TCO'!AB112</f>
        <v>16670.28</v>
      </c>
      <c r="H10" s="69">
        <f>SUM(C10:G10)</f>
        <v>42433.439999999988</v>
      </c>
      <c r="J10" s="190"/>
      <c r="K10" s="2" t="s">
        <v>50</v>
      </c>
      <c r="L10" s="68">
        <f>'LinuxONE TCO'!AB104</f>
        <v>2074.7368421052629</v>
      </c>
      <c r="M10" s="68">
        <f>'LinuxONE TCO'!AB105</f>
        <v>1037.3684210526314</v>
      </c>
      <c r="N10" s="68">
        <f>'LinuxONE TCO'!AB106</f>
        <v>1037.3684210526314</v>
      </c>
      <c r="O10" s="68">
        <f>'LinuxONE TCO'!AB107</f>
        <v>2074.7368421052629</v>
      </c>
      <c r="P10" s="68">
        <f>'LinuxONE TCO'!AB108</f>
        <v>0</v>
      </c>
      <c r="Q10" s="69">
        <f t="shared" si="0"/>
        <v>6224.2105263157882</v>
      </c>
    </row>
    <row r="11" spans="1:17" x14ac:dyDescent="0.3">
      <c r="B11" s="89" t="s">
        <v>111</v>
      </c>
      <c r="C11" s="90">
        <f t="shared" ref="C11:H11" si="2">SUM(C5:C10)</f>
        <v>1915723.9866666663</v>
      </c>
      <c r="D11" s="90">
        <f t="shared" si="2"/>
        <v>663961.61999999988</v>
      </c>
      <c r="E11" s="90">
        <f t="shared" si="2"/>
        <v>663961.61999999988</v>
      </c>
      <c r="F11" s="90">
        <f t="shared" si="2"/>
        <v>1183198.7533333332</v>
      </c>
      <c r="G11" s="90">
        <f t="shared" si="2"/>
        <v>2511728.6599999997</v>
      </c>
      <c r="H11" s="142">
        <f t="shared" si="2"/>
        <v>6938574.6400000006</v>
      </c>
      <c r="K11" s="89" t="s">
        <v>111</v>
      </c>
      <c r="L11" s="90">
        <f t="shared" ref="L11:Q11" si="3">SUM(L5:L10)</f>
        <v>1869793.8701754385</v>
      </c>
      <c r="M11" s="90">
        <f t="shared" si="3"/>
        <v>884896.93508771923</v>
      </c>
      <c r="N11" s="90">
        <f t="shared" si="3"/>
        <v>884896.93508771923</v>
      </c>
      <c r="O11" s="90">
        <f t="shared" si="3"/>
        <v>1769793.8701754385</v>
      </c>
      <c r="P11" s="90">
        <f t="shared" si="3"/>
        <v>84000</v>
      </c>
      <c r="Q11" s="142">
        <f t="shared" si="3"/>
        <v>5493381.6105263149</v>
      </c>
    </row>
    <row r="12" spans="1:17" x14ac:dyDescent="0.3">
      <c r="P12" t="s">
        <v>180</v>
      </c>
      <c r="Q12" s="161">
        <f>(H11-Q11)/H11</f>
        <v>0.20828384855044027</v>
      </c>
    </row>
    <row r="15" spans="1:17" x14ac:dyDescent="0.3">
      <c r="B15" s="104" t="s">
        <v>1</v>
      </c>
      <c r="C15" s="104" t="s">
        <v>2</v>
      </c>
      <c r="D15" s="104" t="s">
        <v>3</v>
      </c>
      <c r="E15" s="104" t="s">
        <v>4</v>
      </c>
      <c r="F15" s="104" t="s">
        <v>5</v>
      </c>
      <c r="G15" s="105" t="s">
        <v>10</v>
      </c>
      <c r="H15" s="5" t="s">
        <v>19</v>
      </c>
    </row>
    <row r="16" spans="1:17" x14ac:dyDescent="0.3">
      <c r="A16" s="5" t="str">
        <f>B3</f>
        <v>x86</v>
      </c>
      <c r="B16" s="70">
        <f>SUM(C5:F5)</f>
        <v>161980.41999999998</v>
      </c>
      <c r="C16" s="70">
        <f>SUM(C6:F6)</f>
        <v>3630422.3999999994</v>
      </c>
      <c r="D16" s="70">
        <f>SUM(C7:F7)</f>
        <v>466666.66666666663</v>
      </c>
      <c r="E16" s="70" t="e">
        <f>SUM(#REF!)</f>
        <v>#REF!</v>
      </c>
      <c r="F16" s="70" t="e">
        <f>SUM(#REF!)</f>
        <v>#REF!</v>
      </c>
      <c r="G16" s="70">
        <f>G11</f>
        <v>2511728.6599999997</v>
      </c>
      <c r="H16" s="103" t="e">
        <f>SUM(B16:G16)</f>
        <v>#REF!</v>
      </c>
    </row>
    <row r="17" spans="1:8" x14ac:dyDescent="0.3">
      <c r="A17" s="5" t="str">
        <f>K3</f>
        <v>LinuxONE</v>
      </c>
      <c r="B17" s="70">
        <f>SUM(L5:O5)</f>
        <v>1764000</v>
      </c>
      <c r="C17" s="70">
        <f>SUM(L6:O6)</f>
        <v>3438917.3999999994</v>
      </c>
      <c r="D17" s="70">
        <f>SUM(L7:O7)</f>
        <v>100000</v>
      </c>
      <c r="E17" s="70" t="e">
        <f>SUM(#REF!)</f>
        <v>#REF!</v>
      </c>
      <c r="F17" s="70" t="e">
        <f>SUM(#REF!)</f>
        <v>#REF!</v>
      </c>
      <c r="G17" s="70">
        <f>P11</f>
        <v>84000</v>
      </c>
      <c r="H17" s="103" t="e">
        <f>SUM(B17:G17)</f>
        <v>#REF!</v>
      </c>
    </row>
    <row r="19" spans="1:8" x14ac:dyDescent="0.3">
      <c r="B19" t="s">
        <v>105</v>
      </c>
      <c r="C19" s="50" t="s">
        <v>100</v>
      </c>
      <c r="D19" s="50" t="s">
        <v>101</v>
      </c>
      <c r="E19" s="50" t="s">
        <v>102</v>
      </c>
      <c r="F19" s="50" t="s">
        <v>103</v>
      </c>
      <c r="G19" s="50" t="s">
        <v>104</v>
      </c>
    </row>
    <row r="20" spans="1:8" x14ac:dyDescent="0.3">
      <c r="B20" s="106" t="str">
        <f>B3</f>
        <v>x86</v>
      </c>
      <c r="C20" s="88">
        <f>'x86 TCO'!W126</f>
        <v>3770536.4879999999</v>
      </c>
      <c r="D20" s="88">
        <f>'x86 TCO'!X126</f>
        <v>4529587.716</v>
      </c>
      <c r="E20" s="88">
        <f>'x86 TCO'!Y126</f>
        <v>5307174.6639999999</v>
      </c>
      <c r="F20" s="88">
        <f>'x86 TCO'!Z126</f>
        <v>6122874.6519999998</v>
      </c>
      <c r="G20" s="88">
        <f>'x86 TCO'!AA126</f>
        <v>6938574.6399999997</v>
      </c>
    </row>
    <row r="21" spans="1:8" x14ac:dyDescent="0.3">
      <c r="B21" s="106" t="str">
        <f>K3</f>
        <v>LinuxONE</v>
      </c>
      <c r="C21" s="88">
        <f>'LinuxONE TCO'!W131</f>
        <v>3539425.8421052634</v>
      </c>
      <c r="D21" s="88">
        <f>'LinuxONE TCO'!X131</f>
        <v>3942403.4842105266</v>
      </c>
      <c r="E21" s="88">
        <f>'LinuxONE TCO'!Y131</f>
        <v>4356729.5263157897</v>
      </c>
      <c r="F21" s="88">
        <f>'LinuxONE TCO'!Z131</f>
        <v>4925055.5684210528</v>
      </c>
      <c r="G21" s="88">
        <f>'LinuxONE TCO'!AA131</f>
        <v>5493381.6105263159</v>
      </c>
    </row>
    <row r="31" spans="1:8" x14ac:dyDescent="0.3">
      <c r="B31" s="39" t="s">
        <v>141</v>
      </c>
      <c r="C31" s="48" t="s">
        <v>1</v>
      </c>
      <c r="D31" s="48" t="s">
        <v>2</v>
      </c>
      <c r="E31" s="48" t="s">
        <v>19</v>
      </c>
    </row>
    <row r="32" spans="1:8" x14ac:dyDescent="0.3">
      <c r="B32" s="39" t="s">
        <v>106</v>
      </c>
      <c r="C32" s="68">
        <f>'x86 TCO'!R24</f>
        <v>190565.19999999998</v>
      </c>
      <c r="D32" s="68">
        <f>'x86 TCO'!R35</f>
        <v>721307.7</v>
      </c>
      <c r="E32" s="70">
        <f>SUM(C32:D32)</f>
        <v>911872.89999999991</v>
      </c>
    </row>
    <row r="33" spans="2:6" x14ac:dyDescent="0.3">
      <c r="B33" s="39" t="s">
        <v>144</v>
      </c>
      <c r="C33" s="68">
        <f>'LinuxONE TCO'!R15</f>
        <v>1539999.9999999998</v>
      </c>
      <c r="D33" s="68">
        <f>'LinuxONE TCO'!R31</f>
        <v>627007</v>
      </c>
      <c r="E33" s="70">
        <f>SUM(C33:D33)</f>
        <v>2167007</v>
      </c>
      <c r="F33" s="125">
        <f>E33/E32</f>
        <v>2.3764353562870442</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2379-A531-434D-9F96-49547252AB49}">
  <dimension ref="A2:X29"/>
  <sheetViews>
    <sheetView topLeftCell="E1" zoomScale="64" workbookViewId="0">
      <selection activeCell="T7" sqref="T7:T9"/>
    </sheetView>
  </sheetViews>
  <sheetFormatPr defaultRowHeight="14.4" x14ac:dyDescent="0.3"/>
  <cols>
    <col min="1" max="1" width="11" bestFit="1" customWidth="1"/>
    <col min="2" max="2" width="24.5546875" bestFit="1" customWidth="1"/>
    <col min="3" max="3" width="12.77734375" bestFit="1" customWidth="1"/>
    <col min="4" max="4" width="10.6640625" bestFit="1" customWidth="1"/>
    <col min="5" max="5" width="20.77734375" bestFit="1" customWidth="1"/>
    <col min="6" max="6" width="6.5546875" bestFit="1" customWidth="1"/>
    <col min="7" max="7" width="3.5546875" bestFit="1" customWidth="1"/>
    <col min="8" max="8" width="7" bestFit="1" customWidth="1"/>
    <col min="9" max="9" width="9.44140625" bestFit="1" customWidth="1"/>
    <col min="11" max="11" width="10.5546875" bestFit="1" customWidth="1"/>
    <col min="12" max="12" width="18.6640625" bestFit="1" customWidth="1"/>
    <col min="19" max="19" width="20.77734375" bestFit="1" customWidth="1"/>
    <col min="20" max="20" width="12.44140625" bestFit="1" customWidth="1"/>
  </cols>
  <sheetData>
    <row r="2" spans="1:24" ht="15" thickBot="1" x14ac:dyDescent="0.35">
      <c r="A2" t="s">
        <v>311</v>
      </c>
      <c r="B2" t="s">
        <v>312</v>
      </c>
      <c r="C2" t="s">
        <v>313</v>
      </c>
      <c r="D2" t="s">
        <v>314</v>
      </c>
      <c r="E2" t="s">
        <v>315</v>
      </c>
      <c r="F2" t="s">
        <v>316</v>
      </c>
      <c r="G2" t="s">
        <v>317</v>
      </c>
      <c r="H2" t="s">
        <v>318</v>
      </c>
      <c r="I2" t="s">
        <v>319</v>
      </c>
      <c r="N2" t="s">
        <v>330</v>
      </c>
      <c r="O2" t="s">
        <v>331</v>
      </c>
    </row>
    <row r="3" spans="1:24" ht="15" customHeight="1" thickBot="1" x14ac:dyDescent="0.35">
      <c r="A3" s="168"/>
      <c r="B3" s="168"/>
      <c r="C3" s="199" t="s">
        <v>213</v>
      </c>
      <c r="D3" s="203">
        <v>44266</v>
      </c>
      <c r="E3" s="205" t="s">
        <v>214</v>
      </c>
      <c r="F3" s="201" t="s">
        <v>215</v>
      </c>
      <c r="G3" s="201" t="s">
        <v>216</v>
      </c>
      <c r="H3" s="205" t="s">
        <v>217</v>
      </c>
      <c r="I3" s="197" t="s">
        <v>218</v>
      </c>
    </row>
    <row r="4" spans="1:24" ht="15" customHeight="1" thickBot="1" x14ac:dyDescent="0.35">
      <c r="A4" s="168" t="s">
        <v>211</v>
      </c>
      <c r="B4" s="168" t="s">
        <v>324</v>
      </c>
      <c r="C4" s="200"/>
      <c r="D4" s="204"/>
      <c r="E4" s="206"/>
      <c r="F4" s="202"/>
      <c r="G4" s="202"/>
      <c r="H4" s="206"/>
      <c r="I4" s="198"/>
      <c r="K4" t="s">
        <v>327</v>
      </c>
      <c r="L4" t="s">
        <v>322</v>
      </c>
    </row>
    <row r="5" spans="1:24" ht="29.4" thickBot="1" x14ac:dyDescent="0.35">
      <c r="A5" s="168" t="s">
        <v>219</v>
      </c>
      <c r="B5" s="168" t="s">
        <v>323</v>
      </c>
      <c r="C5" s="171" t="s">
        <v>221</v>
      </c>
      <c r="D5" s="168" t="s">
        <v>222</v>
      </c>
      <c r="E5" s="170" t="s">
        <v>214</v>
      </c>
      <c r="F5" s="171" t="s">
        <v>215</v>
      </c>
      <c r="G5" s="171" t="s">
        <v>216</v>
      </c>
      <c r="H5" s="170" t="s">
        <v>217</v>
      </c>
      <c r="I5" s="172" t="s">
        <v>223</v>
      </c>
      <c r="K5" t="s">
        <v>320</v>
      </c>
      <c r="L5" t="s">
        <v>322</v>
      </c>
    </row>
    <row r="6" spans="1:24" ht="29.4" thickBot="1" x14ac:dyDescent="0.35">
      <c r="A6" s="174" t="s">
        <v>224</v>
      </c>
      <c r="B6" s="175" t="s">
        <v>224</v>
      </c>
      <c r="C6" s="176">
        <v>5193</v>
      </c>
      <c r="D6" s="177">
        <v>43706</v>
      </c>
      <c r="E6" s="178" t="s">
        <v>214</v>
      </c>
      <c r="F6" s="175" t="s">
        <v>215</v>
      </c>
      <c r="G6" s="175" t="s">
        <v>216</v>
      </c>
      <c r="H6" s="178" t="s">
        <v>217</v>
      </c>
      <c r="I6" s="179" t="s">
        <v>225</v>
      </c>
      <c r="S6" t="s">
        <v>347</v>
      </c>
      <c r="T6" t="s">
        <v>254</v>
      </c>
      <c r="U6" t="s">
        <v>346</v>
      </c>
    </row>
    <row r="7" spans="1:24" ht="29.4" thickBot="1" x14ac:dyDescent="0.35">
      <c r="A7" s="174" t="s">
        <v>226</v>
      </c>
      <c r="B7" s="174" t="s">
        <v>227</v>
      </c>
      <c r="C7" s="175" t="s">
        <v>228</v>
      </c>
      <c r="D7" s="177">
        <v>43694</v>
      </c>
      <c r="E7" s="180" t="s">
        <v>229</v>
      </c>
      <c r="F7" s="175" t="s">
        <v>215</v>
      </c>
      <c r="G7" s="175" t="s">
        <v>216</v>
      </c>
      <c r="H7" s="178" t="s">
        <v>217</v>
      </c>
      <c r="I7" s="181" t="s">
        <v>230</v>
      </c>
      <c r="L7" t="s">
        <v>321</v>
      </c>
      <c r="S7" t="s">
        <v>334</v>
      </c>
      <c r="T7" t="s">
        <v>337</v>
      </c>
      <c r="X7" t="s">
        <v>348</v>
      </c>
    </row>
    <row r="8" spans="1:24" ht="19.8" thickBot="1" x14ac:dyDescent="0.35">
      <c r="A8" s="174" t="s">
        <v>231</v>
      </c>
      <c r="B8" s="174" t="s">
        <v>232</v>
      </c>
      <c r="C8" s="175" t="s">
        <v>233</v>
      </c>
      <c r="D8" s="177">
        <v>43691</v>
      </c>
      <c r="E8" s="182" t="s">
        <v>234</v>
      </c>
      <c r="F8" s="175" t="s">
        <v>235</v>
      </c>
      <c r="G8" s="175" t="s">
        <v>216</v>
      </c>
      <c r="H8" s="178" t="s">
        <v>217</v>
      </c>
      <c r="I8" s="179" t="s">
        <v>236</v>
      </c>
      <c r="L8" t="s">
        <v>321</v>
      </c>
      <c r="S8" t="s">
        <v>266</v>
      </c>
      <c r="T8" t="s">
        <v>338</v>
      </c>
    </row>
    <row r="9" spans="1:24" ht="29.4" thickBot="1" x14ac:dyDescent="0.35">
      <c r="A9" s="174" t="s">
        <v>237</v>
      </c>
      <c r="B9" s="174" t="s">
        <v>227</v>
      </c>
      <c r="C9" s="175" t="s">
        <v>238</v>
      </c>
      <c r="D9" s="177">
        <v>43637</v>
      </c>
      <c r="E9" s="178" t="s">
        <v>239</v>
      </c>
      <c r="F9" s="175" t="s">
        <v>240</v>
      </c>
      <c r="G9" s="175" t="s">
        <v>241</v>
      </c>
      <c r="H9" s="183" t="s">
        <v>242</v>
      </c>
      <c r="I9" s="181" t="s">
        <v>243</v>
      </c>
      <c r="J9" t="s">
        <v>237</v>
      </c>
      <c r="K9" t="s">
        <v>325</v>
      </c>
      <c r="L9" t="s">
        <v>322</v>
      </c>
      <c r="N9" t="s">
        <v>332</v>
      </c>
      <c r="O9" t="s">
        <v>242</v>
      </c>
      <c r="S9" t="s">
        <v>333</v>
      </c>
      <c r="T9" t="s">
        <v>282</v>
      </c>
    </row>
    <row r="10" spans="1:24" ht="29.4" thickBot="1" x14ac:dyDescent="0.35">
      <c r="A10" s="173" t="s">
        <v>244</v>
      </c>
      <c r="B10" s="175" t="s">
        <v>245</v>
      </c>
      <c r="C10" s="175" t="s">
        <v>246</v>
      </c>
      <c r="D10" s="177">
        <v>43612</v>
      </c>
      <c r="E10" s="180" t="s">
        <v>247</v>
      </c>
      <c r="F10" s="175" t="s">
        <v>235</v>
      </c>
      <c r="G10" s="175" t="s">
        <v>216</v>
      </c>
      <c r="H10" s="183" t="s">
        <v>242</v>
      </c>
      <c r="I10" s="179" t="s">
        <v>225</v>
      </c>
      <c r="S10" t="s">
        <v>333</v>
      </c>
      <c r="T10" t="s">
        <v>339</v>
      </c>
      <c r="U10" t="s">
        <v>344</v>
      </c>
      <c r="V10" t="s">
        <v>345</v>
      </c>
    </row>
    <row r="11" spans="1:24" ht="72.599999999999994" thickBot="1" x14ac:dyDescent="0.35">
      <c r="A11" s="174" t="s">
        <v>248</v>
      </c>
      <c r="B11" s="174" t="s">
        <v>249</v>
      </c>
      <c r="C11" s="175" t="s">
        <v>250</v>
      </c>
      <c r="D11" s="177">
        <v>43608</v>
      </c>
      <c r="E11" s="184" t="s">
        <v>251</v>
      </c>
      <c r="F11" s="175" t="s">
        <v>240</v>
      </c>
      <c r="G11" s="175" t="s">
        <v>241</v>
      </c>
      <c r="H11" s="183" t="s">
        <v>242</v>
      </c>
      <c r="I11" s="181" t="s">
        <v>252</v>
      </c>
      <c r="S11" t="s">
        <v>212</v>
      </c>
      <c r="T11" t="s">
        <v>340</v>
      </c>
    </row>
    <row r="12" spans="1:24" ht="58.2" thickBot="1" x14ac:dyDescent="0.35">
      <c r="A12" s="174" t="s">
        <v>253</v>
      </c>
      <c r="B12" s="174" t="s">
        <v>249</v>
      </c>
      <c r="C12" s="175" t="s">
        <v>250</v>
      </c>
      <c r="D12" s="177">
        <v>43608</v>
      </c>
      <c r="E12" s="178" t="s">
        <v>239</v>
      </c>
      <c r="F12" s="175" t="s">
        <v>240</v>
      </c>
      <c r="G12" s="175" t="s">
        <v>241</v>
      </c>
      <c r="H12" s="183" t="s">
        <v>242</v>
      </c>
      <c r="I12" s="185" t="s">
        <v>223</v>
      </c>
      <c r="S12" t="s">
        <v>212</v>
      </c>
      <c r="T12" t="s">
        <v>211</v>
      </c>
      <c r="U12" t="s">
        <v>343</v>
      </c>
    </row>
    <row r="13" spans="1:24" ht="29.4" thickBot="1" x14ac:dyDescent="0.35">
      <c r="A13" s="174" t="s">
        <v>254</v>
      </c>
      <c r="B13" s="174" t="s">
        <v>232</v>
      </c>
      <c r="C13" s="175" t="s">
        <v>255</v>
      </c>
      <c r="D13" s="177">
        <v>43493</v>
      </c>
      <c r="E13" s="178" t="s">
        <v>214</v>
      </c>
      <c r="F13" s="175" t="s">
        <v>215</v>
      </c>
      <c r="G13" s="175" t="s">
        <v>216</v>
      </c>
      <c r="H13" s="178" t="s">
        <v>217</v>
      </c>
      <c r="I13" s="179" t="s">
        <v>256</v>
      </c>
      <c r="K13" t="s">
        <v>328</v>
      </c>
      <c r="L13" t="s">
        <v>322</v>
      </c>
      <c r="S13" t="s">
        <v>335</v>
      </c>
      <c r="T13" t="s">
        <v>341</v>
      </c>
    </row>
    <row r="14" spans="1:24" ht="58.2" thickBot="1" x14ac:dyDescent="0.35">
      <c r="A14" s="174" t="s">
        <v>257</v>
      </c>
      <c r="B14" s="174" t="s">
        <v>212</v>
      </c>
      <c r="C14" s="175" t="s">
        <v>258</v>
      </c>
      <c r="D14" s="177">
        <v>43487</v>
      </c>
      <c r="E14" s="178" t="s">
        <v>214</v>
      </c>
      <c r="F14" s="175" t="s">
        <v>215</v>
      </c>
      <c r="G14" s="175" t="s">
        <v>216</v>
      </c>
      <c r="H14" s="178" t="s">
        <v>217</v>
      </c>
      <c r="I14" s="181" t="s">
        <v>218</v>
      </c>
      <c r="S14" t="s">
        <v>336</v>
      </c>
      <c r="T14" t="s">
        <v>342</v>
      </c>
    </row>
    <row r="15" spans="1:24" ht="29.4" thickBot="1" x14ac:dyDescent="0.35">
      <c r="A15" s="174" t="s">
        <v>259</v>
      </c>
      <c r="B15" s="174" t="s">
        <v>220</v>
      </c>
      <c r="C15" s="175" t="s">
        <v>260</v>
      </c>
      <c r="D15" s="175" t="s">
        <v>261</v>
      </c>
      <c r="E15" s="184" t="s">
        <v>262</v>
      </c>
      <c r="F15" s="175" t="s">
        <v>263</v>
      </c>
      <c r="G15" s="175" t="s">
        <v>264</v>
      </c>
      <c r="H15" s="183" t="s">
        <v>242</v>
      </c>
      <c r="I15" s="185" t="s">
        <v>223</v>
      </c>
    </row>
    <row r="16" spans="1:24" ht="58.2" thickBot="1" x14ac:dyDescent="0.35">
      <c r="A16" s="174" t="s">
        <v>265</v>
      </c>
      <c r="B16" s="174" t="s">
        <v>266</v>
      </c>
      <c r="C16" s="175" t="s">
        <v>267</v>
      </c>
      <c r="D16" s="177">
        <v>42545</v>
      </c>
      <c r="E16" s="178" t="s">
        <v>214</v>
      </c>
      <c r="F16" s="175" t="s">
        <v>235</v>
      </c>
      <c r="G16" s="175" t="s">
        <v>216</v>
      </c>
      <c r="H16" s="183" t="s">
        <v>242</v>
      </c>
      <c r="I16" s="185" t="s">
        <v>223</v>
      </c>
      <c r="K16" t="s">
        <v>326</v>
      </c>
      <c r="L16" t="s">
        <v>28</v>
      </c>
    </row>
    <row r="17" spans="1:9" ht="19.8" thickBot="1" x14ac:dyDescent="0.35">
      <c r="A17" s="174" t="s">
        <v>268</v>
      </c>
      <c r="B17" s="174" t="s">
        <v>269</v>
      </c>
      <c r="C17" s="175" t="s">
        <v>270</v>
      </c>
      <c r="D17" s="177">
        <v>42491</v>
      </c>
      <c r="E17" s="180" t="s">
        <v>247</v>
      </c>
      <c r="F17" s="175" t="s">
        <v>235</v>
      </c>
      <c r="G17" s="175" t="s">
        <v>216</v>
      </c>
      <c r="H17" s="183" t="s">
        <v>242</v>
      </c>
      <c r="I17" s="185" t="s">
        <v>223</v>
      </c>
    </row>
    <row r="18" spans="1:9" x14ac:dyDescent="0.3">
      <c r="A18" s="199" t="s">
        <v>271</v>
      </c>
      <c r="B18" s="168" t="s">
        <v>272</v>
      </c>
      <c r="C18" s="201" t="s">
        <v>274</v>
      </c>
      <c r="D18" s="203">
        <v>41551</v>
      </c>
      <c r="E18" s="205" t="s">
        <v>239</v>
      </c>
      <c r="F18" s="201" t="s">
        <v>240</v>
      </c>
      <c r="G18" s="201" t="s">
        <v>241</v>
      </c>
      <c r="H18" s="195" t="s">
        <v>242</v>
      </c>
      <c r="I18" s="197" t="s">
        <v>218</v>
      </c>
    </row>
    <row r="19" spans="1:9" ht="15" thickBot="1" x14ac:dyDescent="0.35">
      <c r="A19" s="200"/>
      <c r="B19" s="169" t="s">
        <v>273</v>
      </c>
      <c r="C19" s="202"/>
      <c r="D19" s="204"/>
      <c r="E19" s="206"/>
      <c r="F19" s="202"/>
      <c r="G19" s="202"/>
      <c r="H19" s="196"/>
      <c r="I19" s="198"/>
    </row>
    <row r="20" spans="1:9" ht="19.8" thickBot="1" x14ac:dyDescent="0.35">
      <c r="A20" s="174" t="s">
        <v>275</v>
      </c>
      <c r="B20" s="174" t="s">
        <v>276</v>
      </c>
      <c r="C20" s="175">
        <v>8</v>
      </c>
      <c r="D20" s="175" t="s">
        <v>277</v>
      </c>
      <c r="E20" s="178" t="s">
        <v>278</v>
      </c>
      <c r="F20" s="175" t="s">
        <v>240</v>
      </c>
      <c r="G20" s="175" t="s">
        <v>241</v>
      </c>
      <c r="H20" s="183" t="s">
        <v>242</v>
      </c>
      <c r="I20" s="185" t="s">
        <v>223</v>
      </c>
    </row>
    <row r="21" spans="1:9" ht="58.2" thickBot="1" x14ac:dyDescent="0.35">
      <c r="A21" s="174" t="s">
        <v>279</v>
      </c>
      <c r="B21" s="174" t="s">
        <v>266</v>
      </c>
      <c r="C21" s="175" t="s">
        <v>280</v>
      </c>
      <c r="D21" s="177">
        <v>41446</v>
      </c>
      <c r="E21" s="178" t="s">
        <v>281</v>
      </c>
      <c r="F21" s="175" t="s">
        <v>240</v>
      </c>
      <c r="G21" s="175" t="s">
        <v>241</v>
      </c>
      <c r="H21" s="183" t="s">
        <v>242</v>
      </c>
      <c r="I21" s="185" t="s">
        <v>223</v>
      </c>
    </row>
    <row r="22" spans="1:9" ht="29.4" thickBot="1" x14ac:dyDescent="0.35">
      <c r="A22" s="174" t="s">
        <v>282</v>
      </c>
      <c r="B22" s="174" t="s">
        <v>227</v>
      </c>
      <c r="C22" s="175" t="s">
        <v>283</v>
      </c>
      <c r="D22" s="177">
        <v>41422</v>
      </c>
      <c r="E22" s="178" t="s">
        <v>281</v>
      </c>
      <c r="F22" s="175" t="s">
        <v>240</v>
      </c>
      <c r="G22" s="175" t="s">
        <v>241</v>
      </c>
      <c r="H22" s="183" t="s">
        <v>242</v>
      </c>
      <c r="I22" s="181" t="s">
        <v>243</v>
      </c>
    </row>
    <row r="23" spans="1:9" ht="43.8" thickBot="1" x14ac:dyDescent="0.35">
      <c r="A23" s="174" t="s">
        <v>284</v>
      </c>
      <c r="B23" s="174" t="s">
        <v>285</v>
      </c>
      <c r="C23" s="175" t="s">
        <v>286</v>
      </c>
      <c r="D23" s="177">
        <v>41285</v>
      </c>
      <c r="E23" s="178">
        <v>5</v>
      </c>
      <c r="F23" s="175" t="s">
        <v>263</v>
      </c>
      <c r="G23" s="175" t="s">
        <v>264</v>
      </c>
      <c r="H23" s="183" t="s">
        <v>242</v>
      </c>
      <c r="I23" s="185" t="s">
        <v>223</v>
      </c>
    </row>
    <row r="24" spans="1:9" ht="43.8" thickBot="1" x14ac:dyDescent="0.35">
      <c r="A24" s="174" t="s">
        <v>287</v>
      </c>
      <c r="B24" s="174" t="s">
        <v>220</v>
      </c>
      <c r="C24" s="175" t="s">
        <v>288</v>
      </c>
      <c r="D24" s="175" t="s">
        <v>289</v>
      </c>
      <c r="E24" s="178" t="s">
        <v>290</v>
      </c>
      <c r="F24" s="175" t="s">
        <v>291</v>
      </c>
      <c r="G24" s="175" t="s">
        <v>292</v>
      </c>
      <c r="H24" s="183" t="s">
        <v>242</v>
      </c>
      <c r="I24" s="185" t="s">
        <v>223</v>
      </c>
    </row>
    <row r="25" spans="1:9" ht="19.8" thickBot="1" x14ac:dyDescent="0.35">
      <c r="A25" s="174" t="s">
        <v>293</v>
      </c>
      <c r="B25" s="174" t="s">
        <v>294</v>
      </c>
      <c r="C25" s="175" t="s">
        <v>295</v>
      </c>
      <c r="D25" s="177">
        <v>39706</v>
      </c>
      <c r="E25" s="182" t="s">
        <v>296</v>
      </c>
      <c r="F25" s="175"/>
      <c r="G25" s="175"/>
      <c r="H25" s="183" t="s">
        <v>242</v>
      </c>
      <c r="I25" s="185" t="s">
        <v>223</v>
      </c>
    </row>
    <row r="26" spans="1:9" ht="19.8" thickBot="1" x14ac:dyDescent="0.35">
      <c r="A26" s="174" t="s">
        <v>297</v>
      </c>
      <c r="B26" s="174" t="s">
        <v>269</v>
      </c>
      <c r="C26" s="175" t="s">
        <v>298</v>
      </c>
      <c r="D26" s="177">
        <v>39392</v>
      </c>
      <c r="E26" s="178" t="s">
        <v>299</v>
      </c>
      <c r="F26" s="175" t="s">
        <v>235</v>
      </c>
      <c r="G26" s="175" t="s">
        <v>216</v>
      </c>
      <c r="H26" s="183" t="s">
        <v>242</v>
      </c>
      <c r="I26" s="185" t="s">
        <v>223</v>
      </c>
    </row>
    <row r="27" spans="1:9" ht="29.4" thickBot="1" x14ac:dyDescent="0.35">
      <c r="A27" s="174" t="s">
        <v>300</v>
      </c>
      <c r="B27" s="174" t="s">
        <v>301</v>
      </c>
      <c r="C27" s="175" t="s">
        <v>302</v>
      </c>
      <c r="D27" s="175" t="s">
        <v>303</v>
      </c>
      <c r="E27" s="178" t="s">
        <v>290</v>
      </c>
      <c r="F27" s="175" t="s">
        <v>291</v>
      </c>
      <c r="G27" s="175" t="s">
        <v>292</v>
      </c>
      <c r="H27" s="183" t="s">
        <v>242</v>
      </c>
      <c r="I27" s="185" t="s">
        <v>223</v>
      </c>
    </row>
    <row r="28" spans="1:9" ht="43.8" thickBot="1" x14ac:dyDescent="0.35">
      <c r="A28" s="174" t="s">
        <v>304</v>
      </c>
      <c r="B28" s="175" t="s">
        <v>305</v>
      </c>
      <c r="C28" s="175" t="s">
        <v>306</v>
      </c>
      <c r="D28" s="177">
        <v>38785</v>
      </c>
      <c r="E28" s="178" t="s">
        <v>299</v>
      </c>
      <c r="F28" s="175" t="s">
        <v>216</v>
      </c>
      <c r="G28" s="175" t="s">
        <v>307</v>
      </c>
      <c r="H28" s="183" t="s">
        <v>242</v>
      </c>
      <c r="I28" s="185" t="s">
        <v>223</v>
      </c>
    </row>
    <row r="29" spans="1:9" ht="15" thickBot="1" x14ac:dyDescent="0.35">
      <c r="A29" s="174" t="s">
        <v>308</v>
      </c>
      <c r="B29" s="174" t="s">
        <v>309</v>
      </c>
      <c r="C29" s="175" t="s">
        <v>310</v>
      </c>
      <c r="D29" s="177">
        <v>38434</v>
      </c>
      <c r="E29" s="183" t="s">
        <v>242</v>
      </c>
      <c r="F29" s="175"/>
      <c r="G29" s="175"/>
      <c r="H29" s="183" t="s">
        <v>242</v>
      </c>
      <c r="I29" s="181" t="s">
        <v>252</v>
      </c>
    </row>
  </sheetData>
  <mergeCells count="15">
    <mergeCell ref="I3:I4"/>
    <mergeCell ref="C3:C4"/>
    <mergeCell ref="D3:D4"/>
    <mergeCell ref="E3:E4"/>
    <mergeCell ref="F3:F4"/>
    <mergeCell ref="G3:G4"/>
    <mergeCell ref="H3:H4"/>
    <mergeCell ref="H18:H19"/>
    <mergeCell ref="I18:I19"/>
    <mergeCell ref="A18:A19"/>
    <mergeCell ref="C18:C19"/>
    <mergeCell ref="D18:D19"/>
    <mergeCell ref="E18:E19"/>
    <mergeCell ref="F18:F19"/>
    <mergeCell ref="G18:G19"/>
  </mergeCells>
  <hyperlinks>
    <hyperlink ref="C3" r:id="rId1" location="cite_note-2" display="https://en.wikipedia.org/wiki/List_of_application_servers - cite_note-2" xr:uid="{9FD19950-FD63-4FE4-9317-60EE68389DDE}"/>
    <hyperlink ref="I3" r:id="rId2" tooltip="GNU Lesser General Public License" display="https://en.wikipedia.org/wiki/GNU_Lesser_General_Public_License" xr:uid="{22DA46A0-2EF1-4730-AC34-2B0E136DF302}"/>
    <hyperlink ref="A5" r:id="rId3" tooltip="Oracle WebLogic Server" display="https://en.wikipedia.org/wiki/Oracle_WebLogic_Server" xr:uid="{425F548D-F583-4238-9565-8E233840B5F3}"/>
    <hyperlink ref="B5" r:id="rId4" tooltip="Oracle Corporation" display="https://en.wikipedia.org/wiki/Oracle_Corporation" xr:uid="{9DF5103B-A32C-4FE4-BCDB-FE3F546313E6}"/>
    <hyperlink ref="D5" r:id="rId5" location="cite_note-6" display="https://en.wikipedia.org/wiki/List_of_application_servers - cite_note-6" xr:uid="{4DB897A7-ED53-4683-A259-FD47356D4319}"/>
    <hyperlink ref="A6" r:id="rId6" tooltip="Payara Server" display="https://en.wikipedia.org/wiki/Payara_Server" xr:uid="{C0F60ABD-7507-4998-899B-CECA71453C02}"/>
    <hyperlink ref="A7" r:id="rId7" tooltip="Apache Tomcat" display="https://en.wikipedia.org/wiki/Apache_Tomcat" xr:uid="{1669FB4E-B96E-4AA5-AFD6-EFDFB23BEFE9}"/>
    <hyperlink ref="B7" r:id="rId8" tooltip="Apache Software Foundation" display="https://en.wikipedia.org/wiki/Apache_Software_Foundation" xr:uid="{A8A87ECD-2F1E-48D3-96B6-A37030875987}"/>
    <hyperlink ref="I7" r:id="rId9" tooltip="Apache License" display="https://en.wikipedia.org/wiki/Apache_License" xr:uid="{EF306777-0BEB-46A6-9F61-7FFF7CAF58DA}"/>
    <hyperlink ref="A8" r:id="rId10" tooltip="Jetty (web server)" display="https://en.wikipedia.org/wiki/Jetty_(web_server)" xr:uid="{264A0249-5D05-442A-8F5C-6D129FA3DC66}"/>
    <hyperlink ref="B8" r:id="rId11" tooltip="Eclipse Foundation" display="https://en.wikipedia.org/wiki/Eclipse_Foundation" xr:uid="{D70E0F7F-ADEA-45EE-87F4-D77E5F11B0C1}"/>
    <hyperlink ref="E8" r:id="rId12" location="cite_note-4" display="https://en.wikipedia.org/wiki/List_of_application_servers - cite_note-4" xr:uid="{395CC7A6-4D04-43EB-A5FB-05221110B9A1}"/>
    <hyperlink ref="A9" r:id="rId13" tooltip="Apache TomEE" display="https://en.wikipedia.org/wiki/Apache_TomEE" xr:uid="{3D04341B-1409-4245-8B22-8C9673DA5F03}"/>
    <hyperlink ref="B9" r:id="rId14" tooltip="Apache Software Foundation" display="https://en.wikipedia.org/wiki/Apache_Software_Foundation" xr:uid="{ACB41690-0D02-490B-9A08-8A5E92ED0706}"/>
    <hyperlink ref="I9" r:id="rId15" tooltip="Apache License" display="https://en.wikipedia.org/wiki/Apache_License" xr:uid="{A02CB274-B0BE-4766-AD9E-DEC174454BE4}"/>
    <hyperlink ref="A11" r:id="rId16" tooltip="Resin (software)" display="https://en.wikipedia.org/wiki/Resin_(software)" xr:uid="{39989006-079E-4D07-8FBB-3B0CC62C9BA2}"/>
    <hyperlink ref="B11" r:id="rId17" tooltip="Caucho Technology" display="https://en.wikipedia.org/wiki/Caucho_Technology" xr:uid="{18D95E78-1EDC-47C1-8B62-DD389267DC36}"/>
    <hyperlink ref="E11" r:id="rId18" location="cite_note-5" display="https://en.wikipedia.org/wiki/List_of_application_servers - cite_note-5" xr:uid="{543E7F54-111E-42CC-A7D9-4E1DFC3A1D77}"/>
    <hyperlink ref="I11" r:id="rId19" tooltip="GNU General Public License" display="https://en.wikipedia.org/wiki/GNU_General_Public_License" xr:uid="{EE4673A6-0707-4593-9734-56D5E4BA713C}"/>
    <hyperlink ref="A12" r:id="rId20" tooltip="Resin (software)" display="https://en.wikipedia.org/wiki/Resin_(software)" xr:uid="{427D53F6-0117-4F00-8E22-335A126F93A8}"/>
    <hyperlink ref="B12" r:id="rId21" tooltip="Caucho Technology" display="https://en.wikipedia.org/wiki/Caucho_Technology" xr:uid="{4AA2F3A1-608E-4E33-AE31-8BE3FADB89F7}"/>
    <hyperlink ref="A13" r:id="rId22" tooltip="GlassFish" display="https://en.wikipedia.org/wiki/GlassFish" xr:uid="{47635D3D-3810-41C2-AA7D-6F4EC6EC3933}"/>
    <hyperlink ref="B13" r:id="rId23" tooltip="Eclipse Foundation" display="https://en.wikipedia.org/wiki/Eclipse_Foundation" xr:uid="{342001C6-E090-4B40-B0D3-86848DBF43D3}"/>
    <hyperlink ref="A14" r:id="rId24" tooltip="JBoss Enterprise Application Platform" display="https://en.wikipedia.org/wiki/JBoss_Enterprise_Application_Platform" xr:uid="{B5AF4418-BF02-4463-A217-C210E4AB4A18}"/>
    <hyperlink ref="B14" r:id="rId25" tooltip="Red Hat" display="https://en.wikipedia.org/wiki/Red_Hat" xr:uid="{A5A7992F-13E9-4763-8EF4-3FB6CEE50565}"/>
    <hyperlink ref="I14" r:id="rId26" tooltip="GNU Lesser General Public License" display="https://en.wikipedia.org/wiki/GNU_Lesser_General_Public_License" xr:uid="{7081B9B5-E1C9-4A8D-95E3-D75461B46882}"/>
    <hyperlink ref="A15" r:id="rId27" tooltip="Oracle iPlanet Web Server" display="https://en.wikipedia.org/wiki/Oracle_iPlanet_Web_Server" xr:uid="{AFC3E5CE-D315-4C4E-9FB8-D3E4A5FA1989}"/>
    <hyperlink ref="B15" r:id="rId28" tooltip="Oracle Corporation" display="https://en.wikipedia.org/wiki/Oracle_Corporation" xr:uid="{C78CF7D3-3BE0-41DF-835A-1D5E610A0722}"/>
    <hyperlink ref="E15" r:id="rId29" location="cite_note-3" display="https://en.wikipedia.org/wiki/List_of_application_servers - cite_note-3" xr:uid="{A64278ED-9D00-4D0F-A6B1-A75C44C38C5B}"/>
    <hyperlink ref="A16" r:id="rId30" tooltip="IBM WebSphere Application Server" display="https://en.wikipedia.org/wiki/IBM_WebSphere_Application_Server" xr:uid="{B640F506-C61B-4735-88A2-FA1B3577A2DF}"/>
    <hyperlink ref="B16" r:id="rId31" tooltip="IBM" display="https://en.wikipedia.org/wiki/IBM" xr:uid="{21DD978B-2D40-43AE-B177-E4C1A0F0FF86}"/>
    <hyperlink ref="A17" r:id="rId32" tooltip="ColdFusion" display="https://en.wikipedia.org/wiki/ColdFusion" xr:uid="{DD7F040D-06E1-4150-B8B5-4BAD3CDB5F3B}"/>
    <hyperlink ref="B17" r:id="rId33" tooltip="Adobe Systems" display="https://en.wikipedia.org/wiki/Adobe_Systems" xr:uid="{09EE6E7D-D4F4-49D0-A56F-0DF1A1170798}"/>
    <hyperlink ref="A18" r:id="rId34" tooltip="JOnAS" display="https://en.wikipedia.org/wiki/JOnAS" xr:uid="{A7CF0440-EB09-460C-8556-CF34494C8996}"/>
    <hyperlink ref="B18" r:id="rId35" tooltip="OW2 Consortium" display="https://en.wikipedia.org/wiki/OW2_Consortium" xr:uid="{663A9BB3-D2EE-45F3-AE49-897A0C246E1B}"/>
    <hyperlink ref="B19" r:id="rId36" tooltip="ObjectWeb" display="https://en.wikipedia.org/wiki/ObjectWeb" xr:uid="{220B6AC4-0FDF-4809-853E-67AD8713DBFD}"/>
    <hyperlink ref="I18" r:id="rId37" tooltip="GNU Lesser General Public License" display="https://en.wikipedia.org/wiki/GNU_Lesser_General_Public_License" xr:uid="{3C91D575-82C0-4C66-A54D-BD9C2D90F584}"/>
    <hyperlink ref="A20" r:id="rId38" tooltip="JEUS" display="https://en.wikipedia.org/wiki/JEUS" xr:uid="{D7FB16F1-10DD-4323-92F0-A9DE0BA33620}"/>
    <hyperlink ref="B20" r:id="rId39" tooltip="TmaxSoft" display="https://en.wikipedia.org/wiki/TmaxSoft" xr:uid="{02002D04-2E28-4C21-A9E5-C2EB54BD9C82}"/>
    <hyperlink ref="A21" r:id="rId40" tooltip="IBM WebSphere Application Server Community Edition" display="https://en.wikipedia.org/wiki/IBM_WebSphere_Application_Server_Community_Edition" xr:uid="{CAA871E9-F69F-4192-A157-D4F12BB1F553}"/>
    <hyperlink ref="B21" r:id="rId41" tooltip="IBM" display="https://en.wikipedia.org/wiki/IBM" xr:uid="{6DE64FFD-E06D-49B3-B5CC-48ED062D3500}"/>
    <hyperlink ref="A22" r:id="rId42" tooltip="Apache Geronimo" display="https://en.wikipedia.org/wiki/Apache_Geronimo" xr:uid="{DE9CEC88-3CFE-4DD4-8CBE-52212BAD4243}"/>
    <hyperlink ref="B22" r:id="rId43" tooltip="Apache Software Foundation" display="https://en.wikipedia.org/wiki/Apache_Software_Foundation" xr:uid="{DF869E7C-A312-4CB8-879C-449D9AD46690}"/>
    <hyperlink ref="I22" r:id="rId44" tooltip="Apache License" display="https://en.wikipedia.org/wiki/Apache_License" xr:uid="{A00BAC94-9838-421E-B3E1-EFD0E9BA90DE}"/>
    <hyperlink ref="A23" r:id="rId45" tooltip="SAP NetWeaver Application Server" display="https://en.wikipedia.org/wiki/SAP_NetWeaver_Application_Server" xr:uid="{A87829F8-D202-4F95-818F-D7C3EB36FC9A}"/>
    <hyperlink ref="B23" r:id="rId46" tooltip="SAP AG" display="https://en.wikipedia.org/wiki/SAP_AG" xr:uid="{619C2D4B-79DC-4FCA-B06B-A78BDE485234}"/>
    <hyperlink ref="A24" r:id="rId47" tooltip="OC4J" display="https://en.wikipedia.org/wiki/OC4J" xr:uid="{6AE9B433-C202-4BDD-B28F-CCB23FC8751B}"/>
    <hyperlink ref="B24" r:id="rId48" tooltip="Oracle Corporation" display="https://en.wikipedia.org/wiki/Oracle_Corporation" xr:uid="{B99CD998-C306-47EE-B1C8-5F247B3A8FCC}"/>
    <hyperlink ref="A25" r:id="rId49" tooltip="WebObjects" display="https://en.wikipedia.org/wiki/WebObjects" xr:uid="{00128ED8-CDAF-4B2C-AE53-4395A9EB1FD9}"/>
    <hyperlink ref="B25" r:id="rId50" tooltip="Apple Inc." display="https://en.wikipedia.org/wiki/Apple_Inc." xr:uid="{27659943-5BF1-4204-9E30-F5A686804357}"/>
    <hyperlink ref="E25" r:id="rId51" location="cite_note-7" display="https://en.wikipedia.org/wiki/List_of_application_servers - cite_note-7" xr:uid="{71700833-F469-4CCD-96CF-28E1233BC936}"/>
    <hyperlink ref="A26" r:id="rId52" tooltip="JRun" display="https://en.wikipedia.org/wiki/JRun" xr:uid="{92079330-8DD3-4B23-B9DA-164B6DCEF8D2}"/>
    <hyperlink ref="B26" r:id="rId53" tooltip="Adobe Systems" display="https://en.wikipedia.org/wiki/Adobe_Systems" xr:uid="{E51E6A1C-2F14-4A30-869D-272EE5EAF290}"/>
    <hyperlink ref="A27" r:id="rId54" tooltip="Borland Enterprise Server" display="https://en.wikipedia.org/wiki/Borland_Enterprise_Server" xr:uid="{0C5A2082-D8FE-4B62-8477-087DCC15BD69}"/>
    <hyperlink ref="B27" r:id="rId55" tooltip="Borland" display="https://en.wikipedia.org/wiki/Borland" xr:uid="{177E84DD-7979-4E40-A61D-BB3B044C0261}"/>
    <hyperlink ref="A28" r:id="rId56" tooltip="Orion Application Server" display="https://en.wikipedia.org/wiki/Orion_Application_Server" xr:uid="{ED9362CB-BD8C-41DF-9D4E-983ADFFD6EB4}"/>
    <hyperlink ref="A29" r:id="rId57" tooltip="Enhydra Server" display="https://en.wikipedia.org/wiki/Enhydra_Server" xr:uid="{D89AD1B1-7703-4E1F-90C5-B7FD71F392F7}"/>
    <hyperlink ref="B29" r:id="rId58" tooltip="Lutris Technologies" display="https://en.wikipedia.org/wiki/Lutris_Technologies" xr:uid="{35429A71-963F-4B3D-89DF-93582C9ECAAA}"/>
    <hyperlink ref="I29" r:id="rId59" tooltip="GNU General Public License" display="https://en.wikipedia.org/wiki/GNU_General_Public_License" xr:uid="{ED78C3FD-6A6D-4F65-97EE-E1D8CA1D379E}"/>
    <hyperlink ref="A4" r:id="rId60" tooltip="WildFly" display="https://en.wikipedia.org/wiki/WildFly" xr:uid="{2780CB41-B7F4-453D-9F6C-836D981BEA71}"/>
    <hyperlink ref="B4" r:id="rId61" tooltip="Red Hat" display="https://en.wikipedia.org/wiki/Red_Hat" xr:uid="{586CD698-2D99-4C26-AFEF-7681D6C6B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Appunti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Giacomo Rossi</cp:lastModifiedBy>
  <dcterms:created xsi:type="dcterms:W3CDTF">2015-06-05T18:17:20Z</dcterms:created>
  <dcterms:modified xsi:type="dcterms:W3CDTF">2021-03-30T15:17:26Z</dcterms:modified>
</cp:coreProperties>
</file>