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edXCapital\Dividends\"/>
    </mc:Choice>
  </mc:AlternateContent>
  <xr:revisionPtr revIDLastSave="0" documentId="13_ncr:1_{17993168-59F6-49DE-8C92-3E116DD5FDF3}" xr6:coauthVersionLast="47" xr6:coauthVersionMax="47" xr10:uidLastSave="{00000000-0000-0000-0000-000000000000}"/>
  <bookViews>
    <workbookView xWindow="-21915" yWindow="4065" windowWidth="21600" windowHeight="11295" firstSheet="8" activeTab="8" xr2:uid="{00000000-000D-0000-FFFF-FFFF00000000}"/>
  </bookViews>
  <sheets>
    <sheet name="Iron Condor" sheetId="5" state="hidden" r:id="rId1"/>
    <sheet name="Prob Table" sheetId="6" state="hidden" r:id="rId2"/>
    <sheet name="VIX Prob table Threcile 5" sheetId="10" state="hidden" r:id="rId3"/>
    <sheet name="VIX Prob table Decile QQQ" sheetId="24" r:id="rId4"/>
    <sheet name="VIX Prob table quartile" sheetId="14" state="hidden" r:id="rId5"/>
    <sheet name="VIX Prob table Decile disp" sheetId="13" state="hidden" r:id="rId6"/>
    <sheet name="VIX Prob table Threcile disp" sheetId="11" state="hidden" r:id="rId7"/>
    <sheet name="Iron Condor ITM" sheetId="21" state="hidden" r:id="rId8"/>
    <sheet name="VIX Prob table Decile" sheetId="7" r:id="rId9"/>
    <sheet name="VIX Prob table Quartile monthly" sheetId="18" state="hidden" r:id="rId10"/>
    <sheet name="VIX Decile Overall" sheetId="27" r:id="rId11"/>
    <sheet name="Recession" sheetId="20" r:id="rId12"/>
    <sheet name="Monthly vix buckets 5" sheetId="25" r:id="rId13"/>
    <sheet name="Monthly vix buckets 10" sheetId="26" state="hidden" r:id="rId14"/>
    <sheet name="Monthly" sheetId="22" r:id="rId15"/>
    <sheet name="monthly chart" sheetId="19" state="hidden" r:id="rId16"/>
    <sheet name="VIX Prob table Decile yearly" sheetId="16" r:id="rId17"/>
    <sheet name="Sheet3" sheetId="17" state="hidden" r:id="rId18"/>
    <sheet name="Put 1" sheetId="1" state="hidden" r:id="rId19"/>
    <sheet name="Call 1" sheetId="3" state="hidden" r:id="rId20"/>
    <sheet name="Put .5" sheetId="2" state="hidden" r:id="rId21"/>
    <sheet name="Call .5" sheetId="4" state="hidden" r:id="rId22"/>
  </sheets>
  <definedNames>
    <definedName name="_xlnm._FilterDatabase" localSheetId="14" hidden="1">Monthly!$A$1:$C$1139</definedName>
    <definedName name="_xlnm._FilterDatabase" localSheetId="15" hidden="1">'monthly chart'!$A$1:$E$1</definedName>
    <definedName name="_xlnm._FilterDatabase" localSheetId="13" hidden="1">'Monthly vix buckets 10'!$A$1:$G$395</definedName>
    <definedName name="_xlnm._FilterDatabase" localSheetId="12" hidden="1">'Monthly vix buckets 5'!$A$1:$G$395</definedName>
    <definedName name="_xlnm._FilterDatabase" localSheetId="11" hidden="1">Recession!$A$1:$E$1</definedName>
    <definedName name="_xlnm._FilterDatabase" localSheetId="8" hidden="1">'VIX Prob table Decile'!$M$7:$M$23</definedName>
    <definedName name="_xlnm._FilterDatabase" localSheetId="5" hidden="1">'VIX Prob table Decile disp'!$I$6:$I$22</definedName>
    <definedName name="_xlnm._FilterDatabase" localSheetId="3" hidden="1">'VIX Prob table Decile QQQ'!$M$7:$M$23</definedName>
    <definedName name="_xlnm._FilterDatabase" localSheetId="16" hidden="1">'VIX Prob table Decile yearly'!$A$62:$C$62</definedName>
    <definedName name="_xlnm._FilterDatabase" localSheetId="9" hidden="1">'VIX Prob table Quartile monthly'!$M$8:$M$52</definedName>
    <definedName name="_xlnm._FilterDatabase" localSheetId="6" hidden="1">'VIX Prob table Threcile disp'!$AI$5:$AI$33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125" i="7" l="1"/>
  <c r="AP125" i="7"/>
  <c r="AN125" i="7"/>
  <c r="AQ125" i="7" s="1"/>
  <c r="AN126" i="7"/>
  <c r="AP126" i="7" s="1"/>
  <c r="AO131" i="7"/>
  <c r="AO132" i="7" s="1"/>
  <c r="AN131" i="7"/>
  <c r="AN132" i="7" s="1"/>
  <c r="AM131" i="7"/>
  <c r="AM132" i="7" s="1"/>
  <c r="AL131" i="7"/>
  <c r="AL132" i="7" s="1"/>
  <c r="AM134" i="7"/>
  <c r="AO133" i="7"/>
  <c r="AO134" i="7" s="1"/>
  <c r="AN133" i="7"/>
  <c r="AN134" i="7" s="1"/>
  <c r="AM133" i="7"/>
  <c r="AL133" i="7"/>
  <c r="AL134" i="7" s="1"/>
  <c r="AL185" i="7"/>
  <c r="AM185" i="7"/>
  <c r="X68" i="27"/>
  <c r="X69" i="27" s="1"/>
  <c r="AA68" i="27"/>
  <c r="AA69" i="27"/>
  <c r="P77" i="27"/>
  <c r="O77" i="27"/>
  <c r="N77" i="27"/>
  <c r="Q76" i="27"/>
  <c r="Q77" i="27" s="1"/>
  <c r="P76" i="27"/>
  <c r="O76" i="27"/>
  <c r="N76" i="27"/>
  <c r="Z77" i="27"/>
  <c r="Y77" i="27"/>
  <c r="AA76" i="27"/>
  <c r="AA77" i="27" s="1"/>
  <c r="Z76" i="27"/>
  <c r="Y76" i="27"/>
  <c r="X76" i="27"/>
  <c r="X77" i="27" s="1"/>
  <c r="AA61" i="27"/>
  <c r="Z61" i="27"/>
  <c r="Y61" i="27"/>
  <c r="AA60" i="27"/>
  <c r="Z60" i="27"/>
  <c r="Y60" i="27"/>
  <c r="X60" i="27"/>
  <c r="X61" i="27" s="1"/>
  <c r="P61" i="27"/>
  <c r="O61" i="27"/>
  <c r="Q60" i="27"/>
  <c r="Q61" i="27" s="1"/>
  <c r="P60" i="27"/>
  <c r="O60" i="27"/>
  <c r="N60" i="27"/>
  <c r="N61" i="27" s="1"/>
  <c r="O68" i="27"/>
  <c r="O69" i="27" s="1"/>
  <c r="Y68" i="27"/>
  <c r="Z68" i="27"/>
  <c r="Z69" i="27"/>
  <c r="Y69" i="27"/>
  <c r="Q68" i="27"/>
  <c r="P68" i="27"/>
  <c r="N68" i="27"/>
  <c r="N69" i="27"/>
  <c r="Q69" i="27"/>
  <c r="P69" i="27"/>
  <c r="N205" i="7"/>
  <c r="N206" i="7" s="1"/>
  <c r="K205" i="7"/>
  <c r="K206" i="7" s="1"/>
  <c r="L205" i="7"/>
  <c r="L206" i="7" s="1"/>
  <c r="M205" i="7"/>
  <c r="M206" i="7" s="1"/>
  <c r="Z133" i="7"/>
  <c r="Z134" i="7" s="1"/>
  <c r="AA133" i="7"/>
  <c r="AA134" i="7"/>
  <c r="AB131" i="7"/>
  <c r="AB132" i="7" s="1"/>
  <c r="AA131" i="7"/>
  <c r="AA132" i="7" s="1"/>
  <c r="Z131" i="7"/>
  <c r="Z132" i="7" s="1"/>
  <c r="Y131" i="7"/>
  <c r="Y132" i="7" s="1"/>
  <c r="N203" i="7"/>
  <c r="N204" i="7" s="1"/>
  <c r="M203" i="7"/>
  <c r="M204" i="7" s="1"/>
  <c r="L203" i="7"/>
  <c r="L204" i="7" s="1"/>
  <c r="K203" i="7"/>
  <c r="K204" i="7" s="1"/>
  <c r="V99" i="22"/>
  <c r="V104" i="22"/>
  <c r="V109" i="22"/>
  <c r="V100" i="22"/>
  <c r="V105" i="22"/>
  <c r="V108" i="22"/>
  <c r="V101" i="22"/>
  <c r="V107" i="22"/>
  <c r="V102" i="22"/>
  <c r="V106" i="22"/>
  <c r="V103" i="22"/>
  <c r="V98" i="22"/>
  <c r="U98" i="22"/>
  <c r="E2" i="20"/>
  <c r="D2" i="25"/>
  <c r="E2" i="25" s="1"/>
  <c r="G2" i="25"/>
  <c r="F2" i="25"/>
  <c r="C2" i="25"/>
  <c r="E2" i="22"/>
  <c r="D2" i="22"/>
  <c r="C2" i="22"/>
  <c r="C2" i="26"/>
  <c r="D2" i="26"/>
  <c r="E2" i="26" s="1"/>
  <c r="F2" i="26"/>
  <c r="G2" i="26"/>
  <c r="X96" i="25"/>
  <c r="G395" i="26"/>
  <c r="F395" i="26"/>
  <c r="D395" i="26"/>
  <c r="E395" i="26" s="1"/>
  <c r="C395" i="26"/>
  <c r="G394" i="26"/>
  <c r="F394" i="26"/>
  <c r="D394" i="26"/>
  <c r="E394" i="26" s="1"/>
  <c r="C394" i="26"/>
  <c r="G393" i="26"/>
  <c r="F393" i="26"/>
  <c r="D393" i="26"/>
  <c r="E393" i="26" s="1"/>
  <c r="C393" i="26"/>
  <c r="G392" i="26"/>
  <c r="F392" i="26"/>
  <c r="D392" i="26"/>
  <c r="E392" i="26" s="1"/>
  <c r="C392" i="26"/>
  <c r="G391" i="26"/>
  <c r="F391" i="26"/>
  <c r="D391" i="26"/>
  <c r="E391" i="26" s="1"/>
  <c r="C391" i="26"/>
  <c r="G390" i="26"/>
  <c r="F390" i="26"/>
  <c r="D390" i="26"/>
  <c r="E390" i="26" s="1"/>
  <c r="C390" i="26"/>
  <c r="G389" i="26"/>
  <c r="F389" i="26"/>
  <c r="D389" i="26"/>
  <c r="E389" i="26" s="1"/>
  <c r="C389" i="26"/>
  <c r="G388" i="26"/>
  <c r="F388" i="26"/>
  <c r="D388" i="26"/>
  <c r="E388" i="26" s="1"/>
  <c r="C388" i="26"/>
  <c r="G387" i="26"/>
  <c r="F387" i="26"/>
  <c r="D387" i="26"/>
  <c r="E387" i="26" s="1"/>
  <c r="C387" i="26"/>
  <c r="G386" i="26"/>
  <c r="F386" i="26"/>
  <c r="D386" i="26"/>
  <c r="E386" i="26" s="1"/>
  <c r="C386" i="26"/>
  <c r="G385" i="26"/>
  <c r="F385" i="26"/>
  <c r="D385" i="26"/>
  <c r="E385" i="26" s="1"/>
  <c r="C385" i="26"/>
  <c r="G384" i="26"/>
  <c r="F384" i="26"/>
  <c r="D384" i="26"/>
  <c r="E384" i="26" s="1"/>
  <c r="C384" i="26"/>
  <c r="G383" i="26"/>
  <c r="F383" i="26"/>
  <c r="D383" i="26"/>
  <c r="E383" i="26" s="1"/>
  <c r="C383" i="26"/>
  <c r="G382" i="26"/>
  <c r="F382" i="26"/>
  <c r="D382" i="26"/>
  <c r="E382" i="26" s="1"/>
  <c r="C382" i="26"/>
  <c r="G381" i="26"/>
  <c r="F381" i="26"/>
  <c r="D381" i="26"/>
  <c r="E381" i="26" s="1"/>
  <c r="C381" i="26"/>
  <c r="G380" i="26"/>
  <c r="F380" i="26"/>
  <c r="D380" i="26"/>
  <c r="E380" i="26" s="1"/>
  <c r="C380" i="26"/>
  <c r="G379" i="26"/>
  <c r="F379" i="26"/>
  <c r="D379" i="26"/>
  <c r="E379" i="26" s="1"/>
  <c r="C379" i="26"/>
  <c r="G378" i="26"/>
  <c r="F378" i="26"/>
  <c r="D378" i="26"/>
  <c r="E378" i="26" s="1"/>
  <c r="C378" i="26"/>
  <c r="G377" i="26"/>
  <c r="F377" i="26"/>
  <c r="D377" i="26"/>
  <c r="E377" i="26" s="1"/>
  <c r="C377" i="26"/>
  <c r="G376" i="26"/>
  <c r="F376" i="26"/>
  <c r="D376" i="26"/>
  <c r="E376" i="26" s="1"/>
  <c r="C376" i="26"/>
  <c r="G375" i="26"/>
  <c r="F375" i="26"/>
  <c r="D375" i="26"/>
  <c r="E375" i="26" s="1"/>
  <c r="C375" i="26"/>
  <c r="G374" i="26"/>
  <c r="F374" i="26"/>
  <c r="D374" i="26"/>
  <c r="E374" i="26" s="1"/>
  <c r="C374" i="26"/>
  <c r="G373" i="26"/>
  <c r="F373" i="26"/>
  <c r="D373" i="26"/>
  <c r="E373" i="26" s="1"/>
  <c r="C373" i="26"/>
  <c r="G372" i="26"/>
  <c r="F372" i="26"/>
  <c r="D372" i="26"/>
  <c r="E372" i="26" s="1"/>
  <c r="C372" i="26"/>
  <c r="G371" i="26"/>
  <c r="F371" i="26"/>
  <c r="D371" i="26"/>
  <c r="E371" i="26" s="1"/>
  <c r="C371" i="26"/>
  <c r="G370" i="26"/>
  <c r="F370" i="26"/>
  <c r="D370" i="26"/>
  <c r="E370" i="26" s="1"/>
  <c r="C370" i="26"/>
  <c r="G369" i="26"/>
  <c r="F369" i="26"/>
  <c r="D369" i="26"/>
  <c r="E369" i="26" s="1"/>
  <c r="C369" i="26"/>
  <c r="G368" i="26"/>
  <c r="F368" i="26"/>
  <c r="D368" i="26"/>
  <c r="E368" i="26" s="1"/>
  <c r="C368" i="26"/>
  <c r="G367" i="26"/>
  <c r="F367" i="26"/>
  <c r="D367" i="26"/>
  <c r="E367" i="26" s="1"/>
  <c r="C367" i="26"/>
  <c r="G366" i="26"/>
  <c r="F366" i="26"/>
  <c r="D366" i="26"/>
  <c r="E366" i="26" s="1"/>
  <c r="C366" i="26"/>
  <c r="G365" i="26"/>
  <c r="F365" i="26"/>
  <c r="D365" i="26"/>
  <c r="E365" i="26" s="1"/>
  <c r="C365" i="26"/>
  <c r="G364" i="26"/>
  <c r="F364" i="26"/>
  <c r="D364" i="26"/>
  <c r="E364" i="26" s="1"/>
  <c r="C364" i="26"/>
  <c r="G363" i="26"/>
  <c r="F363" i="26"/>
  <c r="D363" i="26"/>
  <c r="E363" i="26" s="1"/>
  <c r="C363" i="26"/>
  <c r="G362" i="26"/>
  <c r="F362" i="26"/>
  <c r="D362" i="26"/>
  <c r="E362" i="26" s="1"/>
  <c r="C362" i="26"/>
  <c r="G361" i="26"/>
  <c r="F361" i="26"/>
  <c r="D361" i="26"/>
  <c r="E361" i="26" s="1"/>
  <c r="C361" i="26"/>
  <c r="G360" i="26"/>
  <c r="F360" i="26"/>
  <c r="D360" i="26"/>
  <c r="E360" i="26" s="1"/>
  <c r="C360" i="26"/>
  <c r="G359" i="26"/>
  <c r="F359" i="26"/>
  <c r="D359" i="26"/>
  <c r="E359" i="26" s="1"/>
  <c r="C359" i="26"/>
  <c r="G358" i="26"/>
  <c r="F358" i="26"/>
  <c r="D358" i="26"/>
  <c r="E358" i="26" s="1"/>
  <c r="C358" i="26"/>
  <c r="G357" i="26"/>
  <c r="F357" i="26"/>
  <c r="D357" i="26"/>
  <c r="E357" i="26" s="1"/>
  <c r="C357" i="26"/>
  <c r="G356" i="26"/>
  <c r="F356" i="26"/>
  <c r="D356" i="26"/>
  <c r="E356" i="26" s="1"/>
  <c r="C356" i="26"/>
  <c r="G355" i="26"/>
  <c r="F355" i="26"/>
  <c r="D355" i="26"/>
  <c r="E355" i="26" s="1"/>
  <c r="C355" i="26"/>
  <c r="G354" i="26"/>
  <c r="F354" i="26"/>
  <c r="D354" i="26"/>
  <c r="E354" i="26" s="1"/>
  <c r="C354" i="26"/>
  <c r="G353" i="26"/>
  <c r="F353" i="26"/>
  <c r="D353" i="26"/>
  <c r="E353" i="26" s="1"/>
  <c r="C353" i="26"/>
  <c r="G352" i="26"/>
  <c r="F352" i="26"/>
  <c r="D352" i="26"/>
  <c r="E352" i="26" s="1"/>
  <c r="C352" i="26"/>
  <c r="G351" i="26"/>
  <c r="F351" i="26"/>
  <c r="D351" i="26"/>
  <c r="E351" i="26" s="1"/>
  <c r="C351" i="26"/>
  <c r="G350" i="26"/>
  <c r="F350" i="26"/>
  <c r="D350" i="26"/>
  <c r="E350" i="26" s="1"/>
  <c r="C350" i="26"/>
  <c r="G349" i="26"/>
  <c r="F349" i="26"/>
  <c r="D349" i="26"/>
  <c r="E349" i="26" s="1"/>
  <c r="C349" i="26"/>
  <c r="G348" i="26"/>
  <c r="F348" i="26"/>
  <c r="D348" i="26"/>
  <c r="E348" i="26" s="1"/>
  <c r="C348" i="26"/>
  <c r="G347" i="26"/>
  <c r="F347" i="26"/>
  <c r="D347" i="26"/>
  <c r="E347" i="26" s="1"/>
  <c r="C347" i="26"/>
  <c r="G346" i="26"/>
  <c r="F346" i="26"/>
  <c r="D346" i="26"/>
  <c r="E346" i="26" s="1"/>
  <c r="C346" i="26"/>
  <c r="G345" i="26"/>
  <c r="F345" i="26"/>
  <c r="D345" i="26"/>
  <c r="E345" i="26" s="1"/>
  <c r="C345" i="26"/>
  <c r="G344" i="26"/>
  <c r="F344" i="26"/>
  <c r="D344" i="26"/>
  <c r="E344" i="26" s="1"/>
  <c r="C344" i="26"/>
  <c r="G343" i="26"/>
  <c r="F343" i="26"/>
  <c r="D343" i="26"/>
  <c r="E343" i="26" s="1"/>
  <c r="C343" i="26"/>
  <c r="G342" i="26"/>
  <c r="F342" i="26"/>
  <c r="D342" i="26"/>
  <c r="E342" i="26" s="1"/>
  <c r="C342" i="26"/>
  <c r="G341" i="26"/>
  <c r="F341" i="26"/>
  <c r="D341" i="26"/>
  <c r="E341" i="26" s="1"/>
  <c r="C341" i="26"/>
  <c r="G340" i="26"/>
  <c r="F340" i="26"/>
  <c r="D340" i="26"/>
  <c r="E340" i="26" s="1"/>
  <c r="C340" i="26"/>
  <c r="G339" i="26"/>
  <c r="F339" i="26"/>
  <c r="D339" i="26"/>
  <c r="E339" i="26" s="1"/>
  <c r="C339" i="26"/>
  <c r="G338" i="26"/>
  <c r="F338" i="26"/>
  <c r="D338" i="26"/>
  <c r="E338" i="26" s="1"/>
  <c r="C338" i="26"/>
  <c r="G337" i="26"/>
  <c r="F337" i="26"/>
  <c r="D337" i="26"/>
  <c r="E337" i="26" s="1"/>
  <c r="C337" i="26"/>
  <c r="G336" i="26"/>
  <c r="F336" i="26"/>
  <c r="D336" i="26"/>
  <c r="E336" i="26" s="1"/>
  <c r="C336" i="26"/>
  <c r="G335" i="26"/>
  <c r="F335" i="26"/>
  <c r="D335" i="26"/>
  <c r="E335" i="26" s="1"/>
  <c r="C335" i="26"/>
  <c r="G334" i="26"/>
  <c r="F334" i="26"/>
  <c r="D334" i="26"/>
  <c r="E334" i="26" s="1"/>
  <c r="C334" i="26"/>
  <c r="G333" i="26"/>
  <c r="F333" i="26"/>
  <c r="D333" i="26"/>
  <c r="E333" i="26" s="1"/>
  <c r="C333" i="26"/>
  <c r="G332" i="26"/>
  <c r="F332" i="26"/>
  <c r="D332" i="26"/>
  <c r="E332" i="26" s="1"/>
  <c r="C332" i="26"/>
  <c r="G331" i="26"/>
  <c r="F331" i="26"/>
  <c r="D331" i="26"/>
  <c r="E331" i="26" s="1"/>
  <c r="C331" i="26"/>
  <c r="G330" i="26"/>
  <c r="F330" i="26"/>
  <c r="D330" i="26"/>
  <c r="E330" i="26" s="1"/>
  <c r="C330" i="26"/>
  <c r="G329" i="26"/>
  <c r="F329" i="26"/>
  <c r="D329" i="26"/>
  <c r="E329" i="26" s="1"/>
  <c r="C329" i="26"/>
  <c r="G328" i="26"/>
  <c r="F328" i="26"/>
  <c r="D328" i="26"/>
  <c r="E328" i="26" s="1"/>
  <c r="C328" i="26"/>
  <c r="G327" i="26"/>
  <c r="F327" i="26"/>
  <c r="D327" i="26"/>
  <c r="E327" i="26" s="1"/>
  <c r="C327" i="26"/>
  <c r="G326" i="26"/>
  <c r="F326" i="26"/>
  <c r="D326" i="26"/>
  <c r="E326" i="26" s="1"/>
  <c r="C326" i="26"/>
  <c r="G325" i="26"/>
  <c r="F325" i="26"/>
  <c r="D325" i="26"/>
  <c r="E325" i="26" s="1"/>
  <c r="C325" i="26"/>
  <c r="G324" i="26"/>
  <c r="F324" i="26"/>
  <c r="D324" i="26"/>
  <c r="E324" i="26" s="1"/>
  <c r="C324" i="26"/>
  <c r="G323" i="26"/>
  <c r="F323" i="26"/>
  <c r="D323" i="26"/>
  <c r="E323" i="26" s="1"/>
  <c r="C323" i="26"/>
  <c r="G322" i="26"/>
  <c r="F322" i="26"/>
  <c r="D322" i="26"/>
  <c r="E322" i="26" s="1"/>
  <c r="C322" i="26"/>
  <c r="G321" i="26"/>
  <c r="F321" i="26"/>
  <c r="D321" i="26"/>
  <c r="E321" i="26" s="1"/>
  <c r="C321" i="26"/>
  <c r="G320" i="26"/>
  <c r="F320" i="26"/>
  <c r="D320" i="26"/>
  <c r="E320" i="26" s="1"/>
  <c r="C320" i="26"/>
  <c r="G319" i="26"/>
  <c r="F319" i="26"/>
  <c r="D319" i="26"/>
  <c r="E319" i="26" s="1"/>
  <c r="C319" i="26"/>
  <c r="G318" i="26"/>
  <c r="F318" i="26"/>
  <c r="D318" i="26"/>
  <c r="E318" i="26" s="1"/>
  <c r="C318" i="26"/>
  <c r="G317" i="26"/>
  <c r="F317" i="26"/>
  <c r="D317" i="26"/>
  <c r="E317" i="26" s="1"/>
  <c r="C317" i="26"/>
  <c r="G316" i="26"/>
  <c r="F316" i="26"/>
  <c r="D316" i="26"/>
  <c r="E316" i="26" s="1"/>
  <c r="C316" i="26"/>
  <c r="G315" i="26"/>
  <c r="F315" i="26"/>
  <c r="D315" i="26"/>
  <c r="E315" i="26" s="1"/>
  <c r="C315" i="26"/>
  <c r="G314" i="26"/>
  <c r="F314" i="26"/>
  <c r="D314" i="26"/>
  <c r="E314" i="26" s="1"/>
  <c r="C314" i="26"/>
  <c r="G313" i="26"/>
  <c r="F313" i="26"/>
  <c r="D313" i="26"/>
  <c r="E313" i="26" s="1"/>
  <c r="C313" i="26"/>
  <c r="G312" i="26"/>
  <c r="F312" i="26"/>
  <c r="D312" i="26"/>
  <c r="E312" i="26" s="1"/>
  <c r="C312" i="26"/>
  <c r="G311" i="26"/>
  <c r="F311" i="26"/>
  <c r="D311" i="26"/>
  <c r="E311" i="26" s="1"/>
  <c r="C311" i="26"/>
  <c r="G310" i="26"/>
  <c r="F310" i="26"/>
  <c r="D310" i="26"/>
  <c r="E310" i="26" s="1"/>
  <c r="C310" i="26"/>
  <c r="G309" i="26"/>
  <c r="F309" i="26"/>
  <c r="D309" i="26"/>
  <c r="E309" i="26" s="1"/>
  <c r="C309" i="26"/>
  <c r="G308" i="26"/>
  <c r="F308" i="26"/>
  <c r="D308" i="26"/>
  <c r="E308" i="26" s="1"/>
  <c r="C308" i="26"/>
  <c r="G307" i="26"/>
  <c r="F307" i="26"/>
  <c r="D307" i="26"/>
  <c r="E307" i="26" s="1"/>
  <c r="C307" i="26"/>
  <c r="G306" i="26"/>
  <c r="F306" i="26"/>
  <c r="D306" i="26"/>
  <c r="E306" i="26" s="1"/>
  <c r="C306" i="26"/>
  <c r="G305" i="26"/>
  <c r="F305" i="26"/>
  <c r="D305" i="26"/>
  <c r="E305" i="26" s="1"/>
  <c r="C305" i="26"/>
  <c r="G304" i="26"/>
  <c r="F304" i="26"/>
  <c r="D304" i="26"/>
  <c r="E304" i="26" s="1"/>
  <c r="C304" i="26"/>
  <c r="G303" i="26"/>
  <c r="F303" i="26"/>
  <c r="D303" i="26"/>
  <c r="E303" i="26" s="1"/>
  <c r="C303" i="26"/>
  <c r="G302" i="26"/>
  <c r="F302" i="26"/>
  <c r="D302" i="26"/>
  <c r="E302" i="26" s="1"/>
  <c r="C302" i="26"/>
  <c r="G301" i="26"/>
  <c r="F301" i="26"/>
  <c r="D301" i="26"/>
  <c r="E301" i="26" s="1"/>
  <c r="C301" i="26"/>
  <c r="G300" i="26"/>
  <c r="F300" i="26"/>
  <c r="D300" i="26"/>
  <c r="E300" i="26" s="1"/>
  <c r="C300" i="26"/>
  <c r="G299" i="26"/>
  <c r="F299" i="26"/>
  <c r="D299" i="26"/>
  <c r="E299" i="26" s="1"/>
  <c r="C299" i="26"/>
  <c r="G298" i="26"/>
  <c r="F298" i="26"/>
  <c r="D298" i="26"/>
  <c r="E298" i="26" s="1"/>
  <c r="C298" i="26"/>
  <c r="G297" i="26"/>
  <c r="F297" i="26"/>
  <c r="D297" i="26"/>
  <c r="E297" i="26" s="1"/>
  <c r="C297" i="26"/>
  <c r="G296" i="26"/>
  <c r="F296" i="26"/>
  <c r="D296" i="26"/>
  <c r="E296" i="26" s="1"/>
  <c r="C296" i="26"/>
  <c r="G295" i="26"/>
  <c r="F295" i="26"/>
  <c r="D295" i="26"/>
  <c r="E295" i="26" s="1"/>
  <c r="C295" i="26"/>
  <c r="G294" i="26"/>
  <c r="F294" i="26"/>
  <c r="D294" i="26"/>
  <c r="E294" i="26" s="1"/>
  <c r="C294" i="26"/>
  <c r="G293" i="26"/>
  <c r="F293" i="26"/>
  <c r="D293" i="26"/>
  <c r="E293" i="26" s="1"/>
  <c r="C293" i="26"/>
  <c r="G292" i="26"/>
  <c r="F292" i="26"/>
  <c r="D292" i="26"/>
  <c r="E292" i="26" s="1"/>
  <c r="C292" i="26"/>
  <c r="G291" i="26"/>
  <c r="F291" i="26"/>
  <c r="D291" i="26"/>
  <c r="E291" i="26" s="1"/>
  <c r="C291" i="26"/>
  <c r="G290" i="26"/>
  <c r="F290" i="26"/>
  <c r="D290" i="26"/>
  <c r="E290" i="26" s="1"/>
  <c r="C290" i="26"/>
  <c r="G289" i="26"/>
  <c r="F289" i="26"/>
  <c r="D289" i="26"/>
  <c r="E289" i="26" s="1"/>
  <c r="C289" i="26"/>
  <c r="G288" i="26"/>
  <c r="F288" i="26"/>
  <c r="D288" i="26"/>
  <c r="E288" i="26" s="1"/>
  <c r="C288" i="26"/>
  <c r="G287" i="26"/>
  <c r="F287" i="26"/>
  <c r="D287" i="26"/>
  <c r="E287" i="26" s="1"/>
  <c r="C287" i="26"/>
  <c r="G286" i="26"/>
  <c r="F286" i="26"/>
  <c r="D286" i="26"/>
  <c r="E286" i="26" s="1"/>
  <c r="C286" i="26"/>
  <c r="G285" i="26"/>
  <c r="F285" i="26"/>
  <c r="D285" i="26"/>
  <c r="E285" i="26" s="1"/>
  <c r="C285" i="26"/>
  <c r="G284" i="26"/>
  <c r="F284" i="26"/>
  <c r="D284" i="26"/>
  <c r="E284" i="26" s="1"/>
  <c r="C284" i="26"/>
  <c r="G283" i="26"/>
  <c r="F283" i="26"/>
  <c r="D283" i="26"/>
  <c r="E283" i="26" s="1"/>
  <c r="C283" i="26"/>
  <c r="G282" i="26"/>
  <c r="F282" i="26"/>
  <c r="D282" i="26"/>
  <c r="E282" i="26" s="1"/>
  <c r="C282" i="26"/>
  <c r="G281" i="26"/>
  <c r="F281" i="26"/>
  <c r="D281" i="26"/>
  <c r="E281" i="26" s="1"/>
  <c r="C281" i="26"/>
  <c r="G280" i="26"/>
  <c r="F280" i="26"/>
  <c r="D280" i="26"/>
  <c r="E280" i="26" s="1"/>
  <c r="C280" i="26"/>
  <c r="G279" i="26"/>
  <c r="F279" i="26"/>
  <c r="D279" i="26"/>
  <c r="E279" i="26" s="1"/>
  <c r="C279" i="26"/>
  <c r="G278" i="26"/>
  <c r="F278" i="26"/>
  <c r="D278" i="26"/>
  <c r="E278" i="26" s="1"/>
  <c r="C278" i="26"/>
  <c r="G277" i="26"/>
  <c r="F277" i="26"/>
  <c r="D277" i="26"/>
  <c r="E277" i="26" s="1"/>
  <c r="C277" i="26"/>
  <c r="G276" i="26"/>
  <c r="F276" i="26"/>
  <c r="D276" i="26"/>
  <c r="E276" i="26" s="1"/>
  <c r="C276" i="26"/>
  <c r="G275" i="26"/>
  <c r="F275" i="26"/>
  <c r="D275" i="26"/>
  <c r="E275" i="26" s="1"/>
  <c r="C275" i="26"/>
  <c r="G274" i="26"/>
  <c r="F274" i="26"/>
  <c r="D274" i="26"/>
  <c r="E274" i="26" s="1"/>
  <c r="C274" i="26"/>
  <c r="G273" i="26"/>
  <c r="F273" i="26"/>
  <c r="D273" i="26"/>
  <c r="E273" i="26" s="1"/>
  <c r="C273" i="26"/>
  <c r="G272" i="26"/>
  <c r="F272" i="26"/>
  <c r="D272" i="26"/>
  <c r="E272" i="26" s="1"/>
  <c r="C272" i="26"/>
  <c r="G271" i="26"/>
  <c r="F271" i="26"/>
  <c r="D271" i="26"/>
  <c r="E271" i="26" s="1"/>
  <c r="C271" i="26"/>
  <c r="G270" i="26"/>
  <c r="F270" i="26"/>
  <c r="D270" i="26"/>
  <c r="E270" i="26" s="1"/>
  <c r="C270" i="26"/>
  <c r="G269" i="26"/>
  <c r="F269" i="26"/>
  <c r="D269" i="26"/>
  <c r="E269" i="26" s="1"/>
  <c r="C269" i="26"/>
  <c r="G268" i="26"/>
  <c r="F268" i="26"/>
  <c r="D268" i="26"/>
  <c r="E268" i="26" s="1"/>
  <c r="C268" i="26"/>
  <c r="G267" i="26"/>
  <c r="F267" i="26"/>
  <c r="D267" i="26"/>
  <c r="E267" i="26" s="1"/>
  <c r="C267" i="26"/>
  <c r="G266" i="26"/>
  <c r="F266" i="26"/>
  <c r="D266" i="26"/>
  <c r="E266" i="26" s="1"/>
  <c r="C266" i="26"/>
  <c r="G265" i="26"/>
  <c r="F265" i="26"/>
  <c r="D265" i="26"/>
  <c r="E265" i="26" s="1"/>
  <c r="C265" i="26"/>
  <c r="G264" i="26"/>
  <c r="F264" i="26"/>
  <c r="D264" i="26"/>
  <c r="E264" i="26" s="1"/>
  <c r="C264" i="26"/>
  <c r="G263" i="26"/>
  <c r="F263" i="26"/>
  <c r="D263" i="26"/>
  <c r="E263" i="26" s="1"/>
  <c r="C263" i="26"/>
  <c r="G262" i="26"/>
  <c r="F262" i="26"/>
  <c r="D262" i="26"/>
  <c r="E262" i="26" s="1"/>
  <c r="C262" i="26"/>
  <c r="G261" i="26"/>
  <c r="F261" i="26"/>
  <c r="D261" i="26"/>
  <c r="E261" i="26" s="1"/>
  <c r="C261" i="26"/>
  <c r="G260" i="26"/>
  <c r="F260" i="26"/>
  <c r="D260" i="26"/>
  <c r="E260" i="26" s="1"/>
  <c r="C260" i="26"/>
  <c r="G259" i="26"/>
  <c r="F259" i="26"/>
  <c r="D259" i="26"/>
  <c r="E259" i="26" s="1"/>
  <c r="C259" i="26"/>
  <c r="G258" i="26"/>
  <c r="F258" i="26"/>
  <c r="D258" i="26"/>
  <c r="E258" i="26" s="1"/>
  <c r="C258" i="26"/>
  <c r="G257" i="26"/>
  <c r="F257" i="26"/>
  <c r="D257" i="26"/>
  <c r="E257" i="26" s="1"/>
  <c r="C257" i="26"/>
  <c r="G256" i="26"/>
  <c r="F256" i="26"/>
  <c r="D256" i="26"/>
  <c r="E256" i="26" s="1"/>
  <c r="C256" i="26"/>
  <c r="G255" i="26"/>
  <c r="F255" i="26"/>
  <c r="D255" i="26"/>
  <c r="E255" i="26" s="1"/>
  <c r="C255" i="26"/>
  <c r="G254" i="26"/>
  <c r="F254" i="26"/>
  <c r="D254" i="26"/>
  <c r="E254" i="26" s="1"/>
  <c r="C254" i="26"/>
  <c r="G253" i="26"/>
  <c r="F253" i="26"/>
  <c r="D253" i="26"/>
  <c r="E253" i="26" s="1"/>
  <c r="C253" i="26"/>
  <c r="G252" i="26"/>
  <c r="F252" i="26"/>
  <c r="D252" i="26"/>
  <c r="E252" i="26" s="1"/>
  <c r="C252" i="26"/>
  <c r="G251" i="26"/>
  <c r="F251" i="26"/>
  <c r="D251" i="26"/>
  <c r="E251" i="26" s="1"/>
  <c r="C251" i="26"/>
  <c r="G250" i="26"/>
  <c r="F250" i="26"/>
  <c r="D250" i="26"/>
  <c r="E250" i="26" s="1"/>
  <c r="C250" i="26"/>
  <c r="G249" i="26"/>
  <c r="F249" i="26"/>
  <c r="D249" i="26"/>
  <c r="E249" i="26" s="1"/>
  <c r="C249" i="26"/>
  <c r="G248" i="26"/>
  <c r="F248" i="26"/>
  <c r="D248" i="26"/>
  <c r="E248" i="26" s="1"/>
  <c r="C248" i="26"/>
  <c r="G247" i="26"/>
  <c r="F247" i="26"/>
  <c r="D247" i="26"/>
  <c r="E247" i="26" s="1"/>
  <c r="C247" i="26"/>
  <c r="G246" i="26"/>
  <c r="F246" i="26"/>
  <c r="D246" i="26"/>
  <c r="E246" i="26" s="1"/>
  <c r="C246" i="26"/>
  <c r="G245" i="26"/>
  <c r="F245" i="26"/>
  <c r="D245" i="26"/>
  <c r="E245" i="26" s="1"/>
  <c r="C245" i="26"/>
  <c r="G244" i="26"/>
  <c r="F244" i="26"/>
  <c r="D244" i="26"/>
  <c r="E244" i="26" s="1"/>
  <c r="C244" i="26"/>
  <c r="G243" i="26"/>
  <c r="F243" i="26"/>
  <c r="D243" i="26"/>
  <c r="E243" i="26" s="1"/>
  <c r="C243" i="26"/>
  <c r="G242" i="26"/>
  <c r="F242" i="26"/>
  <c r="D242" i="26"/>
  <c r="E242" i="26" s="1"/>
  <c r="C242" i="26"/>
  <c r="G241" i="26"/>
  <c r="F241" i="26"/>
  <c r="D241" i="26"/>
  <c r="E241" i="26" s="1"/>
  <c r="C241" i="26"/>
  <c r="G240" i="26"/>
  <c r="F240" i="26"/>
  <c r="D240" i="26"/>
  <c r="E240" i="26" s="1"/>
  <c r="C240" i="26"/>
  <c r="G239" i="26"/>
  <c r="F239" i="26"/>
  <c r="D239" i="26"/>
  <c r="E239" i="26" s="1"/>
  <c r="C239" i="26"/>
  <c r="G238" i="26"/>
  <c r="F238" i="26"/>
  <c r="D238" i="26"/>
  <c r="E238" i="26" s="1"/>
  <c r="C238" i="26"/>
  <c r="G237" i="26"/>
  <c r="F237" i="26"/>
  <c r="D237" i="26"/>
  <c r="E237" i="26" s="1"/>
  <c r="C237" i="26"/>
  <c r="G236" i="26"/>
  <c r="F236" i="26"/>
  <c r="D236" i="26"/>
  <c r="E236" i="26" s="1"/>
  <c r="C236" i="26"/>
  <c r="G235" i="26"/>
  <c r="F235" i="26"/>
  <c r="D235" i="26"/>
  <c r="E235" i="26" s="1"/>
  <c r="C235" i="26"/>
  <c r="G234" i="26"/>
  <c r="F234" i="26"/>
  <c r="D234" i="26"/>
  <c r="E234" i="26" s="1"/>
  <c r="C234" i="26"/>
  <c r="G233" i="26"/>
  <c r="F233" i="26"/>
  <c r="D233" i="26"/>
  <c r="E233" i="26" s="1"/>
  <c r="C233" i="26"/>
  <c r="G232" i="26"/>
  <c r="F232" i="26"/>
  <c r="D232" i="26"/>
  <c r="E232" i="26" s="1"/>
  <c r="C232" i="26"/>
  <c r="G231" i="26"/>
  <c r="F231" i="26"/>
  <c r="D231" i="26"/>
  <c r="E231" i="26" s="1"/>
  <c r="C231" i="26"/>
  <c r="G230" i="26"/>
  <c r="F230" i="26"/>
  <c r="D230" i="26"/>
  <c r="E230" i="26" s="1"/>
  <c r="C230" i="26"/>
  <c r="G229" i="26"/>
  <c r="F229" i="26"/>
  <c r="D229" i="26"/>
  <c r="E229" i="26" s="1"/>
  <c r="C229" i="26"/>
  <c r="G228" i="26"/>
  <c r="F228" i="26"/>
  <c r="D228" i="26"/>
  <c r="E228" i="26" s="1"/>
  <c r="C228" i="26"/>
  <c r="G227" i="26"/>
  <c r="F227" i="26"/>
  <c r="D227" i="26"/>
  <c r="E227" i="26" s="1"/>
  <c r="C227" i="26"/>
  <c r="G226" i="26"/>
  <c r="F226" i="26"/>
  <c r="D226" i="26"/>
  <c r="E226" i="26" s="1"/>
  <c r="C226" i="26"/>
  <c r="G225" i="26"/>
  <c r="F225" i="26"/>
  <c r="D225" i="26"/>
  <c r="E225" i="26" s="1"/>
  <c r="C225" i="26"/>
  <c r="G224" i="26"/>
  <c r="F224" i="26"/>
  <c r="D224" i="26"/>
  <c r="E224" i="26" s="1"/>
  <c r="C224" i="26"/>
  <c r="G223" i="26"/>
  <c r="F223" i="26"/>
  <c r="D223" i="26"/>
  <c r="E223" i="26" s="1"/>
  <c r="C223" i="26"/>
  <c r="G222" i="26"/>
  <c r="F222" i="26"/>
  <c r="D222" i="26"/>
  <c r="E222" i="26" s="1"/>
  <c r="C222" i="26"/>
  <c r="G221" i="26"/>
  <c r="F221" i="26"/>
  <c r="D221" i="26"/>
  <c r="E221" i="26" s="1"/>
  <c r="C221" i="26"/>
  <c r="G220" i="26"/>
  <c r="F220" i="26"/>
  <c r="D220" i="26"/>
  <c r="E220" i="26" s="1"/>
  <c r="C220" i="26"/>
  <c r="G219" i="26"/>
  <c r="F219" i="26"/>
  <c r="D219" i="26"/>
  <c r="E219" i="26" s="1"/>
  <c r="C219" i="26"/>
  <c r="G218" i="26"/>
  <c r="F218" i="26"/>
  <c r="D218" i="26"/>
  <c r="E218" i="26" s="1"/>
  <c r="C218" i="26"/>
  <c r="G217" i="26"/>
  <c r="F217" i="26"/>
  <c r="D217" i="26"/>
  <c r="E217" i="26" s="1"/>
  <c r="C217" i="26"/>
  <c r="G216" i="26"/>
  <c r="F216" i="26"/>
  <c r="D216" i="26"/>
  <c r="E216" i="26" s="1"/>
  <c r="C216" i="26"/>
  <c r="G215" i="26"/>
  <c r="F215" i="26"/>
  <c r="D215" i="26"/>
  <c r="E215" i="26" s="1"/>
  <c r="C215" i="26"/>
  <c r="G214" i="26"/>
  <c r="F214" i="26"/>
  <c r="D214" i="26"/>
  <c r="E214" i="26" s="1"/>
  <c r="C214" i="26"/>
  <c r="G213" i="26"/>
  <c r="F213" i="26"/>
  <c r="D213" i="26"/>
  <c r="E213" i="26" s="1"/>
  <c r="C213" i="26"/>
  <c r="G212" i="26"/>
  <c r="F212" i="26"/>
  <c r="D212" i="26"/>
  <c r="E212" i="26" s="1"/>
  <c r="C212" i="26"/>
  <c r="G211" i="26"/>
  <c r="F211" i="26"/>
  <c r="D211" i="26"/>
  <c r="E211" i="26" s="1"/>
  <c r="C211" i="26"/>
  <c r="G210" i="26"/>
  <c r="F210" i="26"/>
  <c r="D210" i="26"/>
  <c r="E210" i="26" s="1"/>
  <c r="C210" i="26"/>
  <c r="G209" i="26"/>
  <c r="F209" i="26"/>
  <c r="D209" i="26"/>
  <c r="E209" i="26" s="1"/>
  <c r="C209" i="26"/>
  <c r="G208" i="26"/>
  <c r="F208" i="26"/>
  <c r="D208" i="26"/>
  <c r="E208" i="26" s="1"/>
  <c r="C208" i="26"/>
  <c r="G207" i="26"/>
  <c r="F207" i="26"/>
  <c r="D207" i="26"/>
  <c r="E207" i="26" s="1"/>
  <c r="C207" i="26"/>
  <c r="G206" i="26"/>
  <c r="F206" i="26"/>
  <c r="D206" i="26"/>
  <c r="E206" i="26" s="1"/>
  <c r="C206" i="26"/>
  <c r="G205" i="26"/>
  <c r="F205" i="26"/>
  <c r="D205" i="26"/>
  <c r="E205" i="26" s="1"/>
  <c r="C205" i="26"/>
  <c r="G204" i="26"/>
  <c r="F204" i="26"/>
  <c r="D204" i="26"/>
  <c r="E204" i="26" s="1"/>
  <c r="C204" i="26"/>
  <c r="G203" i="26"/>
  <c r="F203" i="26"/>
  <c r="D203" i="26"/>
  <c r="E203" i="26" s="1"/>
  <c r="C203" i="26"/>
  <c r="G202" i="26"/>
  <c r="F202" i="26"/>
  <c r="D202" i="26"/>
  <c r="E202" i="26" s="1"/>
  <c r="C202" i="26"/>
  <c r="G201" i="26"/>
  <c r="F201" i="26"/>
  <c r="D201" i="26"/>
  <c r="E201" i="26" s="1"/>
  <c r="C201" i="26"/>
  <c r="G200" i="26"/>
  <c r="F200" i="26"/>
  <c r="D200" i="26"/>
  <c r="E200" i="26" s="1"/>
  <c r="C200" i="26"/>
  <c r="G199" i="26"/>
  <c r="F199" i="26"/>
  <c r="D199" i="26"/>
  <c r="E199" i="26" s="1"/>
  <c r="C199" i="26"/>
  <c r="G198" i="26"/>
  <c r="F198" i="26"/>
  <c r="D198" i="26"/>
  <c r="E198" i="26" s="1"/>
  <c r="C198" i="26"/>
  <c r="G197" i="26"/>
  <c r="F197" i="26"/>
  <c r="D197" i="26"/>
  <c r="E197" i="26" s="1"/>
  <c r="C197" i="26"/>
  <c r="G196" i="26"/>
  <c r="F196" i="26"/>
  <c r="D196" i="26"/>
  <c r="E196" i="26" s="1"/>
  <c r="C196" i="26"/>
  <c r="G195" i="26"/>
  <c r="F195" i="26"/>
  <c r="D195" i="26"/>
  <c r="E195" i="26" s="1"/>
  <c r="C195" i="26"/>
  <c r="G194" i="26"/>
  <c r="F194" i="26"/>
  <c r="D194" i="26"/>
  <c r="E194" i="26" s="1"/>
  <c r="C194" i="26"/>
  <c r="G193" i="26"/>
  <c r="F193" i="26"/>
  <c r="D193" i="26"/>
  <c r="E193" i="26" s="1"/>
  <c r="C193" i="26"/>
  <c r="G192" i="26"/>
  <c r="F192" i="26"/>
  <c r="D192" i="26"/>
  <c r="E192" i="26" s="1"/>
  <c r="C192" i="26"/>
  <c r="G191" i="26"/>
  <c r="F191" i="26"/>
  <c r="D191" i="26"/>
  <c r="E191" i="26" s="1"/>
  <c r="C191" i="26"/>
  <c r="G190" i="26"/>
  <c r="F190" i="26"/>
  <c r="D190" i="26"/>
  <c r="E190" i="26" s="1"/>
  <c r="C190" i="26"/>
  <c r="G189" i="26"/>
  <c r="F189" i="26"/>
  <c r="D189" i="26"/>
  <c r="E189" i="26" s="1"/>
  <c r="C189" i="26"/>
  <c r="G188" i="26"/>
  <c r="F188" i="26"/>
  <c r="D188" i="26"/>
  <c r="E188" i="26" s="1"/>
  <c r="C188" i="26"/>
  <c r="G187" i="26"/>
  <c r="F187" i="26"/>
  <c r="D187" i="26"/>
  <c r="E187" i="26" s="1"/>
  <c r="C187" i="26"/>
  <c r="G186" i="26"/>
  <c r="F186" i="26"/>
  <c r="D186" i="26"/>
  <c r="E186" i="26" s="1"/>
  <c r="C186" i="26"/>
  <c r="G185" i="26"/>
  <c r="F185" i="26"/>
  <c r="D185" i="26"/>
  <c r="E185" i="26" s="1"/>
  <c r="C185" i="26"/>
  <c r="G184" i="26"/>
  <c r="F184" i="26"/>
  <c r="D184" i="26"/>
  <c r="E184" i="26" s="1"/>
  <c r="C184" i="26"/>
  <c r="G183" i="26"/>
  <c r="F183" i="26"/>
  <c r="D183" i="26"/>
  <c r="E183" i="26" s="1"/>
  <c r="C183" i="26"/>
  <c r="G182" i="26"/>
  <c r="F182" i="26"/>
  <c r="D182" i="26"/>
  <c r="E182" i="26" s="1"/>
  <c r="C182" i="26"/>
  <c r="G181" i="26"/>
  <c r="F181" i="26"/>
  <c r="D181" i="26"/>
  <c r="E181" i="26" s="1"/>
  <c r="C181" i="26"/>
  <c r="G180" i="26"/>
  <c r="F180" i="26"/>
  <c r="D180" i="26"/>
  <c r="E180" i="26" s="1"/>
  <c r="C180" i="26"/>
  <c r="G179" i="26"/>
  <c r="F179" i="26"/>
  <c r="D179" i="26"/>
  <c r="E179" i="26" s="1"/>
  <c r="C179" i="26"/>
  <c r="G178" i="26"/>
  <c r="F178" i="26"/>
  <c r="D178" i="26"/>
  <c r="E178" i="26" s="1"/>
  <c r="C178" i="26"/>
  <c r="G177" i="26"/>
  <c r="F177" i="26"/>
  <c r="D177" i="26"/>
  <c r="E177" i="26" s="1"/>
  <c r="C177" i="26"/>
  <c r="G176" i="26"/>
  <c r="F176" i="26"/>
  <c r="D176" i="26"/>
  <c r="E176" i="26" s="1"/>
  <c r="C176" i="26"/>
  <c r="G175" i="26"/>
  <c r="F175" i="26"/>
  <c r="D175" i="26"/>
  <c r="E175" i="26" s="1"/>
  <c r="C175" i="26"/>
  <c r="G174" i="26"/>
  <c r="F174" i="26"/>
  <c r="D174" i="26"/>
  <c r="E174" i="26" s="1"/>
  <c r="C174" i="26"/>
  <c r="G173" i="26"/>
  <c r="F173" i="26"/>
  <c r="D173" i="26"/>
  <c r="E173" i="26" s="1"/>
  <c r="C173" i="26"/>
  <c r="G172" i="26"/>
  <c r="F172" i="26"/>
  <c r="D172" i="26"/>
  <c r="E172" i="26" s="1"/>
  <c r="C172" i="26"/>
  <c r="G171" i="26"/>
  <c r="F171" i="26"/>
  <c r="D171" i="26"/>
  <c r="E171" i="26" s="1"/>
  <c r="C171" i="26"/>
  <c r="G170" i="26"/>
  <c r="F170" i="26"/>
  <c r="D170" i="26"/>
  <c r="E170" i="26" s="1"/>
  <c r="C170" i="26"/>
  <c r="G169" i="26"/>
  <c r="F169" i="26"/>
  <c r="D169" i="26"/>
  <c r="E169" i="26" s="1"/>
  <c r="C169" i="26"/>
  <c r="G168" i="26"/>
  <c r="F168" i="26"/>
  <c r="D168" i="26"/>
  <c r="E168" i="26" s="1"/>
  <c r="C168" i="26"/>
  <c r="G167" i="26"/>
  <c r="F167" i="26"/>
  <c r="D167" i="26"/>
  <c r="E167" i="26" s="1"/>
  <c r="C167" i="26"/>
  <c r="G166" i="26"/>
  <c r="F166" i="26"/>
  <c r="D166" i="26"/>
  <c r="E166" i="26" s="1"/>
  <c r="C166" i="26"/>
  <c r="G165" i="26"/>
  <c r="F165" i="26"/>
  <c r="D165" i="26"/>
  <c r="E165" i="26" s="1"/>
  <c r="C165" i="26"/>
  <c r="G164" i="26"/>
  <c r="F164" i="26"/>
  <c r="D164" i="26"/>
  <c r="E164" i="26" s="1"/>
  <c r="C164" i="26"/>
  <c r="G163" i="26"/>
  <c r="F163" i="26"/>
  <c r="D163" i="26"/>
  <c r="E163" i="26" s="1"/>
  <c r="C163" i="26"/>
  <c r="G162" i="26"/>
  <c r="F162" i="26"/>
  <c r="D162" i="26"/>
  <c r="E162" i="26" s="1"/>
  <c r="C162" i="26"/>
  <c r="G161" i="26"/>
  <c r="F161" i="26"/>
  <c r="D161" i="26"/>
  <c r="E161" i="26" s="1"/>
  <c r="C161" i="26"/>
  <c r="G160" i="26"/>
  <c r="F160" i="26"/>
  <c r="D160" i="26"/>
  <c r="E160" i="26" s="1"/>
  <c r="C160" i="26"/>
  <c r="G159" i="26"/>
  <c r="F159" i="26"/>
  <c r="D159" i="26"/>
  <c r="E159" i="26" s="1"/>
  <c r="C159" i="26"/>
  <c r="G158" i="26"/>
  <c r="F158" i="26"/>
  <c r="D158" i="26"/>
  <c r="E158" i="26" s="1"/>
  <c r="C158" i="26"/>
  <c r="G157" i="26"/>
  <c r="F157" i="26"/>
  <c r="D157" i="26"/>
  <c r="E157" i="26" s="1"/>
  <c r="C157" i="26"/>
  <c r="G156" i="26"/>
  <c r="F156" i="26"/>
  <c r="D156" i="26"/>
  <c r="E156" i="26" s="1"/>
  <c r="C156" i="26"/>
  <c r="G155" i="26"/>
  <c r="F155" i="26"/>
  <c r="D155" i="26"/>
  <c r="E155" i="26" s="1"/>
  <c r="C155" i="26"/>
  <c r="G154" i="26"/>
  <c r="F154" i="26"/>
  <c r="D154" i="26"/>
  <c r="E154" i="26" s="1"/>
  <c r="C154" i="26"/>
  <c r="G153" i="26"/>
  <c r="F153" i="26"/>
  <c r="D153" i="26"/>
  <c r="E153" i="26" s="1"/>
  <c r="C153" i="26"/>
  <c r="G152" i="26"/>
  <c r="F152" i="26"/>
  <c r="D152" i="26"/>
  <c r="E152" i="26" s="1"/>
  <c r="C152" i="26"/>
  <c r="G151" i="26"/>
  <c r="F151" i="26"/>
  <c r="D151" i="26"/>
  <c r="E151" i="26" s="1"/>
  <c r="C151" i="26"/>
  <c r="G150" i="26"/>
  <c r="F150" i="26"/>
  <c r="D150" i="26"/>
  <c r="E150" i="26" s="1"/>
  <c r="C150" i="26"/>
  <c r="G149" i="26"/>
  <c r="F149" i="26"/>
  <c r="D149" i="26"/>
  <c r="E149" i="26" s="1"/>
  <c r="C149" i="26"/>
  <c r="G148" i="26"/>
  <c r="F148" i="26"/>
  <c r="D148" i="26"/>
  <c r="E148" i="26" s="1"/>
  <c r="C148" i="26"/>
  <c r="G147" i="26"/>
  <c r="F147" i="26"/>
  <c r="D147" i="26"/>
  <c r="E147" i="26" s="1"/>
  <c r="C147" i="26"/>
  <c r="G146" i="26"/>
  <c r="F146" i="26"/>
  <c r="D146" i="26"/>
  <c r="E146" i="26" s="1"/>
  <c r="C146" i="26"/>
  <c r="G145" i="26"/>
  <c r="F145" i="26"/>
  <c r="D145" i="26"/>
  <c r="E145" i="26" s="1"/>
  <c r="C145" i="26"/>
  <c r="G144" i="26"/>
  <c r="F144" i="26"/>
  <c r="D144" i="26"/>
  <c r="E144" i="26" s="1"/>
  <c r="C144" i="26"/>
  <c r="G143" i="26"/>
  <c r="F143" i="26"/>
  <c r="D143" i="26"/>
  <c r="E143" i="26" s="1"/>
  <c r="C143" i="26"/>
  <c r="G142" i="26"/>
  <c r="F142" i="26"/>
  <c r="D142" i="26"/>
  <c r="E142" i="26" s="1"/>
  <c r="C142" i="26"/>
  <c r="G141" i="26"/>
  <c r="F141" i="26"/>
  <c r="D141" i="26"/>
  <c r="E141" i="26" s="1"/>
  <c r="C141" i="26"/>
  <c r="G140" i="26"/>
  <c r="F140" i="26"/>
  <c r="D140" i="26"/>
  <c r="E140" i="26" s="1"/>
  <c r="C140" i="26"/>
  <c r="G139" i="26"/>
  <c r="F139" i="26"/>
  <c r="D139" i="26"/>
  <c r="E139" i="26" s="1"/>
  <c r="C139" i="26"/>
  <c r="G138" i="26"/>
  <c r="F138" i="26"/>
  <c r="D138" i="26"/>
  <c r="E138" i="26" s="1"/>
  <c r="C138" i="26"/>
  <c r="G137" i="26"/>
  <c r="F137" i="26"/>
  <c r="D137" i="26"/>
  <c r="E137" i="26" s="1"/>
  <c r="C137" i="26"/>
  <c r="G136" i="26"/>
  <c r="F136" i="26"/>
  <c r="D136" i="26"/>
  <c r="E136" i="26" s="1"/>
  <c r="C136" i="26"/>
  <c r="G135" i="26"/>
  <c r="F135" i="26"/>
  <c r="D135" i="26"/>
  <c r="E135" i="26" s="1"/>
  <c r="C135" i="26"/>
  <c r="G134" i="26"/>
  <c r="F134" i="26"/>
  <c r="D134" i="26"/>
  <c r="E134" i="26" s="1"/>
  <c r="C134" i="26"/>
  <c r="G133" i="26"/>
  <c r="F133" i="26"/>
  <c r="D133" i="26"/>
  <c r="E133" i="26" s="1"/>
  <c r="C133" i="26"/>
  <c r="G132" i="26"/>
  <c r="F132" i="26"/>
  <c r="D132" i="26"/>
  <c r="E132" i="26" s="1"/>
  <c r="C132" i="26"/>
  <c r="G131" i="26"/>
  <c r="F131" i="26"/>
  <c r="D131" i="26"/>
  <c r="E131" i="26" s="1"/>
  <c r="C131" i="26"/>
  <c r="G130" i="26"/>
  <c r="F130" i="26"/>
  <c r="D130" i="26"/>
  <c r="E130" i="26" s="1"/>
  <c r="C130" i="26"/>
  <c r="G129" i="26"/>
  <c r="F129" i="26"/>
  <c r="D129" i="26"/>
  <c r="E129" i="26" s="1"/>
  <c r="C129" i="26"/>
  <c r="G128" i="26"/>
  <c r="F128" i="26"/>
  <c r="D128" i="26"/>
  <c r="E128" i="26" s="1"/>
  <c r="C128" i="26"/>
  <c r="G127" i="26"/>
  <c r="F127" i="26"/>
  <c r="D127" i="26"/>
  <c r="E127" i="26" s="1"/>
  <c r="C127" i="26"/>
  <c r="G126" i="26"/>
  <c r="F126" i="26"/>
  <c r="D126" i="26"/>
  <c r="E126" i="26" s="1"/>
  <c r="C126" i="26"/>
  <c r="G125" i="26"/>
  <c r="F125" i="26"/>
  <c r="D125" i="26"/>
  <c r="E125" i="26" s="1"/>
  <c r="C125" i="26"/>
  <c r="G124" i="26"/>
  <c r="F124" i="26"/>
  <c r="D124" i="26"/>
  <c r="E124" i="26" s="1"/>
  <c r="C124" i="26"/>
  <c r="G123" i="26"/>
  <c r="F123" i="26"/>
  <c r="D123" i="26"/>
  <c r="E123" i="26" s="1"/>
  <c r="C123" i="26"/>
  <c r="G122" i="26"/>
  <c r="F122" i="26"/>
  <c r="D122" i="26"/>
  <c r="E122" i="26" s="1"/>
  <c r="C122" i="26"/>
  <c r="G121" i="26"/>
  <c r="F121" i="26"/>
  <c r="D121" i="26"/>
  <c r="E121" i="26" s="1"/>
  <c r="C121" i="26"/>
  <c r="G120" i="26"/>
  <c r="F120" i="26"/>
  <c r="D120" i="26"/>
  <c r="E120" i="26" s="1"/>
  <c r="C120" i="26"/>
  <c r="G119" i="26"/>
  <c r="F119" i="26"/>
  <c r="D119" i="26"/>
  <c r="E119" i="26" s="1"/>
  <c r="C119" i="26"/>
  <c r="G118" i="26"/>
  <c r="F118" i="26"/>
  <c r="D118" i="26"/>
  <c r="E118" i="26" s="1"/>
  <c r="C118" i="26"/>
  <c r="G117" i="26"/>
  <c r="F117" i="26"/>
  <c r="D117" i="26"/>
  <c r="E117" i="26" s="1"/>
  <c r="C117" i="26"/>
  <c r="G116" i="26"/>
  <c r="F116" i="26"/>
  <c r="D116" i="26"/>
  <c r="E116" i="26" s="1"/>
  <c r="C116" i="26"/>
  <c r="G115" i="26"/>
  <c r="F115" i="26"/>
  <c r="D115" i="26"/>
  <c r="E115" i="26" s="1"/>
  <c r="C115" i="26"/>
  <c r="G114" i="26"/>
  <c r="F114" i="26"/>
  <c r="D114" i="26"/>
  <c r="E114" i="26" s="1"/>
  <c r="C114" i="26"/>
  <c r="G113" i="26"/>
  <c r="F113" i="26"/>
  <c r="D113" i="26"/>
  <c r="E113" i="26" s="1"/>
  <c r="C113" i="26"/>
  <c r="G112" i="26"/>
  <c r="F112" i="26"/>
  <c r="D112" i="26"/>
  <c r="E112" i="26" s="1"/>
  <c r="C112" i="26"/>
  <c r="G111" i="26"/>
  <c r="F111" i="26"/>
  <c r="D111" i="26"/>
  <c r="E111" i="26" s="1"/>
  <c r="C111" i="26"/>
  <c r="G110" i="26"/>
  <c r="F110" i="26"/>
  <c r="D110" i="26"/>
  <c r="E110" i="26" s="1"/>
  <c r="C110" i="26"/>
  <c r="G109" i="26"/>
  <c r="F109" i="26"/>
  <c r="D109" i="26"/>
  <c r="E109" i="26" s="1"/>
  <c r="C109" i="26"/>
  <c r="G108" i="26"/>
  <c r="F108" i="26"/>
  <c r="D108" i="26"/>
  <c r="E108" i="26" s="1"/>
  <c r="C108" i="26"/>
  <c r="G107" i="26"/>
  <c r="F107" i="26"/>
  <c r="D107" i="26"/>
  <c r="E107" i="26" s="1"/>
  <c r="C107" i="26"/>
  <c r="G106" i="26"/>
  <c r="F106" i="26"/>
  <c r="D106" i="26"/>
  <c r="E106" i="26" s="1"/>
  <c r="C106" i="26"/>
  <c r="G105" i="26"/>
  <c r="F105" i="26"/>
  <c r="D105" i="26"/>
  <c r="E105" i="26" s="1"/>
  <c r="C105" i="26"/>
  <c r="G104" i="26"/>
  <c r="F104" i="26"/>
  <c r="D104" i="26"/>
  <c r="E104" i="26" s="1"/>
  <c r="C104" i="26"/>
  <c r="G103" i="26"/>
  <c r="F103" i="26"/>
  <c r="D103" i="26"/>
  <c r="E103" i="26" s="1"/>
  <c r="C103" i="26"/>
  <c r="G102" i="26"/>
  <c r="F102" i="26"/>
  <c r="D102" i="26"/>
  <c r="E102" i="26" s="1"/>
  <c r="C102" i="26"/>
  <c r="G101" i="26"/>
  <c r="F101" i="26"/>
  <c r="D101" i="26"/>
  <c r="E101" i="26" s="1"/>
  <c r="C101" i="26"/>
  <c r="G100" i="26"/>
  <c r="F100" i="26"/>
  <c r="D100" i="26"/>
  <c r="E100" i="26" s="1"/>
  <c r="C100" i="26"/>
  <c r="G99" i="26"/>
  <c r="F99" i="26"/>
  <c r="D99" i="26"/>
  <c r="E99" i="26" s="1"/>
  <c r="C99" i="26"/>
  <c r="G98" i="26"/>
  <c r="F98" i="26"/>
  <c r="D98" i="26"/>
  <c r="E98" i="26" s="1"/>
  <c r="C98" i="26"/>
  <c r="G97" i="26"/>
  <c r="F97" i="26"/>
  <c r="D97" i="26"/>
  <c r="E97" i="26" s="1"/>
  <c r="C97" i="26"/>
  <c r="X96" i="26"/>
  <c r="G96" i="26"/>
  <c r="F96" i="26"/>
  <c r="D96" i="26"/>
  <c r="E96" i="26" s="1"/>
  <c r="C96" i="26"/>
  <c r="G95" i="26"/>
  <c r="F95" i="26"/>
  <c r="D95" i="26"/>
  <c r="E95" i="26" s="1"/>
  <c r="C95" i="26"/>
  <c r="G94" i="26"/>
  <c r="F94" i="26"/>
  <c r="D94" i="26"/>
  <c r="E94" i="26" s="1"/>
  <c r="C94" i="26"/>
  <c r="G93" i="26"/>
  <c r="F93" i="26"/>
  <c r="D93" i="26"/>
  <c r="E93" i="26" s="1"/>
  <c r="C93" i="26"/>
  <c r="G92" i="26"/>
  <c r="F92" i="26"/>
  <c r="D92" i="26"/>
  <c r="E92" i="26" s="1"/>
  <c r="C92" i="26"/>
  <c r="G91" i="26"/>
  <c r="F91" i="26"/>
  <c r="D91" i="26"/>
  <c r="E91" i="26" s="1"/>
  <c r="C91" i="26"/>
  <c r="G90" i="26"/>
  <c r="F90" i="26"/>
  <c r="D90" i="26"/>
  <c r="E90" i="26" s="1"/>
  <c r="C90" i="26"/>
  <c r="G89" i="26"/>
  <c r="F89" i="26"/>
  <c r="D89" i="26"/>
  <c r="E89" i="26" s="1"/>
  <c r="C89" i="26"/>
  <c r="G88" i="26"/>
  <c r="F88" i="26"/>
  <c r="D88" i="26"/>
  <c r="E88" i="26" s="1"/>
  <c r="C88" i="26"/>
  <c r="G87" i="26"/>
  <c r="F87" i="26"/>
  <c r="D87" i="26"/>
  <c r="E87" i="26" s="1"/>
  <c r="C87" i="26"/>
  <c r="G86" i="26"/>
  <c r="F86" i="26"/>
  <c r="D86" i="26"/>
  <c r="E86" i="26" s="1"/>
  <c r="C86" i="26"/>
  <c r="G85" i="26"/>
  <c r="F85" i="26"/>
  <c r="D85" i="26"/>
  <c r="E85" i="26" s="1"/>
  <c r="C85" i="26"/>
  <c r="G84" i="26"/>
  <c r="F84" i="26"/>
  <c r="D84" i="26"/>
  <c r="E84" i="26" s="1"/>
  <c r="C84" i="26"/>
  <c r="G83" i="26"/>
  <c r="F83" i="26"/>
  <c r="D83" i="26"/>
  <c r="E83" i="26" s="1"/>
  <c r="C83" i="26"/>
  <c r="G82" i="26"/>
  <c r="F82" i="26"/>
  <c r="D82" i="26"/>
  <c r="E82" i="26" s="1"/>
  <c r="C82" i="26"/>
  <c r="G81" i="26"/>
  <c r="F81" i="26"/>
  <c r="D81" i="26"/>
  <c r="E81" i="26" s="1"/>
  <c r="C81" i="26"/>
  <c r="G80" i="26"/>
  <c r="F80" i="26"/>
  <c r="D80" i="26"/>
  <c r="E80" i="26" s="1"/>
  <c r="C80" i="26"/>
  <c r="G79" i="26"/>
  <c r="F79" i="26"/>
  <c r="D79" i="26"/>
  <c r="E79" i="26" s="1"/>
  <c r="C79" i="26"/>
  <c r="G78" i="26"/>
  <c r="F78" i="26"/>
  <c r="D78" i="26"/>
  <c r="E78" i="26" s="1"/>
  <c r="C78" i="26"/>
  <c r="G77" i="26"/>
  <c r="F77" i="26"/>
  <c r="D77" i="26"/>
  <c r="E77" i="26" s="1"/>
  <c r="C77" i="26"/>
  <c r="G76" i="26"/>
  <c r="F76" i="26"/>
  <c r="D76" i="26"/>
  <c r="E76" i="26" s="1"/>
  <c r="C76" i="26"/>
  <c r="G75" i="26"/>
  <c r="F75" i="26"/>
  <c r="D75" i="26"/>
  <c r="E75" i="26" s="1"/>
  <c r="C75" i="26"/>
  <c r="G74" i="26"/>
  <c r="F74" i="26"/>
  <c r="D74" i="26"/>
  <c r="E74" i="26" s="1"/>
  <c r="C74" i="26"/>
  <c r="G73" i="26"/>
  <c r="F73" i="26"/>
  <c r="D73" i="26"/>
  <c r="E73" i="26" s="1"/>
  <c r="C73" i="26"/>
  <c r="G72" i="26"/>
  <c r="F72" i="26"/>
  <c r="D72" i="26"/>
  <c r="E72" i="26" s="1"/>
  <c r="C72" i="26"/>
  <c r="G71" i="26"/>
  <c r="F71" i="26"/>
  <c r="D71" i="26"/>
  <c r="E71" i="26" s="1"/>
  <c r="C71" i="26"/>
  <c r="G70" i="26"/>
  <c r="F70" i="26"/>
  <c r="D70" i="26"/>
  <c r="E70" i="26" s="1"/>
  <c r="C70" i="26"/>
  <c r="G69" i="26"/>
  <c r="F69" i="26"/>
  <c r="D69" i="26"/>
  <c r="E69" i="26" s="1"/>
  <c r="C69" i="26"/>
  <c r="G68" i="26"/>
  <c r="F68" i="26"/>
  <c r="D68" i="26"/>
  <c r="E68" i="26" s="1"/>
  <c r="C68" i="26"/>
  <c r="G67" i="26"/>
  <c r="F67" i="26"/>
  <c r="D67" i="26"/>
  <c r="E67" i="26" s="1"/>
  <c r="C67" i="26"/>
  <c r="G66" i="26"/>
  <c r="F66" i="26"/>
  <c r="D66" i="26"/>
  <c r="E66" i="26" s="1"/>
  <c r="C66" i="26"/>
  <c r="G65" i="26"/>
  <c r="F65" i="26"/>
  <c r="D65" i="26"/>
  <c r="E65" i="26" s="1"/>
  <c r="C65" i="26"/>
  <c r="G64" i="26"/>
  <c r="F64" i="26"/>
  <c r="D64" i="26"/>
  <c r="E64" i="26" s="1"/>
  <c r="C64" i="26"/>
  <c r="G63" i="26"/>
  <c r="F63" i="26"/>
  <c r="D63" i="26"/>
  <c r="E63" i="26" s="1"/>
  <c r="C63" i="26"/>
  <c r="G62" i="26"/>
  <c r="F62" i="26"/>
  <c r="D62" i="26"/>
  <c r="E62" i="26" s="1"/>
  <c r="C62" i="26"/>
  <c r="G61" i="26"/>
  <c r="F61" i="26"/>
  <c r="D61" i="26"/>
  <c r="E61" i="26" s="1"/>
  <c r="C61" i="26"/>
  <c r="G60" i="26"/>
  <c r="F60" i="26"/>
  <c r="D60" i="26"/>
  <c r="E60" i="26" s="1"/>
  <c r="C60" i="26"/>
  <c r="G59" i="26"/>
  <c r="F59" i="26"/>
  <c r="D59" i="26"/>
  <c r="E59" i="26" s="1"/>
  <c r="C59" i="26"/>
  <c r="G58" i="26"/>
  <c r="F58" i="26"/>
  <c r="D58" i="26"/>
  <c r="E58" i="26" s="1"/>
  <c r="C58" i="26"/>
  <c r="G57" i="26"/>
  <c r="F57" i="26"/>
  <c r="D57" i="26"/>
  <c r="E57" i="26" s="1"/>
  <c r="C57" i="26"/>
  <c r="G56" i="26"/>
  <c r="F56" i="26"/>
  <c r="D56" i="26"/>
  <c r="E56" i="26" s="1"/>
  <c r="C56" i="26"/>
  <c r="G55" i="26"/>
  <c r="F55" i="26"/>
  <c r="D55" i="26"/>
  <c r="E55" i="26" s="1"/>
  <c r="C55" i="26"/>
  <c r="G54" i="26"/>
  <c r="F54" i="26"/>
  <c r="D54" i="26"/>
  <c r="E54" i="26" s="1"/>
  <c r="C54" i="26"/>
  <c r="G53" i="26"/>
  <c r="F53" i="26"/>
  <c r="D53" i="26"/>
  <c r="E53" i="26" s="1"/>
  <c r="C53" i="26"/>
  <c r="G52" i="26"/>
  <c r="F52" i="26"/>
  <c r="D52" i="26"/>
  <c r="E52" i="26" s="1"/>
  <c r="C52" i="26"/>
  <c r="G51" i="26"/>
  <c r="F51" i="26"/>
  <c r="D51" i="26"/>
  <c r="E51" i="26" s="1"/>
  <c r="C51" i="26"/>
  <c r="G50" i="26"/>
  <c r="F50" i="26"/>
  <c r="D50" i="26"/>
  <c r="E50" i="26" s="1"/>
  <c r="C50" i="26"/>
  <c r="G49" i="26"/>
  <c r="F49" i="26"/>
  <c r="D49" i="26"/>
  <c r="E49" i="26" s="1"/>
  <c r="C49" i="26"/>
  <c r="G48" i="26"/>
  <c r="F48" i="26"/>
  <c r="D48" i="26"/>
  <c r="E48" i="26" s="1"/>
  <c r="C48" i="26"/>
  <c r="G47" i="26"/>
  <c r="F47" i="26"/>
  <c r="D47" i="26"/>
  <c r="E47" i="26" s="1"/>
  <c r="C47" i="26"/>
  <c r="G46" i="26"/>
  <c r="F46" i="26"/>
  <c r="D46" i="26"/>
  <c r="E46" i="26" s="1"/>
  <c r="C46" i="26"/>
  <c r="G45" i="26"/>
  <c r="F45" i="26"/>
  <c r="D45" i="26"/>
  <c r="E45" i="26" s="1"/>
  <c r="C45" i="26"/>
  <c r="G44" i="26"/>
  <c r="F44" i="26"/>
  <c r="D44" i="26"/>
  <c r="E44" i="26" s="1"/>
  <c r="C44" i="26"/>
  <c r="G43" i="26"/>
  <c r="F43" i="26"/>
  <c r="D43" i="26"/>
  <c r="E43" i="26" s="1"/>
  <c r="C43" i="26"/>
  <c r="G42" i="26"/>
  <c r="F42" i="26"/>
  <c r="D42" i="26"/>
  <c r="E42" i="26" s="1"/>
  <c r="C42" i="26"/>
  <c r="G41" i="26"/>
  <c r="F41" i="26"/>
  <c r="D41" i="26"/>
  <c r="E41" i="26" s="1"/>
  <c r="C41" i="26"/>
  <c r="G40" i="26"/>
  <c r="F40" i="26"/>
  <c r="D40" i="26"/>
  <c r="E40" i="26" s="1"/>
  <c r="C40" i="26"/>
  <c r="G39" i="26"/>
  <c r="F39" i="26"/>
  <c r="D39" i="26"/>
  <c r="E39" i="26" s="1"/>
  <c r="C39" i="26"/>
  <c r="G38" i="26"/>
  <c r="F38" i="26"/>
  <c r="D38" i="26"/>
  <c r="E38" i="26" s="1"/>
  <c r="C38" i="26"/>
  <c r="G37" i="26"/>
  <c r="F37" i="26"/>
  <c r="D37" i="26"/>
  <c r="E37" i="26" s="1"/>
  <c r="C37" i="26"/>
  <c r="G36" i="26"/>
  <c r="F36" i="26"/>
  <c r="D36" i="26"/>
  <c r="E36" i="26" s="1"/>
  <c r="C36" i="26"/>
  <c r="G35" i="26"/>
  <c r="F35" i="26"/>
  <c r="D35" i="26"/>
  <c r="E35" i="26" s="1"/>
  <c r="C35" i="26"/>
  <c r="G34" i="26"/>
  <c r="F34" i="26"/>
  <c r="D34" i="26"/>
  <c r="E34" i="26" s="1"/>
  <c r="C34" i="26"/>
  <c r="G33" i="26"/>
  <c r="F33" i="26"/>
  <c r="D33" i="26"/>
  <c r="E33" i="26" s="1"/>
  <c r="C33" i="26"/>
  <c r="G32" i="26"/>
  <c r="F32" i="26"/>
  <c r="D32" i="26"/>
  <c r="E32" i="26" s="1"/>
  <c r="C32" i="26"/>
  <c r="G31" i="26"/>
  <c r="F31" i="26"/>
  <c r="D31" i="26"/>
  <c r="E31" i="26" s="1"/>
  <c r="C31" i="26"/>
  <c r="G30" i="26"/>
  <c r="F30" i="26"/>
  <c r="D30" i="26"/>
  <c r="E30" i="26" s="1"/>
  <c r="C30" i="26"/>
  <c r="G29" i="26"/>
  <c r="F29" i="26"/>
  <c r="D29" i="26"/>
  <c r="E29" i="26" s="1"/>
  <c r="C29" i="26"/>
  <c r="G28" i="26"/>
  <c r="F28" i="26"/>
  <c r="D28" i="26"/>
  <c r="E28" i="26" s="1"/>
  <c r="C28" i="26"/>
  <c r="G27" i="26"/>
  <c r="F27" i="26"/>
  <c r="D27" i="26"/>
  <c r="E27" i="26" s="1"/>
  <c r="C27" i="26"/>
  <c r="G26" i="26"/>
  <c r="F26" i="26"/>
  <c r="D26" i="26"/>
  <c r="E26" i="26" s="1"/>
  <c r="C26" i="26"/>
  <c r="G25" i="26"/>
  <c r="F25" i="26"/>
  <c r="D25" i="26"/>
  <c r="E25" i="26" s="1"/>
  <c r="C25" i="26"/>
  <c r="G24" i="26"/>
  <c r="F24" i="26"/>
  <c r="D24" i="26"/>
  <c r="E24" i="26" s="1"/>
  <c r="C24" i="26"/>
  <c r="G23" i="26"/>
  <c r="F23" i="26"/>
  <c r="D23" i="26"/>
  <c r="E23" i="26" s="1"/>
  <c r="C23" i="26"/>
  <c r="G22" i="26"/>
  <c r="F22" i="26"/>
  <c r="D22" i="26"/>
  <c r="E22" i="26" s="1"/>
  <c r="C22" i="26"/>
  <c r="G21" i="26"/>
  <c r="F21" i="26"/>
  <c r="D21" i="26"/>
  <c r="E21" i="26" s="1"/>
  <c r="C21" i="26"/>
  <c r="G20" i="26"/>
  <c r="F20" i="26"/>
  <c r="D20" i="26"/>
  <c r="E20" i="26" s="1"/>
  <c r="C20" i="26"/>
  <c r="G19" i="26"/>
  <c r="F19" i="26"/>
  <c r="D19" i="26"/>
  <c r="E19" i="26" s="1"/>
  <c r="C19" i="26"/>
  <c r="G18" i="26"/>
  <c r="F18" i="26"/>
  <c r="D18" i="26"/>
  <c r="E18" i="26" s="1"/>
  <c r="C18" i="26"/>
  <c r="G17" i="26"/>
  <c r="F17" i="26"/>
  <c r="D17" i="26"/>
  <c r="E17" i="26" s="1"/>
  <c r="C17" i="26"/>
  <c r="G16" i="26"/>
  <c r="F16" i="26"/>
  <c r="D16" i="26"/>
  <c r="E16" i="26" s="1"/>
  <c r="C16" i="26"/>
  <c r="G15" i="26"/>
  <c r="F15" i="26"/>
  <c r="D15" i="26"/>
  <c r="E15" i="26" s="1"/>
  <c r="C15" i="26"/>
  <c r="G14" i="26"/>
  <c r="F14" i="26"/>
  <c r="D14" i="26"/>
  <c r="E14" i="26" s="1"/>
  <c r="C14" i="26"/>
  <c r="G13" i="26"/>
  <c r="F13" i="26"/>
  <c r="D13" i="26"/>
  <c r="E13" i="26" s="1"/>
  <c r="C13" i="26"/>
  <c r="G12" i="26"/>
  <c r="F12" i="26"/>
  <c r="D12" i="26"/>
  <c r="E12" i="26" s="1"/>
  <c r="C12" i="26"/>
  <c r="G11" i="26"/>
  <c r="F11" i="26"/>
  <c r="D11" i="26"/>
  <c r="E11" i="26" s="1"/>
  <c r="C11" i="26"/>
  <c r="G10" i="26"/>
  <c r="F10" i="26"/>
  <c r="D10" i="26"/>
  <c r="E10" i="26" s="1"/>
  <c r="C10" i="26"/>
  <c r="G9" i="26"/>
  <c r="F9" i="26"/>
  <c r="D9" i="26"/>
  <c r="E9" i="26" s="1"/>
  <c r="C9" i="26"/>
  <c r="G8" i="26"/>
  <c r="F8" i="26"/>
  <c r="D8" i="26"/>
  <c r="E8" i="26" s="1"/>
  <c r="C8" i="26"/>
  <c r="G7" i="26"/>
  <c r="F7" i="26"/>
  <c r="D7" i="26"/>
  <c r="E7" i="26" s="1"/>
  <c r="C7" i="26"/>
  <c r="G6" i="26"/>
  <c r="F6" i="26"/>
  <c r="D6" i="26"/>
  <c r="E6" i="26" s="1"/>
  <c r="C6" i="26"/>
  <c r="G5" i="26"/>
  <c r="F5" i="26"/>
  <c r="D5" i="26"/>
  <c r="E5" i="26" s="1"/>
  <c r="C5" i="26"/>
  <c r="G4" i="26"/>
  <c r="F4" i="26"/>
  <c r="D4" i="26"/>
  <c r="E4" i="26" s="1"/>
  <c r="C4" i="26"/>
  <c r="G3" i="26"/>
  <c r="F3" i="26"/>
  <c r="D3" i="26"/>
  <c r="E3" i="26" s="1"/>
  <c r="C3" i="26"/>
  <c r="W227" i="26"/>
  <c r="W219" i="26"/>
  <c r="W220" i="26"/>
  <c r="W225" i="26"/>
  <c r="W221" i="26"/>
  <c r="W222" i="26"/>
  <c r="W223" i="26"/>
  <c r="W224" i="26"/>
  <c r="W226" i="26"/>
  <c r="W218" i="26"/>
  <c r="W217" i="26"/>
  <c r="W216" i="26"/>
  <c r="W208" i="26"/>
  <c r="W212" i="26"/>
  <c r="W215" i="26"/>
  <c r="W210" i="26"/>
  <c r="W211" i="26"/>
  <c r="W214" i="26"/>
  <c r="W209" i="26"/>
  <c r="W213" i="26"/>
  <c r="W207" i="26"/>
  <c r="W206" i="26"/>
  <c r="W199" i="26"/>
  <c r="W200" i="26"/>
  <c r="W201" i="26"/>
  <c r="W202" i="26"/>
  <c r="W203" i="26"/>
  <c r="W205" i="26"/>
  <c r="W198" i="26"/>
  <c r="W204" i="26"/>
  <c r="W197" i="26"/>
  <c r="W196" i="26"/>
  <c r="W187" i="26"/>
  <c r="W189" i="26"/>
  <c r="W190" i="26"/>
  <c r="W194" i="26"/>
  <c r="W191" i="26"/>
  <c r="W193" i="26"/>
  <c r="W195" i="26"/>
  <c r="W192" i="26"/>
  <c r="W188" i="26"/>
  <c r="W186" i="26"/>
  <c r="W185" i="26"/>
  <c r="W176" i="26"/>
  <c r="W177" i="26"/>
  <c r="W179" i="26"/>
  <c r="W180" i="26"/>
  <c r="W184" i="26"/>
  <c r="W181" i="26"/>
  <c r="W182" i="26"/>
  <c r="W183" i="26"/>
  <c r="W178" i="26"/>
  <c r="W175" i="26"/>
  <c r="W174" i="26"/>
  <c r="W165" i="26"/>
  <c r="W166" i="26"/>
  <c r="W167" i="26"/>
  <c r="W168" i="26"/>
  <c r="W169" i="26"/>
  <c r="W170" i="26"/>
  <c r="W171" i="26"/>
  <c r="W172" i="26"/>
  <c r="W173" i="26"/>
  <c r="W164" i="26"/>
  <c r="W163" i="26"/>
  <c r="W154" i="26"/>
  <c r="W155" i="26"/>
  <c r="W156" i="26"/>
  <c r="W157" i="26"/>
  <c r="W158" i="26"/>
  <c r="W159" i="26"/>
  <c r="W160" i="26"/>
  <c r="W162" i="26"/>
  <c r="W161" i="26"/>
  <c r="W153" i="26"/>
  <c r="W152" i="26"/>
  <c r="W143" i="26"/>
  <c r="W144" i="26"/>
  <c r="W146" i="26"/>
  <c r="W147" i="26"/>
  <c r="W150" i="26"/>
  <c r="W148" i="26"/>
  <c r="W149" i="26"/>
  <c r="W151" i="26"/>
  <c r="W145" i="26"/>
  <c r="W142" i="26"/>
  <c r="W130" i="26"/>
  <c r="W141" i="26"/>
  <c r="W132" i="26"/>
  <c r="W133" i="26"/>
  <c r="W134" i="26"/>
  <c r="W135" i="26"/>
  <c r="W136" i="26"/>
  <c r="W137" i="26"/>
  <c r="W138" i="26"/>
  <c r="W139" i="26"/>
  <c r="W140" i="26"/>
  <c r="W131" i="26"/>
  <c r="W121" i="26"/>
  <c r="W122" i="26"/>
  <c r="W123" i="26"/>
  <c r="W124" i="26"/>
  <c r="W125" i="26"/>
  <c r="W126" i="26"/>
  <c r="W127" i="26"/>
  <c r="W128" i="26"/>
  <c r="W129" i="26"/>
  <c r="W120" i="26"/>
  <c r="W119" i="26"/>
  <c r="W118" i="26"/>
  <c r="W117" i="26"/>
  <c r="W114" i="26"/>
  <c r="W113" i="26"/>
  <c r="W112" i="26"/>
  <c r="W111" i="26"/>
  <c r="W110" i="26"/>
  <c r="W109" i="26"/>
  <c r="W108" i="26"/>
  <c r="W107" i="26"/>
  <c r="W106" i="26"/>
  <c r="W105" i="26"/>
  <c r="W104" i="26"/>
  <c r="W103" i="26"/>
  <c r="W102" i="26"/>
  <c r="W101" i="26"/>
  <c r="W100" i="26"/>
  <c r="W99" i="26"/>
  <c r="W116" i="26"/>
  <c r="W115" i="26"/>
  <c r="Y99" i="26"/>
  <c r="W98" i="26"/>
  <c r="X108" i="26"/>
  <c r="X101" i="26"/>
  <c r="X106" i="26"/>
  <c r="W158" i="25"/>
  <c r="W157" i="25"/>
  <c r="W170" i="25"/>
  <c r="W154" i="25"/>
  <c r="W160" i="25"/>
  <c r="W166" i="25"/>
  <c r="W148" i="25"/>
  <c r="W167" i="25"/>
  <c r="W162" i="25"/>
  <c r="W168" i="25"/>
  <c r="W169" i="25"/>
  <c r="W153" i="25"/>
  <c r="W165" i="25"/>
  <c r="W152" i="25"/>
  <c r="W163" i="25"/>
  <c r="W159" i="25"/>
  <c r="W164" i="25"/>
  <c r="W149" i="25"/>
  <c r="W151" i="25"/>
  <c r="W150" i="25"/>
  <c r="W161" i="25"/>
  <c r="W147" i="25"/>
  <c r="W135" i="25"/>
  <c r="W155" i="25"/>
  <c r="W156" i="25"/>
  <c r="X98" i="25"/>
  <c r="AQ126" i="7" l="1"/>
  <c r="AR126" i="7"/>
  <c r="AO126" i="7"/>
  <c r="AO125" i="7"/>
  <c r="C3" i="25"/>
  <c r="D3" i="25"/>
  <c r="E3" i="25" s="1"/>
  <c r="F3" i="25"/>
  <c r="G3" i="25"/>
  <c r="C4" i="25"/>
  <c r="D4" i="25"/>
  <c r="E4" i="25" s="1"/>
  <c r="F4" i="25"/>
  <c r="G4" i="25"/>
  <c r="C5" i="25"/>
  <c r="D5" i="25"/>
  <c r="E5" i="25" s="1"/>
  <c r="F5" i="25"/>
  <c r="G5" i="25"/>
  <c r="C6" i="25"/>
  <c r="D6" i="25"/>
  <c r="E6" i="25" s="1"/>
  <c r="F6" i="25"/>
  <c r="G6" i="25"/>
  <c r="C7" i="25"/>
  <c r="D7" i="25"/>
  <c r="E7" i="25" s="1"/>
  <c r="F7" i="25"/>
  <c r="G7" i="25"/>
  <c r="C8" i="25"/>
  <c r="D8" i="25"/>
  <c r="E8" i="25" s="1"/>
  <c r="F8" i="25"/>
  <c r="G8" i="25"/>
  <c r="C9" i="25"/>
  <c r="D9" i="25"/>
  <c r="E9" i="25" s="1"/>
  <c r="F9" i="25"/>
  <c r="G9" i="25"/>
  <c r="C10" i="25"/>
  <c r="D10" i="25"/>
  <c r="E10" i="25" s="1"/>
  <c r="F10" i="25"/>
  <c r="G10" i="25"/>
  <c r="C11" i="25"/>
  <c r="D11" i="25"/>
  <c r="E11" i="25" s="1"/>
  <c r="F11" i="25"/>
  <c r="G11" i="25"/>
  <c r="C12" i="25"/>
  <c r="D12" i="25"/>
  <c r="E12" i="25" s="1"/>
  <c r="F12" i="25"/>
  <c r="G12" i="25"/>
  <c r="C13" i="25"/>
  <c r="D13" i="25"/>
  <c r="E13" i="25" s="1"/>
  <c r="F13" i="25"/>
  <c r="G13" i="25"/>
  <c r="C14" i="25"/>
  <c r="D14" i="25"/>
  <c r="E14" i="25" s="1"/>
  <c r="F14" i="25"/>
  <c r="G14" i="25"/>
  <c r="C15" i="25"/>
  <c r="D15" i="25"/>
  <c r="E15" i="25" s="1"/>
  <c r="F15" i="25"/>
  <c r="G15" i="25"/>
  <c r="C16" i="25"/>
  <c r="D16" i="25"/>
  <c r="E16" i="25" s="1"/>
  <c r="F16" i="25"/>
  <c r="G16" i="25"/>
  <c r="C17" i="25"/>
  <c r="D17" i="25"/>
  <c r="E17" i="25" s="1"/>
  <c r="F17" i="25"/>
  <c r="G17" i="25"/>
  <c r="C18" i="25"/>
  <c r="D18" i="25"/>
  <c r="E18" i="25" s="1"/>
  <c r="F18" i="25"/>
  <c r="G18" i="25"/>
  <c r="C19" i="25"/>
  <c r="D19" i="25"/>
  <c r="E19" i="25" s="1"/>
  <c r="F19" i="25"/>
  <c r="G19" i="25"/>
  <c r="C20" i="25"/>
  <c r="D20" i="25"/>
  <c r="E20" i="25" s="1"/>
  <c r="F20" i="25"/>
  <c r="G20" i="25"/>
  <c r="C21" i="25"/>
  <c r="D21" i="25"/>
  <c r="E21" i="25" s="1"/>
  <c r="F21" i="25"/>
  <c r="G21" i="25"/>
  <c r="C22" i="25"/>
  <c r="D22" i="25"/>
  <c r="E22" i="25" s="1"/>
  <c r="F22" i="25"/>
  <c r="G22" i="25"/>
  <c r="C23" i="25"/>
  <c r="D23" i="25"/>
  <c r="E23" i="25" s="1"/>
  <c r="F23" i="25"/>
  <c r="G23" i="25"/>
  <c r="C24" i="25"/>
  <c r="D24" i="25"/>
  <c r="E24" i="25" s="1"/>
  <c r="F24" i="25"/>
  <c r="G24" i="25"/>
  <c r="C25" i="25"/>
  <c r="D25" i="25"/>
  <c r="E25" i="25" s="1"/>
  <c r="F25" i="25"/>
  <c r="G25" i="25"/>
  <c r="C26" i="25"/>
  <c r="D26" i="25"/>
  <c r="E26" i="25" s="1"/>
  <c r="F26" i="25"/>
  <c r="G26" i="25"/>
  <c r="C27" i="25"/>
  <c r="D27" i="25"/>
  <c r="E27" i="25" s="1"/>
  <c r="F27" i="25"/>
  <c r="G27" i="25"/>
  <c r="C28" i="25"/>
  <c r="D28" i="25"/>
  <c r="E28" i="25" s="1"/>
  <c r="F28" i="25"/>
  <c r="G28" i="25"/>
  <c r="C29" i="25"/>
  <c r="D29" i="25"/>
  <c r="E29" i="25" s="1"/>
  <c r="F29" i="25"/>
  <c r="G29" i="25"/>
  <c r="C30" i="25"/>
  <c r="D30" i="25"/>
  <c r="E30" i="25" s="1"/>
  <c r="F30" i="25"/>
  <c r="G30" i="25"/>
  <c r="C31" i="25"/>
  <c r="D31" i="25"/>
  <c r="E31" i="25" s="1"/>
  <c r="F31" i="25"/>
  <c r="G31" i="25"/>
  <c r="C32" i="25"/>
  <c r="D32" i="25"/>
  <c r="E32" i="25" s="1"/>
  <c r="F32" i="25"/>
  <c r="G32" i="25"/>
  <c r="C33" i="25"/>
  <c r="D33" i="25"/>
  <c r="E33" i="25" s="1"/>
  <c r="F33" i="25"/>
  <c r="G33" i="25"/>
  <c r="C34" i="25"/>
  <c r="D34" i="25"/>
  <c r="E34" i="25" s="1"/>
  <c r="F34" i="25"/>
  <c r="G34" i="25"/>
  <c r="C35" i="25"/>
  <c r="D35" i="25"/>
  <c r="E35" i="25" s="1"/>
  <c r="F35" i="25"/>
  <c r="G35" i="25"/>
  <c r="C36" i="25"/>
  <c r="D36" i="25"/>
  <c r="E36" i="25" s="1"/>
  <c r="F36" i="25"/>
  <c r="G36" i="25"/>
  <c r="C37" i="25"/>
  <c r="D37" i="25"/>
  <c r="E37" i="25" s="1"/>
  <c r="F37" i="25"/>
  <c r="G37" i="25"/>
  <c r="C38" i="25"/>
  <c r="D38" i="25"/>
  <c r="E38" i="25" s="1"/>
  <c r="F38" i="25"/>
  <c r="G38" i="25"/>
  <c r="C39" i="25"/>
  <c r="D39" i="25"/>
  <c r="E39" i="25" s="1"/>
  <c r="F39" i="25"/>
  <c r="G39" i="25"/>
  <c r="C40" i="25"/>
  <c r="D40" i="25"/>
  <c r="E40" i="25" s="1"/>
  <c r="F40" i="25"/>
  <c r="G40" i="25"/>
  <c r="C41" i="25"/>
  <c r="D41" i="25"/>
  <c r="E41" i="25" s="1"/>
  <c r="F41" i="25"/>
  <c r="G41" i="25"/>
  <c r="C42" i="25"/>
  <c r="D42" i="25"/>
  <c r="E42" i="25" s="1"/>
  <c r="F42" i="25"/>
  <c r="G42" i="25"/>
  <c r="C43" i="25"/>
  <c r="D43" i="25"/>
  <c r="E43" i="25" s="1"/>
  <c r="F43" i="25"/>
  <c r="G43" i="25"/>
  <c r="C44" i="25"/>
  <c r="D44" i="25"/>
  <c r="E44" i="25" s="1"/>
  <c r="F44" i="25"/>
  <c r="G44" i="25"/>
  <c r="C45" i="25"/>
  <c r="D45" i="25"/>
  <c r="E45" i="25" s="1"/>
  <c r="F45" i="25"/>
  <c r="G45" i="25"/>
  <c r="C46" i="25"/>
  <c r="D46" i="25"/>
  <c r="E46" i="25" s="1"/>
  <c r="F46" i="25"/>
  <c r="G46" i="25"/>
  <c r="C47" i="25"/>
  <c r="D47" i="25"/>
  <c r="E47" i="25" s="1"/>
  <c r="F47" i="25"/>
  <c r="G47" i="25"/>
  <c r="C48" i="25"/>
  <c r="D48" i="25"/>
  <c r="E48" i="25" s="1"/>
  <c r="F48" i="25"/>
  <c r="G48" i="25"/>
  <c r="C49" i="25"/>
  <c r="D49" i="25"/>
  <c r="E49" i="25" s="1"/>
  <c r="F49" i="25"/>
  <c r="G49" i="25"/>
  <c r="C50" i="25"/>
  <c r="D50" i="25"/>
  <c r="E50" i="25" s="1"/>
  <c r="F50" i="25"/>
  <c r="G50" i="25"/>
  <c r="C51" i="25"/>
  <c r="D51" i="25"/>
  <c r="E51" i="25" s="1"/>
  <c r="F51" i="25"/>
  <c r="G51" i="25"/>
  <c r="C52" i="25"/>
  <c r="D52" i="25"/>
  <c r="E52" i="25" s="1"/>
  <c r="F52" i="25"/>
  <c r="G52" i="25"/>
  <c r="C53" i="25"/>
  <c r="D53" i="25"/>
  <c r="E53" i="25" s="1"/>
  <c r="F53" i="25"/>
  <c r="G53" i="25"/>
  <c r="C54" i="25"/>
  <c r="D54" i="25"/>
  <c r="E54" i="25" s="1"/>
  <c r="F54" i="25"/>
  <c r="G54" i="25"/>
  <c r="C55" i="25"/>
  <c r="D55" i="25"/>
  <c r="E55" i="25" s="1"/>
  <c r="F55" i="25"/>
  <c r="G55" i="25"/>
  <c r="C56" i="25"/>
  <c r="D56" i="25"/>
  <c r="E56" i="25" s="1"/>
  <c r="F56" i="25"/>
  <c r="G56" i="25"/>
  <c r="C57" i="25"/>
  <c r="D57" i="25"/>
  <c r="E57" i="25" s="1"/>
  <c r="F57" i="25"/>
  <c r="G57" i="25"/>
  <c r="C58" i="25"/>
  <c r="D58" i="25"/>
  <c r="E58" i="25" s="1"/>
  <c r="F58" i="25"/>
  <c r="G58" i="25"/>
  <c r="C59" i="25"/>
  <c r="D59" i="25"/>
  <c r="E59" i="25" s="1"/>
  <c r="F59" i="25"/>
  <c r="G59" i="25"/>
  <c r="C60" i="25"/>
  <c r="D60" i="25"/>
  <c r="E60" i="25" s="1"/>
  <c r="F60" i="25"/>
  <c r="G60" i="25"/>
  <c r="C61" i="25"/>
  <c r="D61" i="25"/>
  <c r="E61" i="25" s="1"/>
  <c r="F61" i="25"/>
  <c r="G61" i="25"/>
  <c r="C62" i="25"/>
  <c r="D62" i="25"/>
  <c r="E62" i="25" s="1"/>
  <c r="F62" i="25"/>
  <c r="G62" i="25"/>
  <c r="C63" i="25"/>
  <c r="D63" i="25"/>
  <c r="E63" i="25" s="1"/>
  <c r="F63" i="25"/>
  <c r="G63" i="25"/>
  <c r="C64" i="25"/>
  <c r="D64" i="25"/>
  <c r="E64" i="25" s="1"/>
  <c r="F64" i="25"/>
  <c r="G64" i="25"/>
  <c r="C65" i="25"/>
  <c r="D65" i="25"/>
  <c r="E65" i="25" s="1"/>
  <c r="F65" i="25"/>
  <c r="G65" i="25"/>
  <c r="C66" i="25"/>
  <c r="D66" i="25"/>
  <c r="E66" i="25" s="1"/>
  <c r="F66" i="25"/>
  <c r="G66" i="25"/>
  <c r="C67" i="25"/>
  <c r="D67" i="25"/>
  <c r="E67" i="25" s="1"/>
  <c r="F67" i="25"/>
  <c r="G67" i="25"/>
  <c r="C68" i="25"/>
  <c r="D68" i="25"/>
  <c r="E68" i="25" s="1"/>
  <c r="F68" i="25"/>
  <c r="G68" i="25"/>
  <c r="C69" i="25"/>
  <c r="D69" i="25"/>
  <c r="E69" i="25" s="1"/>
  <c r="F69" i="25"/>
  <c r="G69" i="25"/>
  <c r="C70" i="25"/>
  <c r="D70" i="25"/>
  <c r="E70" i="25" s="1"/>
  <c r="F70" i="25"/>
  <c r="G70" i="25"/>
  <c r="C71" i="25"/>
  <c r="D71" i="25"/>
  <c r="E71" i="25" s="1"/>
  <c r="F71" i="25"/>
  <c r="G71" i="25"/>
  <c r="C72" i="25"/>
  <c r="D72" i="25"/>
  <c r="E72" i="25" s="1"/>
  <c r="F72" i="25"/>
  <c r="G72" i="25"/>
  <c r="C73" i="25"/>
  <c r="D73" i="25"/>
  <c r="E73" i="25" s="1"/>
  <c r="F73" i="25"/>
  <c r="G73" i="25"/>
  <c r="C74" i="25"/>
  <c r="D74" i="25"/>
  <c r="E74" i="25" s="1"/>
  <c r="F74" i="25"/>
  <c r="G74" i="25"/>
  <c r="C75" i="25"/>
  <c r="D75" i="25"/>
  <c r="E75" i="25" s="1"/>
  <c r="F75" i="25"/>
  <c r="G75" i="25"/>
  <c r="C76" i="25"/>
  <c r="D76" i="25"/>
  <c r="E76" i="25" s="1"/>
  <c r="F76" i="25"/>
  <c r="G76" i="25"/>
  <c r="C77" i="25"/>
  <c r="D77" i="25"/>
  <c r="E77" i="25" s="1"/>
  <c r="F77" i="25"/>
  <c r="G77" i="25"/>
  <c r="C78" i="25"/>
  <c r="D78" i="25"/>
  <c r="E78" i="25" s="1"/>
  <c r="F78" i="25"/>
  <c r="G78" i="25"/>
  <c r="C79" i="25"/>
  <c r="D79" i="25"/>
  <c r="E79" i="25" s="1"/>
  <c r="F79" i="25"/>
  <c r="G79" i="25"/>
  <c r="C80" i="25"/>
  <c r="D80" i="25"/>
  <c r="E80" i="25" s="1"/>
  <c r="F80" i="25"/>
  <c r="G80" i="25"/>
  <c r="C81" i="25"/>
  <c r="D81" i="25"/>
  <c r="E81" i="25" s="1"/>
  <c r="F81" i="25"/>
  <c r="G81" i="25"/>
  <c r="C82" i="25"/>
  <c r="D82" i="25"/>
  <c r="E82" i="25" s="1"/>
  <c r="F82" i="25"/>
  <c r="G82" i="25"/>
  <c r="C83" i="25"/>
  <c r="D83" i="25"/>
  <c r="E83" i="25" s="1"/>
  <c r="F83" i="25"/>
  <c r="G83" i="25"/>
  <c r="C84" i="25"/>
  <c r="D84" i="25"/>
  <c r="E84" i="25" s="1"/>
  <c r="F84" i="25"/>
  <c r="G84" i="25"/>
  <c r="C85" i="25"/>
  <c r="D85" i="25"/>
  <c r="E85" i="25" s="1"/>
  <c r="F85" i="25"/>
  <c r="G85" i="25"/>
  <c r="C86" i="25"/>
  <c r="D86" i="25"/>
  <c r="E86" i="25" s="1"/>
  <c r="F86" i="25"/>
  <c r="G86" i="25"/>
  <c r="C87" i="25"/>
  <c r="D87" i="25"/>
  <c r="E87" i="25" s="1"/>
  <c r="F87" i="25"/>
  <c r="G87" i="25"/>
  <c r="C88" i="25"/>
  <c r="D88" i="25"/>
  <c r="E88" i="25" s="1"/>
  <c r="F88" i="25"/>
  <c r="G88" i="25"/>
  <c r="C89" i="25"/>
  <c r="D89" i="25"/>
  <c r="E89" i="25" s="1"/>
  <c r="F89" i="25"/>
  <c r="G89" i="25"/>
  <c r="C90" i="25"/>
  <c r="D90" i="25"/>
  <c r="E90" i="25" s="1"/>
  <c r="F90" i="25"/>
  <c r="G90" i="25"/>
  <c r="C91" i="25"/>
  <c r="D91" i="25"/>
  <c r="E91" i="25" s="1"/>
  <c r="F91" i="25"/>
  <c r="G91" i="25"/>
  <c r="C92" i="25"/>
  <c r="D92" i="25"/>
  <c r="E92" i="25" s="1"/>
  <c r="F92" i="25"/>
  <c r="G92" i="25"/>
  <c r="C93" i="25"/>
  <c r="D93" i="25"/>
  <c r="E93" i="25" s="1"/>
  <c r="F93" i="25"/>
  <c r="G93" i="25"/>
  <c r="C94" i="25"/>
  <c r="D94" i="25"/>
  <c r="E94" i="25" s="1"/>
  <c r="F94" i="25"/>
  <c r="G94" i="25"/>
  <c r="C95" i="25"/>
  <c r="D95" i="25"/>
  <c r="E95" i="25" s="1"/>
  <c r="F95" i="25"/>
  <c r="G95" i="25"/>
  <c r="C96" i="25"/>
  <c r="D96" i="25"/>
  <c r="E96" i="25" s="1"/>
  <c r="F96" i="25"/>
  <c r="G96" i="25"/>
  <c r="C97" i="25"/>
  <c r="D97" i="25"/>
  <c r="E97" i="25" s="1"/>
  <c r="F97" i="25"/>
  <c r="G97" i="25"/>
  <c r="C98" i="25"/>
  <c r="D98" i="25"/>
  <c r="E98" i="25" s="1"/>
  <c r="F98" i="25"/>
  <c r="G98" i="25"/>
  <c r="C99" i="25"/>
  <c r="D99" i="25"/>
  <c r="E99" i="25" s="1"/>
  <c r="F99" i="25"/>
  <c r="G99" i="25"/>
  <c r="C100" i="25"/>
  <c r="D100" i="25"/>
  <c r="E100" i="25" s="1"/>
  <c r="F100" i="25"/>
  <c r="G100" i="25"/>
  <c r="C101" i="25"/>
  <c r="D101" i="25"/>
  <c r="E101" i="25" s="1"/>
  <c r="F101" i="25"/>
  <c r="G101" i="25"/>
  <c r="C102" i="25"/>
  <c r="D102" i="25"/>
  <c r="E102" i="25" s="1"/>
  <c r="F102" i="25"/>
  <c r="G102" i="25"/>
  <c r="C103" i="25"/>
  <c r="D103" i="25"/>
  <c r="E103" i="25" s="1"/>
  <c r="F103" i="25"/>
  <c r="G103" i="25"/>
  <c r="C104" i="25"/>
  <c r="D104" i="25"/>
  <c r="E104" i="25" s="1"/>
  <c r="F104" i="25"/>
  <c r="G104" i="25"/>
  <c r="C105" i="25"/>
  <c r="D105" i="25"/>
  <c r="E105" i="25" s="1"/>
  <c r="F105" i="25"/>
  <c r="G105" i="25"/>
  <c r="C106" i="25"/>
  <c r="D106" i="25"/>
  <c r="E106" i="25" s="1"/>
  <c r="F106" i="25"/>
  <c r="G106" i="25"/>
  <c r="C107" i="25"/>
  <c r="D107" i="25"/>
  <c r="E107" i="25" s="1"/>
  <c r="F107" i="25"/>
  <c r="G107" i="25"/>
  <c r="C108" i="25"/>
  <c r="D108" i="25"/>
  <c r="E108" i="25" s="1"/>
  <c r="F108" i="25"/>
  <c r="G108" i="25"/>
  <c r="C109" i="25"/>
  <c r="D109" i="25"/>
  <c r="E109" i="25" s="1"/>
  <c r="F109" i="25"/>
  <c r="G109" i="25"/>
  <c r="C110" i="25"/>
  <c r="D110" i="25"/>
  <c r="E110" i="25" s="1"/>
  <c r="F110" i="25"/>
  <c r="G110" i="25"/>
  <c r="C111" i="25"/>
  <c r="D111" i="25"/>
  <c r="E111" i="25" s="1"/>
  <c r="F111" i="25"/>
  <c r="G111" i="25"/>
  <c r="C112" i="25"/>
  <c r="D112" i="25"/>
  <c r="E112" i="25" s="1"/>
  <c r="F112" i="25"/>
  <c r="G112" i="25"/>
  <c r="C113" i="25"/>
  <c r="D113" i="25"/>
  <c r="E113" i="25" s="1"/>
  <c r="F113" i="25"/>
  <c r="G113" i="25"/>
  <c r="C114" i="25"/>
  <c r="D114" i="25"/>
  <c r="E114" i="25" s="1"/>
  <c r="F114" i="25"/>
  <c r="G114" i="25"/>
  <c r="C115" i="25"/>
  <c r="D115" i="25"/>
  <c r="E115" i="25" s="1"/>
  <c r="F115" i="25"/>
  <c r="G115" i="25"/>
  <c r="C116" i="25"/>
  <c r="D116" i="25"/>
  <c r="E116" i="25" s="1"/>
  <c r="F116" i="25"/>
  <c r="G116" i="25"/>
  <c r="C117" i="25"/>
  <c r="D117" i="25"/>
  <c r="E117" i="25" s="1"/>
  <c r="F117" i="25"/>
  <c r="G117" i="25"/>
  <c r="C118" i="25"/>
  <c r="D118" i="25"/>
  <c r="E118" i="25" s="1"/>
  <c r="F118" i="25"/>
  <c r="G118" i="25"/>
  <c r="C119" i="25"/>
  <c r="D119" i="25"/>
  <c r="E119" i="25" s="1"/>
  <c r="F119" i="25"/>
  <c r="G119" i="25"/>
  <c r="C120" i="25"/>
  <c r="D120" i="25"/>
  <c r="E120" i="25" s="1"/>
  <c r="F120" i="25"/>
  <c r="G120" i="25"/>
  <c r="C121" i="25"/>
  <c r="D121" i="25"/>
  <c r="E121" i="25" s="1"/>
  <c r="F121" i="25"/>
  <c r="G121" i="25"/>
  <c r="C122" i="25"/>
  <c r="D122" i="25"/>
  <c r="E122" i="25" s="1"/>
  <c r="F122" i="25"/>
  <c r="G122" i="25"/>
  <c r="C123" i="25"/>
  <c r="D123" i="25"/>
  <c r="E123" i="25" s="1"/>
  <c r="F123" i="25"/>
  <c r="G123" i="25"/>
  <c r="C124" i="25"/>
  <c r="D124" i="25"/>
  <c r="E124" i="25" s="1"/>
  <c r="F124" i="25"/>
  <c r="G124" i="25"/>
  <c r="C125" i="25"/>
  <c r="D125" i="25"/>
  <c r="E125" i="25" s="1"/>
  <c r="F125" i="25"/>
  <c r="G125" i="25"/>
  <c r="C126" i="25"/>
  <c r="D126" i="25"/>
  <c r="E126" i="25" s="1"/>
  <c r="F126" i="25"/>
  <c r="G126" i="25"/>
  <c r="C127" i="25"/>
  <c r="D127" i="25"/>
  <c r="E127" i="25" s="1"/>
  <c r="F127" i="25"/>
  <c r="G127" i="25"/>
  <c r="C128" i="25"/>
  <c r="D128" i="25"/>
  <c r="E128" i="25" s="1"/>
  <c r="F128" i="25"/>
  <c r="G128" i="25"/>
  <c r="C129" i="25"/>
  <c r="D129" i="25"/>
  <c r="E129" i="25" s="1"/>
  <c r="F129" i="25"/>
  <c r="G129" i="25"/>
  <c r="C130" i="25"/>
  <c r="D130" i="25"/>
  <c r="E130" i="25" s="1"/>
  <c r="F130" i="25"/>
  <c r="G130" i="25"/>
  <c r="C131" i="25"/>
  <c r="D131" i="25"/>
  <c r="E131" i="25" s="1"/>
  <c r="F131" i="25"/>
  <c r="G131" i="25"/>
  <c r="C132" i="25"/>
  <c r="D132" i="25"/>
  <c r="E132" i="25" s="1"/>
  <c r="F132" i="25"/>
  <c r="G132" i="25"/>
  <c r="C133" i="25"/>
  <c r="D133" i="25"/>
  <c r="E133" i="25" s="1"/>
  <c r="F133" i="25"/>
  <c r="G133" i="25"/>
  <c r="C134" i="25"/>
  <c r="D134" i="25"/>
  <c r="E134" i="25" s="1"/>
  <c r="F134" i="25"/>
  <c r="G134" i="25"/>
  <c r="C135" i="25"/>
  <c r="D135" i="25"/>
  <c r="E135" i="25" s="1"/>
  <c r="F135" i="25"/>
  <c r="G135" i="25"/>
  <c r="C136" i="25"/>
  <c r="D136" i="25"/>
  <c r="E136" i="25" s="1"/>
  <c r="F136" i="25"/>
  <c r="G136" i="25"/>
  <c r="C137" i="25"/>
  <c r="D137" i="25"/>
  <c r="E137" i="25" s="1"/>
  <c r="F137" i="25"/>
  <c r="G137" i="25"/>
  <c r="C138" i="25"/>
  <c r="D138" i="25"/>
  <c r="E138" i="25" s="1"/>
  <c r="F138" i="25"/>
  <c r="G138" i="25"/>
  <c r="C139" i="25"/>
  <c r="D139" i="25"/>
  <c r="E139" i="25" s="1"/>
  <c r="F139" i="25"/>
  <c r="G139" i="25"/>
  <c r="C140" i="25"/>
  <c r="D140" i="25"/>
  <c r="E140" i="25" s="1"/>
  <c r="F140" i="25"/>
  <c r="G140" i="25"/>
  <c r="C141" i="25"/>
  <c r="D141" i="25"/>
  <c r="E141" i="25" s="1"/>
  <c r="F141" i="25"/>
  <c r="G141" i="25"/>
  <c r="C142" i="25"/>
  <c r="D142" i="25"/>
  <c r="E142" i="25" s="1"/>
  <c r="F142" i="25"/>
  <c r="G142" i="25"/>
  <c r="C143" i="25"/>
  <c r="D143" i="25"/>
  <c r="E143" i="25" s="1"/>
  <c r="F143" i="25"/>
  <c r="G143" i="25"/>
  <c r="C144" i="25"/>
  <c r="D144" i="25"/>
  <c r="E144" i="25" s="1"/>
  <c r="F144" i="25"/>
  <c r="G144" i="25"/>
  <c r="C145" i="25"/>
  <c r="D145" i="25"/>
  <c r="E145" i="25" s="1"/>
  <c r="F145" i="25"/>
  <c r="G145" i="25"/>
  <c r="C146" i="25"/>
  <c r="D146" i="25"/>
  <c r="E146" i="25" s="1"/>
  <c r="F146" i="25"/>
  <c r="G146" i="25"/>
  <c r="C147" i="25"/>
  <c r="D147" i="25"/>
  <c r="E147" i="25" s="1"/>
  <c r="F147" i="25"/>
  <c r="G147" i="25"/>
  <c r="C148" i="25"/>
  <c r="D148" i="25"/>
  <c r="E148" i="25" s="1"/>
  <c r="F148" i="25"/>
  <c r="G148" i="25"/>
  <c r="C149" i="25"/>
  <c r="D149" i="25"/>
  <c r="E149" i="25" s="1"/>
  <c r="F149" i="25"/>
  <c r="G149" i="25"/>
  <c r="C150" i="25"/>
  <c r="D150" i="25"/>
  <c r="E150" i="25" s="1"/>
  <c r="F150" i="25"/>
  <c r="G150" i="25"/>
  <c r="C151" i="25"/>
  <c r="D151" i="25"/>
  <c r="E151" i="25" s="1"/>
  <c r="F151" i="25"/>
  <c r="G151" i="25"/>
  <c r="C152" i="25"/>
  <c r="D152" i="25"/>
  <c r="E152" i="25" s="1"/>
  <c r="F152" i="25"/>
  <c r="G152" i="25"/>
  <c r="C153" i="25"/>
  <c r="D153" i="25"/>
  <c r="E153" i="25" s="1"/>
  <c r="F153" i="25"/>
  <c r="G153" i="25"/>
  <c r="C154" i="25"/>
  <c r="D154" i="25"/>
  <c r="E154" i="25" s="1"/>
  <c r="F154" i="25"/>
  <c r="G154" i="25"/>
  <c r="C155" i="25"/>
  <c r="D155" i="25"/>
  <c r="E155" i="25" s="1"/>
  <c r="F155" i="25"/>
  <c r="G155" i="25"/>
  <c r="C156" i="25"/>
  <c r="D156" i="25"/>
  <c r="E156" i="25" s="1"/>
  <c r="F156" i="25"/>
  <c r="G156" i="25"/>
  <c r="C157" i="25"/>
  <c r="D157" i="25"/>
  <c r="E157" i="25" s="1"/>
  <c r="F157" i="25"/>
  <c r="G157" i="25"/>
  <c r="C158" i="25"/>
  <c r="D158" i="25"/>
  <c r="E158" i="25" s="1"/>
  <c r="F158" i="25"/>
  <c r="G158" i="25"/>
  <c r="C159" i="25"/>
  <c r="D159" i="25"/>
  <c r="E159" i="25" s="1"/>
  <c r="F159" i="25"/>
  <c r="G159" i="25"/>
  <c r="C160" i="25"/>
  <c r="D160" i="25"/>
  <c r="E160" i="25" s="1"/>
  <c r="F160" i="25"/>
  <c r="G160" i="25"/>
  <c r="C161" i="25"/>
  <c r="D161" i="25"/>
  <c r="E161" i="25" s="1"/>
  <c r="F161" i="25"/>
  <c r="G161" i="25"/>
  <c r="C162" i="25"/>
  <c r="D162" i="25"/>
  <c r="E162" i="25" s="1"/>
  <c r="F162" i="25"/>
  <c r="G162" i="25"/>
  <c r="C163" i="25"/>
  <c r="D163" i="25"/>
  <c r="E163" i="25" s="1"/>
  <c r="F163" i="25"/>
  <c r="G163" i="25"/>
  <c r="C164" i="25"/>
  <c r="D164" i="25"/>
  <c r="E164" i="25" s="1"/>
  <c r="F164" i="25"/>
  <c r="G164" i="25"/>
  <c r="C165" i="25"/>
  <c r="D165" i="25"/>
  <c r="E165" i="25" s="1"/>
  <c r="F165" i="25"/>
  <c r="G165" i="25"/>
  <c r="C166" i="25"/>
  <c r="D166" i="25"/>
  <c r="E166" i="25" s="1"/>
  <c r="F166" i="25"/>
  <c r="G166" i="25"/>
  <c r="C167" i="25"/>
  <c r="D167" i="25"/>
  <c r="E167" i="25" s="1"/>
  <c r="F167" i="25"/>
  <c r="G167" i="25"/>
  <c r="C168" i="25"/>
  <c r="D168" i="25"/>
  <c r="E168" i="25" s="1"/>
  <c r="F168" i="25"/>
  <c r="G168" i="25"/>
  <c r="C169" i="25"/>
  <c r="D169" i="25"/>
  <c r="E169" i="25" s="1"/>
  <c r="F169" i="25"/>
  <c r="G169" i="25"/>
  <c r="C170" i="25"/>
  <c r="D170" i="25"/>
  <c r="E170" i="25" s="1"/>
  <c r="F170" i="25"/>
  <c r="G170" i="25"/>
  <c r="C171" i="25"/>
  <c r="D171" i="25"/>
  <c r="E171" i="25" s="1"/>
  <c r="F171" i="25"/>
  <c r="G171" i="25"/>
  <c r="C172" i="25"/>
  <c r="D172" i="25"/>
  <c r="E172" i="25" s="1"/>
  <c r="F172" i="25"/>
  <c r="G172" i="25"/>
  <c r="C173" i="25"/>
  <c r="D173" i="25"/>
  <c r="E173" i="25" s="1"/>
  <c r="F173" i="25"/>
  <c r="G173" i="25"/>
  <c r="C174" i="25"/>
  <c r="D174" i="25"/>
  <c r="E174" i="25" s="1"/>
  <c r="F174" i="25"/>
  <c r="G174" i="25"/>
  <c r="C175" i="25"/>
  <c r="D175" i="25"/>
  <c r="E175" i="25" s="1"/>
  <c r="F175" i="25"/>
  <c r="G175" i="25"/>
  <c r="C176" i="25"/>
  <c r="D176" i="25"/>
  <c r="E176" i="25" s="1"/>
  <c r="F176" i="25"/>
  <c r="G176" i="25"/>
  <c r="C177" i="25"/>
  <c r="D177" i="25"/>
  <c r="E177" i="25" s="1"/>
  <c r="F177" i="25"/>
  <c r="G177" i="25"/>
  <c r="C178" i="25"/>
  <c r="D178" i="25"/>
  <c r="E178" i="25" s="1"/>
  <c r="F178" i="25"/>
  <c r="G178" i="25"/>
  <c r="C179" i="25"/>
  <c r="D179" i="25"/>
  <c r="E179" i="25" s="1"/>
  <c r="F179" i="25"/>
  <c r="G179" i="25"/>
  <c r="C180" i="25"/>
  <c r="D180" i="25"/>
  <c r="E180" i="25" s="1"/>
  <c r="F180" i="25"/>
  <c r="G180" i="25"/>
  <c r="C181" i="25"/>
  <c r="D181" i="25"/>
  <c r="E181" i="25" s="1"/>
  <c r="F181" i="25"/>
  <c r="G181" i="25"/>
  <c r="C182" i="25"/>
  <c r="D182" i="25"/>
  <c r="E182" i="25" s="1"/>
  <c r="F182" i="25"/>
  <c r="G182" i="25"/>
  <c r="C183" i="25"/>
  <c r="D183" i="25"/>
  <c r="E183" i="25" s="1"/>
  <c r="F183" i="25"/>
  <c r="G183" i="25"/>
  <c r="C184" i="25"/>
  <c r="D184" i="25"/>
  <c r="E184" i="25" s="1"/>
  <c r="F184" i="25"/>
  <c r="G184" i="25"/>
  <c r="C185" i="25"/>
  <c r="D185" i="25"/>
  <c r="E185" i="25" s="1"/>
  <c r="F185" i="25"/>
  <c r="G185" i="25"/>
  <c r="C186" i="25"/>
  <c r="D186" i="25"/>
  <c r="E186" i="25" s="1"/>
  <c r="F186" i="25"/>
  <c r="G186" i="25"/>
  <c r="C187" i="25"/>
  <c r="D187" i="25"/>
  <c r="E187" i="25" s="1"/>
  <c r="F187" i="25"/>
  <c r="G187" i="25"/>
  <c r="C188" i="25"/>
  <c r="D188" i="25"/>
  <c r="E188" i="25" s="1"/>
  <c r="F188" i="25"/>
  <c r="G188" i="25"/>
  <c r="C189" i="25"/>
  <c r="D189" i="25"/>
  <c r="E189" i="25" s="1"/>
  <c r="F189" i="25"/>
  <c r="G189" i="25"/>
  <c r="C190" i="25"/>
  <c r="D190" i="25"/>
  <c r="E190" i="25" s="1"/>
  <c r="F190" i="25"/>
  <c r="G190" i="25"/>
  <c r="C191" i="25"/>
  <c r="D191" i="25"/>
  <c r="E191" i="25" s="1"/>
  <c r="F191" i="25"/>
  <c r="G191" i="25"/>
  <c r="C192" i="25"/>
  <c r="D192" i="25"/>
  <c r="E192" i="25" s="1"/>
  <c r="F192" i="25"/>
  <c r="G192" i="25"/>
  <c r="C193" i="25"/>
  <c r="D193" i="25"/>
  <c r="E193" i="25" s="1"/>
  <c r="F193" i="25"/>
  <c r="G193" i="25"/>
  <c r="C194" i="25"/>
  <c r="D194" i="25"/>
  <c r="E194" i="25" s="1"/>
  <c r="F194" i="25"/>
  <c r="G194" i="25"/>
  <c r="C195" i="25"/>
  <c r="D195" i="25"/>
  <c r="E195" i="25" s="1"/>
  <c r="F195" i="25"/>
  <c r="G195" i="25"/>
  <c r="C196" i="25"/>
  <c r="D196" i="25"/>
  <c r="E196" i="25" s="1"/>
  <c r="F196" i="25"/>
  <c r="G196" i="25"/>
  <c r="C197" i="25"/>
  <c r="D197" i="25"/>
  <c r="E197" i="25" s="1"/>
  <c r="F197" i="25"/>
  <c r="G197" i="25"/>
  <c r="C198" i="25"/>
  <c r="D198" i="25"/>
  <c r="E198" i="25" s="1"/>
  <c r="F198" i="25"/>
  <c r="G198" i="25"/>
  <c r="C199" i="25"/>
  <c r="D199" i="25"/>
  <c r="E199" i="25" s="1"/>
  <c r="F199" i="25"/>
  <c r="G199" i="25"/>
  <c r="C200" i="25"/>
  <c r="D200" i="25"/>
  <c r="E200" i="25" s="1"/>
  <c r="F200" i="25"/>
  <c r="G200" i="25"/>
  <c r="C201" i="25"/>
  <c r="D201" i="25"/>
  <c r="E201" i="25" s="1"/>
  <c r="F201" i="25"/>
  <c r="G201" i="25"/>
  <c r="C202" i="25"/>
  <c r="D202" i="25"/>
  <c r="E202" i="25" s="1"/>
  <c r="F202" i="25"/>
  <c r="G202" i="25"/>
  <c r="C203" i="25"/>
  <c r="D203" i="25"/>
  <c r="E203" i="25" s="1"/>
  <c r="F203" i="25"/>
  <c r="G203" i="25"/>
  <c r="C204" i="25"/>
  <c r="D204" i="25"/>
  <c r="E204" i="25" s="1"/>
  <c r="F204" i="25"/>
  <c r="G204" i="25"/>
  <c r="C205" i="25"/>
  <c r="D205" i="25"/>
  <c r="E205" i="25" s="1"/>
  <c r="F205" i="25"/>
  <c r="G205" i="25"/>
  <c r="C206" i="25"/>
  <c r="D206" i="25"/>
  <c r="E206" i="25" s="1"/>
  <c r="F206" i="25"/>
  <c r="G206" i="25"/>
  <c r="C207" i="25"/>
  <c r="D207" i="25"/>
  <c r="E207" i="25" s="1"/>
  <c r="F207" i="25"/>
  <c r="G207" i="25"/>
  <c r="C208" i="25"/>
  <c r="D208" i="25"/>
  <c r="E208" i="25" s="1"/>
  <c r="F208" i="25"/>
  <c r="G208" i="25"/>
  <c r="C209" i="25"/>
  <c r="D209" i="25"/>
  <c r="E209" i="25" s="1"/>
  <c r="F209" i="25"/>
  <c r="G209" i="25"/>
  <c r="C210" i="25"/>
  <c r="D210" i="25"/>
  <c r="E210" i="25" s="1"/>
  <c r="F210" i="25"/>
  <c r="G210" i="25"/>
  <c r="C211" i="25"/>
  <c r="D211" i="25"/>
  <c r="E211" i="25" s="1"/>
  <c r="F211" i="25"/>
  <c r="G211" i="25"/>
  <c r="C212" i="25"/>
  <c r="D212" i="25"/>
  <c r="E212" i="25" s="1"/>
  <c r="F212" i="25"/>
  <c r="G212" i="25"/>
  <c r="C213" i="25"/>
  <c r="D213" i="25"/>
  <c r="E213" i="25" s="1"/>
  <c r="F213" i="25"/>
  <c r="G213" i="25"/>
  <c r="C214" i="25"/>
  <c r="D214" i="25"/>
  <c r="E214" i="25" s="1"/>
  <c r="F214" i="25"/>
  <c r="G214" i="25"/>
  <c r="C215" i="25"/>
  <c r="D215" i="25"/>
  <c r="E215" i="25" s="1"/>
  <c r="F215" i="25"/>
  <c r="G215" i="25"/>
  <c r="C216" i="25"/>
  <c r="D216" i="25"/>
  <c r="E216" i="25" s="1"/>
  <c r="F216" i="25"/>
  <c r="G216" i="25"/>
  <c r="C217" i="25"/>
  <c r="D217" i="25"/>
  <c r="E217" i="25" s="1"/>
  <c r="F217" i="25"/>
  <c r="G217" i="25"/>
  <c r="C218" i="25"/>
  <c r="D218" i="25"/>
  <c r="E218" i="25" s="1"/>
  <c r="F218" i="25"/>
  <c r="G218" i="25"/>
  <c r="C219" i="25"/>
  <c r="D219" i="25"/>
  <c r="E219" i="25" s="1"/>
  <c r="F219" i="25"/>
  <c r="G219" i="25"/>
  <c r="C220" i="25"/>
  <c r="D220" i="25"/>
  <c r="E220" i="25" s="1"/>
  <c r="F220" i="25"/>
  <c r="G220" i="25"/>
  <c r="C221" i="25"/>
  <c r="D221" i="25"/>
  <c r="E221" i="25" s="1"/>
  <c r="F221" i="25"/>
  <c r="G221" i="25"/>
  <c r="C222" i="25"/>
  <c r="D222" i="25"/>
  <c r="E222" i="25" s="1"/>
  <c r="F222" i="25"/>
  <c r="G222" i="25"/>
  <c r="C223" i="25"/>
  <c r="D223" i="25"/>
  <c r="E223" i="25" s="1"/>
  <c r="F223" i="25"/>
  <c r="G223" i="25"/>
  <c r="C224" i="25"/>
  <c r="D224" i="25"/>
  <c r="E224" i="25" s="1"/>
  <c r="F224" i="25"/>
  <c r="G224" i="25"/>
  <c r="C225" i="25"/>
  <c r="D225" i="25"/>
  <c r="E225" i="25" s="1"/>
  <c r="F225" i="25"/>
  <c r="G225" i="25"/>
  <c r="C226" i="25"/>
  <c r="D226" i="25"/>
  <c r="E226" i="25" s="1"/>
  <c r="F226" i="25"/>
  <c r="G226" i="25"/>
  <c r="C227" i="25"/>
  <c r="D227" i="25"/>
  <c r="E227" i="25" s="1"/>
  <c r="F227" i="25"/>
  <c r="G227" i="25"/>
  <c r="C228" i="25"/>
  <c r="D228" i="25"/>
  <c r="E228" i="25" s="1"/>
  <c r="F228" i="25"/>
  <c r="G228" i="25"/>
  <c r="C229" i="25"/>
  <c r="D229" i="25"/>
  <c r="E229" i="25" s="1"/>
  <c r="F229" i="25"/>
  <c r="G229" i="25"/>
  <c r="C230" i="25"/>
  <c r="D230" i="25"/>
  <c r="E230" i="25" s="1"/>
  <c r="F230" i="25"/>
  <c r="G230" i="25"/>
  <c r="C231" i="25"/>
  <c r="D231" i="25"/>
  <c r="E231" i="25" s="1"/>
  <c r="F231" i="25"/>
  <c r="G231" i="25"/>
  <c r="C232" i="25"/>
  <c r="D232" i="25"/>
  <c r="E232" i="25" s="1"/>
  <c r="F232" i="25"/>
  <c r="G232" i="25"/>
  <c r="C233" i="25"/>
  <c r="D233" i="25"/>
  <c r="E233" i="25" s="1"/>
  <c r="F233" i="25"/>
  <c r="G233" i="25"/>
  <c r="C234" i="25"/>
  <c r="D234" i="25"/>
  <c r="E234" i="25" s="1"/>
  <c r="F234" i="25"/>
  <c r="G234" i="25"/>
  <c r="C235" i="25"/>
  <c r="D235" i="25"/>
  <c r="E235" i="25" s="1"/>
  <c r="F235" i="25"/>
  <c r="G235" i="25"/>
  <c r="C236" i="25"/>
  <c r="D236" i="25"/>
  <c r="E236" i="25" s="1"/>
  <c r="F236" i="25"/>
  <c r="G236" i="25"/>
  <c r="C237" i="25"/>
  <c r="D237" i="25"/>
  <c r="E237" i="25" s="1"/>
  <c r="F237" i="25"/>
  <c r="G237" i="25"/>
  <c r="C238" i="25"/>
  <c r="D238" i="25"/>
  <c r="E238" i="25" s="1"/>
  <c r="F238" i="25"/>
  <c r="G238" i="25"/>
  <c r="C239" i="25"/>
  <c r="D239" i="25"/>
  <c r="E239" i="25" s="1"/>
  <c r="F239" i="25"/>
  <c r="G239" i="25"/>
  <c r="C240" i="25"/>
  <c r="D240" i="25"/>
  <c r="E240" i="25" s="1"/>
  <c r="F240" i="25"/>
  <c r="G240" i="25"/>
  <c r="C241" i="25"/>
  <c r="D241" i="25"/>
  <c r="E241" i="25" s="1"/>
  <c r="F241" i="25"/>
  <c r="G241" i="25"/>
  <c r="C242" i="25"/>
  <c r="D242" i="25"/>
  <c r="E242" i="25" s="1"/>
  <c r="F242" i="25"/>
  <c r="G242" i="25"/>
  <c r="C243" i="25"/>
  <c r="D243" i="25"/>
  <c r="E243" i="25" s="1"/>
  <c r="F243" i="25"/>
  <c r="G243" i="25"/>
  <c r="C244" i="25"/>
  <c r="D244" i="25"/>
  <c r="E244" i="25" s="1"/>
  <c r="F244" i="25"/>
  <c r="G244" i="25"/>
  <c r="C245" i="25"/>
  <c r="D245" i="25"/>
  <c r="E245" i="25" s="1"/>
  <c r="F245" i="25"/>
  <c r="G245" i="25"/>
  <c r="C246" i="25"/>
  <c r="D246" i="25"/>
  <c r="E246" i="25" s="1"/>
  <c r="F246" i="25"/>
  <c r="G246" i="25"/>
  <c r="C247" i="25"/>
  <c r="D247" i="25"/>
  <c r="E247" i="25" s="1"/>
  <c r="F247" i="25"/>
  <c r="G247" i="25"/>
  <c r="C248" i="25"/>
  <c r="D248" i="25"/>
  <c r="E248" i="25" s="1"/>
  <c r="F248" i="25"/>
  <c r="G248" i="25"/>
  <c r="C249" i="25"/>
  <c r="D249" i="25"/>
  <c r="E249" i="25" s="1"/>
  <c r="F249" i="25"/>
  <c r="G249" i="25"/>
  <c r="C250" i="25"/>
  <c r="D250" i="25"/>
  <c r="E250" i="25" s="1"/>
  <c r="F250" i="25"/>
  <c r="G250" i="25"/>
  <c r="C251" i="25"/>
  <c r="D251" i="25"/>
  <c r="E251" i="25" s="1"/>
  <c r="F251" i="25"/>
  <c r="G251" i="25"/>
  <c r="C252" i="25"/>
  <c r="D252" i="25"/>
  <c r="E252" i="25" s="1"/>
  <c r="F252" i="25"/>
  <c r="G252" i="25"/>
  <c r="C253" i="25"/>
  <c r="D253" i="25"/>
  <c r="E253" i="25" s="1"/>
  <c r="F253" i="25"/>
  <c r="G253" i="25"/>
  <c r="C254" i="25"/>
  <c r="D254" i="25"/>
  <c r="E254" i="25" s="1"/>
  <c r="F254" i="25"/>
  <c r="G254" i="25"/>
  <c r="C255" i="25"/>
  <c r="D255" i="25"/>
  <c r="E255" i="25" s="1"/>
  <c r="F255" i="25"/>
  <c r="G255" i="25"/>
  <c r="C256" i="25"/>
  <c r="D256" i="25"/>
  <c r="E256" i="25" s="1"/>
  <c r="F256" i="25"/>
  <c r="G256" i="25"/>
  <c r="C257" i="25"/>
  <c r="D257" i="25"/>
  <c r="E257" i="25" s="1"/>
  <c r="F257" i="25"/>
  <c r="G257" i="25"/>
  <c r="C258" i="25"/>
  <c r="D258" i="25"/>
  <c r="E258" i="25" s="1"/>
  <c r="F258" i="25"/>
  <c r="G258" i="25"/>
  <c r="C259" i="25"/>
  <c r="D259" i="25"/>
  <c r="E259" i="25" s="1"/>
  <c r="F259" i="25"/>
  <c r="G259" i="25"/>
  <c r="C260" i="25"/>
  <c r="D260" i="25"/>
  <c r="E260" i="25" s="1"/>
  <c r="F260" i="25"/>
  <c r="G260" i="25"/>
  <c r="C261" i="25"/>
  <c r="D261" i="25"/>
  <c r="E261" i="25" s="1"/>
  <c r="F261" i="25"/>
  <c r="G261" i="25"/>
  <c r="C262" i="25"/>
  <c r="D262" i="25"/>
  <c r="E262" i="25" s="1"/>
  <c r="F262" i="25"/>
  <c r="G262" i="25"/>
  <c r="C263" i="25"/>
  <c r="D263" i="25"/>
  <c r="E263" i="25" s="1"/>
  <c r="F263" i="25"/>
  <c r="G263" i="25"/>
  <c r="C264" i="25"/>
  <c r="D264" i="25"/>
  <c r="E264" i="25" s="1"/>
  <c r="F264" i="25"/>
  <c r="G264" i="25"/>
  <c r="C265" i="25"/>
  <c r="D265" i="25"/>
  <c r="E265" i="25" s="1"/>
  <c r="F265" i="25"/>
  <c r="G265" i="25"/>
  <c r="C266" i="25"/>
  <c r="D266" i="25"/>
  <c r="E266" i="25" s="1"/>
  <c r="F266" i="25"/>
  <c r="G266" i="25"/>
  <c r="C267" i="25"/>
  <c r="D267" i="25"/>
  <c r="E267" i="25" s="1"/>
  <c r="F267" i="25"/>
  <c r="G267" i="25"/>
  <c r="C268" i="25"/>
  <c r="D268" i="25"/>
  <c r="E268" i="25" s="1"/>
  <c r="F268" i="25"/>
  <c r="G268" i="25"/>
  <c r="C269" i="25"/>
  <c r="D269" i="25"/>
  <c r="E269" i="25" s="1"/>
  <c r="F269" i="25"/>
  <c r="G269" i="25"/>
  <c r="C270" i="25"/>
  <c r="D270" i="25"/>
  <c r="E270" i="25" s="1"/>
  <c r="F270" i="25"/>
  <c r="G270" i="25"/>
  <c r="C271" i="25"/>
  <c r="D271" i="25"/>
  <c r="E271" i="25" s="1"/>
  <c r="F271" i="25"/>
  <c r="G271" i="25"/>
  <c r="C272" i="25"/>
  <c r="D272" i="25"/>
  <c r="E272" i="25" s="1"/>
  <c r="F272" i="25"/>
  <c r="G272" i="25"/>
  <c r="C273" i="25"/>
  <c r="D273" i="25"/>
  <c r="E273" i="25" s="1"/>
  <c r="F273" i="25"/>
  <c r="G273" i="25"/>
  <c r="C274" i="25"/>
  <c r="D274" i="25"/>
  <c r="E274" i="25" s="1"/>
  <c r="F274" i="25"/>
  <c r="G274" i="25"/>
  <c r="C275" i="25"/>
  <c r="D275" i="25"/>
  <c r="E275" i="25" s="1"/>
  <c r="F275" i="25"/>
  <c r="G275" i="25"/>
  <c r="C276" i="25"/>
  <c r="D276" i="25"/>
  <c r="E276" i="25" s="1"/>
  <c r="F276" i="25"/>
  <c r="G276" i="25"/>
  <c r="C277" i="25"/>
  <c r="D277" i="25"/>
  <c r="E277" i="25" s="1"/>
  <c r="F277" i="25"/>
  <c r="G277" i="25"/>
  <c r="C278" i="25"/>
  <c r="D278" i="25"/>
  <c r="E278" i="25" s="1"/>
  <c r="F278" i="25"/>
  <c r="G278" i="25"/>
  <c r="C279" i="25"/>
  <c r="D279" i="25"/>
  <c r="E279" i="25" s="1"/>
  <c r="F279" i="25"/>
  <c r="G279" i="25"/>
  <c r="C280" i="25"/>
  <c r="D280" i="25"/>
  <c r="E280" i="25" s="1"/>
  <c r="F280" i="25"/>
  <c r="G280" i="25"/>
  <c r="C281" i="25"/>
  <c r="D281" i="25"/>
  <c r="E281" i="25" s="1"/>
  <c r="F281" i="25"/>
  <c r="G281" i="25"/>
  <c r="C282" i="25"/>
  <c r="D282" i="25"/>
  <c r="E282" i="25" s="1"/>
  <c r="F282" i="25"/>
  <c r="G282" i="25"/>
  <c r="C283" i="25"/>
  <c r="D283" i="25"/>
  <c r="E283" i="25" s="1"/>
  <c r="F283" i="25"/>
  <c r="G283" i="25"/>
  <c r="C284" i="25"/>
  <c r="D284" i="25"/>
  <c r="E284" i="25" s="1"/>
  <c r="F284" i="25"/>
  <c r="G284" i="25"/>
  <c r="C285" i="25"/>
  <c r="D285" i="25"/>
  <c r="E285" i="25" s="1"/>
  <c r="F285" i="25"/>
  <c r="G285" i="25"/>
  <c r="C286" i="25"/>
  <c r="D286" i="25"/>
  <c r="E286" i="25" s="1"/>
  <c r="F286" i="25"/>
  <c r="G286" i="25"/>
  <c r="C287" i="25"/>
  <c r="D287" i="25"/>
  <c r="E287" i="25" s="1"/>
  <c r="F287" i="25"/>
  <c r="G287" i="25"/>
  <c r="C288" i="25"/>
  <c r="D288" i="25"/>
  <c r="E288" i="25" s="1"/>
  <c r="F288" i="25"/>
  <c r="G288" i="25"/>
  <c r="C289" i="25"/>
  <c r="D289" i="25"/>
  <c r="E289" i="25" s="1"/>
  <c r="F289" i="25"/>
  <c r="G289" i="25"/>
  <c r="C290" i="25"/>
  <c r="D290" i="25"/>
  <c r="E290" i="25" s="1"/>
  <c r="F290" i="25"/>
  <c r="G290" i="25"/>
  <c r="C291" i="25"/>
  <c r="D291" i="25"/>
  <c r="E291" i="25" s="1"/>
  <c r="F291" i="25"/>
  <c r="G291" i="25"/>
  <c r="C292" i="25"/>
  <c r="D292" i="25"/>
  <c r="E292" i="25" s="1"/>
  <c r="F292" i="25"/>
  <c r="G292" i="25"/>
  <c r="C293" i="25"/>
  <c r="D293" i="25"/>
  <c r="E293" i="25" s="1"/>
  <c r="F293" i="25"/>
  <c r="G293" i="25"/>
  <c r="C294" i="25"/>
  <c r="D294" i="25"/>
  <c r="E294" i="25" s="1"/>
  <c r="F294" i="25"/>
  <c r="G294" i="25"/>
  <c r="C295" i="25"/>
  <c r="D295" i="25"/>
  <c r="E295" i="25" s="1"/>
  <c r="F295" i="25"/>
  <c r="G295" i="25"/>
  <c r="C296" i="25"/>
  <c r="D296" i="25"/>
  <c r="E296" i="25" s="1"/>
  <c r="F296" i="25"/>
  <c r="G296" i="25"/>
  <c r="C297" i="25"/>
  <c r="D297" i="25"/>
  <c r="E297" i="25" s="1"/>
  <c r="F297" i="25"/>
  <c r="G297" i="25"/>
  <c r="C298" i="25"/>
  <c r="D298" i="25"/>
  <c r="E298" i="25" s="1"/>
  <c r="F298" i="25"/>
  <c r="G298" i="25"/>
  <c r="C299" i="25"/>
  <c r="D299" i="25"/>
  <c r="E299" i="25" s="1"/>
  <c r="F299" i="25"/>
  <c r="G299" i="25"/>
  <c r="C300" i="25"/>
  <c r="D300" i="25"/>
  <c r="E300" i="25" s="1"/>
  <c r="F300" i="25"/>
  <c r="G300" i="25"/>
  <c r="C301" i="25"/>
  <c r="D301" i="25"/>
  <c r="E301" i="25" s="1"/>
  <c r="F301" i="25"/>
  <c r="G301" i="25"/>
  <c r="C302" i="25"/>
  <c r="D302" i="25"/>
  <c r="E302" i="25" s="1"/>
  <c r="F302" i="25"/>
  <c r="G302" i="25"/>
  <c r="C303" i="25"/>
  <c r="D303" i="25"/>
  <c r="E303" i="25" s="1"/>
  <c r="F303" i="25"/>
  <c r="G303" i="25"/>
  <c r="C304" i="25"/>
  <c r="D304" i="25"/>
  <c r="E304" i="25" s="1"/>
  <c r="F304" i="25"/>
  <c r="G304" i="25"/>
  <c r="C305" i="25"/>
  <c r="D305" i="25"/>
  <c r="E305" i="25" s="1"/>
  <c r="F305" i="25"/>
  <c r="G305" i="25"/>
  <c r="C306" i="25"/>
  <c r="D306" i="25"/>
  <c r="E306" i="25" s="1"/>
  <c r="F306" i="25"/>
  <c r="G306" i="25"/>
  <c r="C307" i="25"/>
  <c r="D307" i="25"/>
  <c r="E307" i="25" s="1"/>
  <c r="F307" i="25"/>
  <c r="G307" i="25"/>
  <c r="C308" i="25"/>
  <c r="D308" i="25"/>
  <c r="E308" i="25" s="1"/>
  <c r="F308" i="25"/>
  <c r="G308" i="25"/>
  <c r="C309" i="25"/>
  <c r="D309" i="25"/>
  <c r="E309" i="25" s="1"/>
  <c r="F309" i="25"/>
  <c r="G309" i="25"/>
  <c r="C310" i="25"/>
  <c r="D310" i="25"/>
  <c r="E310" i="25" s="1"/>
  <c r="F310" i="25"/>
  <c r="G310" i="25"/>
  <c r="C311" i="25"/>
  <c r="D311" i="25"/>
  <c r="E311" i="25" s="1"/>
  <c r="F311" i="25"/>
  <c r="G311" i="25"/>
  <c r="C312" i="25"/>
  <c r="D312" i="25"/>
  <c r="E312" i="25" s="1"/>
  <c r="F312" i="25"/>
  <c r="G312" i="25"/>
  <c r="C313" i="25"/>
  <c r="D313" i="25"/>
  <c r="E313" i="25" s="1"/>
  <c r="F313" i="25"/>
  <c r="G313" i="25"/>
  <c r="C314" i="25"/>
  <c r="D314" i="25"/>
  <c r="E314" i="25" s="1"/>
  <c r="F314" i="25"/>
  <c r="G314" i="25"/>
  <c r="C315" i="25"/>
  <c r="D315" i="25"/>
  <c r="E315" i="25" s="1"/>
  <c r="F315" i="25"/>
  <c r="G315" i="25"/>
  <c r="C316" i="25"/>
  <c r="D316" i="25"/>
  <c r="E316" i="25" s="1"/>
  <c r="F316" i="25"/>
  <c r="G316" i="25"/>
  <c r="C317" i="25"/>
  <c r="D317" i="25"/>
  <c r="E317" i="25" s="1"/>
  <c r="F317" i="25"/>
  <c r="G317" i="25"/>
  <c r="C318" i="25"/>
  <c r="D318" i="25"/>
  <c r="E318" i="25" s="1"/>
  <c r="F318" i="25"/>
  <c r="G318" i="25"/>
  <c r="C319" i="25"/>
  <c r="D319" i="25"/>
  <c r="E319" i="25" s="1"/>
  <c r="F319" i="25"/>
  <c r="G319" i="25"/>
  <c r="C320" i="25"/>
  <c r="D320" i="25"/>
  <c r="E320" i="25" s="1"/>
  <c r="F320" i="25"/>
  <c r="G320" i="25"/>
  <c r="C321" i="25"/>
  <c r="D321" i="25"/>
  <c r="E321" i="25" s="1"/>
  <c r="F321" i="25"/>
  <c r="G321" i="25"/>
  <c r="C322" i="25"/>
  <c r="D322" i="25"/>
  <c r="E322" i="25" s="1"/>
  <c r="F322" i="25"/>
  <c r="G322" i="25"/>
  <c r="C323" i="25"/>
  <c r="D323" i="25"/>
  <c r="E323" i="25" s="1"/>
  <c r="F323" i="25"/>
  <c r="G323" i="25"/>
  <c r="C324" i="25"/>
  <c r="D324" i="25"/>
  <c r="E324" i="25" s="1"/>
  <c r="F324" i="25"/>
  <c r="G324" i="25"/>
  <c r="C325" i="25"/>
  <c r="D325" i="25"/>
  <c r="E325" i="25" s="1"/>
  <c r="F325" i="25"/>
  <c r="G325" i="25"/>
  <c r="C326" i="25"/>
  <c r="D326" i="25"/>
  <c r="E326" i="25" s="1"/>
  <c r="F326" i="25"/>
  <c r="G326" i="25"/>
  <c r="C327" i="25"/>
  <c r="D327" i="25"/>
  <c r="E327" i="25" s="1"/>
  <c r="F327" i="25"/>
  <c r="G327" i="25"/>
  <c r="C328" i="25"/>
  <c r="D328" i="25"/>
  <c r="E328" i="25" s="1"/>
  <c r="F328" i="25"/>
  <c r="G328" i="25"/>
  <c r="C329" i="25"/>
  <c r="D329" i="25"/>
  <c r="E329" i="25" s="1"/>
  <c r="F329" i="25"/>
  <c r="G329" i="25"/>
  <c r="C330" i="25"/>
  <c r="D330" i="25"/>
  <c r="E330" i="25" s="1"/>
  <c r="F330" i="25"/>
  <c r="G330" i="25"/>
  <c r="C331" i="25"/>
  <c r="D331" i="25"/>
  <c r="E331" i="25" s="1"/>
  <c r="F331" i="25"/>
  <c r="G331" i="25"/>
  <c r="C332" i="25"/>
  <c r="D332" i="25"/>
  <c r="E332" i="25" s="1"/>
  <c r="F332" i="25"/>
  <c r="G332" i="25"/>
  <c r="C333" i="25"/>
  <c r="D333" i="25"/>
  <c r="E333" i="25" s="1"/>
  <c r="F333" i="25"/>
  <c r="G333" i="25"/>
  <c r="C334" i="25"/>
  <c r="D334" i="25"/>
  <c r="E334" i="25" s="1"/>
  <c r="F334" i="25"/>
  <c r="G334" i="25"/>
  <c r="C335" i="25"/>
  <c r="D335" i="25"/>
  <c r="E335" i="25" s="1"/>
  <c r="F335" i="25"/>
  <c r="G335" i="25"/>
  <c r="C336" i="25"/>
  <c r="D336" i="25"/>
  <c r="E336" i="25" s="1"/>
  <c r="F336" i="25"/>
  <c r="G336" i="25"/>
  <c r="C337" i="25"/>
  <c r="D337" i="25"/>
  <c r="E337" i="25" s="1"/>
  <c r="F337" i="25"/>
  <c r="G337" i="25"/>
  <c r="C338" i="25"/>
  <c r="D338" i="25"/>
  <c r="E338" i="25" s="1"/>
  <c r="F338" i="25"/>
  <c r="G338" i="25"/>
  <c r="C339" i="25"/>
  <c r="D339" i="25"/>
  <c r="E339" i="25" s="1"/>
  <c r="F339" i="25"/>
  <c r="G339" i="25"/>
  <c r="C340" i="25"/>
  <c r="D340" i="25"/>
  <c r="E340" i="25" s="1"/>
  <c r="F340" i="25"/>
  <c r="G340" i="25"/>
  <c r="C341" i="25"/>
  <c r="D341" i="25"/>
  <c r="E341" i="25" s="1"/>
  <c r="F341" i="25"/>
  <c r="G341" i="25"/>
  <c r="C342" i="25"/>
  <c r="D342" i="25"/>
  <c r="E342" i="25" s="1"/>
  <c r="F342" i="25"/>
  <c r="G342" i="25"/>
  <c r="C343" i="25"/>
  <c r="D343" i="25"/>
  <c r="E343" i="25" s="1"/>
  <c r="F343" i="25"/>
  <c r="G343" i="25"/>
  <c r="C344" i="25"/>
  <c r="D344" i="25"/>
  <c r="E344" i="25" s="1"/>
  <c r="F344" i="25"/>
  <c r="G344" i="25"/>
  <c r="C345" i="25"/>
  <c r="D345" i="25"/>
  <c r="E345" i="25" s="1"/>
  <c r="F345" i="25"/>
  <c r="G345" i="25"/>
  <c r="C346" i="25"/>
  <c r="D346" i="25"/>
  <c r="E346" i="25" s="1"/>
  <c r="F346" i="25"/>
  <c r="G346" i="25"/>
  <c r="C347" i="25"/>
  <c r="D347" i="25"/>
  <c r="E347" i="25" s="1"/>
  <c r="F347" i="25"/>
  <c r="G347" i="25"/>
  <c r="C348" i="25"/>
  <c r="D348" i="25"/>
  <c r="E348" i="25" s="1"/>
  <c r="F348" i="25"/>
  <c r="G348" i="25"/>
  <c r="C349" i="25"/>
  <c r="D349" i="25"/>
  <c r="E349" i="25" s="1"/>
  <c r="F349" i="25"/>
  <c r="G349" i="25"/>
  <c r="C350" i="25"/>
  <c r="D350" i="25"/>
  <c r="E350" i="25" s="1"/>
  <c r="F350" i="25"/>
  <c r="G350" i="25"/>
  <c r="C351" i="25"/>
  <c r="D351" i="25"/>
  <c r="E351" i="25" s="1"/>
  <c r="F351" i="25"/>
  <c r="G351" i="25"/>
  <c r="C352" i="25"/>
  <c r="D352" i="25"/>
  <c r="E352" i="25" s="1"/>
  <c r="F352" i="25"/>
  <c r="G352" i="25"/>
  <c r="C353" i="25"/>
  <c r="D353" i="25"/>
  <c r="E353" i="25" s="1"/>
  <c r="F353" i="25"/>
  <c r="G353" i="25"/>
  <c r="C354" i="25"/>
  <c r="D354" i="25"/>
  <c r="E354" i="25" s="1"/>
  <c r="F354" i="25"/>
  <c r="G354" i="25"/>
  <c r="C355" i="25"/>
  <c r="D355" i="25"/>
  <c r="E355" i="25" s="1"/>
  <c r="F355" i="25"/>
  <c r="G355" i="25"/>
  <c r="C356" i="25"/>
  <c r="D356" i="25"/>
  <c r="E356" i="25" s="1"/>
  <c r="F356" i="25"/>
  <c r="G356" i="25"/>
  <c r="C357" i="25"/>
  <c r="D357" i="25"/>
  <c r="E357" i="25" s="1"/>
  <c r="F357" i="25"/>
  <c r="G357" i="25"/>
  <c r="C358" i="25"/>
  <c r="D358" i="25"/>
  <c r="E358" i="25" s="1"/>
  <c r="F358" i="25"/>
  <c r="G358" i="25"/>
  <c r="C359" i="25"/>
  <c r="D359" i="25"/>
  <c r="E359" i="25" s="1"/>
  <c r="F359" i="25"/>
  <c r="G359" i="25"/>
  <c r="C360" i="25"/>
  <c r="D360" i="25"/>
  <c r="E360" i="25" s="1"/>
  <c r="F360" i="25"/>
  <c r="G360" i="25"/>
  <c r="C361" i="25"/>
  <c r="D361" i="25"/>
  <c r="E361" i="25" s="1"/>
  <c r="F361" i="25"/>
  <c r="G361" i="25"/>
  <c r="C362" i="25"/>
  <c r="D362" i="25"/>
  <c r="E362" i="25" s="1"/>
  <c r="F362" i="25"/>
  <c r="G362" i="25"/>
  <c r="C363" i="25"/>
  <c r="D363" i="25"/>
  <c r="E363" i="25" s="1"/>
  <c r="F363" i="25"/>
  <c r="G363" i="25"/>
  <c r="C364" i="25"/>
  <c r="D364" i="25"/>
  <c r="E364" i="25" s="1"/>
  <c r="F364" i="25"/>
  <c r="G364" i="25"/>
  <c r="C365" i="25"/>
  <c r="D365" i="25"/>
  <c r="E365" i="25" s="1"/>
  <c r="F365" i="25"/>
  <c r="G365" i="25"/>
  <c r="C366" i="25"/>
  <c r="D366" i="25"/>
  <c r="E366" i="25" s="1"/>
  <c r="F366" i="25"/>
  <c r="G366" i="25"/>
  <c r="C367" i="25"/>
  <c r="D367" i="25"/>
  <c r="E367" i="25" s="1"/>
  <c r="F367" i="25"/>
  <c r="G367" i="25"/>
  <c r="C368" i="25"/>
  <c r="D368" i="25"/>
  <c r="E368" i="25" s="1"/>
  <c r="F368" i="25"/>
  <c r="G368" i="25"/>
  <c r="C369" i="25"/>
  <c r="D369" i="25"/>
  <c r="E369" i="25" s="1"/>
  <c r="F369" i="25"/>
  <c r="G369" i="25"/>
  <c r="C370" i="25"/>
  <c r="D370" i="25"/>
  <c r="E370" i="25" s="1"/>
  <c r="F370" i="25"/>
  <c r="G370" i="25"/>
  <c r="C371" i="25"/>
  <c r="D371" i="25"/>
  <c r="E371" i="25" s="1"/>
  <c r="F371" i="25"/>
  <c r="G371" i="25"/>
  <c r="C372" i="25"/>
  <c r="D372" i="25"/>
  <c r="E372" i="25" s="1"/>
  <c r="F372" i="25"/>
  <c r="G372" i="25"/>
  <c r="C373" i="25"/>
  <c r="D373" i="25"/>
  <c r="E373" i="25" s="1"/>
  <c r="F373" i="25"/>
  <c r="G373" i="25"/>
  <c r="C374" i="25"/>
  <c r="D374" i="25"/>
  <c r="E374" i="25" s="1"/>
  <c r="F374" i="25"/>
  <c r="G374" i="25"/>
  <c r="C375" i="25"/>
  <c r="D375" i="25"/>
  <c r="E375" i="25" s="1"/>
  <c r="F375" i="25"/>
  <c r="G375" i="25"/>
  <c r="C376" i="25"/>
  <c r="D376" i="25"/>
  <c r="E376" i="25" s="1"/>
  <c r="F376" i="25"/>
  <c r="G376" i="25"/>
  <c r="C377" i="25"/>
  <c r="D377" i="25"/>
  <c r="E377" i="25" s="1"/>
  <c r="F377" i="25"/>
  <c r="G377" i="25"/>
  <c r="C378" i="25"/>
  <c r="D378" i="25"/>
  <c r="E378" i="25" s="1"/>
  <c r="F378" i="25"/>
  <c r="G378" i="25"/>
  <c r="C379" i="25"/>
  <c r="D379" i="25"/>
  <c r="E379" i="25" s="1"/>
  <c r="F379" i="25"/>
  <c r="G379" i="25"/>
  <c r="C380" i="25"/>
  <c r="D380" i="25"/>
  <c r="E380" i="25" s="1"/>
  <c r="F380" i="25"/>
  <c r="G380" i="25"/>
  <c r="C381" i="25"/>
  <c r="D381" i="25"/>
  <c r="E381" i="25" s="1"/>
  <c r="F381" i="25"/>
  <c r="G381" i="25"/>
  <c r="C382" i="25"/>
  <c r="D382" i="25"/>
  <c r="E382" i="25" s="1"/>
  <c r="F382" i="25"/>
  <c r="G382" i="25"/>
  <c r="C383" i="25"/>
  <c r="D383" i="25"/>
  <c r="E383" i="25" s="1"/>
  <c r="F383" i="25"/>
  <c r="G383" i="25"/>
  <c r="C384" i="25"/>
  <c r="D384" i="25"/>
  <c r="E384" i="25" s="1"/>
  <c r="F384" i="25"/>
  <c r="G384" i="25"/>
  <c r="C385" i="25"/>
  <c r="D385" i="25"/>
  <c r="E385" i="25" s="1"/>
  <c r="F385" i="25"/>
  <c r="G385" i="25"/>
  <c r="C386" i="25"/>
  <c r="D386" i="25"/>
  <c r="E386" i="25" s="1"/>
  <c r="F386" i="25"/>
  <c r="G386" i="25"/>
  <c r="C387" i="25"/>
  <c r="D387" i="25"/>
  <c r="E387" i="25" s="1"/>
  <c r="F387" i="25"/>
  <c r="G387" i="25"/>
  <c r="C388" i="25"/>
  <c r="D388" i="25"/>
  <c r="E388" i="25" s="1"/>
  <c r="F388" i="25"/>
  <c r="G388" i="25"/>
  <c r="C389" i="25"/>
  <c r="D389" i="25"/>
  <c r="E389" i="25" s="1"/>
  <c r="F389" i="25"/>
  <c r="G389" i="25"/>
  <c r="C390" i="25"/>
  <c r="D390" i="25"/>
  <c r="E390" i="25" s="1"/>
  <c r="F390" i="25"/>
  <c r="G390" i="25"/>
  <c r="C391" i="25"/>
  <c r="D391" i="25"/>
  <c r="E391" i="25" s="1"/>
  <c r="F391" i="25"/>
  <c r="G391" i="25"/>
  <c r="C392" i="25"/>
  <c r="D392" i="25"/>
  <c r="E392" i="25" s="1"/>
  <c r="F392" i="25"/>
  <c r="G392" i="25"/>
  <c r="C393" i="25"/>
  <c r="D393" i="25"/>
  <c r="E393" i="25" s="1"/>
  <c r="F393" i="25"/>
  <c r="G393" i="25"/>
  <c r="C394" i="25"/>
  <c r="D394" i="25"/>
  <c r="E394" i="25" s="1"/>
  <c r="F394" i="25"/>
  <c r="G394" i="25"/>
  <c r="C395" i="25"/>
  <c r="D395" i="25"/>
  <c r="E395" i="25" s="1"/>
  <c r="F395" i="25"/>
  <c r="G395" i="25"/>
  <c r="U96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D316" i="22"/>
  <c r="D317" i="22"/>
  <c r="D318" i="22"/>
  <c r="D319" i="22"/>
  <c r="D320" i="22"/>
  <c r="D321" i="22"/>
  <c r="D322" i="22"/>
  <c r="D323" i="22"/>
  <c r="D324" i="22"/>
  <c r="D325" i="22"/>
  <c r="D326" i="22"/>
  <c r="D327" i="22"/>
  <c r="D328" i="22"/>
  <c r="D329" i="22"/>
  <c r="D330" i="22"/>
  <c r="D331" i="22"/>
  <c r="D332" i="22"/>
  <c r="D333" i="22"/>
  <c r="D334" i="22"/>
  <c r="D335" i="22"/>
  <c r="D336" i="22"/>
  <c r="D337" i="22"/>
  <c r="D338" i="22"/>
  <c r="D339" i="22"/>
  <c r="D340" i="22"/>
  <c r="D341" i="22"/>
  <c r="D342" i="22"/>
  <c r="D343" i="22"/>
  <c r="D344" i="22"/>
  <c r="D345" i="22"/>
  <c r="D346" i="22"/>
  <c r="D347" i="22"/>
  <c r="D348" i="22"/>
  <c r="D349" i="22"/>
  <c r="D350" i="22"/>
  <c r="D351" i="22"/>
  <c r="D352" i="22"/>
  <c r="D353" i="22"/>
  <c r="D354" i="22"/>
  <c r="D355" i="22"/>
  <c r="D356" i="22"/>
  <c r="D357" i="22"/>
  <c r="D358" i="22"/>
  <c r="D359" i="22"/>
  <c r="D360" i="22"/>
  <c r="D361" i="22"/>
  <c r="D362" i="22"/>
  <c r="D363" i="22"/>
  <c r="D364" i="22"/>
  <c r="D365" i="22"/>
  <c r="D366" i="22"/>
  <c r="D367" i="22"/>
  <c r="D368" i="22"/>
  <c r="D369" i="22"/>
  <c r="D370" i="22"/>
  <c r="D371" i="22"/>
  <c r="D372" i="22"/>
  <c r="D373" i="22"/>
  <c r="D374" i="22"/>
  <c r="D375" i="22"/>
  <c r="D376" i="22"/>
  <c r="D377" i="22"/>
  <c r="D378" i="22"/>
  <c r="D379" i="22"/>
  <c r="D380" i="22"/>
  <c r="D381" i="22"/>
  <c r="D382" i="22"/>
  <c r="D383" i="22"/>
  <c r="D384" i="22"/>
  <c r="D385" i="22"/>
  <c r="D386" i="22"/>
  <c r="D387" i="22"/>
  <c r="D388" i="22"/>
  <c r="D389" i="22"/>
  <c r="D390" i="22"/>
  <c r="D391" i="22"/>
  <c r="D392" i="22"/>
  <c r="D393" i="22"/>
  <c r="D394" i="22"/>
  <c r="D395" i="22"/>
  <c r="D396" i="22"/>
  <c r="D397" i="22"/>
  <c r="D398" i="22"/>
  <c r="D399" i="22"/>
  <c r="D400" i="22"/>
  <c r="D401" i="22"/>
  <c r="D402" i="22"/>
  <c r="D403" i="22"/>
  <c r="D404" i="22"/>
  <c r="D405" i="22"/>
  <c r="D406" i="22"/>
  <c r="D407" i="22"/>
  <c r="D408" i="22"/>
  <c r="D409" i="22"/>
  <c r="D410" i="22"/>
  <c r="D411" i="22"/>
  <c r="D412" i="22"/>
  <c r="D413" i="22"/>
  <c r="D414" i="22"/>
  <c r="D415" i="22"/>
  <c r="D416" i="22"/>
  <c r="D417" i="22"/>
  <c r="D418" i="22"/>
  <c r="D419" i="22"/>
  <c r="D420" i="22"/>
  <c r="D421" i="22"/>
  <c r="D422" i="22"/>
  <c r="D423" i="22"/>
  <c r="D424" i="22"/>
  <c r="D425" i="22"/>
  <c r="D426" i="22"/>
  <c r="D427" i="22"/>
  <c r="D428" i="22"/>
  <c r="D429" i="22"/>
  <c r="D430" i="22"/>
  <c r="D431" i="22"/>
  <c r="D432" i="22"/>
  <c r="D433" i="22"/>
  <c r="D434" i="22"/>
  <c r="D435" i="22"/>
  <c r="D436" i="22"/>
  <c r="D437" i="22"/>
  <c r="D438" i="22"/>
  <c r="D439" i="22"/>
  <c r="D440" i="22"/>
  <c r="D441" i="22"/>
  <c r="D442" i="22"/>
  <c r="D443" i="22"/>
  <c r="D444" i="22"/>
  <c r="D445" i="22"/>
  <c r="D446" i="22"/>
  <c r="D447" i="22"/>
  <c r="D448" i="22"/>
  <c r="D449" i="22"/>
  <c r="D450" i="22"/>
  <c r="D451" i="22"/>
  <c r="D452" i="22"/>
  <c r="D453" i="22"/>
  <c r="D454" i="22"/>
  <c r="D455" i="22"/>
  <c r="D456" i="22"/>
  <c r="D457" i="22"/>
  <c r="D458" i="22"/>
  <c r="D459" i="22"/>
  <c r="D460" i="22"/>
  <c r="D461" i="22"/>
  <c r="D462" i="22"/>
  <c r="D463" i="22"/>
  <c r="D464" i="22"/>
  <c r="D465" i="22"/>
  <c r="D466" i="22"/>
  <c r="D467" i="22"/>
  <c r="D468" i="22"/>
  <c r="D469" i="22"/>
  <c r="D470" i="22"/>
  <c r="D471" i="22"/>
  <c r="D472" i="22"/>
  <c r="D473" i="22"/>
  <c r="D474" i="22"/>
  <c r="D475" i="22"/>
  <c r="D476" i="22"/>
  <c r="D477" i="22"/>
  <c r="D478" i="22"/>
  <c r="D479" i="22"/>
  <c r="D480" i="22"/>
  <c r="D481" i="22"/>
  <c r="D482" i="22"/>
  <c r="D483" i="22"/>
  <c r="D484" i="22"/>
  <c r="D485" i="22"/>
  <c r="D486" i="22"/>
  <c r="D487" i="22"/>
  <c r="D488" i="22"/>
  <c r="D489" i="22"/>
  <c r="D490" i="22"/>
  <c r="D491" i="22"/>
  <c r="D492" i="22"/>
  <c r="D493" i="22"/>
  <c r="D494" i="22"/>
  <c r="D495" i="22"/>
  <c r="D496" i="22"/>
  <c r="D497" i="22"/>
  <c r="D498" i="22"/>
  <c r="D499" i="22"/>
  <c r="D500" i="22"/>
  <c r="D501" i="22"/>
  <c r="D502" i="22"/>
  <c r="D503" i="22"/>
  <c r="D504" i="22"/>
  <c r="D505" i="22"/>
  <c r="D506" i="22"/>
  <c r="D507" i="22"/>
  <c r="D508" i="22"/>
  <c r="D509" i="22"/>
  <c r="D510" i="22"/>
  <c r="D511" i="22"/>
  <c r="D512" i="22"/>
  <c r="D513" i="22"/>
  <c r="D514" i="22"/>
  <c r="D515" i="22"/>
  <c r="D516" i="22"/>
  <c r="D517" i="22"/>
  <c r="D518" i="22"/>
  <c r="D519" i="22"/>
  <c r="D520" i="22"/>
  <c r="D521" i="22"/>
  <c r="D522" i="22"/>
  <c r="D523" i="22"/>
  <c r="D524" i="22"/>
  <c r="D525" i="22"/>
  <c r="D526" i="22"/>
  <c r="D527" i="22"/>
  <c r="D528" i="22"/>
  <c r="D529" i="22"/>
  <c r="D530" i="22"/>
  <c r="D531" i="22"/>
  <c r="D532" i="22"/>
  <c r="D533" i="22"/>
  <c r="D534" i="22"/>
  <c r="D535" i="22"/>
  <c r="D536" i="22"/>
  <c r="D537" i="22"/>
  <c r="D538" i="22"/>
  <c r="D539" i="22"/>
  <c r="D540" i="22"/>
  <c r="D541" i="22"/>
  <c r="D542" i="22"/>
  <c r="D543" i="22"/>
  <c r="D544" i="22"/>
  <c r="D545" i="22"/>
  <c r="D546" i="22"/>
  <c r="D547" i="22"/>
  <c r="D548" i="22"/>
  <c r="D549" i="22"/>
  <c r="D550" i="22"/>
  <c r="D551" i="22"/>
  <c r="D552" i="22"/>
  <c r="D553" i="22"/>
  <c r="D554" i="22"/>
  <c r="D555" i="22"/>
  <c r="D556" i="22"/>
  <c r="D557" i="22"/>
  <c r="D558" i="22"/>
  <c r="D559" i="22"/>
  <c r="D560" i="22"/>
  <c r="D561" i="22"/>
  <c r="D562" i="22"/>
  <c r="D563" i="22"/>
  <c r="D564" i="22"/>
  <c r="D565" i="22"/>
  <c r="D566" i="22"/>
  <c r="D567" i="22"/>
  <c r="D568" i="22"/>
  <c r="D569" i="22"/>
  <c r="D570" i="22"/>
  <c r="D571" i="22"/>
  <c r="D572" i="22"/>
  <c r="D573" i="22"/>
  <c r="D574" i="22"/>
  <c r="D575" i="22"/>
  <c r="D576" i="22"/>
  <c r="D577" i="22"/>
  <c r="D578" i="22"/>
  <c r="D579" i="22"/>
  <c r="D580" i="22"/>
  <c r="D581" i="22"/>
  <c r="D582" i="22"/>
  <c r="D583" i="22"/>
  <c r="D584" i="22"/>
  <c r="D585" i="22"/>
  <c r="D586" i="22"/>
  <c r="D587" i="22"/>
  <c r="D588" i="22"/>
  <c r="D589" i="22"/>
  <c r="D590" i="22"/>
  <c r="D591" i="22"/>
  <c r="D592" i="22"/>
  <c r="D593" i="22"/>
  <c r="D594" i="22"/>
  <c r="D595" i="22"/>
  <c r="D596" i="22"/>
  <c r="D597" i="22"/>
  <c r="D598" i="22"/>
  <c r="D599" i="22"/>
  <c r="D600" i="22"/>
  <c r="D601" i="22"/>
  <c r="D602" i="22"/>
  <c r="D603" i="22"/>
  <c r="D604" i="22"/>
  <c r="D605" i="22"/>
  <c r="D606" i="22"/>
  <c r="D607" i="22"/>
  <c r="D608" i="22"/>
  <c r="D609" i="22"/>
  <c r="D610" i="22"/>
  <c r="D611" i="22"/>
  <c r="D612" i="22"/>
  <c r="D613" i="22"/>
  <c r="D614" i="22"/>
  <c r="D615" i="22"/>
  <c r="D616" i="22"/>
  <c r="D617" i="22"/>
  <c r="D618" i="22"/>
  <c r="D619" i="22"/>
  <c r="D620" i="22"/>
  <c r="D621" i="22"/>
  <c r="D622" i="22"/>
  <c r="D623" i="22"/>
  <c r="D624" i="22"/>
  <c r="D625" i="22"/>
  <c r="D626" i="22"/>
  <c r="D627" i="22"/>
  <c r="D628" i="22"/>
  <c r="D629" i="22"/>
  <c r="D630" i="22"/>
  <c r="D631" i="22"/>
  <c r="D632" i="22"/>
  <c r="D633" i="22"/>
  <c r="D634" i="22"/>
  <c r="D635" i="22"/>
  <c r="D636" i="22"/>
  <c r="D637" i="22"/>
  <c r="D638" i="22"/>
  <c r="D639" i="22"/>
  <c r="D640" i="22"/>
  <c r="D641" i="22"/>
  <c r="D642" i="22"/>
  <c r="D643" i="22"/>
  <c r="D644" i="22"/>
  <c r="D645" i="22"/>
  <c r="D646" i="22"/>
  <c r="D647" i="22"/>
  <c r="D648" i="22"/>
  <c r="D649" i="22"/>
  <c r="D650" i="22"/>
  <c r="D651" i="22"/>
  <c r="D652" i="22"/>
  <c r="D653" i="22"/>
  <c r="D654" i="22"/>
  <c r="D655" i="22"/>
  <c r="D656" i="22"/>
  <c r="D657" i="22"/>
  <c r="D658" i="22"/>
  <c r="D659" i="22"/>
  <c r="D660" i="22"/>
  <c r="D661" i="22"/>
  <c r="D662" i="22"/>
  <c r="D663" i="22"/>
  <c r="D664" i="22"/>
  <c r="D665" i="22"/>
  <c r="D666" i="22"/>
  <c r="D667" i="22"/>
  <c r="D668" i="22"/>
  <c r="D669" i="22"/>
  <c r="D670" i="22"/>
  <c r="D671" i="22"/>
  <c r="D672" i="22"/>
  <c r="D673" i="22"/>
  <c r="D674" i="22"/>
  <c r="D675" i="22"/>
  <c r="D676" i="22"/>
  <c r="D677" i="22"/>
  <c r="D678" i="22"/>
  <c r="D679" i="22"/>
  <c r="D680" i="22"/>
  <c r="D681" i="22"/>
  <c r="D682" i="22"/>
  <c r="D683" i="22"/>
  <c r="D684" i="22"/>
  <c r="D685" i="22"/>
  <c r="D686" i="22"/>
  <c r="D687" i="22"/>
  <c r="D688" i="22"/>
  <c r="D689" i="22"/>
  <c r="D690" i="22"/>
  <c r="D691" i="22"/>
  <c r="D692" i="22"/>
  <c r="D693" i="22"/>
  <c r="D694" i="22"/>
  <c r="D695" i="22"/>
  <c r="D696" i="22"/>
  <c r="D697" i="22"/>
  <c r="D698" i="22"/>
  <c r="D699" i="22"/>
  <c r="D700" i="22"/>
  <c r="D701" i="22"/>
  <c r="D702" i="22"/>
  <c r="D703" i="22"/>
  <c r="D704" i="22"/>
  <c r="D705" i="22"/>
  <c r="D706" i="22"/>
  <c r="D707" i="22"/>
  <c r="D708" i="22"/>
  <c r="D709" i="22"/>
  <c r="D710" i="22"/>
  <c r="D711" i="22"/>
  <c r="D712" i="22"/>
  <c r="D713" i="22"/>
  <c r="D714" i="22"/>
  <c r="D715" i="22"/>
  <c r="D716" i="22"/>
  <c r="D717" i="22"/>
  <c r="D718" i="22"/>
  <c r="D719" i="22"/>
  <c r="D720" i="22"/>
  <c r="D721" i="22"/>
  <c r="D722" i="22"/>
  <c r="D723" i="22"/>
  <c r="D724" i="22"/>
  <c r="D725" i="22"/>
  <c r="D726" i="22"/>
  <c r="D727" i="22"/>
  <c r="D728" i="22"/>
  <c r="D729" i="22"/>
  <c r="D730" i="22"/>
  <c r="D731" i="22"/>
  <c r="D732" i="22"/>
  <c r="D733" i="22"/>
  <c r="D734" i="22"/>
  <c r="D735" i="22"/>
  <c r="D736" i="22"/>
  <c r="D737" i="22"/>
  <c r="D738" i="22"/>
  <c r="D739" i="22"/>
  <c r="D740" i="22"/>
  <c r="D741" i="22"/>
  <c r="D742" i="22"/>
  <c r="D743" i="22"/>
  <c r="D744" i="22"/>
  <c r="D745" i="22"/>
  <c r="D746" i="22"/>
  <c r="D747" i="22"/>
  <c r="D748" i="22"/>
  <c r="D749" i="22"/>
  <c r="D750" i="22"/>
  <c r="D751" i="22"/>
  <c r="D752" i="22"/>
  <c r="D753" i="22"/>
  <c r="D754" i="22"/>
  <c r="D755" i="22"/>
  <c r="D756" i="22"/>
  <c r="D757" i="22"/>
  <c r="D758" i="22"/>
  <c r="D759" i="22"/>
  <c r="D760" i="22"/>
  <c r="D761" i="22"/>
  <c r="D762" i="22"/>
  <c r="D763" i="22"/>
  <c r="D764" i="22"/>
  <c r="D765" i="22"/>
  <c r="D766" i="22"/>
  <c r="D767" i="22"/>
  <c r="D768" i="22"/>
  <c r="D769" i="22"/>
  <c r="D770" i="22"/>
  <c r="D771" i="22"/>
  <c r="D772" i="22"/>
  <c r="D773" i="22"/>
  <c r="D774" i="22"/>
  <c r="D775" i="22"/>
  <c r="D776" i="22"/>
  <c r="D777" i="22"/>
  <c r="D778" i="22"/>
  <c r="D779" i="22"/>
  <c r="D780" i="22"/>
  <c r="D781" i="22"/>
  <c r="D782" i="22"/>
  <c r="D783" i="22"/>
  <c r="D784" i="22"/>
  <c r="D785" i="22"/>
  <c r="D786" i="22"/>
  <c r="D787" i="22"/>
  <c r="D788" i="22"/>
  <c r="D789" i="22"/>
  <c r="D790" i="22"/>
  <c r="D791" i="22"/>
  <c r="D792" i="22"/>
  <c r="D793" i="22"/>
  <c r="D794" i="22"/>
  <c r="D795" i="22"/>
  <c r="D796" i="22"/>
  <c r="D797" i="22"/>
  <c r="D798" i="22"/>
  <c r="D799" i="22"/>
  <c r="D800" i="22"/>
  <c r="D801" i="22"/>
  <c r="D802" i="22"/>
  <c r="D803" i="22"/>
  <c r="D804" i="22"/>
  <c r="D805" i="22"/>
  <c r="D806" i="22"/>
  <c r="D807" i="22"/>
  <c r="D808" i="22"/>
  <c r="D809" i="22"/>
  <c r="D810" i="22"/>
  <c r="D811" i="22"/>
  <c r="D812" i="22"/>
  <c r="D813" i="22"/>
  <c r="D814" i="22"/>
  <c r="D815" i="22"/>
  <c r="D816" i="22"/>
  <c r="D817" i="22"/>
  <c r="D818" i="22"/>
  <c r="D819" i="22"/>
  <c r="D820" i="22"/>
  <c r="D821" i="22"/>
  <c r="D822" i="22"/>
  <c r="D823" i="22"/>
  <c r="D824" i="22"/>
  <c r="D825" i="22"/>
  <c r="D826" i="22"/>
  <c r="D827" i="22"/>
  <c r="D828" i="22"/>
  <c r="D829" i="22"/>
  <c r="D830" i="22"/>
  <c r="D831" i="22"/>
  <c r="D832" i="22"/>
  <c r="D833" i="22"/>
  <c r="D834" i="22"/>
  <c r="D835" i="22"/>
  <c r="D836" i="22"/>
  <c r="D837" i="22"/>
  <c r="D838" i="22"/>
  <c r="D839" i="22"/>
  <c r="D840" i="22"/>
  <c r="D841" i="22"/>
  <c r="D842" i="22"/>
  <c r="D843" i="22"/>
  <c r="D844" i="22"/>
  <c r="D845" i="22"/>
  <c r="D846" i="22"/>
  <c r="D847" i="22"/>
  <c r="D848" i="22"/>
  <c r="D849" i="22"/>
  <c r="D850" i="22"/>
  <c r="D851" i="22"/>
  <c r="D852" i="22"/>
  <c r="D853" i="22"/>
  <c r="D854" i="22"/>
  <c r="D855" i="22"/>
  <c r="D856" i="22"/>
  <c r="D857" i="22"/>
  <c r="D858" i="22"/>
  <c r="D859" i="22"/>
  <c r="D860" i="22"/>
  <c r="D861" i="22"/>
  <c r="D862" i="22"/>
  <c r="D863" i="22"/>
  <c r="D864" i="22"/>
  <c r="D865" i="22"/>
  <c r="D866" i="22"/>
  <c r="D867" i="22"/>
  <c r="D868" i="22"/>
  <c r="D869" i="22"/>
  <c r="D870" i="22"/>
  <c r="D871" i="22"/>
  <c r="D872" i="22"/>
  <c r="D873" i="22"/>
  <c r="D874" i="22"/>
  <c r="D875" i="22"/>
  <c r="D876" i="22"/>
  <c r="D877" i="22"/>
  <c r="D878" i="22"/>
  <c r="D879" i="22"/>
  <c r="D880" i="22"/>
  <c r="D881" i="22"/>
  <c r="D882" i="22"/>
  <c r="D883" i="22"/>
  <c r="D884" i="22"/>
  <c r="D885" i="22"/>
  <c r="D886" i="22"/>
  <c r="D887" i="22"/>
  <c r="D888" i="22"/>
  <c r="D889" i="22"/>
  <c r="D890" i="22"/>
  <c r="D891" i="22"/>
  <c r="D892" i="22"/>
  <c r="D893" i="22"/>
  <c r="D894" i="22"/>
  <c r="D895" i="22"/>
  <c r="D896" i="22"/>
  <c r="D897" i="22"/>
  <c r="D898" i="22"/>
  <c r="D899" i="22"/>
  <c r="D900" i="22"/>
  <c r="D901" i="22"/>
  <c r="D902" i="22"/>
  <c r="D903" i="22"/>
  <c r="D904" i="22"/>
  <c r="D905" i="22"/>
  <c r="D906" i="22"/>
  <c r="D907" i="22"/>
  <c r="D908" i="22"/>
  <c r="D909" i="22"/>
  <c r="D910" i="22"/>
  <c r="D911" i="22"/>
  <c r="D912" i="22"/>
  <c r="D913" i="22"/>
  <c r="D914" i="22"/>
  <c r="D915" i="22"/>
  <c r="D916" i="22"/>
  <c r="D917" i="22"/>
  <c r="D918" i="22"/>
  <c r="D919" i="22"/>
  <c r="D920" i="22"/>
  <c r="D921" i="22"/>
  <c r="D922" i="22"/>
  <c r="D923" i="22"/>
  <c r="D924" i="22"/>
  <c r="D925" i="22"/>
  <c r="D926" i="22"/>
  <c r="D927" i="22"/>
  <c r="D928" i="22"/>
  <c r="D929" i="22"/>
  <c r="D930" i="22"/>
  <c r="D931" i="22"/>
  <c r="D932" i="22"/>
  <c r="D933" i="22"/>
  <c r="D934" i="22"/>
  <c r="D935" i="22"/>
  <c r="D936" i="22"/>
  <c r="D937" i="22"/>
  <c r="D938" i="22"/>
  <c r="D939" i="22"/>
  <c r="D940" i="22"/>
  <c r="D941" i="22"/>
  <c r="D942" i="22"/>
  <c r="D943" i="22"/>
  <c r="D944" i="22"/>
  <c r="D945" i="22"/>
  <c r="D946" i="22"/>
  <c r="D947" i="22"/>
  <c r="D948" i="22"/>
  <c r="D949" i="22"/>
  <c r="D950" i="22"/>
  <c r="D951" i="22"/>
  <c r="D952" i="22"/>
  <c r="D953" i="22"/>
  <c r="D954" i="22"/>
  <c r="D955" i="22"/>
  <c r="D956" i="22"/>
  <c r="D957" i="22"/>
  <c r="D958" i="22"/>
  <c r="D959" i="22"/>
  <c r="D960" i="22"/>
  <c r="D961" i="22"/>
  <c r="D962" i="22"/>
  <c r="D963" i="22"/>
  <c r="D964" i="22"/>
  <c r="D965" i="22"/>
  <c r="D966" i="22"/>
  <c r="D967" i="22"/>
  <c r="D968" i="22"/>
  <c r="D969" i="22"/>
  <c r="D970" i="22"/>
  <c r="D971" i="22"/>
  <c r="D972" i="22"/>
  <c r="D973" i="22"/>
  <c r="D974" i="22"/>
  <c r="D975" i="22"/>
  <c r="D976" i="22"/>
  <c r="D977" i="22"/>
  <c r="D978" i="22"/>
  <c r="D979" i="22"/>
  <c r="D980" i="22"/>
  <c r="D981" i="22"/>
  <c r="D982" i="22"/>
  <c r="D983" i="22"/>
  <c r="D984" i="22"/>
  <c r="D985" i="22"/>
  <c r="D986" i="22"/>
  <c r="D987" i="22"/>
  <c r="D988" i="22"/>
  <c r="D989" i="22"/>
  <c r="D990" i="22"/>
  <c r="D991" i="22"/>
  <c r="D992" i="22"/>
  <c r="D993" i="22"/>
  <c r="D994" i="22"/>
  <c r="D995" i="22"/>
  <c r="D996" i="22"/>
  <c r="D997" i="22"/>
  <c r="D998" i="22"/>
  <c r="D999" i="22"/>
  <c r="D1000" i="22"/>
  <c r="D1001" i="22"/>
  <c r="D1002" i="22"/>
  <c r="D1003" i="22"/>
  <c r="D1004" i="22"/>
  <c r="D1005" i="22"/>
  <c r="D1006" i="22"/>
  <c r="D1007" i="22"/>
  <c r="D1008" i="22"/>
  <c r="D1009" i="22"/>
  <c r="D1010" i="22"/>
  <c r="D1011" i="22"/>
  <c r="D1012" i="22"/>
  <c r="D1013" i="22"/>
  <c r="D1014" i="22"/>
  <c r="D1015" i="22"/>
  <c r="D1016" i="22"/>
  <c r="D1017" i="22"/>
  <c r="D1018" i="22"/>
  <c r="D1019" i="22"/>
  <c r="D1020" i="22"/>
  <c r="D1021" i="22"/>
  <c r="D1022" i="22"/>
  <c r="D1023" i="22"/>
  <c r="D1024" i="22"/>
  <c r="D1025" i="22"/>
  <c r="D1026" i="22"/>
  <c r="D1027" i="22"/>
  <c r="D1028" i="22"/>
  <c r="D1029" i="22"/>
  <c r="D1030" i="22"/>
  <c r="D1031" i="22"/>
  <c r="D1032" i="22"/>
  <c r="D1033" i="22"/>
  <c r="D1034" i="22"/>
  <c r="D1035" i="22"/>
  <c r="D1036" i="22"/>
  <c r="D1037" i="22"/>
  <c r="D1038" i="22"/>
  <c r="D1039" i="22"/>
  <c r="D1040" i="22"/>
  <c r="D1041" i="22"/>
  <c r="D1042" i="22"/>
  <c r="D1043" i="22"/>
  <c r="D1044" i="22"/>
  <c r="D1045" i="22"/>
  <c r="D1046" i="22"/>
  <c r="D1047" i="22"/>
  <c r="D1048" i="22"/>
  <c r="D1049" i="22"/>
  <c r="D1050" i="22"/>
  <c r="D1051" i="22"/>
  <c r="D1052" i="22"/>
  <c r="D1053" i="22"/>
  <c r="D1054" i="22"/>
  <c r="D1055" i="22"/>
  <c r="D1056" i="22"/>
  <c r="D1057" i="22"/>
  <c r="D1058" i="22"/>
  <c r="D1059" i="22"/>
  <c r="D1060" i="22"/>
  <c r="D1061" i="22"/>
  <c r="D1062" i="22"/>
  <c r="D1063" i="22"/>
  <c r="D1064" i="22"/>
  <c r="D1065" i="22"/>
  <c r="D1066" i="22"/>
  <c r="D1067" i="22"/>
  <c r="D1068" i="22"/>
  <c r="D1069" i="22"/>
  <c r="D1070" i="22"/>
  <c r="D1071" i="22"/>
  <c r="D1072" i="22"/>
  <c r="D1073" i="22"/>
  <c r="D1074" i="22"/>
  <c r="D1075" i="22"/>
  <c r="D1076" i="22"/>
  <c r="D1077" i="22"/>
  <c r="D1078" i="22"/>
  <c r="D1079" i="22"/>
  <c r="D1080" i="22"/>
  <c r="D1081" i="22"/>
  <c r="D1082" i="22"/>
  <c r="D1083" i="22"/>
  <c r="D1084" i="22"/>
  <c r="D1085" i="22"/>
  <c r="D1086" i="22"/>
  <c r="D1087" i="22"/>
  <c r="D1088" i="22"/>
  <c r="D1089" i="22"/>
  <c r="D1090" i="22"/>
  <c r="D1091" i="22"/>
  <c r="D1092" i="22"/>
  <c r="D1093" i="22"/>
  <c r="D1094" i="22"/>
  <c r="D1095" i="22"/>
  <c r="D1096" i="22"/>
  <c r="D1097" i="22"/>
  <c r="D1098" i="22"/>
  <c r="D1099" i="22"/>
  <c r="D1100" i="22"/>
  <c r="D1101" i="22"/>
  <c r="D1102" i="22"/>
  <c r="D1103" i="22"/>
  <c r="D1104" i="22"/>
  <c r="D1105" i="22"/>
  <c r="D1106" i="22"/>
  <c r="D1107" i="22"/>
  <c r="D1108" i="22"/>
  <c r="D1109" i="22"/>
  <c r="D1110" i="22"/>
  <c r="D1111" i="22"/>
  <c r="D1112" i="22"/>
  <c r="D1113" i="22"/>
  <c r="D1114" i="22"/>
  <c r="D1115" i="22"/>
  <c r="D1116" i="22"/>
  <c r="D1117" i="22"/>
  <c r="D1118" i="22"/>
  <c r="D1119" i="22"/>
  <c r="D1120" i="22"/>
  <c r="D1121" i="22"/>
  <c r="D1122" i="22"/>
  <c r="D1123" i="22"/>
  <c r="D1124" i="22"/>
  <c r="D1125" i="22"/>
  <c r="D1126" i="22"/>
  <c r="D1127" i="22"/>
  <c r="D1128" i="22"/>
  <c r="D1129" i="22"/>
  <c r="D1130" i="22"/>
  <c r="D1131" i="22"/>
  <c r="D1132" i="22"/>
  <c r="D1133" i="22"/>
  <c r="D1134" i="22"/>
  <c r="D1135" i="22"/>
  <c r="D1136" i="22"/>
  <c r="D1137" i="22"/>
  <c r="D1138" i="22"/>
  <c r="D1139" i="22"/>
  <c r="D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930" i="22"/>
  <c r="E931" i="22"/>
  <c r="E932" i="22"/>
  <c r="E933" i="22"/>
  <c r="E934" i="22"/>
  <c r="E935" i="22"/>
  <c r="E936" i="22"/>
  <c r="E937" i="22"/>
  <c r="E938" i="22"/>
  <c r="E939" i="22"/>
  <c r="E940" i="22"/>
  <c r="E941" i="22"/>
  <c r="E942" i="22"/>
  <c r="E943" i="22"/>
  <c r="E944" i="22"/>
  <c r="E945" i="22"/>
  <c r="E946" i="22"/>
  <c r="E947" i="22"/>
  <c r="E948" i="22"/>
  <c r="E949" i="22"/>
  <c r="E950" i="22"/>
  <c r="E951" i="22"/>
  <c r="E952" i="22"/>
  <c r="E953" i="22"/>
  <c r="E954" i="22"/>
  <c r="E955" i="22"/>
  <c r="E956" i="22"/>
  <c r="E957" i="22"/>
  <c r="E958" i="22"/>
  <c r="E959" i="22"/>
  <c r="E960" i="22"/>
  <c r="E961" i="22"/>
  <c r="E962" i="22"/>
  <c r="E963" i="22"/>
  <c r="E964" i="22"/>
  <c r="E965" i="22"/>
  <c r="E966" i="22"/>
  <c r="E967" i="22"/>
  <c r="E968" i="22"/>
  <c r="E969" i="22"/>
  <c r="E970" i="22"/>
  <c r="E971" i="22"/>
  <c r="E972" i="22"/>
  <c r="E973" i="22"/>
  <c r="E974" i="22"/>
  <c r="E975" i="22"/>
  <c r="E976" i="22"/>
  <c r="E977" i="22"/>
  <c r="E978" i="22"/>
  <c r="E979" i="22"/>
  <c r="E980" i="22"/>
  <c r="E981" i="22"/>
  <c r="E982" i="22"/>
  <c r="E983" i="22"/>
  <c r="E984" i="22"/>
  <c r="E985" i="22"/>
  <c r="E986" i="22"/>
  <c r="E987" i="22"/>
  <c r="E988" i="22"/>
  <c r="E989" i="22"/>
  <c r="E990" i="22"/>
  <c r="E991" i="22"/>
  <c r="E992" i="22"/>
  <c r="E993" i="22"/>
  <c r="E994" i="22"/>
  <c r="E995" i="22"/>
  <c r="E996" i="22"/>
  <c r="E997" i="22"/>
  <c r="E998" i="22"/>
  <c r="E999" i="22"/>
  <c r="E1000" i="22"/>
  <c r="E1001" i="22"/>
  <c r="E1002" i="22"/>
  <c r="E1003" i="22"/>
  <c r="E1004" i="22"/>
  <c r="E1005" i="22"/>
  <c r="E1006" i="22"/>
  <c r="E1007" i="22"/>
  <c r="E1008" i="22"/>
  <c r="E1009" i="22"/>
  <c r="E1010" i="22"/>
  <c r="E1011" i="22"/>
  <c r="E1012" i="22"/>
  <c r="E1013" i="22"/>
  <c r="E1014" i="22"/>
  <c r="E1015" i="22"/>
  <c r="E1016" i="22"/>
  <c r="E1017" i="22"/>
  <c r="E1018" i="22"/>
  <c r="E1019" i="22"/>
  <c r="E1020" i="22"/>
  <c r="E1021" i="22"/>
  <c r="E1022" i="22"/>
  <c r="E1023" i="22"/>
  <c r="E1024" i="22"/>
  <c r="E1025" i="22"/>
  <c r="E1026" i="22"/>
  <c r="E1027" i="22"/>
  <c r="E1028" i="22"/>
  <c r="E1029" i="22"/>
  <c r="E1030" i="22"/>
  <c r="E1031" i="22"/>
  <c r="E1032" i="22"/>
  <c r="E1033" i="22"/>
  <c r="E1034" i="22"/>
  <c r="E1035" i="22"/>
  <c r="E1036" i="22"/>
  <c r="E1037" i="22"/>
  <c r="E1038" i="22"/>
  <c r="E1039" i="22"/>
  <c r="E1040" i="22"/>
  <c r="E1041" i="22"/>
  <c r="E1042" i="22"/>
  <c r="E1043" i="22"/>
  <c r="E1044" i="22"/>
  <c r="E1045" i="22"/>
  <c r="E1046" i="22"/>
  <c r="E1047" i="22"/>
  <c r="E1048" i="22"/>
  <c r="E1049" i="22"/>
  <c r="E1050" i="22"/>
  <c r="E1051" i="22"/>
  <c r="E1052" i="22"/>
  <c r="E1053" i="22"/>
  <c r="E1054" i="22"/>
  <c r="E1055" i="22"/>
  <c r="E1056" i="22"/>
  <c r="E1057" i="22"/>
  <c r="E1058" i="22"/>
  <c r="E1059" i="22"/>
  <c r="E1060" i="22"/>
  <c r="E1061" i="22"/>
  <c r="E1062" i="22"/>
  <c r="E1063" i="22"/>
  <c r="E1064" i="22"/>
  <c r="E1065" i="22"/>
  <c r="E1066" i="22"/>
  <c r="E1067" i="22"/>
  <c r="E1068" i="22"/>
  <c r="E1069" i="22"/>
  <c r="E1070" i="22"/>
  <c r="E1071" i="22"/>
  <c r="E1072" i="22"/>
  <c r="E1073" i="22"/>
  <c r="E1074" i="22"/>
  <c r="E1075" i="22"/>
  <c r="E1076" i="22"/>
  <c r="E1077" i="22"/>
  <c r="E1078" i="22"/>
  <c r="E1079" i="22"/>
  <c r="E1080" i="22"/>
  <c r="E1081" i="22"/>
  <c r="E1082" i="22"/>
  <c r="E1083" i="22"/>
  <c r="E1084" i="22"/>
  <c r="E1085" i="22"/>
  <c r="E1086" i="22"/>
  <c r="E1087" i="22"/>
  <c r="E1088" i="22"/>
  <c r="E1089" i="22"/>
  <c r="E1090" i="22"/>
  <c r="E1091" i="22"/>
  <c r="E1092" i="22"/>
  <c r="E1093" i="22"/>
  <c r="E1094" i="22"/>
  <c r="E1095" i="22"/>
  <c r="E1096" i="22"/>
  <c r="E1097" i="22"/>
  <c r="E1098" i="22"/>
  <c r="E1099" i="22"/>
  <c r="E1100" i="22"/>
  <c r="E1101" i="22"/>
  <c r="E1102" i="22"/>
  <c r="E1103" i="22"/>
  <c r="E1104" i="22"/>
  <c r="E1105" i="22"/>
  <c r="E1106" i="22"/>
  <c r="E1107" i="22"/>
  <c r="E1108" i="22"/>
  <c r="E1109" i="22"/>
  <c r="E1110" i="22"/>
  <c r="E1111" i="22"/>
  <c r="E1112" i="22"/>
  <c r="E1113" i="22"/>
  <c r="E1114" i="22"/>
  <c r="E1115" i="22"/>
  <c r="E1116" i="22"/>
  <c r="E1117" i="22"/>
  <c r="E1118" i="22"/>
  <c r="E1119" i="22"/>
  <c r="E1120" i="22"/>
  <c r="E1121" i="22"/>
  <c r="E1122" i="22"/>
  <c r="E1123" i="22"/>
  <c r="E1124" i="22"/>
  <c r="E1125" i="22"/>
  <c r="E1126" i="22"/>
  <c r="E1127" i="22"/>
  <c r="E1128" i="22"/>
  <c r="E1129" i="22"/>
  <c r="E1130" i="22"/>
  <c r="E1131" i="22"/>
  <c r="E1132" i="22"/>
  <c r="E1133" i="22"/>
  <c r="E1134" i="22"/>
  <c r="E1135" i="22"/>
  <c r="E1136" i="22"/>
  <c r="E1137" i="22"/>
  <c r="E1138" i="22"/>
  <c r="E1139" i="22"/>
  <c r="E3" i="22"/>
  <c r="I201" i="7"/>
  <c r="I200" i="7"/>
  <c r="G201" i="7"/>
  <c r="G200" i="7"/>
  <c r="E200" i="7"/>
  <c r="E201" i="7"/>
  <c r="AC195" i="24"/>
  <c r="AD195" i="24"/>
  <c r="AC196" i="24"/>
  <c r="AD196" i="24"/>
  <c r="AC197" i="24"/>
  <c r="AD197" i="24"/>
  <c r="AC198" i="24"/>
  <c r="AD198" i="24"/>
  <c r="AC199" i="24"/>
  <c r="AD199" i="24"/>
  <c r="G219" i="24"/>
  <c r="F219" i="24"/>
  <c r="E219" i="24"/>
  <c r="D219" i="24"/>
  <c r="G218" i="24"/>
  <c r="F218" i="24"/>
  <c r="E218" i="24"/>
  <c r="D218" i="24"/>
  <c r="G217" i="24"/>
  <c r="F217" i="24"/>
  <c r="E217" i="24"/>
  <c r="D217" i="24"/>
  <c r="AU194" i="24"/>
  <c r="AV194" i="24"/>
  <c r="AU195" i="24"/>
  <c r="AV195" i="24"/>
  <c r="AU196" i="24"/>
  <c r="AV196" i="24"/>
  <c r="AU197" i="24"/>
  <c r="AV197" i="24"/>
  <c r="AU198" i="24"/>
  <c r="AV198" i="24"/>
  <c r="AU199" i="24"/>
  <c r="AV199" i="24"/>
  <c r="Y144" i="24"/>
  <c r="Z144" i="24"/>
  <c r="AA144" i="24"/>
  <c r="AB144" i="24"/>
  <c r="H193" i="24"/>
  <c r="I193" i="24"/>
  <c r="H194" i="24"/>
  <c r="I194" i="24"/>
  <c r="H195" i="24"/>
  <c r="I195" i="24"/>
  <c r="H196" i="24"/>
  <c r="I196" i="24"/>
  <c r="H197" i="24"/>
  <c r="I197" i="24"/>
  <c r="H198" i="24"/>
  <c r="I198" i="24"/>
  <c r="H199" i="24"/>
  <c r="I199" i="24"/>
  <c r="AU110" i="24"/>
  <c r="AV110" i="24"/>
  <c r="AU111" i="24"/>
  <c r="AV111" i="24"/>
  <c r="AU112" i="24"/>
  <c r="AV112" i="24"/>
  <c r="AU113" i="24"/>
  <c r="AV113" i="24"/>
  <c r="AU114" i="24"/>
  <c r="AV114" i="24"/>
  <c r="AU115" i="24"/>
  <c r="AV115" i="24"/>
  <c r="AU116" i="24"/>
  <c r="AV116" i="24"/>
  <c r="AU117" i="24"/>
  <c r="AV117" i="24"/>
  <c r="AG71" i="24"/>
  <c r="AG72" i="24"/>
  <c r="AG73" i="24"/>
  <c r="AC110" i="24"/>
  <c r="AD110" i="24"/>
  <c r="AC111" i="24"/>
  <c r="AD111" i="24"/>
  <c r="AC112" i="24"/>
  <c r="AD112" i="24"/>
  <c r="AC113" i="24"/>
  <c r="AD113" i="24"/>
  <c r="AC114" i="24"/>
  <c r="AD114" i="24"/>
  <c r="AC115" i="24"/>
  <c r="AD115" i="24"/>
  <c r="AC116" i="24"/>
  <c r="AD116" i="24"/>
  <c r="AC117" i="24"/>
  <c r="AD117" i="24"/>
  <c r="I268" i="24"/>
  <c r="H268" i="24"/>
  <c r="I267" i="24"/>
  <c r="H267" i="24"/>
  <c r="I266" i="24"/>
  <c r="H266" i="24"/>
  <c r="I265" i="24"/>
  <c r="H265" i="24"/>
  <c r="I264" i="24"/>
  <c r="H264" i="24"/>
  <c r="I263" i="24"/>
  <c r="H263" i="24"/>
  <c r="I262" i="24"/>
  <c r="H262" i="24"/>
  <c r="I261" i="24"/>
  <c r="H261" i="24"/>
  <c r="I260" i="24"/>
  <c r="H260" i="24"/>
  <c r="I259" i="24"/>
  <c r="H259" i="24"/>
  <c r="I258" i="24"/>
  <c r="H258" i="24"/>
  <c r="I257" i="24"/>
  <c r="H257" i="24"/>
  <c r="I256" i="24"/>
  <c r="H256" i="24"/>
  <c r="I255" i="24"/>
  <c r="H255" i="24"/>
  <c r="I254" i="24"/>
  <c r="H254" i="24"/>
  <c r="I253" i="24"/>
  <c r="H253" i="24"/>
  <c r="I252" i="24"/>
  <c r="H252" i="24"/>
  <c r="I251" i="24"/>
  <c r="H251" i="24"/>
  <c r="I250" i="24"/>
  <c r="H250" i="24"/>
  <c r="I249" i="24"/>
  <c r="H249" i="24"/>
  <c r="I248" i="24"/>
  <c r="H248" i="24"/>
  <c r="I247" i="24"/>
  <c r="H247" i="24"/>
  <c r="I246" i="24"/>
  <c r="H246" i="24"/>
  <c r="I245" i="24"/>
  <c r="H245" i="24"/>
  <c r="I244" i="24"/>
  <c r="H244" i="24"/>
  <c r="I243" i="24"/>
  <c r="H243" i="24"/>
  <c r="I242" i="24"/>
  <c r="H242" i="24"/>
  <c r="I241" i="24"/>
  <c r="H241" i="24"/>
  <c r="I240" i="24"/>
  <c r="H240" i="24"/>
  <c r="I239" i="24"/>
  <c r="H239" i="24"/>
  <c r="I238" i="24"/>
  <c r="H238" i="24"/>
  <c r="I237" i="24"/>
  <c r="H237" i="24"/>
  <c r="I236" i="24"/>
  <c r="H236" i="24"/>
  <c r="I235" i="24"/>
  <c r="H235" i="24"/>
  <c r="I234" i="24"/>
  <c r="H234" i="24"/>
  <c r="I233" i="24"/>
  <c r="H233" i="24"/>
  <c r="I232" i="24"/>
  <c r="H232" i="24"/>
  <c r="I231" i="24"/>
  <c r="H231" i="24"/>
  <c r="I230" i="24"/>
  <c r="H230" i="24"/>
  <c r="I229" i="24"/>
  <c r="H229" i="24"/>
  <c r="I228" i="24"/>
  <c r="H228" i="24"/>
  <c r="I227" i="24"/>
  <c r="H227" i="24"/>
  <c r="I226" i="24"/>
  <c r="H226" i="24"/>
  <c r="I225" i="24"/>
  <c r="H225" i="24"/>
  <c r="M224" i="24"/>
  <c r="L224" i="24"/>
  <c r="K224" i="24"/>
  <c r="I224" i="24"/>
  <c r="H224" i="24"/>
  <c r="M223" i="24"/>
  <c r="L223" i="24"/>
  <c r="K223" i="24"/>
  <c r="M222" i="24"/>
  <c r="L222" i="24"/>
  <c r="K222" i="24"/>
  <c r="AD194" i="24"/>
  <c r="AC194" i="24"/>
  <c r="AV193" i="24"/>
  <c r="AU193" i="24"/>
  <c r="AD193" i="24"/>
  <c r="AC193" i="24"/>
  <c r="AV192" i="24"/>
  <c r="AU192" i="24"/>
  <c r="AD192" i="24"/>
  <c r="AC192" i="24"/>
  <c r="I192" i="24"/>
  <c r="H192" i="24"/>
  <c r="AV191" i="24"/>
  <c r="AU191" i="24"/>
  <c r="AD191" i="24"/>
  <c r="AC191" i="24"/>
  <c r="I191" i="24"/>
  <c r="H191" i="24"/>
  <c r="AV190" i="24"/>
  <c r="AU190" i="24"/>
  <c r="AD190" i="24"/>
  <c r="AC190" i="24"/>
  <c r="I190" i="24"/>
  <c r="H190" i="24"/>
  <c r="AV189" i="24"/>
  <c r="AU189" i="24"/>
  <c r="AD189" i="24"/>
  <c r="AC189" i="24"/>
  <c r="I189" i="24"/>
  <c r="H189" i="24"/>
  <c r="AV188" i="24"/>
  <c r="AU188" i="24"/>
  <c r="AD188" i="24"/>
  <c r="AC188" i="24"/>
  <c r="I188" i="24"/>
  <c r="H188" i="24"/>
  <c r="AV187" i="24"/>
  <c r="AU187" i="24"/>
  <c r="AD187" i="24"/>
  <c r="AC187" i="24"/>
  <c r="I187" i="24"/>
  <c r="H187" i="24"/>
  <c r="AV186" i="24"/>
  <c r="AU186" i="24"/>
  <c r="AD186" i="24"/>
  <c r="AC186" i="24"/>
  <c r="I186" i="24"/>
  <c r="H186" i="24"/>
  <c r="AX185" i="24"/>
  <c r="AW185" i="24"/>
  <c r="AV185" i="24"/>
  <c r="AU185" i="24"/>
  <c r="AD185" i="24"/>
  <c r="AC185" i="24"/>
  <c r="I185" i="24"/>
  <c r="H185" i="24"/>
  <c r="AX184" i="24"/>
  <c r="AW184" i="24"/>
  <c r="AV184" i="24"/>
  <c r="AU184" i="24"/>
  <c r="AD184" i="24"/>
  <c r="AC184" i="24"/>
  <c r="I184" i="24"/>
  <c r="H184" i="24"/>
  <c r="AX183" i="24"/>
  <c r="AW183" i="24"/>
  <c r="AV183" i="24"/>
  <c r="AU183" i="24"/>
  <c r="AD183" i="24"/>
  <c r="AC183" i="24"/>
  <c r="I183" i="24"/>
  <c r="H183" i="24"/>
  <c r="AX182" i="24"/>
  <c r="AW182" i="24"/>
  <c r="AV182" i="24"/>
  <c r="AU182" i="24"/>
  <c r="AD182" i="24"/>
  <c r="AC182" i="24"/>
  <c r="I182" i="24"/>
  <c r="H182" i="24"/>
  <c r="AX181" i="24"/>
  <c r="AW181" i="24"/>
  <c r="AV181" i="24"/>
  <c r="AU181" i="24"/>
  <c r="AD181" i="24"/>
  <c r="AC181" i="24"/>
  <c r="I181" i="24"/>
  <c r="H181" i="24"/>
  <c r="AX180" i="24"/>
  <c r="AW180" i="24"/>
  <c r="AV180" i="24"/>
  <c r="AU180" i="24"/>
  <c r="AD180" i="24"/>
  <c r="AC180" i="24"/>
  <c r="I180" i="24"/>
  <c r="H180" i="24"/>
  <c r="AX179" i="24"/>
  <c r="AW179" i="24"/>
  <c r="AV179" i="24"/>
  <c r="AU179" i="24"/>
  <c r="AD179" i="24"/>
  <c r="AC179" i="24"/>
  <c r="I179" i="24"/>
  <c r="H179" i="24"/>
  <c r="AX178" i="24"/>
  <c r="AW178" i="24"/>
  <c r="AV178" i="24"/>
  <c r="AU178" i="24"/>
  <c r="AD178" i="24"/>
  <c r="AC178" i="24"/>
  <c r="I178" i="24"/>
  <c r="H178" i="24"/>
  <c r="AX177" i="24"/>
  <c r="AW177" i="24"/>
  <c r="AV177" i="24"/>
  <c r="AU177" i="24"/>
  <c r="AD177" i="24"/>
  <c r="AC177" i="24"/>
  <c r="I177" i="24"/>
  <c r="H177" i="24"/>
  <c r="AX176" i="24"/>
  <c r="AW176" i="24"/>
  <c r="AV176" i="24"/>
  <c r="AU176" i="24"/>
  <c r="AD176" i="24"/>
  <c r="AC176" i="24"/>
  <c r="I176" i="24"/>
  <c r="H176" i="24"/>
  <c r="AX175" i="24"/>
  <c r="AW175" i="24"/>
  <c r="AV175" i="24"/>
  <c r="AU175" i="24"/>
  <c r="AD175" i="24"/>
  <c r="AC175" i="24"/>
  <c r="I175" i="24"/>
  <c r="H175" i="24"/>
  <c r="AX174" i="24"/>
  <c r="AW174" i="24"/>
  <c r="AV174" i="24"/>
  <c r="AU174" i="24"/>
  <c r="AD174" i="24"/>
  <c r="AC174" i="24"/>
  <c r="I174" i="24"/>
  <c r="H174" i="24"/>
  <c r="AX173" i="24"/>
  <c r="AW173" i="24"/>
  <c r="AV173" i="24"/>
  <c r="AU173" i="24"/>
  <c r="AD173" i="24"/>
  <c r="AC173" i="24"/>
  <c r="I173" i="24"/>
  <c r="H173" i="24"/>
  <c r="AX172" i="24"/>
  <c r="AW172" i="24"/>
  <c r="AV172" i="24"/>
  <c r="AU172" i="24"/>
  <c r="AD172" i="24"/>
  <c r="AC172" i="24"/>
  <c r="I172" i="24"/>
  <c r="H172" i="24"/>
  <c r="AX171" i="24"/>
  <c r="AW171" i="24"/>
  <c r="AV171" i="24"/>
  <c r="AU171" i="24"/>
  <c r="AD171" i="24"/>
  <c r="AC171" i="24"/>
  <c r="I171" i="24"/>
  <c r="H171" i="24"/>
  <c r="AX170" i="24"/>
  <c r="AW170" i="24"/>
  <c r="AV170" i="24"/>
  <c r="AU170" i="24"/>
  <c r="AD170" i="24"/>
  <c r="AC170" i="24"/>
  <c r="I170" i="24"/>
  <c r="H170" i="24"/>
  <c r="AX169" i="24"/>
  <c r="AW169" i="24"/>
  <c r="AV169" i="24"/>
  <c r="AU169" i="24"/>
  <c r="AD169" i="24"/>
  <c r="AC169" i="24"/>
  <c r="I169" i="24"/>
  <c r="H169" i="24"/>
  <c r="AX168" i="24"/>
  <c r="AW168" i="24"/>
  <c r="AV168" i="24"/>
  <c r="AU168" i="24"/>
  <c r="AD168" i="24"/>
  <c r="AC168" i="24"/>
  <c r="I168" i="24"/>
  <c r="H168" i="24"/>
  <c r="AX167" i="24"/>
  <c r="AW167" i="24"/>
  <c r="AV167" i="24"/>
  <c r="AU167" i="24"/>
  <c r="AD167" i="24"/>
  <c r="AC167" i="24"/>
  <c r="I167" i="24"/>
  <c r="H167" i="24"/>
  <c r="AX166" i="24"/>
  <c r="AW166" i="24"/>
  <c r="AV166" i="24"/>
  <c r="AU166" i="24"/>
  <c r="AD166" i="24"/>
  <c r="AC166" i="24"/>
  <c r="I166" i="24"/>
  <c r="H166" i="24"/>
  <c r="AX165" i="24"/>
  <c r="AW165" i="24"/>
  <c r="AV165" i="24"/>
  <c r="AU165" i="24"/>
  <c r="AD165" i="24"/>
  <c r="AC165" i="24"/>
  <c r="I165" i="24"/>
  <c r="H165" i="24"/>
  <c r="AX164" i="24"/>
  <c r="AW164" i="24"/>
  <c r="AV164" i="24"/>
  <c r="AU164" i="24"/>
  <c r="AD164" i="24"/>
  <c r="AC164" i="24"/>
  <c r="I164" i="24"/>
  <c r="H164" i="24"/>
  <c r="AX163" i="24"/>
  <c r="AW163" i="24"/>
  <c r="AV163" i="24"/>
  <c r="AU163" i="24"/>
  <c r="AD163" i="24"/>
  <c r="AC163" i="24"/>
  <c r="I163" i="24"/>
  <c r="H163" i="24"/>
  <c r="AX162" i="24"/>
  <c r="AW162" i="24"/>
  <c r="AV162" i="24"/>
  <c r="AU162" i="24"/>
  <c r="AD162" i="24"/>
  <c r="AC162" i="24"/>
  <c r="I162" i="24"/>
  <c r="H162" i="24"/>
  <c r="AX161" i="24"/>
  <c r="AW161" i="24"/>
  <c r="AV161" i="24"/>
  <c r="AU161" i="24"/>
  <c r="AD161" i="24"/>
  <c r="AC161" i="24"/>
  <c r="I161" i="24"/>
  <c r="H161" i="24"/>
  <c r="AX160" i="24"/>
  <c r="AW160" i="24"/>
  <c r="AV160" i="24"/>
  <c r="AU160" i="24"/>
  <c r="AD160" i="24"/>
  <c r="AC160" i="24"/>
  <c r="I160" i="24"/>
  <c r="H160" i="24"/>
  <c r="AX159" i="24"/>
  <c r="AW159" i="24"/>
  <c r="AV159" i="24"/>
  <c r="AU159" i="24"/>
  <c r="AD159" i="24"/>
  <c r="AC159" i="24"/>
  <c r="I159" i="24"/>
  <c r="H159" i="24"/>
  <c r="AX158" i="24"/>
  <c r="AW158" i="24"/>
  <c r="AV158" i="24"/>
  <c r="AU158" i="24"/>
  <c r="AD158" i="24"/>
  <c r="AC158" i="24"/>
  <c r="I158" i="24"/>
  <c r="H158" i="24"/>
  <c r="AX157" i="24"/>
  <c r="AW157" i="24"/>
  <c r="AV157" i="24"/>
  <c r="AU157" i="24"/>
  <c r="AD157" i="24"/>
  <c r="AC157" i="24"/>
  <c r="I157" i="24"/>
  <c r="H157" i="24"/>
  <c r="AX156" i="24"/>
  <c r="AW156" i="24"/>
  <c r="AV156" i="24"/>
  <c r="AU156" i="24"/>
  <c r="AD156" i="24"/>
  <c r="AC156" i="24"/>
  <c r="I156" i="24"/>
  <c r="H156" i="24"/>
  <c r="AX155" i="24"/>
  <c r="AW155" i="24"/>
  <c r="AV155" i="24"/>
  <c r="AU155" i="24"/>
  <c r="AD155" i="24"/>
  <c r="AC155" i="24"/>
  <c r="I155" i="24"/>
  <c r="H155" i="24"/>
  <c r="AX154" i="24"/>
  <c r="AW154" i="24"/>
  <c r="AV154" i="24"/>
  <c r="AU154" i="24"/>
  <c r="AD154" i="24"/>
  <c r="AC154" i="24"/>
  <c r="I154" i="24"/>
  <c r="H154" i="24"/>
  <c r="AX153" i="24"/>
  <c r="AW153" i="24"/>
  <c r="AV153" i="24"/>
  <c r="AU153" i="24"/>
  <c r="AD153" i="24"/>
  <c r="AC153" i="24"/>
  <c r="I153" i="24"/>
  <c r="H153" i="24"/>
  <c r="AX152" i="24"/>
  <c r="AW152" i="24"/>
  <c r="AV152" i="24"/>
  <c r="AU152" i="24"/>
  <c r="AD152" i="24"/>
  <c r="AC152" i="24"/>
  <c r="I152" i="24"/>
  <c r="H152" i="24"/>
  <c r="AV151" i="24"/>
  <c r="AU151" i="24"/>
  <c r="AD151" i="24"/>
  <c r="AC151" i="24"/>
  <c r="I151" i="24"/>
  <c r="H151" i="24"/>
  <c r="AY150" i="24"/>
  <c r="AX150" i="24"/>
  <c r="AW150" i="24"/>
  <c r="AV150" i="24"/>
  <c r="AU150" i="24"/>
  <c r="AL150" i="24"/>
  <c r="AF150" i="24"/>
  <c r="AE150" i="24"/>
  <c r="AD150" i="24"/>
  <c r="AC150" i="24"/>
  <c r="M150" i="24"/>
  <c r="L150" i="24"/>
  <c r="K150" i="24"/>
  <c r="I150" i="24"/>
  <c r="H150" i="24"/>
  <c r="AY149" i="24"/>
  <c r="AX149" i="24"/>
  <c r="AW149" i="24"/>
  <c r="AL149" i="24"/>
  <c r="AF149" i="24"/>
  <c r="AE149" i="24"/>
  <c r="M149" i="24"/>
  <c r="L149" i="24"/>
  <c r="K149" i="24"/>
  <c r="AY148" i="24"/>
  <c r="AX148" i="24"/>
  <c r="AW148" i="24"/>
  <c r="AL148" i="24"/>
  <c r="AF148" i="24"/>
  <c r="AE148" i="24"/>
  <c r="M148" i="24"/>
  <c r="L148" i="24"/>
  <c r="K148" i="24"/>
  <c r="AT145" i="24"/>
  <c r="AS145" i="24"/>
  <c r="AR145" i="24"/>
  <c r="AQ145" i="24"/>
  <c r="AB145" i="24"/>
  <c r="AA145" i="24"/>
  <c r="Z145" i="24"/>
  <c r="Y145" i="24"/>
  <c r="AT144" i="24"/>
  <c r="AS144" i="24"/>
  <c r="AR144" i="24"/>
  <c r="AQ144" i="24"/>
  <c r="AF144" i="24"/>
  <c r="AT143" i="24"/>
  <c r="AS143" i="24"/>
  <c r="AR143" i="24"/>
  <c r="AQ143" i="24"/>
  <c r="AB143" i="24"/>
  <c r="AA143" i="24"/>
  <c r="Z143" i="24"/>
  <c r="Y143" i="24"/>
  <c r="AS138" i="24"/>
  <c r="AQ138" i="24"/>
  <c r="AO138" i="24"/>
  <c r="AA138" i="24"/>
  <c r="Y138" i="24"/>
  <c r="W138" i="24"/>
  <c r="AS137" i="24"/>
  <c r="AQ137" i="24"/>
  <c r="AO137" i="24"/>
  <c r="AA137" i="24"/>
  <c r="Y137" i="24"/>
  <c r="W137" i="24"/>
  <c r="AV109" i="24"/>
  <c r="AU109" i="24"/>
  <c r="AD109" i="24"/>
  <c r="AC109" i="24"/>
  <c r="I109" i="24"/>
  <c r="H109" i="24"/>
  <c r="AV108" i="24"/>
  <c r="AU108" i="24"/>
  <c r="AD108" i="24"/>
  <c r="AC108" i="24"/>
  <c r="I108" i="24"/>
  <c r="H108" i="24"/>
  <c r="AV107" i="24"/>
  <c r="AU107" i="24"/>
  <c r="AD107" i="24"/>
  <c r="AC107" i="24"/>
  <c r="I107" i="24"/>
  <c r="H107" i="24"/>
  <c r="AV106" i="24"/>
  <c r="AU106" i="24"/>
  <c r="AD106" i="24"/>
  <c r="AC106" i="24"/>
  <c r="I106" i="24"/>
  <c r="H106" i="24"/>
  <c r="AV105" i="24"/>
  <c r="AU105" i="24"/>
  <c r="AD105" i="24"/>
  <c r="AC105" i="24"/>
  <c r="I105" i="24"/>
  <c r="H105" i="24"/>
  <c r="AV104" i="24"/>
  <c r="AU104" i="24"/>
  <c r="AD104" i="24"/>
  <c r="AC104" i="24"/>
  <c r="I104" i="24"/>
  <c r="H104" i="24"/>
  <c r="AV103" i="24"/>
  <c r="AU103" i="24"/>
  <c r="AD103" i="24"/>
  <c r="AC103" i="24"/>
  <c r="I103" i="24"/>
  <c r="H103" i="24"/>
  <c r="AV102" i="24"/>
  <c r="AU102" i="24"/>
  <c r="AD102" i="24"/>
  <c r="AC102" i="24"/>
  <c r="I102" i="24"/>
  <c r="H102" i="24"/>
  <c r="AV101" i="24"/>
  <c r="AU101" i="24"/>
  <c r="AD101" i="24"/>
  <c r="AC101" i="24"/>
  <c r="I101" i="24"/>
  <c r="H101" i="24"/>
  <c r="AV100" i="24"/>
  <c r="AU100" i="24"/>
  <c r="AD100" i="24"/>
  <c r="AC100" i="24"/>
  <c r="I100" i="24"/>
  <c r="H100" i="24"/>
  <c r="AV99" i="24"/>
  <c r="AU99" i="24"/>
  <c r="AD99" i="24"/>
  <c r="AC99" i="24"/>
  <c r="I99" i="24"/>
  <c r="H99" i="24"/>
  <c r="AV98" i="24"/>
  <c r="AU98" i="24"/>
  <c r="AD98" i="24"/>
  <c r="AC98" i="24"/>
  <c r="I98" i="24"/>
  <c r="H98" i="24"/>
  <c r="AV97" i="24"/>
  <c r="AU97" i="24"/>
  <c r="AD97" i="24"/>
  <c r="AC97" i="24"/>
  <c r="I97" i="24"/>
  <c r="H97" i="24"/>
  <c r="AV96" i="24"/>
  <c r="AU96" i="24"/>
  <c r="AD96" i="24"/>
  <c r="AC96" i="24"/>
  <c r="I96" i="24"/>
  <c r="H96" i="24"/>
  <c r="AV95" i="24"/>
  <c r="AU95" i="24"/>
  <c r="AD95" i="24"/>
  <c r="AC95" i="24"/>
  <c r="I95" i="24"/>
  <c r="H95" i="24"/>
  <c r="AV94" i="24"/>
  <c r="AU94" i="24"/>
  <c r="AD94" i="24"/>
  <c r="AC94" i="24"/>
  <c r="I94" i="24"/>
  <c r="H94" i="24"/>
  <c r="AV93" i="24"/>
  <c r="AU93" i="24"/>
  <c r="AD93" i="24"/>
  <c r="AC93" i="24"/>
  <c r="I93" i="24"/>
  <c r="H93" i="24"/>
  <c r="AV92" i="24"/>
  <c r="AU92" i="24"/>
  <c r="AD92" i="24"/>
  <c r="AC92" i="24"/>
  <c r="I92" i="24"/>
  <c r="H92" i="24"/>
  <c r="AV91" i="24"/>
  <c r="AU91" i="24"/>
  <c r="AD91" i="24"/>
  <c r="AC91" i="24"/>
  <c r="I91" i="24"/>
  <c r="H91" i="24"/>
  <c r="AV90" i="24"/>
  <c r="AU90" i="24"/>
  <c r="AD90" i="24"/>
  <c r="AC90" i="24"/>
  <c r="I90" i="24"/>
  <c r="H90" i="24"/>
  <c r="AV89" i="24"/>
  <c r="AU89" i="24"/>
  <c r="AD89" i="24"/>
  <c r="AC89" i="24"/>
  <c r="I89" i="24"/>
  <c r="H89" i="24"/>
  <c r="AV88" i="24"/>
  <c r="AU88" i="24"/>
  <c r="AD88" i="24"/>
  <c r="AC88" i="24"/>
  <c r="I88" i="24"/>
  <c r="H88" i="24"/>
  <c r="AV87" i="24"/>
  <c r="AU87" i="24"/>
  <c r="AD87" i="24"/>
  <c r="AC87" i="24"/>
  <c r="I87" i="24"/>
  <c r="H87" i="24"/>
  <c r="AV86" i="24"/>
  <c r="AU86" i="24"/>
  <c r="AD86" i="24"/>
  <c r="AC86" i="24"/>
  <c r="I86" i="24"/>
  <c r="H86" i="24"/>
  <c r="AV85" i="24"/>
  <c r="AU85" i="24"/>
  <c r="AD85" i="24"/>
  <c r="AC85" i="24"/>
  <c r="I85" i="24"/>
  <c r="H85" i="24"/>
  <c r="AV84" i="24"/>
  <c r="AU84" i="24"/>
  <c r="AD84" i="24"/>
  <c r="AC84" i="24"/>
  <c r="I84" i="24"/>
  <c r="H84" i="24"/>
  <c r="AV83" i="24"/>
  <c r="AU83" i="24"/>
  <c r="AD83" i="24"/>
  <c r="AC83" i="24"/>
  <c r="I83" i="24"/>
  <c r="H83" i="24"/>
  <c r="AV82" i="24"/>
  <c r="AU82" i="24"/>
  <c r="AD82" i="24"/>
  <c r="AC82" i="24"/>
  <c r="I82" i="24"/>
  <c r="H82" i="24"/>
  <c r="AV81" i="24"/>
  <c r="AU81" i="24"/>
  <c r="AD81" i="24"/>
  <c r="AC81" i="24"/>
  <c r="I81" i="24"/>
  <c r="H81" i="24"/>
  <c r="AV80" i="24"/>
  <c r="AU80" i="24"/>
  <c r="AD80" i="24"/>
  <c r="AC80" i="24"/>
  <c r="I80" i="24"/>
  <c r="H80" i="24"/>
  <c r="AV79" i="24"/>
  <c r="AU79" i="24"/>
  <c r="AD79" i="24"/>
  <c r="AC79" i="24"/>
  <c r="I79" i="24"/>
  <c r="H79" i="24"/>
  <c r="AV78" i="24"/>
  <c r="AU78" i="24"/>
  <c r="AD78" i="24"/>
  <c r="AC78" i="24"/>
  <c r="I78" i="24"/>
  <c r="H78" i="24"/>
  <c r="AV77" i="24"/>
  <c r="AU77" i="24"/>
  <c r="AD77" i="24"/>
  <c r="AC77" i="24"/>
  <c r="I77" i="24"/>
  <c r="H77" i="24"/>
  <c r="AV76" i="24"/>
  <c r="AU76" i="24"/>
  <c r="AD76" i="24"/>
  <c r="AC76" i="24"/>
  <c r="I76" i="24"/>
  <c r="H76" i="24"/>
  <c r="AV75" i="24"/>
  <c r="AU75" i="24"/>
  <c r="AD75" i="24"/>
  <c r="AC75" i="24"/>
  <c r="I75" i="24"/>
  <c r="H75" i="24"/>
  <c r="AV74" i="24"/>
  <c r="AU74" i="24"/>
  <c r="AD74" i="24"/>
  <c r="AC74" i="24"/>
  <c r="I74" i="24"/>
  <c r="H74" i="24"/>
  <c r="AY73" i="24"/>
  <c r="AX73" i="24"/>
  <c r="AW73" i="24"/>
  <c r="AV73" i="24"/>
  <c r="AU73" i="24"/>
  <c r="AL73" i="24"/>
  <c r="AF73" i="24"/>
  <c r="AE73" i="24"/>
  <c r="AD73" i="24"/>
  <c r="AC73" i="24"/>
  <c r="I73" i="24"/>
  <c r="H73" i="24"/>
  <c r="AY72" i="24"/>
  <c r="AX72" i="24"/>
  <c r="AW72" i="24"/>
  <c r="AL72" i="24"/>
  <c r="AF72" i="24"/>
  <c r="AE72" i="24"/>
  <c r="AY71" i="24"/>
  <c r="AX71" i="24"/>
  <c r="AW71" i="24"/>
  <c r="AL71" i="24"/>
  <c r="AF71" i="24"/>
  <c r="AE71" i="24"/>
  <c r="AU44" i="24"/>
  <c r="AT44" i="24"/>
  <c r="AC44" i="24"/>
  <c r="AB44" i="24"/>
  <c r="I44" i="24"/>
  <c r="H44" i="24"/>
  <c r="AU43" i="24"/>
  <c r="AT43" i="24"/>
  <c r="AC43" i="24"/>
  <c r="AB43" i="24"/>
  <c r="I43" i="24"/>
  <c r="H43" i="24"/>
  <c r="AU42" i="24"/>
  <c r="AT42" i="24"/>
  <c r="AC42" i="24"/>
  <c r="AB42" i="24"/>
  <c r="I42" i="24"/>
  <c r="H42" i="24"/>
  <c r="AU41" i="24"/>
  <c r="AT41" i="24"/>
  <c r="AC41" i="24"/>
  <c r="AB41" i="24"/>
  <c r="I41" i="24"/>
  <c r="H41" i="24"/>
  <c r="AU40" i="24"/>
  <c r="AT40" i="24"/>
  <c r="AC40" i="24"/>
  <c r="AB40" i="24"/>
  <c r="I40" i="24"/>
  <c r="H40" i="24"/>
  <c r="AU39" i="24"/>
  <c r="AT39" i="24"/>
  <c r="AC39" i="24"/>
  <c r="AB39" i="24"/>
  <c r="I39" i="24"/>
  <c r="H39" i="24"/>
  <c r="AU38" i="24"/>
  <c r="AT38" i="24"/>
  <c r="AC38" i="24"/>
  <c r="AB38" i="24"/>
  <c r="I38" i="24"/>
  <c r="H38" i="24"/>
  <c r="AU37" i="24"/>
  <c r="AT37" i="24"/>
  <c r="AC37" i="24"/>
  <c r="AB37" i="24"/>
  <c r="I37" i="24"/>
  <c r="H37" i="24"/>
  <c r="AU36" i="24"/>
  <c r="AT36" i="24"/>
  <c r="AC36" i="24"/>
  <c r="AB36" i="24"/>
  <c r="I36" i="24"/>
  <c r="H36" i="24"/>
  <c r="AU35" i="24"/>
  <c r="AT35" i="24"/>
  <c r="AC35" i="24"/>
  <c r="AB35" i="24"/>
  <c r="I35" i="24"/>
  <c r="H35" i="24"/>
  <c r="AU34" i="24"/>
  <c r="AT34" i="24"/>
  <c r="AC34" i="24"/>
  <c r="AB34" i="24"/>
  <c r="I34" i="24"/>
  <c r="H34" i="24"/>
  <c r="AU33" i="24"/>
  <c r="AT33" i="24"/>
  <c r="AC33" i="24"/>
  <c r="AB33" i="24"/>
  <c r="I33" i="24"/>
  <c r="H33" i="24"/>
  <c r="AU32" i="24"/>
  <c r="AT32" i="24"/>
  <c r="AC32" i="24"/>
  <c r="AB32" i="24"/>
  <c r="I32" i="24"/>
  <c r="H32" i="24"/>
  <c r="AU31" i="24"/>
  <c r="AT31" i="24"/>
  <c r="AC31" i="24"/>
  <c r="AB31" i="24"/>
  <c r="I31" i="24"/>
  <c r="H31" i="24"/>
  <c r="AU30" i="24"/>
  <c r="AT30" i="24"/>
  <c r="AC30" i="24"/>
  <c r="AB30" i="24"/>
  <c r="I30" i="24"/>
  <c r="H30" i="24"/>
  <c r="AU29" i="24"/>
  <c r="AT29" i="24"/>
  <c r="AC29" i="24"/>
  <c r="AB29" i="24"/>
  <c r="I29" i="24"/>
  <c r="H29" i="24"/>
  <c r="AU28" i="24"/>
  <c r="AT28" i="24"/>
  <c r="AC28" i="24"/>
  <c r="AB28" i="24"/>
  <c r="I28" i="24"/>
  <c r="H28" i="24"/>
  <c r="AU27" i="24"/>
  <c r="AT27" i="24"/>
  <c r="AC27" i="24"/>
  <c r="AB27" i="24"/>
  <c r="I27" i="24"/>
  <c r="H27" i="24"/>
  <c r="AU26" i="24"/>
  <c r="AT26" i="24"/>
  <c r="AC26" i="24"/>
  <c r="AB26" i="24"/>
  <c r="I26" i="24"/>
  <c r="H26" i="24"/>
  <c r="AU25" i="24"/>
  <c r="AT25" i="24"/>
  <c r="AC25" i="24"/>
  <c r="AB25" i="24"/>
  <c r="I25" i="24"/>
  <c r="H25" i="24"/>
  <c r="AU24" i="24"/>
  <c r="AT24" i="24"/>
  <c r="AC24" i="24"/>
  <c r="AB24" i="24"/>
  <c r="I24" i="24"/>
  <c r="H24" i="24"/>
  <c r="AU23" i="24"/>
  <c r="AT23" i="24"/>
  <c r="AC23" i="24"/>
  <c r="AB23" i="24"/>
  <c r="I23" i="24"/>
  <c r="H23" i="24"/>
  <c r="AU22" i="24"/>
  <c r="AT22" i="24"/>
  <c r="AC22" i="24"/>
  <c r="AB22" i="24"/>
  <c r="I22" i="24"/>
  <c r="H22" i="24"/>
  <c r="AU21" i="24"/>
  <c r="AT21" i="24"/>
  <c r="AC21" i="24"/>
  <c r="AB21" i="24"/>
  <c r="I21" i="24"/>
  <c r="H21" i="24"/>
  <c r="AU20" i="24"/>
  <c r="AT20" i="24"/>
  <c r="AC20" i="24"/>
  <c r="AB20" i="24"/>
  <c r="I20" i="24"/>
  <c r="H20" i="24"/>
  <c r="AU19" i="24"/>
  <c r="AT19" i="24"/>
  <c r="AC19" i="24"/>
  <c r="AB19" i="24"/>
  <c r="I19" i="24"/>
  <c r="H19" i="24"/>
  <c r="AU18" i="24"/>
  <c r="AT18" i="24"/>
  <c r="AC18" i="24"/>
  <c r="AB18" i="24"/>
  <c r="I18" i="24"/>
  <c r="H18" i="24"/>
  <c r="AU17" i="24"/>
  <c r="AT17" i="24"/>
  <c r="AC17" i="24"/>
  <c r="AB17" i="24"/>
  <c r="I17" i="24"/>
  <c r="H17" i="24"/>
  <c r="AU16" i="24"/>
  <c r="AT16" i="24"/>
  <c r="AC16" i="24"/>
  <c r="AB16" i="24"/>
  <c r="I16" i="24"/>
  <c r="H16" i="24"/>
  <c r="AU15" i="24"/>
  <c r="AT15" i="24"/>
  <c r="AC15" i="24"/>
  <c r="AB15" i="24"/>
  <c r="I15" i="24"/>
  <c r="H15" i="24"/>
  <c r="AU14" i="24"/>
  <c r="AT14" i="24"/>
  <c r="AC14" i="24"/>
  <c r="AB14" i="24"/>
  <c r="I14" i="24"/>
  <c r="H14" i="24"/>
  <c r="AU13" i="24"/>
  <c r="AT13" i="24"/>
  <c r="AC13" i="24"/>
  <c r="AB13" i="24"/>
  <c r="I13" i="24"/>
  <c r="H13" i="24"/>
  <c r="AU12" i="24"/>
  <c r="AT12" i="24"/>
  <c r="AC12" i="24"/>
  <c r="AB12" i="24"/>
  <c r="I12" i="24"/>
  <c r="H12" i="24"/>
  <c r="AU11" i="24"/>
  <c r="AT11" i="24"/>
  <c r="AC11" i="24"/>
  <c r="AB11" i="24"/>
  <c r="I11" i="24"/>
  <c r="H11" i="24"/>
  <c r="AU10" i="24"/>
  <c r="AT10" i="24"/>
  <c r="AC10" i="24"/>
  <c r="AB10" i="24"/>
  <c r="I10" i="24"/>
  <c r="H10" i="24"/>
  <c r="AU9" i="24"/>
  <c r="AT9" i="24"/>
  <c r="AC9" i="24"/>
  <c r="AB9" i="24"/>
  <c r="I9" i="24"/>
  <c r="H9" i="24"/>
  <c r="AX8" i="24"/>
  <c r="AW8" i="24"/>
  <c r="AV8" i="24"/>
  <c r="AU8" i="24"/>
  <c r="AT8" i="24"/>
  <c r="AF8" i="24"/>
  <c r="AE8" i="24"/>
  <c r="AD8" i="24"/>
  <c r="AC8" i="24"/>
  <c r="AB8" i="24"/>
  <c r="M8" i="24"/>
  <c r="L8" i="24"/>
  <c r="K8" i="24"/>
  <c r="I8" i="24"/>
  <c r="H8" i="24"/>
  <c r="AX7" i="24"/>
  <c r="AW7" i="24"/>
  <c r="AV7" i="24"/>
  <c r="AF7" i="24"/>
  <c r="AE7" i="24"/>
  <c r="AD7" i="24"/>
  <c r="M7" i="24"/>
  <c r="L7" i="24"/>
  <c r="K7" i="24"/>
  <c r="AX6" i="24"/>
  <c r="AW6" i="24"/>
  <c r="AV6" i="24"/>
  <c r="AF6" i="24"/>
  <c r="AE6" i="24"/>
  <c r="AD6" i="24"/>
  <c r="M6" i="24"/>
  <c r="L6" i="24"/>
  <c r="K6" i="24"/>
  <c r="F15" i="21"/>
  <c r="C8" i="21"/>
  <c r="G6" i="21"/>
  <c r="G7" i="21" s="1"/>
  <c r="G8" i="21" s="1"/>
  <c r="G9" i="21" s="1"/>
  <c r="G10" i="21" s="1"/>
  <c r="G11" i="21" s="1"/>
  <c r="G12" i="21" s="1"/>
  <c r="A6" i="21"/>
  <c r="A7" i="21" s="1"/>
  <c r="A8" i="21" s="1"/>
  <c r="A9" i="21" s="1"/>
  <c r="A10" i="21" s="1"/>
  <c r="A11" i="21" s="1"/>
  <c r="A12" i="21" s="1"/>
  <c r="C6" i="21"/>
  <c r="C396" i="22"/>
  <c r="C397" i="22"/>
  <c r="C398" i="22"/>
  <c r="C399" i="22"/>
  <c r="C400" i="22"/>
  <c r="C401" i="22"/>
  <c r="C402" i="22"/>
  <c r="C403" i="22"/>
  <c r="C404" i="22"/>
  <c r="C405" i="22"/>
  <c r="C406" i="22"/>
  <c r="C407" i="22"/>
  <c r="C408" i="22"/>
  <c r="C409" i="22"/>
  <c r="C410" i="22"/>
  <c r="C411" i="22"/>
  <c r="C412" i="22"/>
  <c r="C413" i="22"/>
  <c r="C414" i="22"/>
  <c r="C415" i="22"/>
  <c r="C416" i="22"/>
  <c r="C417" i="22"/>
  <c r="C418" i="22"/>
  <c r="C419" i="22"/>
  <c r="C420" i="22"/>
  <c r="C421" i="22"/>
  <c r="C422" i="22"/>
  <c r="C423" i="22"/>
  <c r="C424" i="22"/>
  <c r="C425" i="22"/>
  <c r="C426" i="22"/>
  <c r="C427" i="22"/>
  <c r="C428" i="22"/>
  <c r="C429" i="22"/>
  <c r="C430" i="22"/>
  <c r="C431" i="22"/>
  <c r="C432" i="22"/>
  <c r="C433" i="22"/>
  <c r="C434" i="22"/>
  <c r="C435" i="22"/>
  <c r="C436" i="22"/>
  <c r="C437" i="22"/>
  <c r="C438" i="22"/>
  <c r="C439" i="22"/>
  <c r="C440" i="22"/>
  <c r="C441" i="22"/>
  <c r="C442" i="22"/>
  <c r="C443" i="22"/>
  <c r="C444" i="22"/>
  <c r="C445" i="22"/>
  <c r="C446" i="22"/>
  <c r="C447" i="22"/>
  <c r="C448" i="22"/>
  <c r="C449" i="22"/>
  <c r="C450" i="22"/>
  <c r="C451" i="22"/>
  <c r="C452" i="22"/>
  <c r="C453" i="22"/>
  <c r="C454" i="22"/>
  <c r="C455" i="22"/>
  <c r="C456" i="22"/>
  <c r="C457" i="22"/>
  <c r="C458" i="22"/>
  <c r="C459" i="22"/>
  <c r="C460" i="22"/>
  <c r="C461" i="22"/>
  <c r="C462" i="22"/>
  <c r="C463" i="22"/>
  <c r="C464" i="22"/>
  <c r="C465" i="22"/>
  <c r="C466" i="22"/>
  <c r="C467" i="22"/>
  <c r="C468" i="22"/>
  <c r="C469" i="22"/>
  <c r="C470" i="22"/>
  <c r="C471" i="22"/>
  <c r="C472" i="22"/>
  <c r="C473" i="22"/>
  <c r="C474" i="22"/>
  <c r="C475" i="22"/>
  <c r="C476" i="22"/>
  <c r="C477" i="22"/>
  <c r="C478" i="22"/>
  <c r="C479" i="22"/>
  <c r="C480" i="22"/>
  <c r="C481" i="22"/>
  <c r="C482" i="22"/>
  <c r="C483" i="22"/>
  <c r="C484" i="22"/>
  <c r="C485" i="22"/>
  <c r="C486" i="22"/>
  <c r="C487" i="22"/>
  <c r="C488" i="22"/>
  <c r="C489" i="22"/>
  <c r="C490" i="22"/>
  <c r="C491" i="22"/>
  <c r="C492" i="22"/>
  <c r="C493" i="22"/>
  <c r="C494" i="22"/>
  <c r="C495" i="22"/>
  <c r="C496" i="22"/>
  <c r="C497" i="22"/>
  <c r="C498" i="22"/>
  <c r="C499" i="22"/>
  <c r="C500" i="22"/>
  <c r="C501" i="22"/>
  <c r="C502" i="22"/>
  <c r="C503" i="22"/>
  <c r="C504" i="22"/>
  <c r="C505" i="22"/>
  <c r="C506" i="22"/>
  <c r="C507" i="22"/>
  <c r="C508" i="22"/>
  <c r="C509" i="22"/>
  <c r="C510" i="22"/>
  <c r="C511" i="22"/>
  <c r="C512" i="22"/>
  <c r="C513" i="22"/>
  <c r="C514" i="22"/>
  <c r="C515" i="22"/>
  <c r="C516" i="22"/>
  <c r="C517" i="22"/>
  <c r="C518" i="22"/>
  <c r="C519" i="22"/>
  <c r="C520" i="22"/>
  <c r="C521" i="22"/>
  <c r="C522" i="22"/>
  <c r="C523" i="22"/>
  <c r="C524" i="22"/>
  <c r="C525" i="22"/>
  <c r="C526" i="22"/>
  <c r="C527" i="22"/>
  <c r="C528" i="22"/>
  <c r="C529" i="22"/>
  <c r="C530" i="22"/>
  <c r="C531" i="22"/>
  <c r="C532" i="22"/>
  <c r="C533" i="22"/>
  <c r="C534" i="22"/>
  <c r="C535" i="22"/>
  <c r="C536" i="22"/>
  <c r="C537" i="22"/>
  <c r="C538" i="22"/>
  <c r="C539" i="22"/>
  <c r="C540" i="22"/>
  <c r="C541" i="22"/>
  <c r="C542" i="22"/>
  <c r="C543" i="22"/>
  <c r="C544" i="22"/>
  <c r="C545" i="22"/>
  <c r="C546" i="22"/>
  <c r="C547" i="22"/>
  <c r="C548" i="22"/>
  <c r="C549" i="22"/>
  <c r="C550" i="22"/>
  <c r="C551" i="22"/>
  <c r="C552" i="22"/>
  <c r="C553" i="22"/>
  <c r="C554" i="22"/>
  <c r="C555" i="22"/>
  <c r="C556" i="22"/>
  <c r="C557" i="22"/>
  <c r="C558" i="22"/>
  <c r="C559" i="22"/>
  <c r="C560" i="22"/>
  <c r="C561" i="22"/>
  <c r="C562" i="22"/>
  <c r="C563" i="22"/>
  <c r="C564" i="22"/>
  <c r="C565" i="22"/>
  <c r="C566" i="22"/>
  <c r="C567" i="22"/>
  <c r="C568" i="22"/>
  <c r="C569" i="22"/>
  <c r="C570" i="22"/>
  <c r="C571" i="22"/>
  <c r="C572" i="22"/>
  <c r="C573" i="22"/>
  <c r="C574" i="22"/>
  <c r="C575" i="22"/>
  <c r="C576" i="22"/>
  <c r="C577" i="22"/>
  <c r="C578" i="22"/>
  <c r="C579" i="22"/>
  <c r="C580" i="22"/>
  <c r="C581" i="22"/>
  <c r="C582" i="22"/>
  <c r="C583" i="22"/>
  <c r="C584" i="22"/>
  <c r="C585" i="22"/>
  <c r="C586" i="22"/>
  <c r="C587" i="22"/>
  <c r="C588" i="22"/>
  <c r="C589" i="22"/>
  <c r="C590" i="22"/>
  <c r="C591" i="22"/>
  <c r="C592" i="22"/>
  <c r="C593" i="22"/>
  <c r="C594" i="22"/>
  <c r="C595" i="22"/>
  <c r="C596" i="22"/>
  <c r="C597" i="22"/>
  <c r="C598" i="22"/>
  <c r="C599" i="22"/>
  <c r="C600" i="22"/>
  <c r="C601" i="22"/>
  <c r="C602" i="22"/>
  <c r="C603" i="22"/>
  <c r="C604" i="22"/>
  <c r="C605" i="22"/>
  <c r="C606" i="22"/>
  <c r="C607" i="22"/>
  <c r="C608" i="22"/>
  <c r="C609" i="22"/>
  <c r="C610" i="22"/>
  <c r="C611" i="22"/>
  <c r="C612" i="22"/>
  <c r="C613" i="22"/>
  <c r="C614" i="22"/>
  <c r="C615" i="22"/>
  <c r="C616" i="22"/>
  <c r="C617" i="22"/>
  <c r="C618" i="22"/>
  <c r="C619" i="22"/>
  <c r="C620" i="22"/>
  <c r="C621" i="22"/>
  <c r="C622" i="22"/>
  <c r="C623" i="22"/>
  <c r="C624" i="22"/>
  <c r="C625" i="22"/>
  <c r="C626" i="22"/>
  <c r="C627" i="22"/>
  <c r="C628" i="22"/>
  <c r="C629" i="22"/>
  <c r="C630" i="22"/>
  <c r="C631" i="22"/>
  <c r="C632" i="22"/>
  <c r="C633" i="22"/>
  <c r="C634" i="22"/>
  <c r="C635" i="22"/>
  <c r="C636" i="22"/>
  <c r="C637" i="22"/>
  <c r="C638" i="22"/>
  <c r="C639" i="22"/>
  <c r="C640" i="22"/>
  <c r="C641" i="22"/>
  <c r="C642" i="22"/>
  <c r="C643" i="22"/>
  <c r="C644" i="22"/>
  <c r="C645" i="22"/>
  <c r="C646" i="22"/>
  <c r="C647" i="22"/>
  <c r="C648" i="22"/>
  <c r="C649" i="22"/>
  <c r="C650" i="22"/>
  <c r="C651" i="22"/>
  <c r="C652" i="22"/>
  <c r="C653" i="22"/>
  <c r="C654" i="22"/>
  <c r="C655" i="22"/>
  <c r="C656" i="22"/>
  <c r="C657" i="22"/>
  <c r="C658" i="22"/>
  <c r="C659" i="22"/>
  <c r="C660" i="22"/>
  <c r="C661" i="22"/>
  <c r="C662" i="22"/>
  <c r="C663" i="22"/>
  <c r="C664" i="22"/>
  <c r="C665" i="22"/>
  <c r="C666" i="22"/>
  <c r="C667" i="22"/>
  <c r="C668" i="22"/>
  <c r="C669" i="22"/>
  <c r="C670" i="22"/>
  <c r="C671" i="22"/>
  <c r="C672" i="22"/>
  <c r="C673" i="22"/>
  <c r="C674" i="22"/>
  <c r="C675" i="22"/>
  <c r="C676" i="22"/>
  <c r="C677" i="22"/>
  <c r="C678" i="22"/>
  <c r="C679" i="22"/>
  <c r="C680" i="22"/>
  <c r="C681" i="22"/>
  <c r="C682" i="22"/>
  <c r="C683" i="22"/>
  <c r="C684" i="22"/>
  <c r="C685" i="22"/>
  <c r="C686" i="22"/>
  <c r="C687" i="22"/>
  <c r="C688" i="22"/>
  <c r="C689" i="22"/>
  <c r="C690" i="22"/>
  <c r="C691" i="22"/>
  <c r="C692" i="22"/>
  <c r="C693" i="22"/>
  <c r="C694" i="22"/>
  <c r="C695" i="22"/>
  <c r="C696" i="22"/>
  <c r="C697" i="22"/>
  <c r="C698" i="22"/>
  <c r="C699" i="22"/>
  <c r="C700" i="22"/>
  <c r="C701" i="22"/>
  <c r="C702" i="22"/>
  <c r="C703" i="22"/>
  <c r="C704" i="22"/>
  <c r="C705" i="22"/>
  <c r="C706" i="22"/>
  <c r="C707" i="22"/>
  <c r="C708" i="22"/>
  <c r="C709" i="22"/>
  <c r="C710" i="22"/>
  <c r="C711" i="22"/>
  <c r="C712" i="22"/>
  <c r="C713" i="22"/>
  <c r="C714" i="22"/>
  <c r="C715" i="22"/>
  <c r="C716" i="22"/>
  <c r="C717" i="22"/>
  <c r="C718" i="22"/>
  <c r="C719" i="22"/>
  <c r="C720" i="22"/>
  <c r="C721" i="22"/>
  <c r="C722" i="22"/>
  <c r="C723" i="22"/>
  <c r="C724" i="22"/>
  <c r="C725" i="22"/>
  <c r="C726" i="22"/>
  <c r="C727" i="22"/>
  <c r="C728" i="22"/>
  <c r="C729" i="22"/>
  <c r="C730" i="22"/>
  <c r="C731" i="22"/>
  <c r="C732" i="22"/>
  <c r="C733" i="22"/>
  <c r="C734" i="22"/>
  <c r="C735" i="22"/>
  <c r="C736" i="22"/>
  <c r="C737" i="22"/>
  <c r="C738" i="22"/>
  <c r="C739" i="22"/>
  <c r="C740" i="22"/>
  <c r="C741" i="22"/>
  <c r="C742" i="22"/>
  <c r="C743" i="22"/>
  <c r="C744" i="22"/>
  <c r="C745" i="22"/>
  <c r="C746" i="22"/>
  <c r="C747" i="22"/>
  <c r="C748" i="22"/>
  <c r="C749" i="22"/>
  <c r="C750" i="22"/>
  <c r="C751" i="22"/>
  <c r="C752" i="22"/>
  <c r="C753" i="22"/>
  <c r="C754" i="22"/>
  <c r="C755" i="22"/>
  <c r="C756" i="22"/>
  <c r="C757" i="22"/>
  <c r="C758" i="22"/>
  <c r="C759" i="22"/>
  <c r="C760" i="22"/>
  <c r="C761" i="22"/>
  <c r="C762" i="22"/>
  <c r="C763" i="22"/>
  <c r="C764" i="22"/>
  <c r="C765" i="22"/>
  <c r="C766" i="22"/>
  <c r="C767" i="22"/>
  <c r="C768" i="22"/>
  <c r="C769" i="22"/>
  <c r="C770" i="22"/>
  <c r="C771" i="22"/>
  <c r="C772" i="22"/>
  <c r="C773" i="22"/>
  <c r="C774" i="22"/>
  <c r="C775" i="22"/>
  <c r="C776" i="22"/>
  <c r="C777" i="22"/>
  <c r="C778" i="22"/>
  <c r="C779" i="22"/>
  <c r="C780" i="22"/>
  <c r="C781" i="22"/>
  <c r="C782" i="22"/>
  <c r="C783" i="22"/>
  <c r="C784" i="22"/>
  <c r="C785" i="22"/>
  <c r="C786" i="22"/>
  <c r="C787" i="22"/>
  <c r="C788" i="22"/>
  <c r="C789" i="22"/>
  <c r="C790" i="22"/>
  <c r="C791" i="22"/>
  <c r="C792" i="22"/>
  <c r="C793" i="22"/>
  <c r="C794" i="22"/>
  <c r="C795" i="22"/>
  <c r="C796" i="22"/>
  <c r="C797" i="22"/>
  <c r="C798" i="22"/>
  <c r="C799" i="22"/>
  <c r="C800" i="22"/>
  <c r="C801" i="22"/>
  <c r="C802" i="22"/>
  <c r="C803" i="22"/>
  <c r="C804" i="22"/>
  <c r="C805" i="22"/>
  <c r="C806" i="22"/>
  <c r="C807" i="22"/>
  <c r="C808" i="22"/>
  <c r="C809" i="22"/>
  <c r="C810" i="22"/>
  <c r="C811" i="22"/>
  <c r="C812" i="22"/>
  <c r="C813" i="22"/>
  <c r="C814" i="22"/>
  <c r="C815" i="22"/>
  <c r="C816" i="22"/>
  <c r="C817" i="22"/>
  <c r="C818" i="22"/>
  <c r="C819" i="22"/>
  <c r="C820" i="22"/>
  <c r="C821" i="22"/>
  <c r="C822" i="22"/>
  <c r="C823" i="22"/>
  <c r="C824" i="22"/>
  <c r="C825" i="22"/>
  <c r="C826" i="22"/>
  <c r="C827" i="22"/>
  <c r="C828" i="22"/>
  <c r="C829" i="22"/>
  <c r="C830" i="22"/>
  <c r="C831" i="22"/>
  <c r="C832" i="22"/>
  <c r="C833" i="22"/>
  <c r="C834" i="22"/>
  <c r="C835" i="22"/>
  <c r="C836" i="22"/>
  <c r="C837" i="22"/>
  <c r="C838" i="22"/>
  <c r="C839" i="22"/>
  <c r="C840" i="22"/>
  <c r="C841" i="22"/>
  <c r="C842" i="22"/>
  <c r="C843" i="22"/>
  <c r="C844" i="22"/>
  <c r="C845" i="22"/>
  <c r="C846" i="22"/>
  <c r="C847" i="22"/>
  <c r="C848" i="22"/>
  <c r="C849" i="22"/>
  <c r="C850" i="22"/>
  <c r="C851" i="22"/>
  <c r="C852" i="22"/>
  <c r="C853" i="22"/>
  <c r="C854" i="22"/>
  <c r="C855" i="22"/>
  <c r="C856" i="22"/>
  <c r="C857" i="22"/>
  <c r="C858" i="22"/>
  <c r="C859" i="22"/>
  <c r="C860" i="22"/>
  <c r="C861" i="22"/>
  <c r="C862" i="22"/>
  <c r="C863" i="22"/>
  <c r="C864" i="22"/>
  <c r="C865" i="22"/>
  <c r="C866" i="22"/>
  <c r="C867" i="22"/>
  <c r="C868" i="22"/>
  <c r="C869" i="22"/>
  <c r="C870" i="22"/>
  <c r="C871" i="22"/>
  <c r="C872" i="22"/>
  <c r="C873" i="22"/>
  <c r="C874" i="22"/>
  <c r="C875" i="22"/>
  <c r="C876" i="22"/>
  <c r="C877" i="22"/>
  <c r="C878" i="22"/>
  <c r="C879" i="22"/>
  <c r="C880" i="22"/>
  <c r="C881" i="22"/>
  <c r="C882" i="22"/>
  <c r="C883" i="22"/>
  <c r="C884" i="22"/>
  <c r="C885" i="22"/>
  <c r="C886" i="22"/>
  <c r="C887" i="22"/>
  <c r="C888" i="22"/>
  <c r="C889" i="22"/>
  <c r="C890" i="22"/>
  <c r="C891" i="22"/>
  <c r="C892" i="22"/>
  <c r="C893" i="22"/>
  <c r="C894" i="22"/>
  <c r="C895" i="22"/>
  <c r="C896" i="22"/>
  <c r="C897" i="22"/>
  <c r="C898" i="22"/>
  <c r="C899" i="22"/>
  <c r="C900" i="22"/>
  <c r="C901" i="22"/>
  <c r="C902" i="22"/>
  <c r="C903" i="22"/>
  <c r="C904" i="22"/>
  <c r="C905" i="22"/>
  <c r="C906" i="22"/>
  <c r="C907" i="22"/>
  <c r="C908" i="22"/>
  <c r="C909" i="22"/>
  <c r="C910" i="22"/>
  <c r="C911" i="22"/>
  <c r="C912" i="22"/>
  <c r="C913" i="22"/>
  <c r="C914" i="22"/>
  <c r="C915" i="22"/>
  <c r="C916" i="22"/>
  <c r="C917" i="22"/>
  <c r="C918" i="22"/>
  <c r="C919" i="22"/>
  <c r="C920" i="22"/>
  <c r="C921" i="22"/>
  <c r="C922" i="22"/>
  <c r="C923" i="22"/>
  <c r="C924" i="22"/>
  <c r="C925" i="22"/>
  <c r="C926" i="22"/>
  <c r="C927" i="22"/>
  <c r="C928" i="22"/>
  <c r="C929" i="22"/>
  <c r="C930" i="22"/>
  <c r="C931" i="22"/>
  <c r="C932" i="22"/>
  <c r="C933" i="22"/>
  <c r="C934" i="22"/>
  <c r="C935" i="22"/>
  <c r="C936" i="22"/>
  <c r="C937" i="22"/>
  <c r="C938" i="22"/>
  <c r="C939" i="22"/>
  <c r="C940" i="22"/>
  <c r="C941" i="22"/>
  <c r="C942" i="22"/>
  <c r="C943" i="22"/>
  <c r="C944" i="22"/>
  <c r="C945" i="22"/>
  <c r="C946" i="22"/>
  <c r="C947" i="22"/>
  <c r="C948" i="22"/>
  <c r="C949" i="22"/>
  <c r="C950" i="22"/>
  <c r="C951" i="22"/>
  <c r="C952" i="22"/>
  <c r="C953" i="22"/>
  <c r="C954" i="22"/>
  <c r="C955" i="22"/>
  <c r="C956" i="22"/>
  <c r="C957" i="22"/>
  <c r="C958" i="22"/>
  <c r="C959" i="22"/>
  <c r="C960" i="22"/>
  <c r="C961" i="22"/>
  <c r="C962" i="22"/>
  <c r="C963" i="22"/>
  <c r="C964" i="22"/>
  <c r="C965" i="22"/>
  <c r="C966" i="22"/>
  <c r="C967" i="22"/>
  <c r="C968" i="22"/>
  <c r="C969" i="22"/>
  <c r="C970" i="22"/>
  <c r="C971" i="22"/>
  <c r="C972" i="22"/>
  <c r="C973" i="22"/>
  <c r="C974" i="22"/>
  <c r="C975" i="22"/>
  <c r="C976" i="22"/>
  <c r="C977" i="22"/>
  <c r="C978" i="22"/>
  <c r="C979" i="22"/>
  <c r="C980" i="22"/>
  <c r="C981" i="22"/>
  <c r="C982" i="22"/>
  <c r="C983" i="22"/>
  <c r="C984" i="22"/>
  <c r="C985" i="22"/>
  <c r="C986" i="22"/>
  <c r="C987" i="22"/>
  <c r="C988" i="22"/>
  <c r="C989" i="22"/>
  <c r="C990" i="22"/>
  <c r="C991" i="22"/>
  <c r="C992" i="22"/>
  <c r="C993" i="22"/>
  <c r="C994" i="22"/>
  <c r="C995" i="22"/>
  <c r="C996" i="22"/>
  <c r="C997" i="22"/>
  <c r="C998" i="22"/>
  <c r="C999" i="22"/>
  <c r="C1000" i="22"/>
  <c r="C1001" i="22"/>
  <c r="C1002" i="22"/>
  <c r="C1003" i="22"/>
  <c r="C1004" i="22"/>
  <c r="C1005" i="22"/>
  <c r="C1006" i="22"/>
  <c r="C1007" i="22"/>
  <c r="C1008" i="22"/>
  <c r="C1009" i="22"/>
  <c r="C1010" i="22"/>
  <c r="C1011" i="22"/>
  <c r="C1012" i="22"/>
  <c r="C1013" i="22"/>
  <c r="C1014" i="22"/>
  <c r="C1015" i="22"/>
  <c r="C1016" i="22"/>
  <c r="C1017" i="22"/>
  <c r="C1018" i="22"/>
  <c r="C1019" i="22"/>
  <c r="C1020" i="22"/>
  <c r="C1021" i="22"/>
  <c r="C1022" i="22"/>
  <c r="C1023" i="22"/>
  <c r="C1024" i="22"/>
  <c r="C1025" i="22"/>
  <c r="C1026" i="22"/>
  <c r="C1027" i="22"/>
  <c r="C1028" i="22"/>
  <c r="C1029" i="22"/>
  <c r="C1030" i="22"/>
  <c r="C1031" i="22"/>
  <c r="C1032" i="22"/>
  <c r="C1033" i="22"/>
  <c r="C1034" i="22"/>
  <c r="C1035" i="22"/>
  <c r="C1036" i="22"/>
  <c r="C1037" i="22"/>
  <c r="C1038" i="22"/>
  <c r="C1039" i="22"/>
  <c r="C1040" i="22"/>
  <c r="C1041" i="22"/>
  <c r="C1042" i="22"/>
  <c r="C1043" i="22"/>
  <c r="C1044" i="22"/>
  <c r="C1045" i="22"/>
  <c r="C1046" i="22"/>
  <c r="C1047" i="22"/>
  <c r="C1048" i="22"/>
  <c r="C1049" i="22"/>
  <c r="C1050" i="22"/>
  <c r="C1051" i="22"/>
  <c r="C1052" i="22"/>
  <c r="C1053" i="22"/>
  <c r="C1054" i="22"/>
  <c r="C1055" i="22"/>
  <c r="C1056" i="22"/>
  <c r="C1057" i="22"/>
  <c r="C1058" i="22"/>
  <c r="C1059" i="22"/>
  <c r="C1060" i="22"/>
  <c r="C1061" i="22"/>
  <c r="C1062" i="22"/>
  <c r="C1063" i="22"/>
  <c r="C1064" i="22"/>
  <c r="C1065" i="22"/>
  <c r="C1066" i="22"/>
  <c r="C1067" i="22"/>
  <c r="C1068" i="22"/>
  <c r="C1069" i="22"/>
  <c r="C1070" i="22"/>
  <c r="C1071" i="22"/>
  <c r="C1072" i="22"/>
  <c r="C1073" i="22"/>
  <c r="C1074" i="22"/>
  <c r="C1075" i="22"/>
  <c r="C1076" i="22"/>
  <c r="C1077" i="22"/>
  <c r="C1078" i="22"/>
  <c r="C1079" i="22"/>
  <c r="C1080" i="22"/>
  <c r="C1081" i="22"/>
  <c r="C1082" i="22"/>
  <c r="C1083" i="22"/>
  <c r="C1084" i="22"/>
  <c r="C1085" i="22"/>
  <c r="C1086" i="22"/>
  <c r="C1087" i="22"/>
  <c r="C1088" i="22"/>
  <c r="C1089" i="22"/>
  <c r="C1090" i="22"/>
  <c r="C1091" i="22"/>
  <c r="C1092" i="22"/>
  <c r="C1093" i="22"/>
  <c r="C1094" i="22"/>
  <c r="C1095" i="22"/>
  <c r="C1096" i="22"/>
  <c r="C1097" i="22"/>
  <c r="C1098" i="22"/>
  <c r="C1099" i="22"/>
  <c r="C1100" i="22"/>
  <c r="C1101" i="22"/>
  <c r="C1102" i="22"/>
  <c r="C1103" i="22"/>
  <c r="C1104" i="22"/>
  <c r="C1105" i="22"/>
  <c r="C1106" i="22"/>
  <c r="C1107" i="22"/>
  <c r="C1108" i="22"/>
  <c r="C1109" i="22"/>
  <c r="C1110" i="22"/>
  <c r="C1111" i="22"/>
  <c r="C1112" i="22"/>
  <c r="C1113" i="22"/>
  <c r="C1114" i="22"/>
  <c r="C1115" i="22"/>
  <c r="C1116" i="22"/>
  <c r="C1117" i="22"/>
  <c r="C1118" i="22"/>
  <c r="C1119" i="22"/>
  <c r="C1120" i="22"/>
  <c r="C1121" i="22"/>
  <c r="C1122" i="22"/>
  <c r="C1123" i="22"/>
  <c r="C1124" i="22"/>
  <c r="C1125" i="22"/>
  <c r="C1126" i="22"/>
  <c r="C1127" i="22"/>
  <c r="C1128" i="22"/>
  <c r="C1129" i="22"/>
  <c r="C1130" i="22"/>
  <c r="C1131" i="22"/>
  <c r="C1132" i="22"/>
  <c r="C1133" i="22"/>
  <c r="C1134" i="22"/>
  <c r="C1135" i="22"/>
  <c r="C1136" i="22"/>
  <c r="C1137" i="22"/>
  <c r="C1138" i="22"/>
  <c r="C1139" i="22"/>
  <c r="C395" i="22"/>
  <c r="C394" i="22"/>
  <c r="C393" i="22"/>
  <c r="C392" i="22"/>
  <c r="C391" i="22"/>
  <c r="C390" i="22"/>
  <c r="C389" i="22"/>
  <c r="C388" i="22"/>
  <c r="C387" i="22"/>
  <c r="C386" i="22"/>
  <c r="C385" i="22"/>
  <c r="C384" i="22"/>
  <c r="C383" i="22"/>
  <c r="C382" i="22"/>
  <c r="C381" i="22"/>
  <c r="C380" i="22"/>
  <c r="C379" i="22"/>
  <c r="C378" i="22"/>
  <c r="C377" i="22"/>
  <c r="C376" i="22"/>
  <c r="C375" i="22"/>
  <c r="C374" i="22"/>
  <c r="C373" i="22"/>
  <c r="C372" i="22"/>
  <c r="C371" i="22"/>
  <c r="C370" i="22"/>
  <c r="C369" i="22"/>
  <c r="C368" i="22"/>
  <c r="C367" i="22"/>
  <c r="C366" i="22"/>
  <c r="C365" i="22"/>
  <c r="C364" i="22"/>
  <c r="C363" i="22"/>
  <c r="C362" i="22"/>
  <c r="C361" i="22"/>
  <c r="C360" i="22"/>
  <c r="C359" i="22"/>
  <c r="C358" i="22"/>
  <c r="C357" i="22"/>
  <c r="C356" i="22"/>
  <c r="C355" i="22"/>
  <c r="C354" i="22"/>
  <c r="C353" i="22"/>
  <c r="C352" i="22"/>
  <c r="C351" i="22"/>
  <c r="C350" i="22"/>
  <c r="C349" i="22"/>
  <c r="C348" i="22"/>
  <c r="C347" i="22"/>
  <c r="C346" i="22"/>
  <c r="C345" i="22"/>
  <c r="C344" i="22"/>
  <c r="C343" i="22"/>
  <c r="C342" i="22"/>
  <c r="C341" i="22"/>
  <c r="C340" i="22"/>
  <c r="C339" i="22"/>
  <c r="C338" i="22"/>
  <c r="C337" i="22"/>
  <c r="C336" i="22"/>
  <c r="C335" i="22"/>
  <c r="C334" i="22"/>
  <c r="C333" i="22"/>
  <c r="C332" i="22"/>
  <c r="C331" i="22"/>
  <c r="C330" i="22"/>
  <c r="C329" i="22"/>
  <c r="C328" i="22"/>
  <c r="C327" i="22"/>
  <c r="C326" i="22"/>
  <c r="C325" i="22"/>
  <c r="C324" i="22"/>
  <c r="C323" i="22"/>
  <c r="C322" i="22"/>
  <c r="C321" i="22"/>
  <c r="C320" i="22"/>
  <c r="C319" i="22"/>
  <c r="C318" i="22"/>
  <c r="C317" i="22"/>
  <c r="C316" i="22"/>
  <c r="C315" i="22"/>
  <c r="C314" i="22"/>
  <c r="C313" i="22"/>
  <c r="C312" i="22"/>
  <c r="C311" i="22"/>
  <c r="C310" i="22"/>
  <c r="C309" i="22"/>
  <c r="C308" i="22"/>
  <c r="C307" i="22"/>
  <c r="C306" i="22"/>
  <c r="C305" i="22"/>
  <c r="C304" i="22"/>
  <c r="C303" i="22"/>
  <c r="C302" i="22"/>
  <c r="C301" i="22"/>
  <c r="C300" i="22"/>
  <c r="C299" i="22"/>
  <c r="C298" i="22"/>
  <c r="C297" i="22"/>
  <c r="C296" i="22"/>
  <c r="C295" i="22"/>
  <c r="C294" i="22"/>
  <c r="C293" i="22"/>
  <c r="C292" i="22"/>
  <c r="C291" i="22"/>
  <c r="C290" i="22"/>
  <c r="C289" i="22"/>
  <c r="C288" i="22"/>
  <c r="C287" i="22"/>
  <c r="C286" i="22"/>
  <c r="C285" i="22"/>
  <c r="C284" i="22"/>
  <c r="C283" i="22"/>
  <c r="C282" i="22"/>
  <c r="C281" i="22"/>
  <c r="C280" i="22"/>
  <c r="C279" i="22"/>
  <c r="C278" i="22"/>
  <c r="C277" i="22"/>
  <c r="C276" i="22"/>
  <c r="C275" i="22"/>
  <c r="C274" i="22"/>
  <c r="C273" i="22"/>
  <c r="C272" i="22"/>
  <c r="C271" i="22"/>
  <c r="C270" i="22"/>
  <c r="C269" i="22"/>
  <c r="C268" i="22"/>
  <c r="C267" i="22"/>
  <c r="C266" i="22"/>
  <c r="C265" i="22"/>
  <c r="C264" i="22"/>
  <c r="C263" i="22"/>
  <c r="C262" i="22"/>
  <c r="C261" i="22"/>
  <c r="C260" i="22"/>
  <c r="C259" i="22"/>
  <c r="C258" i="22"/>
  <c r="C257" i="22"/>
  <c r="C256" i="22"/>
  <c r="C255" i="22"/>
  <c r="C254" i="22"/>
  <c r="C253" i="22"/>
  <c r="C252" i="22"/>
  <c r="C251" i="22"/>
  <c r="C250" i="22"/>
  <c r="C249" i="22"/>
  <c r="C248" i="22"/>
  <c r="C247" i="22"/>
  <c r="C246" i="22"/>
  <c r="C245" i="22"/>
  <c r="C244" i="22"/>
  <c r="C243" i="22"/>
  <c r="C242" i="22"/>
  <c r="C241" i="22"/>
  <c r="C240" i="22"/>
  <c r="C239" i="22"/>
  <c r="C238" i="22"/>
  <c r="C237" i="22"/>
  <c r="C236" i="22"/>
  <c r="C235" i="22"/>
  <c r="C234" i="22"/>
  <c r="C233" i="22"/>
  <c r="C232" i="22"/>
  <c r="C231" i="22"/>
  <c r="C230" i="22"/>
  <c r="C229" i="22"/>
  <c r="C228" i="22"/>
  <c r="C227" i="22"/>
  <c r="C226" i="22"/>
  <c r="C225" i="22"/>
  <c r="C224" i="22"/>
  <c r="C223" i="22"/>
  <c r="C222" i="22"/>
  <c r="C221" i="22"/>
  <c r="C220" i="22"/>
  <c r="C219" i="22"/>
  <c r="C218" i="22"/>
  <c r="C217" i="22"/>
  <c r="C216" i="22"/>
  <c r="C215" i="22"/>
  <c r="C214" i="22"/>
  <c r="C213" i="22"/>
  <c r="C212" i="22"/>
  <c r="C211" i="22"/>
  <c r="C210" i="22"/>
  <c r="C209" i="22"/>
  <c r="C208" i="22"/>
  <c r="C207" i="22"/>
  <c r="C206" i="22"/>
  <c r="C205" i="22"/>
  <c r="C204" i="22"/>
  <c r="C203" i="22"/>
  <c r="C202" i="22"/>
  <c r="C201" i="22"/>
  <c r="C200" i="22"/>
  <c r="C199" i="22"/>
  <c r="C198" i="22"/>
  <c r="C197" i="22"/>
  <c r="C196" i="22"/>
  <c r="C195" i="22"/>
  <c r="C194" i="22"/>
  <c r="C193" i="22"/>
  <c r="C192" i="22"/>
  <c r="C191" i="22"/>
  <c r="C190" i="22"/>
  <c r="C189" i="22"/>
  <c r="C188" i="22"/>
  <c r="C187" i="22"/>
  <c r="C186" i="22"/>
  <c r="C185" i="22"/>
  <c r="C184" i="22"/>
  <c r="C183" i="22"/>
  <c r="C182" i="22"/>
  <c r="C181" i="22"/>
  <c r="C180" i="22"/>
  <c r="C179" i="22"/>
  <c r="C178" i="22"/>
  <c r="C177" i="22"/>
  <c r="C176" i="22"/>
  <c r="C175" i="22"/>
  <c r="C174" i="22"/>
  <c r="C173" i="22"/>
  <c r="C172" i="22"/>
  <c r="C171" i="22"/>
  <c r="C170" i="22"/>
  <c r="C169" i="22"/>
  <c r="C168" i="22"/>
  <c r="C167" i="22"/>
  <c r="C166" i="22"/>
  <c r="C165" i="22"/>
  <c r="C164" i="22"/>
  <c r="C163" i="22"/>
  <c r="C162" i="22"/>
  <c r="C161" i="22"/>
  <c r="C160" i="22"/>
  <c r="C159" i="22"/>
  <c r="C158" i="22"/>
  <c r="C157" i="22"/>
  <c r="C156" i="22"/>
  <c r="C155" i="22"/>
  <c r="C154" i="22"/>
  <c r="C153" i="22"/>
  <c r="C152" i="22"/>
  <c r="C151" i="22"/>
  <c r="C150" i="22"/>
  <c r="C149" i="22"/>
  <c r="C148" i="22"/>
  <c r="C147" i="22"/>
  <c r="C146" i="22"/>
  <c r="C145" i="22"/>
  <c r="C144" i="22"/>
  <c r="C143" i="22"/>
  <c r="C142" i="22"/>
  <c r="C141" i="22"/>
  <c r="C140" i="22"/>
  <c r="C139" i="22"/>
  <c r="C138" i="22"/>
  <c r="C137" i="22"/>
  <c r="C136" i="22"/>
  <c r="C135" i="22"/>
  <c r="C134" i="22"/>
  <c r="C133" i="22"/>
  <c r="C132" i="22"/>
  <c r="C131" i="22"/>
  <c r="C130" i="22"/>
  <c r="C129" i="22"/>
  <c r="C128" i="22"/>
  <c r="C127" i="22"/>
  <c r="C126" i="22"/>
  <c r="C125" i="22"/>
  <c r="C124" i="22"/>
  <c r="C123" i="22"/>
  <c r="C122" i="22"/>
  <c r="C121" i="22"/>
  <c r="C120" i="22"/>
  <c r="C119" i="22"/>
  <c r="C118" i="22"/>
  <c r="C117" i="22"/>
  <c r="C116" i="22"/>
  <c r="C115" i="22"/>
  <c r="C114" i="22"/>
  <c r="C113" i="22"/>
  <c r="C112" i="22"/>
  <c r="C111" i="22"/>
  <c r="C110" i="22"/>
  <c r="C109" i="22"/>
  <c r="C108" i="22"/>
  <c r="C107" i="22"/>
  <c r="C106" i="22"/>
  <c r="C105" i="22"/>
  <c r="C104" i="22"/>
  <c r="C103" i="22"/>
  <c r="C102" i="22"/>
  <c r="C101" i="22"/>
  <c r="C100" i="22"/>
  <c r="C99" i="22"/>
  <c r="C98" i="22"/>
  <c r="C97" i="22"/>
  <c r="C96" i="22"/>
  <c r="C95" i="22"/>
  <c r="C94" i="22"/>
  <c r="C93" i="22"/>
  <c r="C92" i="22"/>
  <c r="C91" i="22"/>
  <c r="C90" i="22"/>
  <c r="C89" i="22"/>
  <c r="C88" i="22"/>
  <c r="C87" i="22"/>
  <c r="C86" i="22"/>
  <c r="C85" i="22"/>
  <c r="C84" i="22"/>
  <c r="C83" i="22"/>
  <c r="C82" i="22"/>
  <c r="C81" i="22"/>
  <c r="C80" i="22"/>
  <c r="C79" i="22"/>
  <c r="C78" i="22"/>
  <c r="C77" i="22"/>
  <c r="C76" i="22"/>
  <c r="C75" i="22"/>
  <c r="C74" i="22"/>
  <c r="C73" i="22"/>
  <c r="C72" i="22"/>
  <c r="C71" i="22"/>
  <c r="C70" i="22"/>
  <c r="C69" i="22"/>
  <c r="C68" i="22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AN144" i="7"/>
  <c r="AO144" i="7"/>
  <c r="AN145" i="7"/>
  <c r="AO145" i="7"/>
  <c r="AN146" i="7"/>
  <c r="AO146" i="7"/>
  <c r="AN147" i="7"/>
  <c r="AO147" i="7"/>
  <c r="AN148" i="7"/>
  <c r="AO148" i="7"/>
  <c r="AN149" i="7"/>
  <c r="AO149" i="7"/>
  <c r="AN150" i="7"/>
  <c r="AO150" i="7"/>
  <c r="AN151" i="7"/>
  <c r="AO151" i="7"/>
  <c r="AN152" i="7"/>
  <c r="AO152" i="7"/>
  <c r="AN153" i="7"/>
  <c r="AO153" i="7"/>
  <c r="AN154" i="7"/>
  <c r="AO154" i="7"/>
  <c r="AN155" i="7"/>
  <c r="AO155" i="7"/>
  <c r="AN156" i="7"/>
  <c r="AO156" i="7"/>
  <c r="AN157" i="7"/>
  <c r="AO157" i="7"/>
  <c r="AN158" i="7"/>
  <c r="AO158" i="7"/>
  <c r="AN159" i="7"/>
  <c r="AO159" i="7"/>
  <c r="AN160" i="7"/>
  <c r="AO160" i="7"/>
  <c r="AN161" i="7"/>
  <c r="AO161" i="7"/>
  <c r="AN162" i="7"/>
  <c r="AO162" i="7"/>
  <c r="AN163" i="7"/>
  <c r="AO163" i="7"/>
  <c r="AN164" i="7"/>
  <c r="AO164" i="7"/>
  <c r="AN165" i="7"/>
  <c r="AO165" i="7"/>
  <c r="AN166" i="7"/>
  <c r="AO166" i="7"/>
  <c r="AN167" i="7"/>
  <c r="AO167" i="7"/>
  <c r="AN168" i="7"/>
  <c r="AO168" i="7"/>
  <c r="AN169" i="7"/>
  <c r="AO169" i="7"/>
  <c r="AN170" i="7"/>
  <c r="AO170" i="7"/>
  <c r="AN171" i="7"/>
  <c r="AO171" i="7"/>
  <c r="AN172" i="7"/>
  <c r="AO172" i="7"/>
  <c r="AN173" i="7"/>
  <c r="AO173" i="7"/>
  <c r="AN174" i="7"/>
  <c r="AO174" i="7"/>
  <c r="AN175" i="7"/>
  <c r="AO175" i="7"/>
  <c r="AN176" i="7"/>
  <c r="AO176" i="7"/>
  <c r="AO143" i="7"/>
  <c r="AN143" i="7"/>
  <c r="I12" i="21"/>
  <c r="I11" i="21"/>
  <c r="C11" i="21"/>
  <c r="I10" i="21"/>
  <c r="C10" i="21"/>
  <c r="I9" i="21"/>
  <c r="C9" i="21"/>
  <c r="I8" i="21"/>
  <c r="I7" i="21"/>
  <c r="J7" i="21" s="1"/>
  <c r="C7" i="21"/>
  <c r="H3" i="21"/>
  <c r="G3" i="21"/>
  <c r="L2" i="21"/>
  <c r="K2" i="21"/>
  <c r="L1" i="21"/>
  <c r="K1" i="21"/>
  <c r="H1" i="21"/>
  <c r="G1" i="21"/>
  <c r="I9" i="5"/>
  <c r="L1" i="5"/>
  <c r="K1" i="5"/>
  <c r="L2" i="5"/>
  <c r="K2" i="5"/>
  <c r="G3" i="5"/>
  <c r="AH134" i="7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63" i="16"/>
  <c r="F58" i="16" s="1"/>
  <c r="F59" i="16" s="1"/>
  <c r="C11" i="5"/>
  <c r="C61" i="16"/>
  <c r="C60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57" i="16"/>
  <c r="E395" i="20"/>
  <c r="E394" i="20"/>
  <c r="E393" i="20"/>
  <c r="E392" i="20"/>
  <c r="E391" i="20"/>
  <c r="E390" i="20"/>
  <c r="E389" i="20"/>
  <c r="E388" i="20"/>
  <c r="E387" i="20"/>
  <c r="E386" i="20"/>
  <c r="E385" i="20"/>
  <c r="E384" i="20"/>
  <c r="E383" i="20"/>
  <c r="E382" i="20"/>
  <c r="E381" i="20"/>
  <c r="E380" i="20"/>
  <c r="E379" i="20"/>
  <c r="E378" i="20"/>
  <c r="E377" i="20"/>
  <c r="E376" i="20"/>
  <c r="E375" i="20"/>
  <c r="E374" i="20"/>
  <c r="E373" i="20"/>
  <c r="E372" i="20"/>
  <c r="E371" i="20"/>
  <c r="E370" i="20"/>
  <c r="E369" i="20"/>
  <c r="E368" i="20"/>
  <c r="E367" i="20"/>
  <c r="E366" i="20"/>
  <c r="E365" i="20"/>
  <c r="E364" i="20"/>
  <c r="E363" i="20"/>
  <c r="E362" i="20"/>
  <c r="E361" i="20"/>
  <c r="E360" i="20"/>
  <c r="E359" i="20"/>
  <c r="E358" i="20"/>
  <c r="E357" i="20"/>
  <c r="E356" i="20"/>
  <c r="E355" i="20"/>
  <c r="E354" i="20"/>
  <c r="E353" i="20"/>
  <c r="E352" i="20"/>
  <c r="E351" i="20"/>
  <c r="E350" i="20"/>
  <c r="E349" i="20"/>
  <c r="E348" i="20"/>
  <c r="E347" i="20"/>
  <c r="E346" i="20"/>
  <c r="E345" i="20"/>
  <c r="E344" i="20"/>
  <c r="E343" i="20"/>
  <c r="E342" i="20"/>
  <c r="E341" i="20"/>
  <c r="E340" i="20"/>
  <c r="E339" i="20"/>
  <c r="E338" i="20"/>
  <c r="E337" i="20"/>
  <c r="E336" i="20"/>
  <c r="E335" i="20"/>
  <c r="E334" i="20"/>
  <c r="E333" i="20"/>
  <c r="E332" i="20"/>
  <c r="E331" i="20"/>
  <c r="E330" i="20"/>
  <c r="E329" i="20"/>
  <c r="E328" i="20"/>
  <c r="E327" i="20"/>
  <c r="E326" i="20"/>
  <c r="E325" i="20"/>
  <c r="E324" i="20"/>
  <c r="E323" i="20"/>
  <c r="E322" i="20"/>
  <c r="E321" i="20"/>
  <c r="E320" i="20"/>
  <c r="E319" i="20"/>
  <c r="E318" i="20"/>
  <c r="E317" i="20"/>
  <c r="E316" i="20"/>
  <c r="E315" i="20"/>
  <c r="E314" i="20"/>
  <c r="E313" i="20"/>
  <c r="E312" i="20"/>
  <c r="E311" i="20"/>
  <c r="E310" i="20"/>
  <c r="E309" i="20"/>
  <c r="E308" i="20"/>
  <c r="E307" i="20"/>
  <c r="E306" i="20"/>
  <c r="E305" i="20"/>
  <c r="E304" i="20"/>
  <c r="E303" i="20"/>
  <c r="E302" i="20"/>
  <c r="E301" i="20"/>
  <c r="E300" i="20"/>
  <c r="E299" i="20"/>
  <c r="E298" i="20"/>
  <c r="E297" i="20"/>
  <c r="E296" i="20"/>
  <c r="E295" i="20"/>
  <c r="E294" i="20"/>
  <c r="E293" i="20"/>
  <c r="E292" i="20"/>
  <c r="E291" i="20"/>
  <c r="E290" i="20"/>
  <c r="E289" i="20"/>
  <c r="E288" i="20"/>
  <c r="E287" i="20"/>
  <c r="E286" i="20"/>
  <c r="E285" i="20"/>
  <c r="E284" i="20"/>
  <c r="E283" i="20"/>
  <c r="E282" i="20"/>
  <c r="E281" i="20"/>
  <c r="E280" i="20"/>
  <c r="E279" i="20"/>
  <c r="E278" i="20"/>
  <c r="E277" i="20"/>
  <c r="E276" i="20"/>
  <c r="E275" i="20"/>
  <c r="E274" i="20"/>
  <c r="E273" i="20"/>
  <c r="E272" i="20"/>
  <c r="E271" i="20"/>
  <c r="E270" i="20"/>
  <c r="E269" i="20"/>
  <c r="E268" i="20"/>
  <c r="E267" i="20"/>
  <c r="E266" i="20"/>
  <c r="E265" i="20"/>
  <c r="E264" i="20"/>
  <c r="E263" i="20"/>
  <c r="E262" i="20"/>
  <c r="E261" i="20"/>
  <c r="E260" i="20"/>
  <c r="E259" i="20"/>
  <c r="E258" i="20"/>
  <c r="E257" i="20"/>
  <c r="E256" i="20"/>
  <c r="E255" i="20"/>
  <c r="E254" i="20"/>
  <c r="E253" i="20"/>
  <c r="E252" i="20"/>
  <c r="E251" i="20"/>
  <c r="E250" i="20"/>
  <c r="E249" i="20"/>
  <c r="E248" i="20"/>
  <c r="E247" i="20"/>
  <c r="E246" i="20"/>
  <c r="E245" i="20"/>
  <c r="E244" i="20"/>
  <c r="E243" i="20"/>
  <c r="E242" i="20"/>
  <c r="E241" i="20"/>
  <c r="E240" i="20"/>
  <c r="E239" i="20"/>
  <c r="E238" i="20"/>
  <c r="E237" i="20"/>
  <c r="E236" i="20"/>
  <c r="E235" i="20"/>
  <c r="E234" i="20"/>
  <c r="E233" i="20"/>
  <c r="E232" i="20"/>
  <c r="E231" i="20"/>
  <c r="E230" i="20"/>
  <c r="E229" i="20"/>
  <c r="E228" i="20"/>
  <c r="E227" i="20"/>
  <c r="E226" i="20"/>
  <c r="E225" i="20"/>
  <c r="E224" i="20"/>
  <c r="E223" i="20"/>
  <c r="E222" i="20"/>
  <c r="E221" i="20"/>
  <c r="E220" i="20"/>
  <c r="E219" i="20"/>
  <c r="E218" i="20"/>
  <c r="E217" i="20"/>
  <c r="E216" i="20"/>
  <c r="E215" i="20"/>
  <c r="E214" i="20"/>
  <c r="E213" i="20"/>
  <c r="E212" i="20"/>
  <c r="E211" i="20"/>
  <c r="E210" i="20"/>
  <c r="E209" i="20"/>
  <c r="E208" i="20"/>
  <c r="E207" i="20"/>
  <c r="E206" i="20"/>
  <c r="E205" i="20"/>
  <c r="E204" i="20"/>
  <c r="E203" i="20"/>
  <c r="E202" i="20"/>
  <c r="E201" i="20"/>
  <c r="E200" i="20"/>
  <c r="E199" i="20"/>
  <c r="E198" i="20"/>
  <c r="E197" i="20"/>
  <c r="E196" i="20"/>
  <c r="E195" i="20"/>
  <c r="E194" i="20"/>
  <c r="E193" i="20"/>
  <c r="E192" i="20"/>
  <c r="E191" i="20"/>
  <c r="E190" i="20"/>
  <c r="E189" i="20"/>
  <c r="E188" i="20"/>
  <c r="E187" i="20"/>
  <c r="E186" i="20"/>
  <c r="E185" i="20"/>
  <c r="E184" i="20"/>
  <c r="E183" i="20"/>
  <c r="E182" i="20"/>
  <c r="E181" i="20"/>
  <c r="E180" i="20"/>
  <c r="E179" i="20"/>
  <c r="E178" i="20"/>
  <c r="E177" i="20"/>
  <c r="E176" i="20"/>
  <c r="E175" i="20"/>
  <c r="E174" i="20"/>
  <c r="E173" i="20"/>
  <c r="E172" i="20"/>
  <c r="E171" i="20"/>
  <c r="E170" i="20"/>
  <c r="E169" i="20"/>
  <c r="E168" i="20"/>
  <c r="E167" i="20"/>
  <c r="E166" i="20"/>
  <c r="E165" i="20"/>
  <c r="E164" i="20"/>
  <c r="E163" i="20"/>
  <c r="E162" i="20"/>
  <c r="E161" i="20"/>
  <c r="E160" i="20"/>
  <c r="E159" i="20"/>
  <c r="E158" i="20"/>
  <c r="E157" i="20"/>
  <c r="E156" i="20"/>
  <c r="E155" i="20"/>
  <c r="E154" i="20"/>
  <c r="E153" i="20"/>
  <c r="E152" i="20"/>
  <c r="E151" i="20"/>
  <c r="E150" i="20"/>
  <c r="E149" i="20"/>
  <c r="E148" i="20"/>
  <c r="E147" i="20"/>
  <c r="E146" i="20"/>
  <c r="E145" i="20"/>
  <c r="E144" i="20"/>
  <c r="E143" i="20"/>
  <c r="E142" i="20"/>
  <c r="E141" i="20"/>
  <c r="E140" i="20"/>
  <c r="E139" i="20"/>
  <c r="E138" i="20"/>
  <c r="E137" i="20"/>
  <c r="E136" i="20"/>
  <c r="E135" i="20"/>
  <c r="E134" i="20"/>
  <c r="E133" i="20"/>
  <c r="E132" i="20"/>
  <c r="E131" i="20"/>
  <c r="E130" i="20"/>
  <c r="E129" i="20"/>
  <c r="E128" i="20"/>
  <c r="E127" i="20"/>
  <c r="E126" i="20"/>
  <c r="E125" i="20"/>
  <c r="E124" i="20"/>
  <c r="E123" i="20"/>
  <c r="E122" i="20"/>
  <c r="E121" i="20"/>
  <c r="E120" i="20"/>
  <c r="E119" i="20"/>
  <c r="E118" i="20"/>
  <c r="E117" i="20"/>
  <c r="E116" i="20"/>
  <c r="E115" i="20"/>
  <c r="E114" i="20"/>
  <c r="E113" i="20"/>
  <c r="E112" i="20"/>
  <c r="E111" i="20"/>
  <c r="E110" i="20"/>
  <c r="E109" i="20"/>
  <c r="E108" i="20"/>
  <c r="E107" i="20"/>
  <c r="E106" i="20"/>
  <c r="E105" i="20"/>
  <c r="E104" i="20"/>
  <c r="E103" i="20"/>
  <c r="E102" i="20"/>
  <c r="E101" i="20"/>
  <c r="E100" i="20"/>
  <c r="E99" i="20"/>
  <c r="E98" i="20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E393" i="19"/>
  <c r="E392" i="19"/>
  <c r="E391" i="19"/>
  <c r="E390" i="19"/>
  <c r="E389" i="19"/>
  <c r="E388" i="19"/>
  <c r="E387" i="19"/>
  <c r="E386" i="19"/>
  <c r="E385" i="19"/>
  <c r="E384" i="19"/>
  <c r="E383" i="19"/>
  <c r="E382" i="19"/>
  <c r="E381" i="19"/>
  <c r="E380" i="19"/>
  <c r="E379" i="19"/>
  <c r="E378" i="19"/>
  <c r="E377" i="19"/>
  <c r="E376" i="19"/>
  <c r="E375" i="19"/>
  <c r="E374" i="19"/>
  <c r="E373" i="19"/>
  <c r="E372" i="19"/>
  <c r="E371" i="19"/>
  <c r="E370" i="19"/>
  <c r="E369" i="19"/>
  <c r="E368" i="19"/>
  <c r="E367" i="19"/>
  <c r="E366" i="19"/>
  <c r="E365" i="19"/>
  <c r="E364" i="19"/>
  <c r="E363" i="19"/>
  <c r="E362" i="19"/>
  <c r="E361" i="19"/>
  <c r="E360" i="19"/>
  <c r="E359" i="19"/>
  <c r="E358" i="19"/>
  <c r="E357" i="19"/>
  <c r="E356" i="19"/>
  <c r="E355" i="19"/>
  <c r="E354" i="19"/>
  <c r="E353" i="19"/>
  <c r="E352" i="19"/>
  <c r="E351" i="19"/>
  <c r="E350" i="19"/>
  <c r="E349" i="19"/>
  <c r="E348" i="19"/>
  <c r="E347" i="19"/>
  <c r="E346" i="19"/>
  <c r="E345" i="19"/>
  <c r="E344" i="19"/>
  <c r="E343" i="19"/>
  <c r="E342" i="19"/>
  <c r="E341" i="19"/>
  <c r="E340" i="19"/>
  <c r="E339" i="19"/>
  <c r="E338" i="19"/>
  <c r="E337" i="19"/>
  <c r="E336" i="19"/>
  <c r="E335" i="19"/>
  <c r="E334" i="19"/>
  <c r="E333" i="19"/>
  <c r="E332" i="19"/>
  <c r="E331" i="19"/>
  <c r="E330" i="19"/>
  <c r="E329" i="19"/>
  <c r="E328" i="19"/>
  <c r="E327" i="19"/>
  <c r="E326" i="19"/>
  <c r="E325" i="19"/>
  <c r="E324" i="19"/>
  <c r="E323" i="19"/>
  <c r="E322" i="19"/>
  <c r="E321" i="19"/>
  <c r="E320" i="19"/>
  <c r="E319" i="19"/>
  <c r="E318" i="19"/>
  <c r="E317" i="19"/>
  <c r="E316" i="19"/>
  <c r="E315" i="19"/>
  <c r="E314" i="19"/>
  <c r="E313" i="19"/>
  <c r="E312" i="19"/>
  <c r="E311" i="19"/>
  <c r="E310" i="19"/>
  <c r="E309" i="19"/>
  <c r="E308" i="19"/>
  <c r="E307" i="19"/>
  <c r="E306" i="19"/>
  <c r="E305" i="19"/>
  <c r="E304" i="19"/>
  <c r="E303" i="19"/>
  <c r="E302" i="19"/>
  <c r="E301" i="19"/>
  <c r="E300" i="19"/>
  <c r="E299" i="19"/>
  <c r="E298" i="19"/>
  <c r="E297" i="19"/>
  <c r="E296" i="19"/>
  <c r="E295" i="19"/>
  <c r="E294" i="19"/>
  <c r="E293" i="19"/>
  <c r="E292" i="19"/>
  <c r="E291" i="19"/>
  <c r="E290" i="19"/>
  <c r="E289" i="19"/>
  <c r="E288" i="19"/>
  <c r="E287" i="19"/>
  <c r="E286" i="19"/>
  <c r="E285" i="19"/>
  <c r="E284" i="19"/>
  <c r="E283" i="19"/>
  <c r="E282" i="19"/>
  <c r="E281" i="19"/>
  <c r="E280" i="19"/>
  <c r="E279" i="19"/>
  <c r="E278" i="19"/>
  <c r="E277" i="19"/>
  <c r="E276" i="19"/>
  <c r="E275" i="19"/>
  <c r="E274" i="19"/>
  <c r="E273" i="19"/>
  <c r="E272" i="19"/>
  <c r="E271" i="19"/>
  <c r="E270" i="19"/>
  <c r="E269" i="19"/>
  <c r="E268" i="19"/>
  <c r="E267" i="19"/>
  <c r="E266" i="19"/>
  <c r="E265" i="19"/>
  <c r="E264" i="19"/>
  <c r="E263" i="19"/>
  <c r="E262" i="19"/>
  <c r="E261" i="19"/>
  <c r="E260" i="19"/>
  <c r="E259" i="19"/>
  <c r="E258" i="19"/>
  <c r="E257" i="19"/>
  <c r="E256" i="19"/>
  <c r="E255" i="19"/>
  <c r="E254" i="19"/>
  <c r="E253" i="19"/>
  <c r="E252" i="19"/>
  <c r="E251" i="19"/>
  <c r="E250" i="19"/>
  <c r="E249" i="19"/>
  <c r="E248" i="19"/>
  <c r="E247" i="19"/>
  <c r="E246" i="19"/>
  <c r="E245" i="19"/>
  <c r="E244" i="19"/>
  <c r="E243" i="19"/>
  <c r="E242" i="19"/>
  <c r="E241" i="19"/>
  <c r="E240" i="19"/>
  <c r="E239" i="19"/>
  <c r="E238" i="19"/>
  <c r="E237" i="19"/>
  <c r="E236" i="19"/>
  <c r="E235" i="19"/>
  <c r="E234" i="19"/>
  <c r="E233" i="19"/>
  <c r="E232" i="19"/>
  <c r="E231" i="19"/>
  <c r="E230" i="19"/>
  <c r="E229" i="19"/>
  <c r="E228" i="19"/>
  <c r="E227" i="19"/>
  <c r="E226" i="19"/>
  <c r="E225" i="19"/>
  <c r="E224" i="19"/>
  <c r="E223" i="19"/>
  <c r="E222" i="19"/>
  <c r="E221" i="19"/>
  <c r="E220" i="19"/>
  <c r="E219" i="19"/>
  <c r="E218" i="19"/>
  <c r="E217" i="19"/>
  <c r="E216" i="19"/>
  <c r="E215" i="19"/>
  <c r="E214" i="19"/>
  <c r="E213" i="19"/>
  <c r="E212" i="19"/>
  <c r="E211" i="19"/>
  <c r="E210" i="19"/>
  <c r="E209" i="19"/>
  <c r="E208" i="19"/>
  <c r="E207" i="19"/>
  <c r="E206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E394" i="19"/>
  <c r="O128" i="18"/>
  <c r="P128" i="18"/>
  <c r="O129" i="18"/>
  <c r="P129" i="18"/>
  <c r="O130" i="18"/>
  <c r="P130" i="18"/>
  <c r="O131" i="18"/>
  <c r="P131" i="18"/>
  <c r="O132" i="18"/>
  <c r="P132" i="18"/>
  <c r="O133" i="18"/>
  <c r="P133" i="18"/>
  <c r="O134" i="18"/>
  <c r="P134" i="18"/>
  <c r="O135" i="18"/>
  <c r="P135" i="18"/>
  <c r="O136" i="18"/>
  <c r="P136" i="18"/>
  <c r="O137" i="18"/>
  <c r="P137" i="18"/>
  <c r="O138" i="18"/>
  <c r="P138" i="18"/>
  <c r="O139" i="18"/>
  <c r="P139" i="18"/>
  <c r="O140" i="18"/>
  <c r="P140" i="18"/>
  <c r="O141" i="18"/>
  <c r="P141" i="18"/>
  <c r="O142" i="18"/>
  <c r="P142" i="18"/>
  <c r="O143" i="18"/>
  <c r="P143" i="18"/>
  <c r="O144" i="18"/>
  <c r="P144" i="18"/>
  <c r="O145" i="18"/>
  <c r="P145" i="18"/>
  <c r="O146" i="18"/>
  <c r="P146" i="18"/>
  <c r="O16" i="18"/>
  <c r="P16" i="18"/>
  <c r="O17" i="18"/>
  <c r="P17" i="18"/>
  <c r="O18" i="18"/>
  <c r="P18" i="18"/>
  <c r="O19" i="18"/>
  <c r="P19" i="18"/>
  <c r="O20" i="18"/>
  <c r="P20" i="18"/>
  <c r="O21" i="18"/>
  <c r="P21" i="18"/>
  <c r="O22" i="18"/>
  <c r="P22" i="18"/>
  <c r="O23" i="18"/>
  <c r="P23" i="18"/>
  <c r="O24" i="18"/>
  <c r="P24" i="18"/>
  <c r="O25" i="18"/>
  <c r="P25" i="18"/>
  <c r="O26" i="18"/>
  <c r="P26" i="18"/>
  <c r="O27" i="18"/>
  <c r="P27" i="18"/>
  <c r="O28" i="18"/>
  <c r="P28" i="18"/>
  <c r="O29" i="18"/>
  <c r="P29" i="18"/>
  <c r="O30" i="18"/>
  <c r="P30" i="18"/>
  <c r="O31" i="18"/>
  <c r="P31" i="18"/>
  <c r="O32" i="18"/>
  <c r="P32" i="18"/>
  <c r="O33" i="18"/>
  <c r="P33" i="18"/>
  <c r="O34" i="18"/>
  <c r="P34" i="18"/>
  <c r="O35" i="18"/>
  <c r="P35" i="18"/>
  <c r="O36" i="18"/>
  <c r="P36" i="18"/>
  <c r="O37" i="18"/>
  <c r="P37" i="18"/>
  <c r="O38" i="18"/>
  <c r="P38" i="18"/>
  <c r="O39" i="18"/>
  <c r="P39" i="18"/>
  <c r="O40" i="18"/>
  <c r="P40" i="18"/>
  <c r="O41" i="18"/>
  <c r="P41" i="18"/>
  <c r="O42" i="18"/>
  <c r="P42" i="18"/>
  <c r="O43" i="18"/>
  <c r="P43" i="18"/>
  <c r="O44" i="18"/>
  <c r="P44" i="18"/>
  <c r="O45" i="18"/>
  <c r="P45" i="18"/>
  <c r="O46" i="18"/>
  <c r="P46" i="18"/>
  <c r="O47" i="18"/>
  <c r="P47" i="18"/>
  <c r="O48" i="18"/>
  <c r="P48" i="18"/>
  <c r="O49" i="18"/>
  <c r="P49" i="18"/>
  <c r="H2" i="18"/>
  <c r="F2" i="18"/>
  <c r="D2" i="18"/>
  <c r="H67" i="18"/>
  <c r="F67" i="18"/>
  <c r="D67" i="18"/>
  <c r="S67" i="18"/>
  <c r="Q67" i="18"/>
  <c r="O67" i="18"/>
  <c r="P70" i="18"/>
  <c r="O70" i="18"/>
  <c r="P69" i="18"/>
  <c r="O69" i="18"/>
  <c r="P68" i="18"/>
  <c r="O68" i="18"/>
  <c r="E70" i="18"/>
  <c r="D70" i="18"/>
  <c r="E69" i="18"/>
  <c r="D69" i="18"/>
  <c r="E68" i="18"/>
  <c r="D68" i="18"/>
  <c r="E5" i="18"/>
  <c r="D5" i="18"/>
  <c r="E4" i="18"/>
  <c r="D4" i="18"/>
  <c r="E3" i="18"/>
  <c r="D3" i="18"/>
  <c r="S2" i="18"/>
  <c r="O5" i="18"/>
  <c r="P5" i="18"/>
  <c r="P4" i="18"/>
  <c r="O4" i="18"/>
  <c r="P3" i="18"/>
  <c r="O3" i="18"/>
  <c r="Q2" i="18"/>
  <c r="O2" i="18"/>
  <c r="P127" i="18"/>
  <c r="O127" i="18"/>
  <c r="P126" i="18"/>
  <c r="O126" i="18"/>
  <c r="P125" i="18"/>
  <c r="O125" i="18"/>
  <c r="P124" i="18"/>
  <c r="O124" i="18"/>
  <c r="P123" i="18"/>
  <c r="O123" i="18"/>
  <c r="P122" i="18"/>
  <c r="O122" i="18"/>
  <c r="P121" i="18"/>
  <c r="O121" i="18"/>
  <c r="P120" i="18"/>
  <c r="O120" i="18"/>
  <c r="P119" i="18"/>
  <c r="O119" i="18"/>
  <c r="P118" i="18"/>
  <c r="O118" i="18"/>
  <c r="P117" i="18"/>
  <c r="O117" i="18"/>
  <c r="P116" i="18"/>
  <c r="O116" i="18"/>
  <c r="P115" i="18"/>
  <c r="O115" i="18"/>
  <c r="P114" i="18"/>
  <c r="O114" i="18"/>
  <c r="P113" i="18"/>
  <c r="O113" i="18"/>
  <c r="P112" i="18"/>
  <c r="O112" i="18"/>
  <c r="P111" i="18"/>
  <c r="O111" i="18"/>
  <c r="P110" i="18"/>
  <c r="O110" i="18"/>
  <c r="P109" i="18"/>
  <c r="O109" i="18"/>
  <c r="P108" i="18"/>
  <c r="O108" i="18"/>
  <c r="P107" i="18"/>
  <c r="O107" i="18"/>
  <c r="P106" i="18"/>
  <c r="O106" i="18"/>
  <c r="P105" i="18"/>
  <c r="O105" i="18"/>
  <c r="P104" i="18"/>
  <c r="O104" i="18"/>
  <c r="P103" i="18"/>
  <c r="O103" i="18"/>
  <c r="P102" i="18"/>
  <c r="O102" i="18"/>
  <c r="P101" i="18"/>
  <c r="O101" i="18"/>
  <c r="P100" i="18"/>
  <c r="O100" i="18"/>
  <c r="P99" i="18"/>
  <c r="O99" i="18"/>
  <c r="P98" i="18"/>
  <c r="O98" i="18"/>
  <c r="P97" i="18"/>
  <c r="O97" i="18"/>
  <c r="P96" i="18"/>
  <c r="O96" i="18"/>
  <c r="P95" i="18"/>
  <c r="O95" i="18"/>
  <c r="P94" i="18"/>
  <c r="O94" i="18"/>
  <c r="P93" i="18"/>
  <c r="O93" i="18"/>
  <c r="P92" i="18"/>
  <c r="O92" i="18"/>
  <c r="P91" i="18"/>
  <c r="O91" i="18"/>
  <c r="P90" i="18"/>
  <c r="O90" i="18"/>
  <c r="P89" i="18"/>
  <c r="O89" i="18"/>
  <c r="P88" i="18"/>
  <c r="O88" i="18"/>
  <c r="P87" i="18"/>
  <c r="O87" i="18"/>
  <c r="P86" i="18"/>
  <c r="O86" i="18"/>
  <c r="P85" i="18"/>
  <c r="O85" i="18"/>
  <c r="P84" i="18"/>
  <c r="O84" i="18"/>
  <c r="P83" i="18"/>
  <c r="O83" i="18"/>
  <c r="P82" i="18"/>
  <c r="O82" i="18"/>
  <c r="P81" i="18"/>
  <c r="O81" i="18"/>
  <c r="P80" i="18"/>
  <c r="O80" i="18"/>
  <c r="P79" i="18"/>
  <c r="O79" i="18"/>
  <c r="P78" i="18"/>
  <c r="O78" i="18"/>
  <c r="P77" i="18"/>
  <c r="O77" i="18"/>
  <c r="P76" i="18"/>
  <c r="O76" i="18"/>
  <c r="P75" i="18"/>
  <c r="O75" i="18"/>
  <c r="R74" i="18"/>
  <c r="P74" i="18"/>
  <c r="O74" i="18"/>
  <c r="R73" i="18"/>
  <c r="P73" i="18"/>
  <c r="O73" i="18"/>
  <c r="R72" i="18"/>
  <c r="P72" i="18"/>
  <c r="O72" i="18"/>
  <c r="D118" i="18"/>
  <c r="E118" i="18"/>
  <c r="D119" i="18"/>
  <c r="E119" i="18"/>
  <c r="D120" i="18"/>
  <c r="E120" i="18"/>
  <c r="D121" i="18"/>
  <c r="E121" i="18"/>
  <c r="D122" i="18"/>
  <c r="E122" i="18"/>
  <c r="D123" i="18"/>
  <c r="E123" i="18"/>
  <c r="D124" i="18"/>
  <c r="E124" i="18"/>
  <c r="D125" i="18"/>
  <c r="E125" i="18"/>
  <c r="D126" i="18"/>
  <c r="E126" i="18"/>
  <c r="D127" i="18"/>
  <c r="E127" i="18"/>
  <c r="E117" i="18"/>
  <c r="D117" i="18"/>
  <c r="E116" i="18"/>
  <c r="D116" i="18"/>
  <c r="E115" i="18"/>
  <c r="D115" i="18"/>
  <c r="E114" i="18"/>
  <c r="D114" i="18"/>
  <c r="E113" i="18"/>
  <c r="D113" i="18"/>
  <c r="E112" i="18"/>
  <c r="D112" i="18"/>
  <c r="E111" i="18"/>
  <c r="D111" i="18"/>
  <c r="E110" i="18"/>
  <c r="D110" i="18"/>
  <c r="E109" i="18"/>
  <c r="D109" i="18"/>
  <c r="E108" i="18"/>
  <c r="D108" i="18"/>
  <c r="E107" i="18"/>
  <c r="D107" i="18"/>
  <c r="E106" i="18"/>
  <c r="D106" i="18"/>
  <c r="E105" i="18"/>
  <c r="D105" i="18"/>
  <c r="E104" i="18"/>
  <c r="D104" i="18"/>
  <c r="E103" i="18"/>
  <c r="D103" i="18"/>
  <c r="E102" i="18"/>
  <c r="D102" i="18"/>
  <c r="E101" i="18"/>
  <c r="D101" i="18"/>
  <c r="E100" i="18"/>
  <c r="D100" i="18"/>
  <c r="E99" i="18"/>
  <c r="D99" i="18"/>
  <c r="E98" i="18"/>
  <c r="D98" i="18"/>
  <c r="E97" i="18"/>
  <c r="D97" i="18"/>
  <c r="E96" i="18"/>
  <c r="D96" i="18"/>
  <c r="E95" i="18"/>
  <c r="D95" i="18"/>
  <c r="E94" i="18"/>
  <c r="D94" i="18"/>
  <c r="E93" i="18"/>
  <c r="D93" i="18"/>
  <c r="E92" i="18"/>
  <c r="D92" i="18"/>
  <c r="E91" i="18"/>
  <c r="D91" i="18"/>
  <c r="E90" i="18"/>
  <c r="D90" i="18"/>
  <c r="E89" i="18"/>
  <c r="D89" i="18"/>
  <c r="E88" i="18"/>
  <c r="D88" i="18"/>
  <c r="E87" i="18"/>
  <c r="D87" i="18"/>
  <c r="E86" i="18"/>
  <c r="D86" i="18"/>
  <c r="E85" i="18"/>
  <c r="D85" i="18"/>
  <c r="E84" i="18"/>
  <c r="D84" i="18"/>
  <c r="E83" i="18"/>
  <c r="D83" i="18"/>
  <c r="E82" i="18"/>
  <c r="D82" i="18"/>
  <c r="E81" i="18"/>
  <c r="D81" i="18"/>
  <c r="E80" i="18"/>
  <c r="D80" i="18"/>
  <c r="E79" i="18"/>
  <c r="D79" i="18"/>
  <c r="E78" i="18"/>
  <c r="D78" i="18"/>
  <c r="E77" i="18"/>
  <c r="D77" i="18"/>
  <c r="E76" i="18"/>
  <c r="D76" i="18"/>
  <c r="E75" i="18"/>
  <c r="D75" i="18"/>
  <c r="G74" i="18"/>
  <c r="E74" i="18"/>
  <c r="D74" i="18"/>
  <c r="G73" i="18"/>
  <c r="E73" i="18"/>
  <c r="D73" i="18"/>
  <c r="G72" i="18"/>
  <c r="E72" i="18"/>
  <c r="D72" i="18"/>
  <c r="D19" i="18"/>
  <c r="E19" i="18"/>
  <c r="D20" i="18"/>
  <c r="E20" i="18"/>
  <c r="D21" i="18"/>
  <c r="E21" i="18"/>
  <c r="D22" i="18"/>
  <c r="E22" i="18"/>
  <c r="D23" i="18"/>
  <c r="E23" i="18"/>
  <c r="D24" i="18"/>
  <c r="E24" i="18"/>
  <c r="D25" i="18"/>
  <c r="E25" i="18"/>
  <c r="D26" i="18"/>
  <c r="E26" i="18"/>
  <c r="D27" i="18"/>
  <c r="E27" i="18"/>
  <c r="D28" i="18"/>
  <c r="E28" i="18"/>
  <c r="D29" i="18"/>
  <c r="E29" i="18"/>
  <c r="D30" i="18"/>
  <c r="E30" i="18"/>
  <c r="D31" i="18"/>
  <c r="E31" i="18"/>
  <c r="D32" i="18"/>
  <c r="E32" i="18"/>
  <c r="D33" i="18"/>
  <c r="E33" i="18"/>
  <c r="D34" i="18"/>
  <c r="E34" i="18"/>
  <c r="D35" i="18"/>
  <c r="E35" i="18"/>
  <c r="D36" i="18"/>
  <c r="E36" i="18"/>
  <c r="D37" i="18"/>
  <c r="E37" i="18"/>
  <c r="D38" i="18"/>
  <c r="E38" i="18"/>
  <c r="D39" i="18"/>
  <c r="E39" i="18"/>
  <c r="D40" i="18"/>
  <c r="E40" i="18"/>
  <c r="D41" i="18"/>
  <c r="E41" i="18"/>
  <c r="D42" i="18"/>
  <c r="E42" i="18"/>
  <c r="D43" i="18"/>
  <c r="E43" i="18"/>
  <c r="D44" i="18"/>
  <c r="E44" i="18"/>
  <c r="D45" i="18"/>
  <c r="E45" i="18"/>
  <c r="D46" i="18"/>
  <c r="E46" i="18"/>
  <c r="D47" i="18"/>
  <c r="E47" i="18"/>
  <c r="D48" i="18"/>
  <c r="E48" i="18"/>
  <c r="O50" i="18"/>
  <c r="P50" i="18"/>
  <c r="O51" i="18"/>
  <c r="P51" i="18"/>
  <c r="O52" i="18"/>
  <c r="P52" i="18"/>
  <c r="E18" i="18"/>
  <c r="D18" i="18"/>
  <c r="E17" i="18"/>
  <c r="D17" i="18"/>
  <c r="E16" i="18"/>
  <c r="D16" i="18"/>
  <c r="P15" i="18"/>
  <c r="O15" i="18"/>
  <c r="E15" i="18"/>
  <c r="D15" i="18"/>
  <c r="P14" i="18"/>
  <c r="O14" i="18"/>
  <c r="E14" i="18"/>
  <c r="D14" i="18"/>
  <c r="P13" i="18"/>
  <c r="O13" i="18"/>
  <c r="E13" i="18"/>
  <c r="D13" i="18"/>
  <c r="P12" i="18"/>
  <c r="O12" i="18"/>
  <c r="E12" i="18"/>
  <c r="D12" i="18"/>
  <c r="P11" i="18"/>
  <c r="O11" i="18"/>
  <c r="E11" i="18"/>
  <c r="D11" i="18"/>
  <c r="P10" i="18"/>
  <c r="O10" i="18"/>
  <c r="E10" i="18"/>
  <c r="D10" i="18"/>
  <c r="R9" i="18"/>
  <c r="P9" i="18"/>
  <c r="O9" i="18"/>
  <c r="G9" i="18"/>
  <c r="E9" i="18"/>
  <c r="D9" i="18"/>
  <c r="R8" i="18"/>
  <c r="P8" i="18"/>
  <c r="O8" i="18"/>
  <c r="G8" i="18"/>
  <c r="E8" i="18"/>
  <c r="D8" i="18"/>
  <c r="R7" i="18"/>
  <c r="P7" i="18"/>
  <c r="O7" i="18"/>
  <c r="G7" i="18"/>
  <c r="E7" i="18"/>
  <c r="D7" i="18"/>
  <c r="C5" i="17"/>
  <c r="D5" i="17" s="1"/>
  <c r="F5" i="17" s="1"/>
  <c r="F4" i="17"/>
  <c r="J8" i="17"/>
  <c r="J7" i="17" s="1"/>
  <c r="I9" i="17"/>
  <c r="I8" i="17"/>
  <c r="I7" i="17" s="1"/>
  <c r="R13" i="17"/>
  <c r="R14" i="17" s="1"/>
  <c r="Q17" i="17"/>
  <c r="S15" i="17" s="1"/>
  <c r="H92" i="11"/>
  <c r="H93" i="11"/>
  <c r="H94" i="11"/>
  <c r="H95" i="11"/>
  <c r="H96" i="11"/>
  <c r="H97" i="11"/>
  <c r="H98" i="11"/>
  <c r="H99" i="11"/>
  <c r="H100" i="11"/>
  <c r="H101" i="11"/>
  <c r="H102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77" i="11"/>
  <c r="N20" i="17"/>
  <c r="N21" i="17" s="1"/>
  <c r="N14" i="17"/>
  <c r="O14" i="17" s="1"/>
  <c r="N11" i="17"/>
  <c r="N13" i="17" s="1"/>
  <c r="M9" i="17"/>
  <c r="K8" i="17"/>
  <c r="K7" i="17" s="1"/>
  <c r="K9" i="17"/>
  <c r="P5" i="16"/>
  <c r="O5" i="16"/>
  <c r="P4" i="16"/>
  <c r="O4" i="16"/>
  <c r="P3" i="16"/>
  <c r="O3" i="16"/>
  <c r="D5" i="16"/>
  <c r="E5" i="16"/>
  <c r="E4" i="16"/>
  <c r="D4" i="16"/>
  <c r="E3" i="16"/>
  <c r="D3" i="16"/>
  <c r="E52" i="16"/>
  <c r="D52" i="16"/>
  <c r="E51" i="16"/>
  <c r="D51" i="16"/>
  <c r="E50" i="16"/>
  <c r="D50" i="16"/>
  <c r="E49" i="16"/>
  <c r="D49" i="16"/>
  <c r="E48" i="16"/>
  <c r="D48" i="16"/>
  <c r="E47" i="16"/>
  <c r="D47" i="16"/>
  <c r="E46" i="16"/>
  <c r="D46" i="16"/>
  <c r="E45" i="16"/>
  <c r="D45" i="16"/>
  <c r="E44" i="16"/>
  <c r="D44" i="16"/>
  <c r="E43" i="16"/>
  <c r="D43" i="16"/>
  <c r="E42" i="16"/>
  <c r="D42" i="16"/>
  <c r="E41" i="16"/>
  <c r="D41" i="16"/>
  <c r="E40" i="16"/>
  <c r="D40" i="16"/>
  <c r="G39" i="16"/>
  <c r="E39" i="16"/>
  <c r="D39" i="16"/>
  <c r="G38" i="16"/>
  <c r="E38" i="16"/>
  <c r="D38" i="16"/>
  <c r="G37" i="16"/>
  <c r="E37" i="16"/>
  <c r="D37" i="16"/>
  <c r="E35" i="16"/>
  <c r="D35" i="16"/>
  <c r="E34" i="16"/>
  <c r="D34" i="16"/>
  <c r="E33" i="16"/>
  <c r="D33" i="16"/>
  <c r="H32" i="16"/>
  <c r="F32" i="16"/>
  <c r="D32" i="16"/>
  <c r="S2" i="16"/>
  <c r="Q2" i="16"/>
  <c r="O2" i="16"/>
  <c r="H2" i="16"/>
  <c r="F2" i="16"/>
  <c r="D2" i="16"/>
  <c r="P22" i="16"/>
  <c r="O22" i="16"/>
  <c r="P21" i="16"/>
  <c r="O21" i="16"/>
  <c r="P20" i="16"/>
  <c r="O20" i="16"/>
  <c r="P19" i="16"/>
  <c r="O19" i="16"/>
  <c r="P18" i="16"/>
  <c r="O18" i="16"/>
  <c r="E18" i="16"/>
  <c r="D18" i="16"/>
  <c r="P17" i="16"/>
  <c r="O17" i="16"/>
  <c r="E17" i="16"/>
  <c r="D17" i="16"/>
  <c r="P16" i="16"/>
  <c r="O16" i="16"/>
  <c r="E16" i="16"/>
  <c r="D16" i="16"/>
  <c r="P15" i="16"/>
  <c r="O15" i="16"/>
  <c r="E15" i="16"/>
  <c r="D15" i="16"/>
  <c r="P14" i="16"/>
  <c r="O14" i="16"/>
  <c r="E14" i="16"/>
  <c r="D14" i="16"/>
  <c r="P13" i="16"/>
  <c r="O13" i="16"/>
  <c r="E13" i="16"/>
  <c r="D13" i="16"/>
  <c r="P12" i="16"/>
  <c r="O12" i="16"/>
  <c r="E12" i="16"/>
  <c r="D12" i="16"/>
  <c r="P11" i="16"/>
  <c r="O11" i="16"/>
  <c r="E11" i="16"/>
  <c r="D11" i="16"/>
  <c r="P10" i="16"/>
  <c r="O10" i="16"/>
  <c r="E10" i="16"/>
  <c r="D10" i="16"/>
  <c r="R9" i="16"/>
  <c r="P9" i="16"/>
  <c r="O9" i="16"/>
  <c r="G9" i="16"/>
  <c r="E9" i="16"/>
  <c r="D9" i="16"/>
  <c r="R8" i="16"/>
  <c r="P8" i="16"/>
  <c r="O8" i="16"/>
  <c r="G8" i="16"/>
  <c r="E8" i="16"/>
  <c r="D8" i="16"/>
  <c r="R7" i="16"/>
  <c r="P7" i="16"/>
  <c r="O7" i="16"/>
  <c r="G7" i="16"/>
  <c r="E7" i="16"/>
  <c r="D7" i="16"/>
  <c r="V76" i="14"/>
  <c r="AA82" i="14"/>
  <c r="AB82" i="14"/>
  <c r="AA83" i="14"/>
  <c r="AB83" i="14"/>
  <c r="AA84" i="14"/>
  <c r="AB84" i="14"/>
  <c r="H82" i="14"/>
  <c r="I82" i="14"/>
  <c r="H83" i="14"/>
  <c r="I83" i="14"/>
  <c r="H84" i="14"/>
  <c r="I84" i="14"/>
  <c r="X76" i="14"/>
  <c r="Z76" i="14"/>
  <c r="C76" i="14"/>
  <c r="E76" i="14"/>
  <c r="G76" i="14"/>
  <c r="AA60" i="14"/>
  <c r="AB60" i="14"/>
  <c r="Y9" i="14"/>
  <c r="Z9" i="14"/>
  <c r="Y10" i="14"/>
  <c r="Z10" i="14"/>
  <c r="Y11" i="14"/>
  <c r="Z11" i="14"/>
  <c r="C3" i="14"/>
  <c r="E3" i="14"/>
  <c r="G3" i="14"/>
  <c r="T3" i="14"/>
  <c r="V3" i="14"/>
  <c r="X3" i="14"/>
  <c r="H9" i="14"/>
  <c r="I9" i="14"/>
  <c r="H10" i="14"/>
  <c r="I10" i="14"/>
  <c r="H11" i="14"/>
  <c r="I11" i="14"/>
  <c r="J26" i="14"/>
  <c r="O14" i="14"/>
  <c r="O15" i="14"/>
  <c r="O16" i="14"/>
  <c r="AF14" i="14"/>
  <c r="AF15" i="14"/>
  <c r="AF16" i="14"/>
  <c r="O87" i="14"/>
  <c r="O88" i="14"/>
  <c r="O89" i="14"/>
  <c r="AH87" i="14"/>
  <c r="AH88" i="14"/>
  <c r="AH89" i="14"/>
  <c r="Z84" i="14"/>
  <c r="Y84" i="14"/>
  <c r="X84" i="14"/>
  <c r="W84" i="14"/>
  <c r="Z83" i="14"/>
  <c r="Y83" i="14"/>
  <c r="X83" i="14"/>
  <c r="W83" i="14"/>
  <c r="Z82" i="14"/>
  <c r="Y82" i="14"/>
  <c r="X82" i="14"/>
  <c r="W82" i="14"/>
  <c r="G84" i="14"/>
  <c r="F84" i="14"/>
  <c r="E84" i="14"/>
  <c r="D84" i="14"/>
  <c r="G83" i="14"/>
  <c r="F83" i="14"/>
  <c r="E83" i="14"/>
  <c r="D83" i="14"/>
  <c r="G82" i="14"/>
  <c r="F82" i="14"/>
  <c r="E82" i="14"/>
  <c r="D82" i="14"/>
  <c r="X11" i="14"/>
  <c r="X10" i="14"/>
  <c r="X9" i="14"/>
  <c r="W11" i="14"/>
  <c r="W10" i="14"/>
  <c r="W9" i="14"/>
  <c r="V11" i="14"/>
  <c r="V10" i="14"/>
  <c r="V9" i="14"/>
  <c r="U11" i="14"/>
  <c r="U10" i="14"/>
  <c r="U9" i="14"/>
  <c r="G9" i="14"/>
  <c r="F9" i="14"/>
  <c r="E9" i="14"/>
  <c r="D9" i="14"/>
  <c r="G11" i="14"/>
  <c r="F11" i="14"/>
  <c r="E11" i="14"/>
  <c r="D11" i="14"/>
  <c r="G10" i="14"/>
  <c r="F10" i="14"/>
  <c r="E10" i="14"/>
  <c r="D10" i="14"/>
  <c r="N87" i="14"/>
  <c r="N88" i="14"/>
  <c r="N89" i="14"/>
  <c r="AC120" i="14"/>
  <c r="AD120" i="14"/>
  <c r="AC121" i="14"/>
  <c r="AD121" i="14"/>
  <c r="AC122" i="14"/>
  <c r="AD122" i="14"/>
  <c r="AC123" i="14"/>
  <c r="AD123" i="14"/>
  <c r="AC124" i="14"/>
  <c r="AD124" i="14"/>
  <c r="AC125" i="14"/>
  <c r="AD125" i="14"/>
  <c r="AC126" i="14"/>
  <c r="AD126" i="14"/>
  <c r="AC127" i="14"/>
  <c r="AD127" i="14"/>
  <c r="AC128" i="14"/>
  <c r="AD128" i="14"/>
  <c r="AC129" i="14"/>
  <c r="AD129" i="14"/>
  <c r="AC130" i="14"/>
  <c r="AD130" i="14"/>
  <c r="AC131" i="14"/>
  <c r="AD131" i="14"/>
  <c r="AC132" i="14"/>
  <c r="AD132" i="14"/>
  <c r="AC133" i="14"/>
  <c r="AD133" i="14"/>
  <c r="G2" i="14"/>
  <c r="G1" i="14"/>
  <c r="E2" i="14"/>
  <c r="E1" i="14"/>
  <c r="C2" i="14"/>
  <c r="C1" i="14"/>
  <c r="AG89" i="14"/>
  <c r="AF89" i="14"/>
  <c r="AE89" i="14"/>
  <c r="AD89" i="14"/>
  <c r="AG88" i="14"/>
  <c r="AF88" i="14"/>
  <c r="AE88" i="14"/>
  <c r="AG87" i="14"/>
  <c r="AF87" i="14"/>
  <c r="AE87" i="14"/>
  <c r="Z75" i="14"/>
  <c r="X75" i="14"/>
  <c r="V75" i="14"/>
  <c r="Z74" i="14"/>
  <c r="X74" i="14"/>
  <c r="V74" i="14"/>
  <c r="G75" i="14"/>
  <c r="E75" i="14"/>
  <c r="C75" i="14"/>
  <c r="G74" i="14"/>
  <c r="E74" i="14"/>
  <c r="C74" i="14"/>
  <c r="AC16" i="14"/>
  <c r="AC15" i="14"/>
  <c r="AC14" i="14"/>
  <c r="X2" i="14"/>
  <c r="V2" i="14"/>
  <c r="T2" i="14"/>
  <c r="X1" i="14"/>
  <c r="V1" i="14"/>
  <c r="T1" i="14"/>
  <c r="L14" i="14"/>
  <c r="L16" i="14"/>
  <c r="L15" i="14"/>
  <c r="K134" i="14"/>
  <c r="J134" i="14"/>
  <c r="K133" i="14"/>
  <c r="J133" i="14"/>
  <c r="K132" i="14"/>
  <c r="J132" i="14"/>
  <c r="K131" i="14"/>
  <c r="J131" i="14"/>
  <c r="K130" i="14"/>
  <c r="J130" i="14"/>
  <c r="K129" i="14"/>
  <c r="J129" i="14"/>
  <c r="K128" i="14"/>
  <c r="J128" i="14"/>
  <c r="K127" i="14"/>
  <c r="J127" i="14"/>
  <c r="K126" i="14"/>
  <c r="J126" i="14"/>
  <c r="K125" i="14"/>
  <c r="J125" i="14"/>
  <c r="K124" i="14"/>
  <c r="J124" i="14"/>
  <c r="K123" i="14"/>
  <c r="J123" i="14"/>
  <c r="K122" i="14"/>
  <c r="J122" i="14"/>
  <c r="K121" i="14"/>
  <c r="J121" i="14"/>
  <c r="K120" i="14"/>
  <c r="J120" i="14"/>
  <c r="AD119" i="14"/>
  <c r="AC119" i="14"/>
  <c r="K119" i="14"/>
  <c r="J119" i="14"/>
  <c r="AD118" i="14"/>
  <c r="AC118" i="14"/>
  <c r="K118" i="14"/>
  <c r="J118" i="14"/>
  <c r="AD117" i="14"/>
  <c r="AC117" i="14"/>
  <c r="K117" i="14"/>
  <c r="J117" i="14"/>
  <c r="AD116" i="14"/>
  <c r="AC116" i="14"/>
  <c r="K116" i="14"/>
  <c r="J116" i="14"/>
  <c r="AD115" i="14"/>
  <c r="AC115" i="14"/>
  <c r="K115" i="14"/>
  <c r="J115" i="14"/>
  <c r="AD114" i="14"/>
  <c r="AC114" i="14"/>
  <c r="K114" i="14"/>
  <c r="J114" i="14"/>
  <c r="AD113" i="14"/>
  <c r="AC113" i="14"/>
  <c r="K113" i="14"/>
  <c r="J113" i="14"/>
  <c r="AD112" i="14"/>
  <c r="AC112" i="14"/>
  <c r="K112" i="14"/>
  <c r="J112" i="14"/>
  <c r="AD111" i="14"/>
  <c r="AC111" i="14"/>
  <c r="K111" i="14"/>
  <c r="J111" i="14"/>
  <c r="AD110" i="14"/>
  <c r="AC110" i="14"/>
  <c r="K110" i="14"/>
  <c r="J110" i="14"/>
  <c r="AD109" i="14"/>
  <c r="AC109" i="14"/>
  <c r="K109" i="14"/>
  <c r="J109" i="14"/>
  <c r="AD108" i="14"/>
  <c r="AC108" i="14"/>
  <c r="K108" i="14"/>
  <c r="J108" i="14"/>
  <c r="AD107" i="14"/>
  <c r="AC107" i="14"/>
  <c r="K107" i="14"/>
  <c r="J107" i="14"/>
  <c r="AD106" i="14"/>
  <c r="AC106" i="14"/>
  <c r="K106" i="14"/>
  <c r="J106" i="14"/>
  <c r="AD105" i="14"/>
  <c r="AC105" i="14"/>
  <c r="K105" i="14"/>
  <c r="J105" i="14"/>
  <c r="AD104" i="14"/>
  <c r="AC104" i="14"/>
  <c r="K104" i="14"/>
  <c r="J104" i="14"/>
  <c r="AD103" i="14"/>
  <c r="AC103" i="14"/>
  <c r="K103" i="14"/>
  <c r="J103" i="14"/>
  <c r="AD102" i="14"/>
  <c r="AC102" i="14"/>
  <c r="K102" i="14"/>
  <c r="J102" i="14"/>
  <c r="AD101" i="14"/>
  <c r="AC101" i="14"/>
  <c r="K101" i="14"/>
  <c r="J101" i="14"/>
  <c r="AD100" i="14"/>
  <c r="AC100" i="14"/>
  <c r="K100" i="14"/>
  <c r="J100" i="14"/>
  <c r="AD99" i="14"/>
  <c r="AC99" i="14"/>
  <c r="K99" i="14"/>
  <c r="J99" i="14"/>
  <c r="AD98" i="14"/>
  <c r="AC98" i="14"/>
  <c r="K98" i="14"/>
  <c r="J98" i="14"/>
  <c r="AD97" i="14"/>
  <c r="AC97" i="14"/>
  <c r="K97" i="14"/>
  <c r="J97" i="14"/>
  <c r="AD96" i="14"/>
  <c r="AC96" i="14"/>
  <c r="K96" i="14"/>
  <c r="J96" i="14"/>
  <c r="AD95" i="14"/>
  <c r="AC95" i="14"/>
  <c r="K95" i="14"/>
  <c r="J95" i="14"/>
  <c r="AD94" i="14"/>
  <c r="AC94" i="14"/>
  <c r="K94" i="14"/>
  <c r="J94" i="14"/>
  <c r="AD93" i="14"/>
  <c r="AC93" i="14"/>
  <c r="K93" i="14"/>
  <c r="J93" i="14"/>
  <c r="AD92" i="14"/>
  <c r="AC92" i="14"/>
  <c r="K92" i="14"/>
  <c r="J92" i="14"/>
  <c r="AD91" i="14"/>
  <c r="AC91" i="14"/>
  <c r="K91" i="14"/>
  <c r="J91" i="14"/>
  <c r="AD90" i="14"/>
  <c r="AC90" i="14"/>
  <c r="K90" i="14"/>
  <c r="J90" i="14"/>
  <c r="AC89" i="14"/>
  <c r="M89" i="14"/>
  <c r="L89" i="14"/>
  <c r="K89" i="14"/>
  <c r="J89" i="14"/>
  <c r="M88" i="14"/>
  <c r="L88" i="14"/>
  <c r="M87" i="14"/>
  <c r="L87" i="14"/>
  <c r="AB59" i="14"/>
  <c r="AA59" i="14"/>
  <c r="K59" i="14"/>
  <c r="J59" i="14"/>
  <c r="AB58" i="14"/>
  <c r="AA58" i="14"/>
  <c r="K58" i="14"/>
  <c r="J58" i="14"/>
  <c r="AB57" i="14"/>
  <c r="AA57" i="14"/>
  <c r="K57" i="14"/>
  <c r="J57" i="14"/>
  <c r="AB56" i="14"/>
  <c r="AA56" i="14"/>
  <c r="K56" i="14"/>
  <c r="J56" i="14"/>
  <c r="AB55" i="14"/>
  <c r="AA55" i="14"/>
  <c r="K55" i="14"/>
  <c r="J55" i="14"/>
  <c r="AB54" i="14"/>
  <c r="AA54" i="14"/>
  <c r="K54" i="14"/>
  <c r="J54" i="14"/>
  <c r="AB53" i="14"/>
  <c r="AA53" i="14"/>
  <c r="K53" i="14"/>
  <c r="J53" i="14"/>
  <c r="AB52" i="14"/>
  <c r="AA52" i="14"/>
  <c r="K52" i="14"/>
  <c r="J52" i="14"/>
  <c r="AB51" i="14"/>
  <c r="AA51" i="14"/>
  <c r="K51" i="14"/>
  <c r="J51" i="14"/>
  <c r="AB50" i="14"/>
  <c r="AA50" i="14"/>
  <c r="K50" i="14"/>
  <c r="J50" i="14"/>
  <c r="AB49" i="14"/>
  <c r="AA49" i="14"/>
  <c r="K49" i="14"/>
  <c r="J49" i="14"/>
  <c r="AB48" i="14"/>
  <c r="AA48" i="14"/>
  <c r="K48" i="14"/>
  <c r="J48" i="14"/>
  <c r="AB47" i="14"/>
  <c r="AA47" i="14"/>
  <c r="K47" i="14"/>
  <c r="J47" i="14"/>
  <c r="AB46" i="14"/>
  <c r="AA46" i="14"/>
  <c r="K46" i="14"/>
  <c r="J46" i="14"/>
  <c r="AB45" i="14"/>
  <c r="AA45" i="14"/>
  <c r="K45" i="14"/>
  <c r="J45" i="14"/>
  <c r="AB44" i="14"/>
  <c r="AA44" i="14"/>
  <c r="K44" i="14"/>
  <c r="J44" i="14"/>
  <c r="AB43" i="14"/>
  <c r="AA43" i="14"/>
  <c r="K43" i="14"/>
  <c r="J43" i="14"/>
  <c r="AB42" i="14"/>
  <c r="AA42" i="14"/>
  <c r="K42" i="14"/>
  <c r="J42" i="14"/>
  <c r="AB41" i="14"/>
  <c r="AA41" i="14"/>
  <c r="K41" i="14"/>
  <c r="J41" i="14"/>
  <c r="AB40" i="14"/>
  <c r="AA40" i="14"/>
  <c r="K40" i="14"/>
  <c r="J40" i="14"/>
  <c r="AB39" i="14"/>
  <c r="AA39" i="14"/>
  <c r="K39" i="14"/>
  <c r="J39" i="14"/>
  <c r="AB38" i="14"/>
  <c r="AA38" i="14"/>
  <c r="K38" i="14"/>
  <c r="J38" i="14"/>
  <c r="AB37" i="14"/>
  <c r="AA37" i="14"/>
  <c r="K37" i="14"/>
  <c r="J37" i="14"/>
  <c r="AB36" i="14"/>
  <c r="AA36" i="14"/>
  <c r="K36" i="14"/>
  <c r="J36" i="14"/>
  <c r="AB35" i="14"/>
  <c r="AA35" i="14"/>
  <c r="K35" i="14"/>
  <c r="J35" i="14"/>
  <c r="AB34" i="14"/>
  <c r="AA34" i="14"/>
  <c r="K34" i="14"/>
  <c r="J34" i="14"/>
  <c r="AB33" i="14"/>
  <c r="AA33" i="14"/>
  <c r="K33" i="14"/>
  <c r="J33" i="14"/>
  <c r="AB32" i="14"/>
  <c r="AA32" i="14"/>
  <c r="K32" i="14"/>
  <c r="J32" i="14"/>
  <c r="AB31" i="14"/>
  <c r="AA31" i="14"/>
  <c r="K31" i="14"/>
  <c r="J31" i="14"/>
  <c r="AB30" i="14"/>
  <c r="AA30" i="14"/>
  <c r="K30" i="14"/>
  <c r="J30" i="14"/>
  <c r="AB29" i="14"/>
  <c r="AA29" i="14"/>
  <c r="K29" i="14"/>
  <c r="J29" i="14"/>
  <c r="AB28" i="14"/>
  <c r="AA28" i="14"/>
  <c r="K28" i="14"/>
  <c r="J28" i="14"/>
  <c r="AB27" i="14"/>
  <c r="AA27" i="14"/>
  <c r="K27" i="14"/>
  <c r="J27" i="14"/>
  <c r="AB26" i="14"/>
  <c r="AA26" i="14"/>
  <c r="K26" i="14"/>
  <c r="AB25" i="14"/>
  <c r="AA25" i="14"/>
  <c r="K25" i="14"/>
  <c r="J25" i="14"/>
  <c r="AB24" i="14"/>
  <c r="AA24" i="14"/>
  <c r="K24" i="14"/>
  <c r="J24" i="14"/>
  <c r="AB23" i="14"/>
  <c r="AA23" i="14"/>
  <c r="K23" i="14"/>
  <c r="J23" i="14"/>
  <c r="AB22" i="14"/>
  <c r="AA22" i="14"/>
  <c r="K22" i="14"/>
  <c r="J22" i="14"/>
  <c r="AB21" i="14"/>
  <c r="AA21" i="14"/>
  <c r="K21" i="14"/>
  <c r="J21" i="14"/>
  <c r="AB20" i="14"/>
  <c r="AA20" i="14"/>
  <c r="K20" i="14"/>
  <c r="J20" i="14"/>
  <c r="AB19" i="14"/>
  <c r="AA19" i="14"/>
  <c r="K19" i="14"/>
  <c r="J19" i="14"/>
  <c r="AB18" i="14"/>
  <c r="AA18" i="14"/>
  <c r="K18" i="14"/>
  <c r="J18" i="14"/>
  <c r="AB17" i="14"/>
  <c r="AA17" i="14"/>
  <c r="K17" i="14"/>
  <c r="J17" i="14"/>
  <c r="AE16" i="14"/>
  <c r="AD16" i="14"/>
  <c r="AB16" i="14"/>
  <c r="AA16" i="14"/>
  <c r="N16" i="14"/>
  <c r="M16" i="14"/>
  <c r="K16" i="14"/>
  <c r="J16" i="14"/>
  <c r="AE15" i="14"/>
  <c r="AD15" i="14"/>
  <c r="N15" i="14"/>
  <c r="M15" i="14"/>
  <c r="AE14" i="14"/>
  <c r="AD14" i="14"/>
  <c r="N14" i="14"/>
  <c r="M14" i="14"/>
  <c r="X134" i="7"/>
  <c r="W134" i="7"/>
  <c r="V134" i="7"/>
  <c r="U134" i="7"/>
  <c r="AK134" i="7"/>
  <c r="AJ134" i="7"/>
  <c r="AI134" i="7"/>
  <c r="AF129" i="7"/>
  <c r="AF128" i="7"/>
  <c r="S129" i="7"/>
  <c r="U128" i="7"/>
  <c r="U129" i="7"/>
  <c r="W128" i="7"/>
  <c r="W129" i="7"/>
  <c r="S128" i="7"/>
  <c r="U136" i="7"/>
  <c r="U135" i="7"/>
  <c r="AJ129" i="7"/>
  <c r="AJ128" i="7"/>
  <c r="AH129" i="7"/>
  <c r="AH128" i="7"/>
  <c r="AK136" i="7"/>
  <c r="AJ136" i="7"/>
  <c r="AI136" i="7"/>
  <c r="AH136" i="7"/>
  <c r="AK135" i="7"/>
  <c r="AJ135" i="7"/>
  <c r="AI135" i="7"/>
  <c r="AH135" i="7"/>
  <c r="X135" i="7"/>
  <c r="X136" i="7"/>
  <c r="W135" i="7"/>
  <c r="W136" i="7"/>
  <c r="V135" i="7"/>
  <c r="V136" i="7"/>
  <c r="C7" i="3"/>
  <c r="AB135" i="7"/>
  <c r="I253" i="7"/>
  <c r="H253" i="7"/>
  <c r="I252" i="7"/>
  <c r="H252" i="7"/>
  <c r="I251" i="7"/>
  <c r="H251" i="7"/>
  <c r="I250" i="7"/>
  <c r="H250" i="7"/>
  <c r="I249" i="7"/>
  <c r="H249" i="7"/>
  <c r="I248" i="7"/>
  <c r="H248" i="7"/>
  <c r="I247" i="7"/>
  <c r="H247" i="7"/>
  <c r="I246" i="7"/>
  <c r="H246" i="7"/>
  <c r="I245" i="7"/>
  <c r="H245" i="7"/>
  <c r="I244" i="7"/>
  <c r="H244" i="7"/>
  <c r="I243" i="7"/>
  <c r="H243" i="7"/>
  <c r="I242" i="7"/>
  <c r="H242" i="7"/>
  <c r="I241" i="7"/>
  <c r="H241" i="7"/>
  <c r="I240" i="7"/>
  <c r="H240" i="7"/>
  <c r="I239" i="7"/>
  <c r="H239" i="7"/>
  <c r="I238" i="7"/>
  <c r="H238" i="7"/>
  <c r="I237" i="7"/>
  <c r="H237" i="7"/>
  <c r="I236" i="7"/>
  <c r="H236" i="7"/>
  <c r="I235" i="7"/>
  <c r="H235" i="7"/>
  <c r="I234" i="7"/>
  <c r="H234" i="7"/>
  <c r="I233" i="7"/>
  <c r="H233" i="7"/>
  <c r="I232" i="7"/>
  <c r="H232" i="7"/>
  <c r="I231" i="7"/>
  <c r="H231" i="7"/>
  <c r="I230" i="7"/>
  <c r="H230" i="7"/>
  <c r="I229" i="7"/>
  <c r="H229" i="7"/>
  <c r="I228" i="7"/>
  <c r="H228" i="7"/>
  <c r="I227" i="7"/>
  <c r="H227" i="7"/>
  <c r="I226" i="7"/>
  <c r="H226" i="7"/>
  <c r="I225" i="7"/>
  <c r="H225" i="7"/>
  <c r="I224" i="7"/>
  <c r="H224" i="7"/>
  <c r="I223" i="7"/>
  <c r="H223" i="7"/>
  <c r="I222" i="7"/>
  <c r="H222" i="7"/>
  <c r="I221" i="7"/>
  <c r="H221" i="7"/>
  <c r="I220" i="7"/>
  <c r="H220" i="7"/>
  <c r="I219" i="7"/>
  <c r="H219" i="7"/>
  <c r="I218" i="7"/>
  <c r="H218" i="7"/>
  <c r="I217" i="7"/>
  <c r="H217" i="7"/>
  <c r="I216" i="7"/>
  <c r="H216" i="7"/>
  <c r="I215" i="7"/>
  <c r="H215" i="7"/>
  <c r="I214" i="7"/>
  <c r="H214" i="7"/>
  <c r="I213" i="7"/>
  <c r="H213" i="7"/>
  <c r="I212" i="7"/>
  <c r="H212" i="7"/>
  <c r="I211" i="7"/>
  <c r="H211" i="7"/>
  <c r="I210" i="7"/>
  <c r="H210" i="7"/>
  <c r="I209" i="7"/>
  <c r="H209" i="7"/>
  <c r="AL178" i="7"/>
  <c r="AM178" i="7"/>
  <c r="AL179" i="7"/>
  <c r="AM179" i="7"/>
  <c r="AL180" i="7"/>
  <c r="AM180" i="7"/>
  <c r="AL181" i="7"/>
  <c r="AM181" i="7"/>
  <c r="AL182" i="7"/>
  <c r="AM182" i="7"/>
  <c r="AL183" i="7"/>
  <c r="AM183" i="7"/>
  <c r="AL184" i="7"/>
  <c r="AM184" i="7"/>
  <c r="Y178" i="7"/>
  <c r="Z178" i="7"/>
  <c r="Y179" i="7"/>
  <c r="Z179" i="7"/>
  <c r="Y180" i="7"/>
  <c r="Z180" i="7"/>
  <c r="Y181" i="7"/>
  <c r="Z181" i="7"/>
  <c r="Y182" i="7"/>
  <c r="Z182" i="7"/>
  <c r="Y183" i="7"/>
  <c r="Z183" i="7"/>
  <c r="Y184" i="7"/>
  <c r="Z184" i="7"/>
  <c r="Y185" i="7"/>
  <c r="Z185" i="7"/>
  <c r="H178" i="7"/>
  <c r="I178" i="7"/>
  <c r="H179" i="7"/>
  <c r="I179" i="7"/>
  <c r="H180" i="7"/>
  <c r="I180" i="7"/>
  <c r="H181" i="7"/>
  <c r="I181" i="7"/>
  <c r="H182" i="7"/>
  <c r="I182" i="7"/>
  <c r="H183" i="7"/>
  <c r="I183" i="7"/>
  <c r="AM177" i="7"/>
  <c r="AL177" i="7"/>
  <c r="AM176" i="7"/>
  <c r="AL176" i="7"/>
  <c r="AM175" i="7"/>
  <c r="AL175" i="7"/>
  <c r="AM174" i="7"/>
  <c r="AL174" i="7"/>
  <c r="AM173" i="7"/>
  <c r="AL173" i="7"/>
  <c r="AM172" i="7"/>
  <c r="AL172" i="7"/>
  <c r="AM171" i="7"/>
  <c r="AL171" i="7"/>
  <c r="AM170" i="7"/>
  <c r="AL170" i="7"/>
  <c r="AM169" i="7"/>
  <c r="AL169" i="7"/>
  <c r="AM168" i="7"/>
  <c r="AL168" i="7"/>
  <c r="AM167" i="7"/>
  <c r="AL167" i="7"/>
  <c r="AM166" i="7"/>
  <c r="AL166" i="7"/>
  <c r="AM165" i="7"/>
  <c r="AL165" i="7"/>
  <c r="AM164" i="7"/>
  <c r="AL164" i="7"/>
  <c r="AM163" i="7"/>
  <c r="AL163" i="7"/>
  <c r="AM162" i="7"/>
  <c r="AL162" i="7"/>
  <c r="AM161" i="7"/>
  <c r="AL161" i="7"/>
  <c r="AM160" i="7"/>
  <c r="AL160" i="7"/>
  <c r="AM159" i="7"/>
  <c r="AL159" i="7"/>
  <c r="AM158" i="7"/>
  <c r="AL158" i="7"/>
  <c r="AM157" i="7"/>
  <c r="AL157" i="7"/>
  <c r="AM156" i="7"/>
  <c r="AL156" i="7"/>
  <c r="AM155" i="7"/>
  <c r="AL155" i="7"/>
  <c r="AM154" i="7"/>
  <c r="AL154" i="7"/>
  <c r="AM153" i="7"/>
  <c r="AL153" i="7"/>
  <c r="AM152" i="7"/>
  <c r="AL152" i="7"/>
  <c r="AM151" i="7"/>
  <c r="AL151" i="7"/>
  <c r="AM150" i="7"/>
  <c r="AL150" i="7"/>
  <c r="AM149" i="7"/>
  <c r="AL149" i="7"/>
  <c r="AM148" i="7"/>
  <c r="AL148" i="7"/>
  <c r="AM147" i="7"/>
  <c r="AL147" i="7"/>
  <c r="AM146" i="7"/>
  <c r="AL146" i="7"/>
  <c r="AM145" i="7"/>
  <c r="AL145" i="7"/>
  <c r="AM144" i="7"/>
  <c r="AL144" i="7"/>
  <c r="AM143" i="7"/>
  <c r="AL143" i="7"/>
  <c r="AM142" i="7"/>
  <c r="AL142" i="7"/>
  <c r="AM141" i="7"/>
  <c r="AL141" i="7"/>
  <c r="Z177" i="7"/>
  <c r="Y177" i="7"/>
  <c r="Z176" i="7"/>
  <c r="Y176" i="7"/>
  <c r="Z175" i="7"/>
  <c r="Y175" i="7"/>
  <c r="Z174" i="7"/>
  <c r="Y174" i="7"/>
  <c r="Z173" i="7"/>
  <c r="Y173" i="7"/>
  <c r="Z172" i="7"/>
  <c r="Y172" i="7"/>
  <c r="Z171" i="7"/>
  <c r="Y171" i="7"/>
  <c r="Z170" i="7"/>
  <c r="Y170" i="7"/>
  <c r="Z169" i="7"/>
  <c r="Y169" i="7"/>
  <c r="Z168" i="7"/>
  <c r="Y168" i="7"/>
  <c r="Z167" i="7"/>
  <c r="Y167" i="7"/>
  <c r="Z166" i="7"/>
  <c r="Y166" i="7"/>
  <c r="Z165" i="7"/>
  <c r="Y165" i="7"/>
  <c r="Z164" i="7"/>
  <c r="Y164" i="7"/>
  <c r="Z163" i="7"/>
  <c r="Y163" i="7"/>
  <c r="Z162" i="7"/>
  <c r="Y162" i="7"/>
  <c r="Z161" i="7"/>
  <c r="Y161" i="7"/>
  <c r="Z160" i="7"/>
  <c r="Y160" i="7"/>
  <c r="Z159" i="7"/>
  <c r="Y159" i="7"/>
  <c r="Z158" i="7"/>
  <c r="Y158" i="7"/>
  <c r="Z157" i="7"/>
  <c r="Y157" i="7"/>
  <c r="Z156" i="7"/>
  <c r="Y156" i="7"/>
  <c r="Z155" i="7"/>
  <c r="Y155" i="7"/>
  <c r="Z154" i="7"/>
  <c r="Y154" i="7"/>
  <c r="Z153" i="7"/>
  <c r="Y153" i="7"/>
  <c r="Z152" i="7"/>
  <c r="Y152" i="7"/>
  <c r="Z151" i="7"/>
  <c r="Y151" i="7"/>
  <c r="Z150" i="7"/>
  <c r="Y150" i="7"/>
  <c r="Z149" i="7"/>
  <c r="Y149" i="7"/>
  <c r="Z148" i="7"/>
  <c r="Y148" i="7"/>
  <c r="Z147" i="7"/>
  <c r="Y147" i="7"/>
  <c r="Z146" i="7"/>
  <c r="Y146" i="7"/>
  <c r="Z145" i="7"/>
  <c r="Y145" i="7"/>
  <c r="Z144" i="7"/>
  <c r="Y144" i="7"/>
  <c r="Z143" i="7"/>
  <c r="Y143" i="7"/>
  <c r="Z142" i="7"/>
  <c r="Y142" i="7"/>
  <c r="Z141" i="7"/>
  <c r="Y141" i="7"/>
  <c r="I177" i="7"/>
  <c r="H177" i="7"/>
  <c r="I176" i="7"/>
  <c r="H176" i="7"/>
  <c r="I175" i="7"/>
  <c r="H175" i="7"/>
  <c r="I174" i="7"/>
  <c r="H174" i="7"/>
  <c r="I173" i="7"/>
  <c r="H173" i="7"/>
  <c r="I172" i="7"/>
  <c r="H172" i="7"/>
  <c r="I171" i="7"/>
  <c r="H171" i="7"/>
  <c r="I170" i="7"/>
  <c r="H170" i="7"/>
  <c r="I169" i="7"/>
  <c r="H169" i="7"/>
  <c r="I168" i="7"/>
  <c r="H168" i="7"/>
  <c r="I167" i="7"/>
  <c r="H167" i="7"/>
  <c r="I166" i="7"/>
  <c r="H166" i="7"/>
  <c r="I165" i="7"/>
  <c r="H165" i="7"/>
  <c r="I164" i="7"/>
  <c r="H164" i="7"/>
  <c r="I163" i="7"/>
  <c r="H163" i="7"/>
  <c r="I162" i="7"/>
  <c r="H162" i="7"/>
  <c r="I161" i="7"/>
  <c r="H161" i="7"/>
  <c r="I160" i="7"/>
  <c r="H160" i="7"/>
  <c r="I159" i="7"/>
  <c r="H159" i="7"/>
  <c r="I158" i="7"/>
  <c r="H158" i="7"/>
  <c r="I157" i="7"/>
  <c r="H157" i="7"/>
  <c r="I156" i="7"/>
  <c r="H156" i="7"/>
  <c r="I155" i="7"/>
  <c r="H155" i="7"/>
  <c r="I154" i="7"/>
  <c r="H154" i="7"/>
  <c r="I153" i="7"/>
  <c r="H153" i="7"/>
  <c r="I152" i="7"/>
  <c r="H152" i="7"/>
  <c r="I151" i="7"/>
  <c r="H151" i="7"/>
  <c r="I150" i="7"/>
  <c r="H150" i="7"/>
  <c r="I149" i="7"/>
  <c r="H149" i="7"/>
  <c r="I148" i="7"/>
  <c r="H148" i="7"/>
  <c r="I147" i="7"/>
  <c r="H147" i="7"/>
  <c r="I146" i="7"/>
  <c r="H146" i="7"/>
  <c r="I145" i="7"/>
  <c r="H145" i="7"/>
  <c r="I144" i="7"/>
  <c r="H144" i="7"/>
  <c r="I143" i="7"/>
  <c r="H143" i="7"/>
  <c r="I142" i="7"/>
  <c r="H142" i="7"/>
  <c r="I141" i="7"/>
  <c r="H141" i="7"/>
  <c r="I109" i="7"/>
  <c r="H109" i="7"/>
  <c r="I108" i="7"/>
  <c r="H108" i="7"/>
  <c r="I107" i="7"/>
  <c r="H107" i="7"/>
  <c r="I106" i="7"/>
  <c r="H106" i="7"/>
  <c r="I105" i="7"/>
  <c r="H105" i="7"/>
  <c r="I104" i="7"/>
  <c r="H104" i="7"/>
  <c r="I103" i="7"/>
  <c r="H103" i="7"/>
  <c r="I102" i="7"/>
  <c r="H102" i="7"/>
  <c r="I101" i="7"/>
  <c r="H101" i="7"/>
  <c r="I100" i="7"/>
  <c r="H100" i="7"/>
  <c r="I99" i="7"/>
  <c r="H99" i="7"/>
  <c r="I98" i="7"/>
  <c r="H98" i="7"/>
  <c r="I97" i="7"/>
  <c r="H97" i="7"/>
  <c r="I96" i="7"/>
  <c r="H96" i="7"/>
  <c r="I95" i="7"/>
  <c r="H95" i="7"/>
  <c r="I94" i="7"/>
  <c r="H94" i="7"/>
  <c r="I93" i="7"/>
  <c r="H93" i="7"/>
  <c r="I92" i="7"/>
  <c r="H92" i="7"/>
  <c r="I91" i="7"/>
  <c r="H91" i="7"/>
  <c r="I90" i="7"/>
  <c r="H90" i="7"/>
  <c r="I89" i="7"/>
  <c r="H89" i="7"/>
  <c r="I88" i="7"/>
  <c r="H88" i="7"/>
  <c r="I87" i="7"/>
  <c r="H87" i="7"/>
  <c r="I86" i="7"/>
  <c r="H86" i="7"/>
  <c r="I85" i="7"/>
  <c r="H85" i="7"/>
  <c r="I84" i="7"/>
  <c r="H84" i="7"/>
  <c r="I83" i="7"/>
  <c r="H83" i="7"/>
  <c r="I82" i="7"/>
  <c r="H82" i="7"/>
  <c r="I81" i="7"/>
  <c r="H81" i="7"/>
  <c r="I80" i="7"/>
  <c r="H80" i="7"/>
  <c r="I79" i="7"/>
  <c r="H79" i="7"/>
  <c r="I78" i="7"/>
  <c r="H78" i="7"/>
  <c r="I77" i="7"/>
  <c r="H77" i="7"/>
  <c r="I76" i="7"/>
  <c r="H76" i="7"/>
  <c r="I75" i="7"/>
  <c r="H75" i="7"/>
  <c r="I74" i="7"/>
  <c r="H74" i="7"/>
  <c r="I73" i="7"/>
  <c r="H73" i="7"/>
  <c r="AM109" i="7"/>
  <c r="AL109" i="7"/>
  <c r="AM108" i="7"/>
  <c r="AL108" i="7"/>
  <c r="AM107" i="7"/>
  <c r="AL107" i="7"/>
  <c r="AM106" i="7"/>
  <c r="AL106" i="7"/>
  <c r="AM105" i="7"/>
  <c r="AL105" i="7"/>
  <c r="AM104" i="7"/>
  <c r="AL104" i="7"/>
  <c r="AM103" i="7"/>
  <c r="AL103" i="7"/>
  <c r="AM102" i="7"/>
  <c r="AL102" i="7"/>
  <c r="AM101" i="7"/>
  <c r="AL101" i="7"/>
  <c r="AM100" i="7"/>
  <c r="AL100" i="7"/>
  <c r="AM99" i="7"/>
  <c r="AL99" i="7"/>
  <c r="AM98" i="7"/>
  <c r="AL98" i="7"/>
  <c r="AM97" i="7"/>
  <c r="AL97" i="7"/>
  <c r="AM96" i="7"/>
  <c r="AL96" i="7"/>
  <c r="AM95" i="7"/>
  <c r="AL95" i="7"/>
  <c r="AM94" i="7"/>
  <c r="AL94" i="7"/>
  <c r="AM93" i="7"/>
  <c r="AL93" i="7"/>
  <c r="AM92" i="7"/>
  <c r="AL92" i="7"/>
  <c r="AM91" i="7"/>
  <c r="AL91" i="7"/>
  <c r="AM90" i="7"/>
  <c r="AL90" i="7"/>
  <c r="AM89" i="7"/>
  <c r="AL89" i="7"/>
  <c r="AM88" i="7"/>
  <c r="AL88" i="7"/>
  <c r="AM87" i="7"/>
  <c r="AL87" i="7"/>
  <c r="AM86" i="7"/>
  <c r="AL86" i="7"/>
  <c r="AM85" i="7"/>
  <c r="AL85" i="7"/>
  <c r="AM84" i="7"/>
  <c r="AL84" i="7"/>
  <c r="AM83" i="7"/>
  <c r="AL83" i="7"/>
  <c r="AM82" i="7"/>
  <c r="AL82" i="7"/>
  <c r="AM81" i="7"/>
  <c r="AL81" i="7"/>
  <c r="AM80" i="7"/>
  <c r="AL80" i="7"/>
  <c r="AM79" i="7"/>
  <c r="AL79" i="7"/>
  <c r="AM78" i="7"/>
  <c r="AL78" i="7"/>
  <c r="AM77" i="7"/>
  <c r="AL77" i="7"/>
  <c r="AM76" i="7"/>
  <c r="AL76" i="7"/>
  <c r="AM75" i="7"/>
  <c r="AL75" i="7"/>
  <c r="AM74" i="7"/>
  <c r="AL74" i="7"/>
  <c r="AM73" i="7"/>
  <c r="AL73" i="7"/>
  <c r="Z109" i="7"/>
  <c r="Y109" i="7"/>
  <c r="Z108" i="7"/>
  <c r="Y108" i="7"/>
  <c r="Z107" i="7"/>
  <c r="Y107" i="7"/>
  <c r="Z106" i="7"/>
  <c r="Y106" i="7"/>
  <c r="Z105" i="7"/>
  <c r="Y105" i="7"/>
  <c r="Z104" i="7"/>
  <c r="Y104" i="7"/>
  <c r="Z103" i="7"/>
  <c r="Y103" i="7"/>
  <c r="Z102" i="7"/>
  <c r="Y102" i="7"/>
  <c r="Z101" i="7"/>
  <c r="Y101" i="7"/>
  <c r="Z100" i="7"/>
  <c r="Y100" i="7"/>
  <c r="Z99" i="7"/>
  <c r="Y99" i="7"/>
  <c r="Z98" i="7"/>
  <c r="Y98" i="7"/>
  <c r="Z97" i="7"/>
  <c r="Y97" i="7"/>
  <c r="Z96" i="7"/>
  <c r="Y96" i="7"/>
  <c r="Z95" i="7"/>
  <c r="Y95" i="7"/>
  <c r="Z94" i="7"/>
  <c r="Y94" i="7"/>
  <c r="Z93" i="7"/>
  <c r="Y93" i="7"/>
  <c r="Z92" i="7"/>
  <c r="Y92" i="7"/>
  <c r="Z91" i="7"/>
  <c r="Y91" i="7"/>
  <c r="Z90" i="7"/>
  <c r="Y90" i="7"/>
  <c r="Z89" i="7"/>
  <c r="Y89" i="7"/>
  <c r="Z88" i="7"/>
  <c r="Y88" i="7"/>
  <c r="Z87" i="7"/>
  <c r="Y87" i="7"/>
  <c r="Z86" i="7"/>
  <c r="Y86" i="7"/>
  <c r="Z85" i="7"/>
  <c r="Y85" i="7"/>
  <c r="Z84" i="7"/>
  <c r="Y84" i="7"/>
  <c r="Z83" i="7"/>
  <c r="Y83" i="7"/>
  <c r="Z82" i="7"/>
  <c r="Y82" i="7"/>
  <c r="Z81" i="7"/>
  <c r="Y81" i="7"/>
  <c r="Z80" i="7"/>
  <c r="Y80" i="7"/>
  <c r="Z79" i="7"/>
  <c r="Y79" i="7"/>
  <c r="Z78" i="7"/>
  <c r="Y78" i="7"/>
  <c r="Z77" i="7"/>
  <c r="Y77" i="7"/>
  <c r="Z76" i="7"/>
  <c r="Y76" i="7"/>
  <c r="Z75" i="7"/>
  <c r="Y75" i="7"/>
  <c r="Z74" i="7"/>
  <c r="Y74" i="7"/>
  <c r="Z73" i="7"/>
  <c r="Y73" i="7"/>
  <c r="AL44" i="7"/>
  <c r="AK44" i="7"/>
  <c r="AL43" i="7"/>
  <c r="AK43" i="7"/>
  <c r="AL42" i="7"/>
  <c r="AK42" i="7"/>
  <c r="AL41" i="7"/>
  <c r="AK41" i="7"/>
  <c r="AL40" i="7"/>
  <c r="AK40" i="7"/>
  <c r="AL39" i="7"/>
  <c r="AK39" i="7"/>
  <c r="AL38" i="7"/>
  <c r="AK38" i="7"/>
  <c r="AL37" i="7"/>
  <c r="AK37" i="7"/>
  <c r="AL36" i="7"/>
  <c r="AK36" i="7"/>
  <c r="AL35" i="7"/>
  <c r="AK35" i="7"/>
  <c r="AL34" i="7"/>
  <c r="AK34" i="7"/>
  <c r="AL33" i="7"/>
  <c r="AK33" i="7"/>
  <c r="AL32" i="7"/>
  <c r="AK32" i="7"/>
  <c r="AL31" i="7"/>
  <c r="AK31" i="7"/>
  <c r="AL30" i="7"/>
  <c r="AK30" i="7"/>
  <c r="AL29" i="7"/>
  <c r="AK29" i="7"/>
  <c r="AL28" i="7"/>
  <c r="AK28" i="7"/>
  <c r="AL27" i="7"/>
  <c r="AK27" i="7"/>
  <c r="AL26" i="7"/>
  <c r="AK26" i="7"/>
  <c r="AL25" i="7"/>
  <c r="AK25" i="7"/>
  <c r="AL24" i="7"/>
  <c r="AK24" i="7"/>
  <c r="AL23" i="7"/>
  <c r="AK23" i="7"/>
  <c r="AL22" i="7"/>
  <c r="AK22" i="7"/>
  <c r="AL21" i="7"/>
  <c r="AK21" i="7"/>
  <c r="AL20" i="7"/>
  <c r="AK20" i="7"/>
  <c r="AL19" i="7"/>
  <c r="AK19" i="7"/>
  <c r="AL18" i="7"/>
  <c r="AK18" i="7"/>
  <c r="AL17" i="7"/>
  <c r="AK17" i="7"/>
  <c r="AL16" i="7"/>
  <c r="AK16" i="7"/>
  <c r="AL15" i="7"/>
  <c r="AK15" i="7"/>
  <c r="AL14" i="7"/>
  <c r="AK14" i="7"/>
  <c r="AL13" i="7"/>
  <c r="AK13" i="7"/>
  <c r="AL12" i="7"/>
  <c r="AK12" i="7"/>
  <c r="AL11" i="7"/>
  <c r="AK11" i="7"/>
  <c r="AL10" i="7"/>
  <c r="AK10" i="7"/>
  <c r="AL9" i="7"/>
  <c r="AK9" i="7"/>
  <c r="AL8" i="7"/>
  <c r="AK8" i="7"/>
  <c r="Y44" i="7"/>
  <c r="X44" i="7"/>
  <c r="Y43" i="7"/>
  <c r="X43" i="7"/>
  <c r="Y42" i="7"/>
  <c r="X42" i="7"/>
  <c r="Y41" i="7"/>
  <c r="X41" i="7"/>
  <c r="Y40" i="7"/>
  <c r="X40" i="7"/>
  <c r="Y39" i="7"/>
  <c r="X39" i="7"/>
  <c r="Y38" i="7"/>
  <c r="X38" i="7"/>
  <c r="Y37" i="7"/>
  <c r="X37" i="7"/>
  <c r="Y36" i="7"/>
  <c r="X36" i="7"/>
  <c r="Y35" i="7"/>
  <c r="X35" i="7"/>
  <c r="Y34" i="7"/>
  <c r="X34" i="7"/>
  <c r="Y33" i="7"/>
  <c r="X33" i="7"/>
  <c r="Y32" i="7"/>
  <c r="X32" i="7"/>
  <c r="Y31" i="7"/>
  <c r="X31" i="7"/>
  <c r="Y30" i="7"/>
  <c r="X30" i="7"/>
  <c r="Y29" i="7"/>
  <c r="X29" i="7"/>
  <c r="Y28" i="7"/>
  <c r="X28" i="7"/>
  <c r="Y27" i="7"/>
  <c r="X27" i="7"/>
  <c r="Y26" i="7"/>
  <c r="X26" i="7"/>
  <c r="Y25" i="7"/>
  <c r="X25" i="7"/>
  <c r="Y24" i="7"/>
  <c r="X24" i="7"/>
  <c r="Y23" i="7"/>
  <c r="X23" i="7"/>
  <c r="Y22" i="7"/>
  <c r="X22" i="7"/>
  <c r="Y21" i="7"/>
  <c r="X21" i="7"/>
  <c r="Y20" i="7"/>
  <c r="X20" i="7"/>
  <c r="Y19" i="7"/>
  <c r="X19" i="7"/>
  <c r="Y18" i="7"/>
  <c r="X18" i="7"/>
  <c r="Y17" i="7"/>
  <c r="X17" i="7"/>
  <c r="Y16" i="7"/>
  <c r="X16" i="7"/>
  <c r="Y15" i="7"/>
  <c r="X15" i="7"/>
  <c r="Y14" i="7"/>
  <c r="X14" i="7"/>
  <c r="Y13" i="7"/>
  <c r="X13" i="7"/>
  <c r="Y12" i="7"/>
  <c r="X12" i="7"/>
  <c r="Y11" i="7"/>
  <c r="X11" i="7"/>
  <c r="Y10" i="7"/>
  <c r="X10" i="7"/>
  <c r="Y9" i="7"/>
  <c r="X9" i="7"/>
  <c r="Y8" i="7"/>
  <c r="X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8" i="7"/>
  <c r="I112" i="13"/>
  <c r="H112" i="13"/>
  <c r="G112" i="13"/>
  <c r="I111" i="13"/>
  <c r="H111" i="13"/>
  <c r="G111" i="13"/>
  <c r="I110" i="13"/>
  <c r="H110" i="13"/>
  <c r="G110" i="13"/>
  <c r="AD76" i="13"/>
  <c r="AC76" i="13"/>
  <c r="AB76" i="13"/>
  <c r="T76" i="13"/>
  <c r="S76" i="13"/>
  <c r="R76" i="13"/>
  <c r="I76" i="13"/>
  <c r="H76" i="13"/>
  <c r="G76" i="13"/>
  <c r="AD75" i="13"/>
  <c r="AC75" i="13"/>
  <c r="AB75" i="13"/>
  <c r="T75" i="13"/>
  <c r="S75" i="13"/>
  <c r="R75" i="13"/>
  <c r="I75" i="13"/>
  <c r="H75" i="13"/>
  <c r="G75" i="13"/>
  <c r="AD74" i="13"/>
  <c r="AC74" i="13"/>
  <c r="AB74" i="13"/>
  <c r="T74" i="13"/>
  <c r="S74" i="13"/>
  <c r="R74" i="13"/>
  <c r="I74" i="13"/>
  <c r="H74" i="13"/>
  <c r="G74" i="13"/>
  <c r="AD42" i="13"/>
  <c r="AC42" i="13"/>
  <c r="AB42" i="13"/>
  <c r="T42" i="13"/>
  <c r="S42" i="13"/>
  <c r="R42" i="13"/>
  <c r="I42" i="13"/>
  <c r="H42" i="13"/>
  <c r="G42" i="13"/>
  <c r="AD41" i="13"/>
  <c r="AC41" i="13"/>
  <c r="AB41" i="13"/>
  <c r="T41" i="13"/>
  <c r="S41" i="13"/>
  <c r="R41" i="13"/>
  <c r="I41" i="13"/>
  <c r="H41" i="13"/>
  <c r="G41" i="13"/>
  <c r="AD40" i="13"/>
  <c r="AC40" i="13"/>
  <c r="AB40" i="13"/>
  <c r="T40" i="13"/>
  <c r="S40" i="13"/>
  <c r="R40" i="13"/>
  <c r="I40" i="13"/>
  <c r="H40" i="13"/>
  <c r="G40" i="13"/>
  <c r="AC7" i="13"/>
  <c r="AB7" i="13"/>
  <c r="AA7" i="13"/>
  <c r="S7" i="13"/>
  <c r="R7" i="13"/>
  <c r="Q7" i="13"/>
  <c r="I7" i="13"/>
  <c r="H7" i="13"/>
  <c r="G7" i="13"/>
  <c r="AC6" i="13"/>
  <c r="AB6" i="13"/>
  <c r="AA6" i="13"/>
  <c r="S6" i="13"/>
  <c r="R6" i="13"/>
  <c r="Q6" i="13"/>
  <c r="I6" i="13"/>
  <c r="H6" i="13"/>
  <c r="G6" i="13"/>
  <c r="AC5" i="13"/>
  <c r="AB5" i="13"/>
  <c r="AA5" i="13"/>
  <c r="S5" i="13"/>
  <c r="R5" i="13"/>
  <c r="Q5" i="13"/>
  <c r="I5" i="13"/>
  <c r="H5" i="13"/>
  <c r="G5" i="13"/>
  <c r="Z11" i="11"/>
  <c r="AA11" i="11"/>
  <c r="Z12" i="11"/>
  <c r="AA12" i="11"/>
  <c r="Z13" i="11"/>
  <c r="AA13" i="11"/>
  <c r="Z14" i="11"/>
  <c r="AA14" i="11"/>
  <c r="Z15" i="11"/>
  <c r="AA15" i="11"/>
  <c r="Z16" i="11"/>
  <c r="AA16" i="11"/>
  <c r="Z17" i="11"/>
  <c r="AA17" i="11"/>
  <c r="Z18" i="11"/>
  <c r="AA18" i="11"/>
  <c r="Z19" i="11"/>
  <c r="AA19" i="11"/>
  <c r="Z20" i="11"/>
  <c r="AA20" i="11"/>
  <c r="Z21" i="11"/>
  <c r="AA21" i="11"/>
  <c r="Z22" i="11"/>
  <c r="AA22" i="11"/>
  <c r="Z23" i="11"/>
  <c r="AA23" i="11"/>
  <c r="Z24" i="11"/>
  <c r="AA24" i="11"/>
  <c r="Z25" i="11"/>
  <c r="AA25" i="11"/>
  <c r="Z26" i="11"/>
  <c r="AA26" i="11"/>
  <c r="Z27" i="11"/>
  <c r="AA27" i="11"/>
  <c r="Z28" i="11"/>
  <c r="AA28" i="11"/>
  <c r="Z29" i="11"/>
  <c r="AA29" i="11"/>
  <c r="K128" i="11"/>
  <c r="J128" i="11"/>
  <c r="K127" i="11"/>
  <c r="J127" i="11"/>
  <c r="K126" i="11"/>
  <c r="J126" i="11"/>
  <c r="K125" i="11"/>
  <c r="J125" i="11"/>
  <c r="K124" i="11"/>
  <c r="J124" i="11"/>
  <c r="K123" i="11"/>
  <c r="J123" i="11"/>
  <c r="K122" i="11"/>
  <c r="J122" i="11"/>
  <c r="K121" i="11"/>
  <c r="J121" i="11"/>
  <c r="K120" i="11"/>
  <c r="J120" i="11"/>
  <c r="K119" i="11"/>
  <c r="J119" i="11"/>
  <c r="K118" i="11"/>
  <c r="J118" i="11"/>
  <c r="K117" i="11"/>
  <c r="J117" i="11"/>
  <c r="K116" i="11"/>
  <c r="J116" i="11"/>
  <c r="K115" i="11"/>
  <c r="J115" i="11"/>
  <c r="K114" i="11"/>
  <c r="J114" i="11"/>
  <c r="K113" i="11"/>
  <c r="J113" i="11"/>
  <c r="K112" i="11"/>
  <c r="J112" i="11"/>
  <c r="K111" i="11"/>
  <c r="J111" i="11"/>
  <c r="K110" i="11"/>
  <c r="J110" i="11"/>
  <c r="K109" i="11"/>
  <c r="J109" i="11"/>
  <c r="K108" i="11"/>
  <c r="J108" i="11"/>
  <c r="K107" i="11"/>
  <c r="J107" i="11"/>
  <c r="K106" i="11"/>
  <c r="J106" i="11"/>
  <c r="K105" i="11"/>
  <c r="J105" i="11"/>
  <c r="K104" i="11"/>
  <c r="J104" i="11"/>
  <c r="K103" i="11"/>
  <c r="J103" i="11"/>
  <c r="K102" i="11"/>
  <c r="J102" i="11"/>
  <c r="K101" i="11"/>
  <c r="J101" i="11"/>
  <c r="K100" i="11"/>
  <c r="J100" i="11"/>
  <c r="K99" i="11"/>
  <c r="J99" i="11"/>
  <c r="K98" i="11"/>
  <c r="J98" i="11"/>
  <c r="K97" i="11"/>
  <c r="J97" i="11"/>
  <c r="K96" i="11"/>
  <c r="J96" i="11"/>
  <c r="K95" i="11"/>
  <c r="J95" i="11"/>
  <c r="K94" i="11"/>
  <c r="J94" i="11"/>
  <c r="K93" i="11"/>
  <c r="J93" i="11"/>
  <c r="K92" i="11"/>
  <c r="J92" i="11"/>
  <c r="K91" i="11"/>
  <c r="J91" i="11"/>
  <c r="K90" i="11"/>
  <c r="J90" i="11"/>
  <c r="K89" i="11"/>
  <c r="J89" i="11"/>
  <c r="K88" i="11"/>
  <c r="J88" i="11"/>
  <c r="K87" i="11"/>
  <c r="J87" i="11"/>
  <c r="K86" i="11"/>
  <c r="J86" i="11"/>
  <c r="K85" i="11"/>
  <c r="J85" i="11"/>
  <c r="K84" i="11"/>
  <c r="J84" i="11"/>
  <c r="K83" i="11"/>
  <c r="J83" i="11"/>
  <c r="K82" i="11"/>
  <c r="J82" i="11"/>
  <c r="K81" i="11"/>
  <c r="J81" i="11"/>
  <c r="K80" i="11"/>
  <c r="J80" i="11"/>
  <c r="K79" i="11"/>
  <c r="J79" i="11"/>
  <c r="K78" i="11"/>
  <c r="J78" i="11"/>
  <c r="O77" i="11"/>
  <c r="N77" i="11"/>
  <c r="M77" i="11"/>
  <c r="L77" i="11"/>
  <c r="K77" i="11"/>
  <c r="J77" i="11"/>
  <c r="O76" i="11"/>
  <c r="N76" i="11"/>
  <c r="M76" i="11"/>
  <c r="L76" i="11"/>
  <c r="O75" i="11"/>
  <c r="N75" i="11"/>
  <c r="M75" i="11"/>
  <c r="L75" i="11"/>
  <c r="B68" i="11"/>
  <c r="AA60" i="11"/>
  <c r="Z60" i="11"/>
  <c r="K60" i="11"/>
  <c r="J60" i="11"/>
  <c r="AA59" i="11"/>
  <c r="Z59" i="11"/>
  <c r="K59" i="11"/>
  <c r="J59" i="11"/>
  <c r="AA58" i="11"/>
  <c r="Z58" i="11"/>
  <c r="K58" i="11"/>
  <c r="J58" i="11"/>
  <c r="AA57" i="11"/>
  <c r="Z57" i="11"/>
  <c r="K57" i="11"/>
  <c r="J57" i="11"/>
  <c r="AA56" i="11"/>
  <c r="Z56" i="11"/>
  <c r="K56" i="11"/>
  <c r="J56" i="11"/>
  <c r="AA55" i="11"/>
  <c r="Z55" i="11"/>
  <c r="K55" i="11"/>
  <c r="J55" i="11"/>
  <c r="AA54" i="11"/>
  <c r="Z54" i="11"/>
  <c r="K54" i="11"/>
  <c r="J54" i="11"/>
  <c r="AA53" i="11"/>
  <c r="Z53" i="11"/>
  <c r="K53" i="11"/>
  <c r="J53" i="11"/>
  <c r="AA52" i="11"/>
  <c r="Z52" i="11"/>
  <c r="K52" i="11"/>
  <c r="J52" i="11"/>
  <c r="AA51" i="11"/>
  <c r="Z51" i="11"/>
  <c r="K51" i="11"/>
  <c r="J51" i="11"/>
  <c r="AA50" i="11"/>
  <c r="Z50" i="11"/>
  <c r="K50" i="11"/>
  <c r="J50" i="11"/>
  <c r="AA49" i="11"/>
  <c r="Z49" i="11"/>
  <c r="K49" i="11"/>
  <c r="J49" i="11"/>
  <c r="AA48" i="11"/>
  <c r="Z48" i="11"/>
  <c r="K48" i="11"/>
  <c r="J48" i="11"/>
  <c r="AA47" i="11"/>
  <c r="Z47" i="11"/>
  <c r="K47" i="11"/>
  <c r="J47" i="11"/>
  <c r="AA46" i="11"/>
  <c r="Z46" i="11"/>
  <c r="K46" i="11"/>
  <c r="J46" i="11"/>
  <c r="AA45" i="11"/>
  <c r="Z45" i="11"/>
  <c r="K45" i="11"/>
  <c r="J45" i="11"/>
  <c r="AA44" i="11"/>
  <c r="Z44" i="11"/>
  <c r="K44" i="11"/>
  <c r="J44" i="11"/>
  <c r="AA43" i="11"/>
  <c r="Z43" i="11"/>
  <c r="K43" i="11"/>
  <c r="J43" i="11"/>
  <c r="AA42" i="11"/>
  <c r="Z42" i="11"/>
  <c r="K42" i="11"/>
  <c r="J42" i="11"/>
  <c r="AA41" i="11"/>
  <c r="Z41" i="11"/>
  <c r="K41" i="11"/>
  <c r="J41" i="11"/>
  <c r="AA40" i="11"/>
  <c r="Z40" i="11"/>
  <c r="K40" i="11"/>
  <c r="J40" i="11"/>
  <c r="AA39" i="11"/>
  <c r="Z39" i="11"/>
  <c r="K39" i="11"/>
  <c r="J39" i="11"/>
  <c r="AA38" i="11"/>
  <c r="Z38" i="11"/>
  <c r="K38" i="11"/>
  <c r="J38" i="11"/>
  <c r="AA37" i="11"/>
  <c r="Z37" i="11"/>
  <c r="K37" i="11"/>
  <c r="J37" i="11"/>
  <c r="AA36" i="11"/>
  <c r="Z36" i="11"/>
  <c r="K36" i="11"/>
  <c r="J36" i="11"/>
  <c r="AA35" i="11"/>
  <c r="Z35" i="11"/>
  <c r="K35" i="11"/>
  <c r="J35" i="11"/>
  <c r="AA34" i="11"/>
  <c r="Z34" i="11"/>
  <c r="K34" i="11"/>
  <c r="J34" i="11"/>
  <c r="AA33" i="11"/>
  <c r="Z33" i="11"/>
  <c r="K33" i="11"/>
  <c r="J33" i="11"/>
  <c r="AA32" i="11"/>
  <c r="Z32" i="11"/>
  <c r="K32" i="11"/>
  <c r="J32" i="11"/>
  <c r="AA31" i="11"/>
  <c r="Z31" i="11"/>
  <c r="K31" i="11"/>
  <c r="J31" i="11"/>
  <c r="AA30" i="11"/>
  <c r="Z30" i="11"/>
  <c r="K30" i="11"/>
  <c r="J30" i="11"/>
  <c r="K29" i="11"/>
  <c r="J29" i="11"/>
  <c r="K28" i="11"/>
  <c r="J28" i="11"/>
  <c r="K27" i="11"/>
  <c r="J27" i="11"/>
  <c r="K26" i="11"/>
  <c r="J26" i="11"/>
  <c r="K25" i="11"/>
  <c r="J25" i="11"/>
  <c r="K24" i="11"/>
  <c r="J24" i="11"/>
  <c r="K23" i="11"/>
  <c r="J23" i="11"/>
  <c r="K22" i="11"/>
  <c r="J22" i="11"/>
  <c r="K21" i="11"/>
  <c r="J21" i="11"/>
  <c r="K20" i="11"/>
  <c r="J20" i="11"/>
  <c r="K19" i="11"/>
  <c r="J19" i="11"/>
  <c r="K18" i="11"/>
  <c r="J18" i="11"/>
  <c r="K17" i="11"/>
  <c r="J17" i="11"/>
  <c r="K16" i="11"/>
  <c r="J16" i="11"/>
  <c r="K15" i="11"/>
  <c r="J15" i="11"/>
  <c r="K14" i="11"/>
  <c r="J14" i="11"/>
  <c r="K13" i="11"/>
  <c r="J13" i="11"/>
  <c r="K12" i="11"/>
  <c r="J12" i="11"/>
  <c r="K11" i="11"/>
  <c r="J11" i="11"/>
  <c r="AA10" i="11"/>
  <c r="Z10" i="11"/>
  <c r="K10" i="11"/>
  <c r="J10" i="11"/>
  <c r="AE9" i="11"/>
  <c r="AD9" i="11"/>
  <c r="AC9" i="11"/>
  <c r="AB9" i="11"/>
  <c r="AA9" i="11"/>
  <c r="Z9" i="11"/>
  <c r="O9" i="11"/>
  <c r="N9" i="11"/>
  <c r="M9" i="11"/>
  <c r="L9" i="11"/>
  <c r="K9" i="11"/>
  <c r="J9" i="11"/>
  <c r="AE8" i="11"/>
  <c r="AD8" i="11"/>
  <c r="AC8" i="11"/>
  <c r="AB8" i="11"/>
  <c r="O8" i="11"/>
  <c r="N8" i="11"/>
  <c r="M8" i="11"/>
  <c r="L8" i="11"/>
  <c r="AE7" i="11"/>
  <c r="AD7" i="11"/>
  <c r="AC7" i="11"/>
  <c r="AB7" i="11"/>
  <c r="O7" i="11"/>
  <c r="N7" i="11"/>
  <c r="M7" i="11"/>
  <c r="L7" i="11"/>
  <c r="M211" i="7"/>
  <c r="M212" i="7"/>
  <c r="M213" i="7"/>
  <c r="AP139" i="7"/>
  <c r="AP140" i="7"/>
  <c r="AP141" i="7"/>
  <c r="AC139" i="7"/>
  <c r="AC140" i="7"/>
  <c r="AC141" i="7"/>
  <c r="M139" i="7"/>
  <c r="M140" i="7"/>
  <c r="M141" i="7"/>
  <c r="AP71" i="7"/>
  <c r="AP72" i="7"/>
  <c r="AP73" i="7"/>
  <c r="AC71" i="7"/>
  <c r="AC72" i="7"/>
  <c r="AC73" i="7"/>
  <c r="M71" i="7"/>
  <c r="M72" i="7"/>
  <c r="M73" i="7"/>
  <c r="AO6" i="7"/>
  <c r="AO7" i="7"/>
  <c r="AO8" i="7"/>
  <c r="AB6" i="7"/>
  <c r="AB7" i="7"/>
  <c r="AB8" i="7"/>
  <c r="M8" i="7"/>
  <c r="M7" i="7"/>
  <c r="M6" i="7"/>
  <c r="AE8" i="10"/>
  <c r="AD8" i="10"/>
  <c r="AC8" i="10"/>
  <c r="AB8" i="10"/>
  <c r="O9" i="10"/>
  <c r="O8" i="10"/>
  <c r="N8" i="10"/>
  <c r="M8" i="10"/>
  <c r="L8" i="10"/>
  <c r="L9" i="10"/>
  <c r="N9" i="10"/>
  <c r="M9" i="10"/>
  <c r="AE9" i="10"/>
  <c r="AD9" i="10"/>
  <c r="AC9" i="10"/>
  <c r="AB9" i="10"/>
  <c r="O77" i="10"/>
  <c r="O76" i="10"/>
  <c r="N77" i="10"/>
  <c r="N76" i="10"/>
  <c r="M77" i="10"/>
  <c r="M76" i="10"/>
  <c r="L77" i="10"/>
  <c r="L76" i="10"/>
  <c r="L213" i="7"/>
  <c r="K213" i="7"/>
  <c r="L212" i="7"/>
  <c r="K212" i="7"/>
  <c r="AO141" i="7"/>
  <c r="AN141" i="7"/>
  <c r="AO140" i="7"/>
  <c r="AN140" i="7"/>
  <c r="AB141" i="7"/>
  <c r="AA141" i="7"/>
  <c r="AB140" i="7"/>
  <c r="AA140" i="7"/>
  <c r="L211" i="7"/>
  <c r="AO139" i="7"/>
  <c r="AB139" i="7"/>
  <c r="L141" i="7"/>
  <c r="K141" i="7"/>
  <c r="L140" i="7"/>
  <c r="K140" i="7"/>
  <c r="L139" i="7"/>
  <c r="AO71" i="7"/>
  <c r="AO73" i="7"/>
  <c r="AN73" i="7"/>
  <c r="AO72" i="7"/>
  <c r="AN72" i="7"/>
  <c r="AN8" i="7"/>
  <c r="AM8" i="7"/>
  <c r="AN7" i="7"/>
  <c r="AM7" i="7"/>
  <c r="AA8" i="7"/>
  <c r="Z8" i="7"/>
  <c r="AA7" i="7"/>
  <c r="Z7" i="7"/>
  <c r="L8" i="7"/>
  <c r="K8" i="7"/>
  <c r="L7" i="7"/>
  <c r="K7" i="7"/>
  <c r="L73" i="7"/>
  <c r="K73" i="7"/>
  <c r="L72" i="7"/>
  <c r="K72" i="7"/>
  <c r="AA73" i="7"/>
  <c r="AA72" i="7"/>
  <c r="AB73" i="7"/>
  <c r="AB72" i="7"/>
  <c r="AB71" i="7"/>
  <c r="L71" i="7"/>
  <c r="AN6" i="7"/>
  <c r="AA6" i="7"/>
  <c r="L6" i="7"/>
  <c r="Z40" i="10"/>
  <c r="AA40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Z48" i="10"/>
  <c r="AA48" i="10"/>
  <c r="Z49" i="10"/>
  <c r="AA49" i="10"/>
  <c r="Z50" i="10"/>
  <c r="AA50" i="10"/>
  <c r="Z51" i="10"/>
  <c r="AA51" i="10"/>
  <c r="Z52" i="10"/>
  <c r="AA52" i="10"/>
  <c r="Z53" i="10"/>
  <c r="AA53" i="10"/>
  <c r="Z54" i="10"/>
  <c r="AA54" i="10"/>
  <c r="Z55" i="10"/>
  <c r="AA55" i="10"/>
  <c r="Z56" i="10"/>
  <c r="AA56" i="10"/>
  <c r="Z57" i="10"/>
  <c r="AA57" i="10"/>
  <c r="Z58" i="10"/>
  <c r="AA58" i="10"/>
  <c r="Z59" i="10"/>
  <c r="AA59" i="10"/>
  <c r="Z60" i="10"/>
  <c r="AA60" i="10"/>
  <c r="J40" i="10"/>
  <c r="K40" i="10"/>
  <c r="J41" i="10"/>
  <c r="K41" i="10"/>
  <c r="J42" i="10"/>
  <c r="K42" i="10"/>
  <c r="J43" i="10"/>
  <c r="K43" i="10"/>
  <c r="J44" i="10"/>
  <c r="K44" i="10"/>
  <c r="J45" i="10"/>
  <c r="K45" i="10"/>
  <c r="J46" i="10"/>
  <c r="K46" i="10"/>
  <c r="J47" i="10"/>
  <c r="K47" i="10"/>
  <c r="J48" i="10"/>
  <c r="K48" i="10"/>
  <c r="J49" i="10"/>
  <c r="K49" i="10"/>
  <c r="J50" i="10"/>
  <c r="K50" i="10"/>
  <c r="J51" i="10"/>
  <c r="K51" i="10"/>
  <c r="J52" i="10"/>
  <c r="K52" i="10"/>
  <c r="J53" i="10"/>
  <c r="K53" i="10"/>
  <c r="J54" i="10"/>
  <c r="K54" i="10"/>
  <c r="J55" i="10"/>
  <c r="K55" i="10"/>
  <c r="J56" i="10"/>
  <c r="K56" i="10"/>
  <c r="J57" i="10"/>
  <c r="K57" i="10"/>
  <c r="J58" i="10"/>
  <c r="K58" i="10"/>
  <c r="J59" i="10"/>
  <c r="K59" i="10"/>
  <c r="J60" i="10"/>
  <c r="K60" i="10"/>
  <c r="J108" i="10"/>
  <c r="K108" i="10"/>
  <c r="J109" i="10"/>
  <c r="K109" i="10"/>
  <c r="J110" i="10"/>
  <c r="K110" i="10"/>
  <c r="J111" i="10"/>
  <c r="K111" i="10"/>
  <c r="J112" i="10"/>
  <c r="K112" i="10"/>
  <c r="J113" i="10"/>
  <c r="K113" i="10"/>
  <c r="J114" i="10"/>
  <c r="K114" i="10"/>
  <c r="J115" i="10"/>
  <c r="K115" i="10"/>
  <c r="J116" i="10"/>
  <c r="K116" i="10"/>
  <c r="J117" i="10"/>
  <c r="K117" i="10"/>
  <c r="J118" i="10"/>
  <c r="K118" i="10"/>
  <c r="J119" i="10"/>
  <c r="K119" i="10"/>
  <c r="J120" i="10"/>
  <c r="K120" i="10"/>
  <c r="J121" i="10"/>
  <c r="K121" i="10"/>
  <c r="J122" i="10"/>
  <c r="K122" i="10"/>
  <c r="J123" i="10"/>
  <c r="K123" i="10"/>
  <c r="J124" i="10"/>
  <c r="K124" i="10"/>
  <c r="J125" i="10"/>
  <c r="K125" i="10"/>
  <c r="J126" i="10"/>
  <c r="K126" i="10"/>
  <c r="J127" i="10"/>
  <c r="K127" i="10"/>
  <c r="J128" i="10"/>
  <c r="K128" i="10"/>
  <c r="O75" i="10"/>
  <c r="AE7" i="10"/>
  <c r="O7" i="10"/>
  <c r="AC107" i="10"/>
  <c r="AB107" i="10"/>
  <c r="AA107" i="10"/>
  <c r="Z107" i="10"/>
  <c r="K107" i="10"/>
  <c r="J107" i="10"/>
  <c r="AC106" i="10"/>
  <c r="AB106" i="10"/>
  <c r="AA106" i="10"/>
  <c r="Z106" i="10"/>
  <c r="K106" i="10"/>
  <c r="J106" i="10"/>
  <c r="AC105" i="10"/>
  <c r="AB105" i="10"/>
  <c r="AA105" i="10"/>
  <c r="Z105" i="10"/>
  <c r="K105" i="10"/>
  <c r="J105" i="10"/>
  <c r="AC104" i="10"/>
  <c r="AB104" i="10"/>
  <c r="AA104" i="10"/>
  <c r="Z104" i="10"/>
  <c r="K104" i="10"/>
  <c r="J104" i="10"/>
  <c r="AC103" i="10"/>
  <c r="AB103" i="10"/>
  <c r="AA103" i="10"/>
  <c r="Z103" i="10"/>
  <c r="K103" i="10"/>
  <c r="J103" i="10"/>
  <c r="AC102" i="10"/>
  <c r="AB102" i="10"/>
  <c r="AA102" i="10"/>
  <c r="Z102" i="10"/>
  <c r="K102" i="10"/>
  <c r="J102" i="10"/>
  <c r="AC101" i="10"/>
  <c r="AB101" i="10"/>
  <c r="AA101" i="10"/>
  <c r="Z101" i="10"/>
  <c r="K101" i="10"/>
  <c r="J101" i="10"/>
  <c r="AC100" i="10"/>
  <c r="AB100" i="10"/>
  <c r="AA100" i="10"/>
  <c r="Z100" i="10"/>
  <c r="K100" i="10"/>
  <c r="J100" i="10"/>
  <c r="AC99" i="10"/>
  <c r="AB99" i="10"/>
  <c r="AA99" i="10"/>
  <c r="Z99" i="10"/>
  <c r="K99" i="10"/>
  <c r="J99" i="10"/>
  <c r="AC98" i="10"/>
  <c r="AB98" i="10"/>
  <c r="AA98" i="10"/>
  <c r="Z98" i="10"/>
  <c r="K98" i="10"/>
  <c r="J98" i="10"/>
  <c r="AC97" i="10"/>
  <c r="AB97" i="10"/>
  <c r="AA97" i="10"/>
  <c r="Z97" i="10"/>
  <c r="K97" i="10"/>
  <c r="J97" i="10"/>
  <c r="AC96" i="10"/>
  <c r="AB96" i="10"/>
  <c r="AA96" i="10"/>
  <c r="Z96" i="10"/>
  <c r="K96" i="10"/>
  <c r="J96" i="10"/>
  <c r="AC95" i="10"/>
  <c r="AB95" i="10"/>
  <c r="AA95" i="10"/>
  <c r="Z95" i="10"/>
  <c r="K95" i="10"/>
  <c r="J95" i="10"/>
  <c r="AC94" i="10"/>
  <c r="AB94" i="10"/>
  <c r="AA94" i="10"/>
  <c r="Z94" i="10"/>
  <c r="K94" i="10"/>
  <c r="J94" i="10"/>
  <c r="AC93" i="10"/>
  <c r="AB93" i="10"/>
  <c r="AA93" i="10"/>
  <c r="Z93" i="10"/>
  <c r="K93" i="10"/>
  <c r="J93" i="10"/>
  <c r="AC92" i="10"/>
  <c r="AB92" i="10"/>
  <c r="AA92" i="10"/>
  <c r="Z92" i="10"/>
  <c r="K92" i="10"/>
  <c r="J92" i="10"/>
  <c r="AC91" i="10"/>
  <c r="AB91" i="10"/>
  <c r="AA91" i="10"/>
  <c r="Z91" i="10"/>
  <c r="K91" i="10"/>
  <c r="J91" i="10"/>
  <c r="AC90" i="10"/>
  <c r="AB90" i="10"/>
  <c r="AA90" i="10"/>
  <c r="Z90" i="10"/>
  <c r="K90" i="10"/>
  <c r="J90" i="10"/>
  <c r="AC89" i="10"/>
  <c r="AB89" i="10"/>
  <c r="AA89" i="10"/>
  <c r="Z89" i="10"/>
  <c r="K89" i="10"/>
  <c r="J89" i="10"/>
  <c r="AC88" i="10"/>
  <c r="AB88" i="10"/>
  <c r="AA88" i="10"/>
  <c r="Z88" i="10"/>
  <c r="K88" i="10"/>
  <c r="J88" i="10"/>
  <c r="AC87" i="10"/>
  <c r="AB87" i="10"/>
  <c r="AA87" i="10"/>
  <c r="Z87" i="10"/>
  <c r="K87" i="10"/>
  <c r="J87" i="10"/>
  <c r="AC86" i="10"/>
  <c r="AB86" i="10"/>
  <c r="AA86" i="10"/>
  <c r="Z86" i="10"/>
  <c r="K86" i="10"/>
  <c r="J86" i="10"/>
  <c r="AC85" i="10"/>
  <c r="AB85" i="10"/>
  <c r="AA85" i="10"/>
  <c r="Z85" i="10"/>
  <c r="K85" i="10"/>
  <c r="J85" i="10"/>
  <c r="AC84" i="10"/>
  <c r="AB84" i="10"/>
  <c r="AA84" i="10"/>
  <c r="Z84" i="10"/>
  <c r="K84" i="10"/>
  <c r="J84" i="10"/>
  <c r="AC83" i="10"/>
  <c r="AB83" i="10"/>
  <c r="AA83" i="10"/>
  <c r="Z83" i="10"/>
  <c r="K83" i="10"/>
  <c r="J83" i="10"/>
  <c r="AC82" i="10"/>
  <c r="AB82" i="10"/>
  <c r="AA82" i="10"/>
  <c r="Z82" i="10"/>
  <c r="K82" i="10"/>
  <c r="J82" i="10"/>
  <c r="AC81" i="10"/>
  <c r="AB81" i="10"/>
  <c r="AA81" i="10"/>
  <c r="Z81" i="10"/>
  <c r="K81" i="10"/>
  <c r="J81" i="10"/>
  <c r="AC80" i="10"/>
  <c r="AB80" i="10"/>
  <c r="AA80" i="10"/>
  <c r="Z80" i="10"/>
  <c r="K80" i="10"/>
  <c r="J80" i="10"/>
  <c r="AC79" i="10"/>
  <c r="AB79" i="10"/>
  <c r="AA79" i="10"/>
  <c r="Z79" i="10"/>
  <c r="K79" i="10"/>
  <c r="J79" i="10"/>
  <c r="AC78" i="10"/>
  <c r="AB78" i="10"/>
  <c r="AA78" i="10"/>
  <c r="Z78" i="10"/>
  <c r="K78" i="10"/>
  <c r="J78" i="10"/>
  <c r="AC77" i="10"/>
  <c r="AB77" i="10"/>
  <c r="AA77" i="10"/>
  <c r="Z77" i="10"/>
  <c r="K77" i="10"/>
  <c r="J77" i="10"/>
  <c r="AA75" i="10"/>
  <c r="Z75" i="10"/>
  <c r="N75" i="10"/>
  <c r="M75" i="10"/>
  <c r="L75" i="10"/>
  <c r="AA74" i="10"/>
  <c r="Z74" i="10"/>
  <c r="AA73" i="10"/>
  <c r="Z73" i="10"/>
  <c r="AC71" i="10"/>
  <c r="AA71" i="10"/>
  <c r="W71" i="10"/>
  <c r="T68" i="10"/>
  <c r="B68" i="10"/>
  <c r="AA39" i="10"/>
  <c r="Z39" i="10"/>
  <c r="K39" i="10"/>
  <c r="J39" i="10"/>
  <c r="AA38" i="10"/>
  <c r="Z38" i="10"/>
  <c r="K38" i="10"/>
  <c r="J38" i="10"/>
  <c r="AA37" i="10"/>
  <c r="Z37" i="10"/>
  <c r="K37" i="10"/>
  <c r="J37" i="10"/>
  <c r="AA36" i="10"/>
  <c r="Z36" i="10"/>
  <c r="K36" i="10"/>
  <c r="J36" i="10"/>
  <c r="AA35" i="10"/>
  <c r="Z35" i="10"/>
  <c r="K35" i="10"/>
  <c r="J35" i="10"/>
  <c r="AA34" i="10"/>
  <c r="Z34" i="10"/>
  <c r="K34" i="10"/>
  <c r="J34" i="10"/>
  <c r="AA33" i="10"/>
  <c r="Z33" i="10"/>
  <c r="K33" i="10"/>
  <c r="J33" i="10"/>
  <c r="AA32" i="10"/>
  <c r="Z32" i="10"/>
  <c r="K32" i="10"/>
  <c r="J32" i="10"/>
  <c r="AA31" i="10"/>
  <c r="Z31" i="10"/>
  <c r="K31" i="10"/>
  <c r="J31" i="10"/>
  <c r="AA30" i="10"/>
  <c r="Z30" i="10"/>
  <c r="K30" i="10"/>
  <c r="J30" i="10"/>
  <c r="AA29" i="10"/>
  <c r="Z29" i="10"/>
  <c r="K29" i="10"/>
  <c r="J29" i="10"/>
  <c r="AA28" i="10"/>
  <c r="Z28" i="10"/>
  <c r="K28" i="10"/>
  <c r="J28" i="10"/>
  <c r="AA27" i="10"/>
  <c r="Z27" i="10"/>
  <c r="K27" i="10"/>
  <c r="J27" i="10"/>
  <c r="AA26" i="10"/>
  <c r="Z26" i="10"/>
  <c r="K26" i="10"/>
  <c r="J26" i="10"/>
  <c r="AA25" i="10"/>
  <c r="Z25" i="10"/>
  <c r="K25" i="10"/>
  <c r="J25" i="10"/>
  <c r="AA24" i="10"/>
  <c r="Z24" i="10"/>
  <c r="K24" i="10"/>
  <c r="J24" i="10"/>
  <c r="AA23" i="10"/>
  <c r="Z23" i="10"/>
  <c r="K23" i="10"/>
  <c r="J23" i="10"/>
  <c r="AA22" i="10"/>
  <c r="Z22" i="10"/>
  <c r="K22" i="10"/>
  <c r="J22" i="10"/>
  <c r="AA21" i="10"/>
  <c r="Z21" i="10"/>
  <c r="K21" i="10"/>
  <c r="J21" i="10"/>
  <c r="AA20" i="10"/>
  <c r="Z20" i="10"/>
  <c r="K20" i="10"/>
  <c r="J20" i="10"/>
  <c r="AA19" i="10"/>
  <c r="Z19" i="10"/>
  <c r="K19" i="10"/>
  <c r="J19" i="10"/>
  <c r="AA18" i="10"/>
  <c r="Z18" i="10"/>
  <c r="K18" i="10"/>
  <c r="J18" i="10"/>
  <c r="AA17" i="10"/>
  <c r="Z17" i="10"/>
  <c r="K17" i="10"/>
  <c r="J17" i="10"/>
  <c r="AA16" i="10"/>
  <c r="Z16" i="10"/>
  <c r="K16" i="10"/>
  <c r="J16" i="10"/>
  <c r="AA15" i="10"/>
  <c r="Z15" i="10"/>
  <c r="K15" i="10"/>
  <c r="J15" i="10"/>
  <c r="AA14" i="10"/>
  <c r="Z14" i="10"/>
  <c r="K14" i="10"/>
  <c r="J14" i="10"/>
  <c r="AA13" i="10"/>
  <c r="Z13" i="10"/>
  <c r="K13" i="10"/>
  <c r="J13" i="10"/>
  <c r="AA12" i="10"/>
  <c r="Z12" i="10"/>
  <c r="K12" i="10"/>
  <c r="J12" i="10"/>
  <c r="AA11" i="10"/>
  <c r="Z11" i="10"/>
  <c r="K11" i="10"/>
  <c r="J11" i="10"/>
  <c r="AA10" i="10"/>
  <c r="Z10" i="10"/>
  <c r="K10" i="10"/>
  <c r="J10" i="10"/>
  <c r="AA9" i="10"/>
  <c r="Z9" i="10"/>
  <c r="K9" i="10"/>
  <c r="J9" i="10"/>
  <c r="AD7" i="10"/>
  <c r="AC7" i="10"/>
  <c r="AB7" i="10"/>
  <c r="N7" i="10"/>
  <c r="M7" i="10"/>
  <c r="L7" i="10"/>
  <c r="K211" i="7"/>
  <c r="AN139" i="7"/>
  <c r="AA139" i="7"/>
  <c r="K139" i="7"/>
  <c r="AN71" i="7"/>
  <c r="AA71" i="7"/>
  <c r="K71" i="7"/>
  <c r="AM6" i="7"/>
  <c r="Z6" i="7"/>
  <c r="K6" i="7"/>
  <c r="L5" i="6"/>
  <c r="L4" i="6"/>
  <c r="J23" i="5"/>
  <c r="M5" i="6"/>
  <c r="M4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8" i="6"/>
  <c r="I31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8" i="6"/>
  <c r="C31" i="6"/>
  <c r="F31" i="6"/>
  <c r="F8" i="6"/>
  <c r="C8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9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11" i="6"/>
  <c r="C10" i="6"/>
  <c r="C9" i="6"/>
  <c r="X103" i="26"/>
  <c r="X98" i="26"/>
  <c r="X100" i="26"/>
  <c r="X107" i="26"/>
  <c r="X102" i="26"/>
  <c r="X109" i="26"/>
  <c r="X105" i="26"/>
  <c r="X104" i="26"/>
  <c r="X99" i="26"/>
  <c r="U105" i="22"/>
  <c r="U104" i="22"/>
  <c r="U103" i="22"/>
  <c r="U102" i="22"/>
  <c r="U101" i="22"/>
  <c r="U99" i="22"/>
  <c r="U107" i="22"/>
  <c r="U100" i="22"/>
  <c r="U109" i="22"/>
  <c r="U108" i="22"/>
  <c r="U106" i="22"/>
  <c r="W143" i="25"/>
  <c r="W131" i="25"/>
  <c r="W120" i="25"/>
  <c r="W107" i="25"/>
  <c r="W144" i="25"/>
  <c r="W130" i="25"/>
  <c r="W115" i="25"/>
  <c r="W106" i="25"/>
  <c r="W113" i="25"/>
  <c r="W116" i="25"/>
  <c r="W123" i="25"/>
  <c r="W121" i="25"/>
  <c r="W145" i="25"/>
  <c r="W129" i="25"/>
  <c r="W114" i="25"/>
  <c r="W105" i="25"/>
  <c r="W141" i="25"/>
  <c r="W104" i="25"/>
  <c r="W128" i="25"/>
  <c r="W127" i="25"/>
  <c r="W136" i="25"/>
  <c r="W99" i="25"/>
  <c r="W140" i="25"/>
  <c r="W124" i="25"/>
  <c r="W112" i="25"/>
  <c r="W103" i="25"/>
  <c r="W100" i="25"/>
  <c r="W139" i="25"/>
  <c r="W125" i="25"/>
  <c r="W111" i="25"/>
  <c r="W102" i="25"/>
  <c r="W137" i="25"/>
  <c r="W138" i="25"/>
  <c r="W126" i="25"/>
  <c r="W122" i="25"/>
  <c r="W101" i="25"/>
  <c r="W142" i="25"/>
  <c r="W134" i="25"/>
  <c r="W117" i="25"/>
  <c r="W110" i="25"/>
  <c r="W98" i="25"/>
  <c r="X107" i="25"/>
  <c r="W146" i="25"/>
  <c r="W133" i="25"/>
  <c r="W118" i="25"/>
  <c r="W109" i="25"/>
  <c r="W119" i="25"/>
  <c r="W108" i="25"/>
  <c r="W132" i="25"/>
  <c r="M6" i="21" l="1"/>
  <c r="J12" i="21"/>
  <c r="J10" i="21"/>
  <c r="J8" i="21"/>
  <c r="M11" i="21"/>
  <c r="M8" i="21"/>
  <c r="J11" i="21"/>
  <c r="M9" i="21"/>
  <c r="J9" i="21"/>
  <c r="D6" i="21"/>
  <c r="M7" i="21"/>
  <c r="D7" i="21"/>
  <c r="D9" i="21"/>
  <c r="D8" i="21"/>
  <c r="M10" i="21"/>
  <c r="D11" i="21"/>
  <c r="D10" i="21"/>
  <c r="J9" i="17"/>
  <c r="G31" i="6"/>
  <c r="D9" i="6"/>
  <c r="D8" i="6"/>
  <c r="D11" i="6"/>
  <c r="D31" i="6"/>
  <c r="G20" i="6"/>
  <c r="G11" i="6"/>
  <c r="G8" i="6"/>
  <c r="D20" i="6"/>
  <c r="D19" i="6"/>
  <c r="D18" i="6"/>
  <c r="D30" i="6"/>
  <c r="D29" i="6"/>
  <c r="D17" i="6"/>
  <c r="D28" i="6"/>
  <c r="D16" i="6"/>
  <c r="D27" i="6"/>
  <c r="D15" i="6"/>
  <c r="D26" i="6"/>
  <c r="D14" i="6"/>
  <c r="D25" i="6"/>
  <c r="D13" i="6"/>
  <c r="D24" i="6"/>
  <c r="D12" i="6"/>
  <c r="D23" i="6"/>
  <c r="D22" i="6"/>
  <c r="D10" i="6"/>
  <c r="D21" i="6"/>
  <c r="G14" i="6"/>
  <c r="G19" i="6"/>
  <c r="G30" i="6"/>
  <c r="G17" i="6"/>
  <c r="G28" i="6"/>
  <c r="G27" i="6"/>
  <c r="G26" i="6"/>
  <c r="G13" i="6"/>
  <c r="G24" i="6"/>
  <c r="G22" i="6"/>
  <c r="G10" i="6"/>
  <c r="G18" i="6"/>
  <c r="G15" i="6"/>
  <c r="G23" i="6"/>
  <c r="G21" i="6"/>
  <c r="G9" i="6"/>
  <c r="G29" i="6"/>
  <c r="G16" i="6"/>
  <c r="G25" i="6"/>
  <c r="G12" i="6"/>
  <c r="H1" i="5"/>
  <c r="G1" i="5"/>
  <c r="X105" i="25"/>
  <c r="X103" i="25"/>
  <c r="X104" i="25"/>
  <c r="X101" i="25"/>
  <c r="X108" i="25"/>
  <c r="X109" i="25"/>
  <c r="X102" i="25"/>
  <c r="X100" i="25"/>
  <c r="X99" i="25"/>
  <c r="X106" i="25"/>
  <c r="N7" i="21" l="1"/>
  <c r="N6" i="21"/>
  <c r="N11" i="21"/>
  <c r="N10" i="21"/>
  <c r="N9" i="21"/>
  <c r="N8" i="21"/>
  <c r="N22" i="5"/>
  <c r="I7" i="5"/>
  <c r="M11" i="5" s="1"/>
  <c r="C6" i="5"/>
  <c r="C7" i="5"/>
  <c r="H3" i="5"/>
  <c r="O7" i="21" l="1"/>
  <c r="O8" i="21"/>
  <c r="O9" i="21"/>
  <c r="O10" i="21"/>
  <c r="O11" i="21"/>
  <c r="I23" i="5"/>
  <c r="J15" i="5"/>
  <c r="I15" i="5"/>
  <c r="K24" i="5"/>
  <c r="K16" i="5"/>
  <c r="J24" i="5"/>
  <c r="K25" i="5" l="1"/>
  <c r="K22" i="5" s="1"/>
  <c r="J16" i="5"/>
  <c r="J17" i="5" s="1"/>
  <c r="K17" i="5" l="1"/>
  <c r="K14" i="5" s="1"/>
  <c r="N21" i="5" s="1"/>
  <c r="N23" i="5" s="1"/>
  <c r="A15" i="5"/>
  <c r="I12" i="5"/>
  <c r="M6" i="5" s="1"/>
  <c r="I11" i="5"/>
  <c r="M7" i="5" s="1"/>
  <c r="I10" i="5"/>
  <c r="I8" i="5"/>
  <c r="F16" i="5" s="1"/>
  <c r="C10" i="5"/>
  <c r="C8" i="5"/>
  <c r="M8" i="5" s="1"/>
  <c r="C9" i="5"/>
  <c r="D1" i="5"/>
  <c r="M9" i="5" l="1"/>
  <c r="F15" i="5"/>
  <c r="F17" i="5" s="1"/>
  <c r="M10" i="5"/>
  <c r="D6" i="5"/>
  <c r="J7" i="5"/>
  <c r="D10" i="5"/>
  <c r="J10" i="5"/>
  <c r="J12" i="5"/>
  <c r="J9" i="5"/>
  <c r="J8" i="5"/>
  <c r="J11" i="5"/>
  <c r="D8" i="5"/>
  <c r="D9" i="5"/>
  <c r="D7" i="5"/>
  <c r="D11" i="5"/>
  <c r="H7" i="3"/>
  <c r="H6" i="3"/>
  <c r="H5" i="3"/>
  <c r="H4" i="3"/>
  <c r="H3" i="3"/>
  <c r="C6" i="3"/>
  <c r="C5" i="3"/>
  <c r="C4" i="3"/>
  <c r="C3" i="3"/>
  <c r="N7" i="5" l="1"/>
  <c r="E7" i="5"/>
  <c r="N9" i="5"/>
  <c r="E9" i="5"/>
  <c r="N8" i="5"/>
  <c r="E8" i="5"/>
  <c r="B14" i="5"/>
  <c r="B15" i="5" s="1"/>
  <c r="N10" i="5"/>
  <c r="E10" i="5"/>
  <c r="N11" i="5"/>
  <c r="E11" i="5"/>
  <c r="K7" i="5"/>
  <c r="N6" i="5"/>
  <c r="C14" i="5"/>
  <c r="K11" i="5"/>
  <c r="K8" i="5"/>
  <c r="K10" i="5"/>
  <c r="K9" i="5"/>
  <c r="E6" i="4"/>
  <c r="F6" i="4" s="1"/>
  <c r="E5" i="4"/>
  <c r="F5" i="4" s="1"/>
  <c r="E4" i="4"/>
  <c r="E3" i="4"/>
  <c r="C4" i="4"/>
  <c r="C5" i="4"/>
  <c r="C6" i="4"/>
  <c r="C7" i="4"/>
  <c r="C3" i="4"/>
  <c r="F1" i="4"/>
  <c r="F7" i="4" s="1"/>
  <c r="D1" i="4"/>
  <c r="D3" i="4" s="1"/>
  <c r="D1" i="3"/>
  <c r="H4" i="1"/>
  <c r="H8" i="1"/>
  <c r="H7" i="1"/>
  <c r="H5" i="1"/>
  <c r="C8" i="1"/>
  <c r="C7" i="1"/>
  <c r="C5" i="1"/>
  <c r="C4" i="1"/>
  <c r="E6" i="2"/>
  <c r="E8" i="2"/>
  <c r="E7" i="2"/>
  <c r="E5" i="2"/>
  <c r="F1" i="2"/>
  <c r="C4" i="2"/>
  <c r="D5" i="3" l="1"/>
  <c r="D7" i="3"/>
  <c r="O11" i="5"/>
  <c r="O8" i="5"/>
  <c r="O10" i="5"/>
  <c r="F6" i="2"/>
  <c r="O9" i="5"/>
  <c r="F8" i="2"/>
  <c r="F7" i="2"/>
  <c r="O7" i="5"/>
  <c r="D7" i="4"/>
  <c r="D6" i="4"/>
  <c r="D5" i="4"/>
  <c r="D4" i="4"/>
  <c r="F3" i="4"/>
  <c r="F5" i="2"/>
  <c r="F4" i="4"/>
  <c r="D4" i="3"/>
  <c r="I7" i="3"/>
  <c r="I5" i="3"/>
  <c r="I4" i="3"/>
  <c r="D6" i="3"/>
  <c r="I6" i="3"/>
  <c r="C8" i="2"/>
  <c r="C7" i="2"/>
  <c r="C6" i="2"/>
  <c r="C5" i="2"/>
  <c r="D1" i="2" l="1"/>
  <c r="D4" i="2" s="1"/>
  <c r="D1" i="1"/>
  <c r="I4" i="1" s="1"/>
  <c r="D8" i="2" l="1"/>
  <c r="D7" i="2"/>
  <c r="D6" i="2"/>
  <c r="D5" i="2"/>
  <c r="D4" i="1"/>
  <c r="D7" i="1"/>
  <c r="I6" i="1"/>
  <c r="D5" i="1"/>
  <c r="D6" i="1"/>
  <c r="I7" i="1"/>
  <c r="I8" i="1"/>
  <c r="I5" i="1"/>
  <c r="D8" i="1"/>
</calcChain>
</file>

<file path=xl/sharedStrings.xml><?xml version="1.0" encoding="utf-8"?>
<sst xmlns="http://schemas.openxmlformats.org/spreadsheetml/2006/main" count="3250" uniqueCount="185">
  <si>
    <t>Margin allowance</t>
  </si>
  <si>
    <t>Quantity</t>
  </si>
  <si>
    <t>Proft</t>
  </si>
  <si>
    <t>Strike Diff</t>
  </si>
  <si>
    <t>Mkt Value</t>
  </si>
  <si>
    <t>Spread</t>
  </si>
  <si>
    <t>Spread 1</t>
  </si>
  <si>
    <t>Quantity-.5</t>
  </si>
  <si>
    <t>Quantity-1</t>
  </si>
  <si>
    <t>Profit1</t>
  </si>
  <si>
    <t>Profit</t>
  </si>
  <si>
    <t>Market Prc</t>
  </si>
  <si>
    <t>QQQ</t>
  </si>
  <si>
    <t>SPY</t>
  </si>
  <si>
    <t>Call</t>
  </si>
  <si>
    <t>Put</t>
  </si>
  <si>
    <t>Condor</t>
  </si>
  <si>
    <t>Optimization</t>
  </si>
  <si>
    <t>Otimization</t>
  </si>
  <si>
    <t>Stock Price</t>
  </si>
  <si>
    <t>Confidence Interval</t>
  </si>
  <si>
    <t>Positive</t>
  </si>
  <si>
    <t>Negative</t>
  </si>
  <si>
    <t>Positive_2</t>
  </si>
  <si>
    <t>Negative2</t>
  </si>
  <si>
    <t>Mean</t>
  </si>
  <si>
    <t>Median</t>
  </si>
  <si>
    <t>SD</t>
  </si>
  <si>
    <t>Pos_Diff</t>
  </si>
  <si>
    <t>Neg_diff</t>
  </si>
  <si>
    <t>Positive Greater</t>
  </si>
  <si>
    <t>Percentage</t>
  </si>
  <si>
    <t>Pos Under</t>
  </si>
  <si>
    <t>Negative Greater</t>
  </si>
  <si>
    <t>Neg_Under</t>
  </si>
  <si>
    <t>Quantile96</t>
  </si>
  <si>
    <t>Quantile04</t>
  </si>
  <si>
    <t>Pos2_under</t>
  </si>
  <si>
    <t>VIX 10</t>
  </si>
  <si>
    <t>VIX 20</t>
  </si>
  <si>
    <t>Num Pos</t>
  </si>
  <si>
    <t>Num Neg</t>
  </si>
  <si>
    <t>Ratio</t>
  </si>
  <si>
    <t>VIX 30</t>
  </si>
  <si>
    <t>VIX 40</t>
  </si>
  <si>
    <t>VIX 50</t>
  </si>
  <si>
    <t>VIX 60</t>
  </si>
  <si>
    <t>VIX 70</t>
  </si>
  <si>
    <t>.</t>
  </si>
  <si>
    <t>VIX 90</t>
  </si>
  <si>
    <t>VIX 80</t>
  </si>
  <si>
    <t>2-days</t>
  </si>
  <si>
    <t>VIX 20-30</t>
  </si>
  <si>
    <t>Gain</t>
  </si>
  <si>
    <t>Losers</t>
  </si>
  <si>
    <t>3day</t>
  </si>
  <si>
    <t>median</t>
  </si>
  <si>
    <t>mean</t>
  </si>
  <si>
    <t>Positive_3</t>
  </si>
  <si>
    <t>Negative3</t>
  </si>
  <si>
    <t>2day</t>
  </si>
  <si>
    <t>1day</t>
  </si>
  <si>
    <t>3-days</t>
  </si>
  <si>
    <t>5day</t>
  </si>
  <si>
    <t>5days</t>
  </si>
  <si>
    <t>Positive_5</t>
  </si>
  <si>
    <t>Negative5</t>
  </si>
  <si>
    <t>3days</t>
  </si>
  <si>
    <t>Daily</t>
  </si>
  <si>
    <t>VIX 25</t>
  </si>
  <si>
    <t>VIX 75</t>
  </si>
  <si>
    <t>10Days</t>
  </si>
  <si>
    <t>10days</t>
  </si>
  <si>
    <t>Positive_10</t>
  </si>
  <si>
    <t>Negative10</t>
  </si>
  <si>
    <t>Consecutive days</t>
  </si>
  <si>
    <t>Prob 1sd above</t>
  </si>
  <si>
    <t>1sd Above</t>
  </si>
  <si>
    <t>After Median Prob</t>
  </si>
  <si>
    <t>Monthly</t>
  </si>
  <si>
    <t>Yearly</t>
  </si>
  <si>
    <t>Posiive sequence in a row</t>
  </si>
  <si>
    <t>Positive Sequence</t>
  </si>
  <si>
    <t>Negative sequence</t>
  </si>
  <si>
    <t>Date</t>
  </si>
  <si>
    <t>VIX.Adjusted</t>
  </si>
  <si>
    <t>Returns</t>
  </si>
  <si>
    <t>vix_decile</t>
  </si>
  <si>
    <t>Color</t>
  </si>
  <si>
    <t>Red</t>
  </si>
  <si>
    <t>Green</t>
  </si>
  <si>
    <t>Row Labels</t>
  </si>
  <si>
    <t>Grand Total</t>
  </si>
  <si>
    <t>Dec</t>
  </si>
  <si>
    <t>1999</t>
  </si>
  <si>
    <t>2000</t>
  </si>
  <si>
    <t>2001</t>
  </si>
  <si>
    <t>2002</t>
  </si>
  <si>
    <t>2003</t>
  </si>
  <si>
    <t>2008</t>
  </si>
  <si>
    <t>2009</t>
  </si>
  <si>
    <t>2015</t>
  </si>
  <si>
    <t>2018</t>
  </si>
  <si>
    <t>2019</t>
  </si>
  <si>
    <t>2020</t>
  </si>
  <si>
    <t>2021</t>
  </si>
  <si>
    <t>2022</t>
  </si>
  <si>
    <t>Sep</t>
  </si>
  <si>
    <t>Column Labels</t>
  </si>
  <si>
    <t>Sum of Returns</t>
  </si>
  <si>
    <t>VIX 100</t>
  </si>
  <si>
    <t>Puts</t>
  </si>
  <si>
    <t>Strategy1</t>
  </si>
  <si>
    <t>Strategy2</t>
  </si>
  <si>
    <t>Strategy3</t>
  </si>
  <si>
    <t>Cost</t>
  </si>
  <si>
    <t>Implement short condors</t>
  </si>
  <si>
    <t>MAX loss</t>
  </si>
  <si>
    <t>Bear</t>
  </si>
  <si>
    <t>Bull</t>
  </si>
  <si>
    <t>Loss</t>
  </si>
  <si>
    <t>Negative Sequence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</si>
  <si>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</si>
  <si>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</si>
  <si>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</si>
  <si>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</si>
  <si>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</si>
  <si>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</si>
  <si>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</si>
  <si>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</si>
  <si>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</si>
  <si>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</si>
  <si>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Max1</t>
  </si>
  <si>
    <t>Prob 2sd above</t>
  </si>
  <si>
    <t>Prob 1sd above mean</t>
  </si>
  <si>
    <t>2After Median Prob</t>
  </si>
  <si>
    <t>Max</t>
  </si>
  <si>
    <t>Gamma</t>
  </si>
  <si>
    <t>1948</t>
  </si>
  <si>
    <t>1949</t>
  </si>
  <si>
    <t>1973</t>
  </si>
  <si>
    <t>1974</t>
  </si>
  <si>
    <t>1975</t>
  </si>
  <si>
    <t>1976</t>
  </si>
  <si>
    <t>1977</t>
  </si>
  <si>
    <t>1978</t>
  </si>
  <si>
    <t>1981</t>
  </si>
  <si>
    <t>1982</t>
  </si>
  <si>
    <t>1988</t>
  </si>
  <si>
    <t>1989</t>
  </si>
  <si>
    <t>1990</t>
  </si>
  <si>
    <t>1991</t>
  </si>
  <si>
    <t>After 2Median Prob</t>
  </si>
  <si>
    <t>1951</t>
  </si>
  <si>
    <t>1952</t>
  </si>
  <si>
    <t>1983</t>
  </si>
  <si>
    <t>1992</t>
  </si>
  <si>
    <t xml:space="preserve">Average </t>
  </si>
  <si>
    <t>[1]</t>
  </si>
  <si>
    <t>1sdabove</t>
  </si>
  <si>
    <t>2sdabove</t>
  </si>
  <si>
    <t>pos</t>
  </si>
  <si>
    <t>1plus</t>
  </si>
  <si>
    <t>2plus</t>
  </si>
  <si>
    <t>Month</t>
  </si>
  <si>
    <t>Average of Returns</t>
  </si>
  <si>
    <t>StdDev of Returns</t>
  </si>
  <si>
    <t>STD MONTHS</t>
  </si>
  <si>
    <t>Z- Scores</t>
  </si>
  <si>
    <t>Average of Positive</t>
  </si>
  <si>
    <t>buildout the vix buckets and analyze based on that.</t>
  </si>
  <si>
    <t>Predict the vix based on the economic indicators to get more data</t>
  </si>
  <si>
    <t>VIX</t>
  </si>
  <si>
    <t>VIX buckets</t>
  </si>
  <si>
    <t>2011</t>
  </si>
  <si>
    <t>1998</t>
  </si>
  <si>
    <t>decile</t>
  </si>
  <si>
    <t>cutoff</t>
  </si>
  <si>
    <t>top movers and losers</t>
  </si>
  <si>
    <t>number</t>
  </si>
  <si>
    <t>observation</t>
  </si>
  <si>
    <t>21 days</t>
  </si>
  <si>
    <t>10 days</t>
  </si>
  <si>
    <t>7 days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</si>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</sst>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"/>
    <numFmt numFmtId="168" formatCode="0.00000"/>
    <numFmt numFmtId="169" formatCode="0.00_);[Red]\(0.00\)"/>
    <numFmt numFmtId="170" formatCode="#,##0.00%_);[Red]\(#,##0.00%\)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3" borderId="0" xfId="1"/>
    <xf numFmtId="2" fontId="0" fillId="0" borderId="0" xfId="0" applyNumberFormat="1" applyFill="1"/>
    <xf numFmtId="2" fontId="0" fillId="0" borderId="0" xfId="0" applyNumberFormat="1"/>
    <xf numFmtId="10" fontId="0" fillId="0" borderId="0" xfId="2" applyNumberFormat="1" applyFont="1"/>
    <xf numFmtId="1" fontId="0" fillId="0" borderId="0" xfId="0" applyNumberFormat="1" applyFill="1"/>
    <xf numFmtId="43" fontId="0" fillId="0" borderId="0" xfId="3" applyFont="1"/>
    <xf numFmtId="164" fontId="0" fillId="0" borderId="0" xfId="2" applyNumberFormat="1" applyFont="1"/>
    <xf numFmtId="0" fontId="0" fillId="0" borderId="0" xfId="0" applyBorder="1"/>
    <xf numFmtId="165" fontId="0" fillId="0" borderId="0" xfId="3" applyNumberFormat="1" applyFon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2" applyNumberFormat="1" applyFont="1"/>
    <xf numFmtId="167" fontId="0" fillId="0" borderId="0" xfId="0" applyNumberFormat="1"/>
    <xf numFmtId="0" fontId="0" fillId="6" borderId="0" xfId="0" applyFill="1"/>
    <xf numFmtId="168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/>
    </xf>
    <xf numFmtId="2" fontId="3" fillId="0" borderId="0" xfId="0" applyNumberFormat="1" applyFont="1"/>
    <xf numFmtId="169" fontId="0" fillId="0" borderId="0" xfId="0" applyNumberFormat="1"/>
    <xf numFmtId="10" fontId="0" fillId="0" borderId="0" xfId="0" pivotButton="1" applyNumberFormat="1"/>
    <xf numFmtId="0" fontId="0" fillId="0" borderId="0" xfId="0" applyAlignment="1">
      <alignment horizontal="left" indent="1"/>
    </xf>
    <xf numFmtId="169" fontId="5" fillId="7" borderId="0" xfId="0" applyNumberFormat="1" applyFont="1" applyFill="1"/>
    <xf numFmtId="169" fontId="0" fillId="0" borderId="0" xfId="0" applyNumberFormat="1" applyFont="1" applyFill="1"/>
    <xf numFmtId="40" fontId="0" fillId="0" borderId="0" xfId="3" applyNumberFormat="1" applyFont="1"/>
    <xf numFmtId="43" fontId="0" fillId="0" borderId="0" xfId="3" applyNumberFormat="1" applyFont="1"/>
    <xf numFmtId="170" fontId="0" fillId="0" borderId="0" xfId="2" applyNumberFormat="1" applyFont="1"/>
    <xf numFmtId="170" fontId="0" fillId="0" borderId="0" xfId="3" applyNumberFormat="1" applyFont="1"/>
    <xf numFmtId="170" fontId="0" fillId="0" borderId="0" xfId="0" applyNumberFormat="1"/>
    <xf numFmtId="0" fontId="0" fillId="7" borderId="0" xfId="0" applyFill="1"/>
    <xf numFmtId="0" fontId="6" fillId="0" borderId="0" xfId="0" applyFont="1"/>
    <xf numFmtId="43" fontId="6" fillId="0" borderId="0" xfId="3" applyNumberFormat="1" applyFont="1"/>
    <xf numFmtId="165" fontId="6" fillId="0" borderId="0" xfId="3" applyNumberFormat="1" applyFont="1"/>
    <xf numFmtId="170" fontId="6" fillId="0" borderId="0" xfId="3" applyNumberFormat="1" applyFont="1"/>
    <xf numFmtId="170" fontId="6" fillId="0" borderId="0" xfId="0" applyNumberFormat="1" applyFont="1"/>
    <xf numFmtId="170" fontId="6" fillId="0" borderId="0" xfId="2" applyNumberFormat="1" applyFont="1"/>
    <xf numFmtId="0" fontId="0" fillId="2" borderId="0" xfId="0" applyFill="1" applyAlignment="1">
      <alignment horizontal="center"/>
    </xf>
  </cellXfs>
  <cellStyles count="4">
    <cellStyle name="Comma" xfId="3" builtinId="3"/>
    <cellStyle name="Good" xfId="1" builtinId="26"/>
    <cellStyle name="Normal" xfId="0" builtinId="0"/>
    <cellStyle name="Percent" xfId="2" builtinId="5"/>
  </cellStyles>
  <dxfs count="5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1" formatCode="_(* #,##0.0000_);_(* \(#,##0.0000\);_(* &quot;-&quot;??_);_(@_)"/>
    </dxf>
    <dxf>
      <numFmt numFmtId="169" formatCode="0.00_);[Red]\(0.0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1" formatCode="_(* #,##0.0000_);_(* \(#,##0.0000\);_(* &quot;-&quot;??_);_(@_)"/>
    </dxf>
    <dxf>
      <numFmt numFmtId="164" formatCode="0.0%"/>
    </dxf>
    <dxf>
      <numFmt numFmtId="169" formatCode="0.00_);[Red]\(0.0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1" formatCode="_(* #,##0.0000_);_(* \(#,##0.0000\);_(* &quot;-&quot;??_);_(@_)"/>
    </dxf>
    <dxf>
      <numFmt numFmtId="164" formatCode="0.0%"/>
    </dxf>
    <dxf>
      <numFmt numFmtId="169" formatCode="0.00_);[Red]\(0.00\)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[bullbear spread.xlsx]Recession!PivotTable20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Recession!$N$4:$N$5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Recession!$M$6:$M$160</c:f>
              <c:multiLvlStrCache>
                <c:ptCount val="14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</c:lvl>
                <c:lvl>
                  <c:pt idx="0">
                    <c:v>1998</c:v>
                  </c:pt>
                  <c:pt idx="12">
                    <c:v>1999</c:v>
                  </c:pt>
                  <c:pt idx="24">
                    <c:v>2000</c:v>
                  </c:pt>
                  <c:pt idx="36">
                    <c:v>2001</c:v>
                  </c:pt>
                  <c:pt idx="48">
                    <c:v>2002</c:v>
                  </c:pt>
                  <c:pt idx="60">
                    <c:v>2003</c:v>
                  </c:pt>
                  <c:pt idx="72">
                    <c:v>2008</c:v>
                  </c:pt>
                  <c:pt idx="84">
                    <c:v>2009</c:v>
                  </c:pt>
                  <c:pt idx="96">
                    <c:v>2011</c:v>
                  </c:pt>
                  <c:pt idx="108">
                    <c:v>2015</c:v>
                  </c:pt>
                  <c:pt idx="120">
                    <c:v>2018</c:v>
                  </c:pt>
                  <c:pt idx="132">
                    <c:v>2022</c:v>
                  </c:pt>
                </c:lvl>
              </c:multiLvlStrCache>
            </c:multiLvlStrRef>
          </c:cat>
          <c:val>
            <c:numRef>
              <c:f>Recession!$N$6:$N$160</c:f>
              <c:numCache>
                <c:formatCode>General</c:formatCode>
                <c:ptCount val="142"/>
                <c:pt idx="0">
                  <c:v>1.01501767989975E-2</c:v>
                </c:pt>
                <c:pt idx="1">
                  <c:v>7.0449193043797195E-2</c:v>
                </c:pt>
                <c:pt idx="2">
                  <c:v>4.9945714161429497E-2</c:v>
                </c:pt>
                <c:pt idx="3">
                  <c:v>9.0764692534604004E-3</c:v>
                </c:pt>
                <c:pt idx="5">
                  <c:v>3.9438241075214098E-2</c:v>
                </c:pt>
                <c:pt idx="8">
                  <c:v>6.2395515617718902E-2</c:v>
                </c:pt>
                <c:pt idx="9">
                  <c:v>8.0294228372442406E-2</c:v>
                </c:pt>
                <c:pt idx="10">
                  <c:v>5.91259963396253E-2</c:v>
                </c:pt>
                <c:pt idx="11">
                  <c:v>5.63752865757359E-2</c:v>
                </c:pt>
                <c:pt idx="12">
                  <c:v>4.1009441536725297E-2</c:v>
                </c:pt>
                <c:pt idx="14">
                  <c:v>3.8794215360158799E-2</c:v>
                </c:pt>
                <c:pt idx="15">
                  <c:v>3.7944027915545402E-2</c:v>
                </c:pt>
                <c:pt idx="17">
                  <c:v>5.4438331016794198E-2</c:v>
                </c:pt>
                <c:pt idx="21">
                  <c:v>6.2539541625965298E-2</c:v>
                </c:pt>
                <c:pt idx="22">
                  <c:v>1.9061858621249601E-2</c:v>
                </c:pt>
                <c:pt idx="23">
                  <c:v>5.7843894876779399E-2</c:v>
                </c:pt>
                <c:pt idx="26">
                  <c:v>9.6719828269732397E-2</c:v>
                </c:pt>
                <c:pt idx="29">
                  <c:v>2.3933549608901299E-2</c:v>
                </c:pt>
                <c:pt idx="31">
                  <c:v>6.0699105184235998E-2</c:v>
                </c:pt>
                <c:pt idx="35">
                  <c:v>4.0534455291978402E-3</c:v>
                </c:pt>
                <c:pt idx="36">
                  <c:v>3.4636577086329501E-2</c:v>
                </c:pt>
                <c:pt idx="39">
                  <c:v>7.6814361759009797E-2</c:v>
                </c:pt>
                <c:pt idx="40">
                  <c:v>5.0901871196495901E-3</c:v>
                </c:pt>
                <c:pt idx="45">
                  <c:v>1.8099111445277798E-2</c:v>
                </c:pt>
                <c:pt idx="46">
                  <c:v>7.5175904263053497E-2</c:v>
                </c:pt>
                <c:pt idx="47">
                  <c:v>7.5738341929156797E-3</c:v>
                </c:pt>
                <c:pt idx="50">
                  <c:v>3.67388936188391E-2</c:v>
                </c:pt>
                <c:pt idx="55">
                  <c:v>4.8814330800193203E-3</c:v>
                </c:pt>
                <c:pt idx="57">
                  <c:v>8.6448801016809906E-2</c:v>
                </c:pt>
                <c:pt idx="58">
                  <c:v>5.7069620923617899E-2</c:v>
                </c:pt>
                <c:pt idx="62">
                  <c:v>8.3575685661514392E-3</c:v>
                </c:pt>
                <c:pt idx="63">
                  <c:v>8.1044106872726104E-2</c:v>
                </c:pt>
                <c:pt idx="64">
                  <c:v>5.0898709664177998E-2</c:v>
                </c:pt>
                <c:pt idx="65">
                  <c:v>1.13222145251615E-2</c:v>
                </c:pt>
                <c:pt idx="66">
                  <c:v>1.62237024114931E-2</c:v>
                </c:pt>
                <c:pt idx="67">
                  <c:v>1.7873203376464399E-2</c:v>
                </c:pt>
                <c:pt idx="69">
                  <c:v>5.4961486384010702E-2</c:v>
                </c:pt>
                <c:pt idx="70">
                  <c:v>7.1285038478854403E-3</c:v>
                </c:pt>
                <c:pt idx="71">
                  <c:v>5.0765541001239298E-2</c:v>
                </c:pt>
                <c:pt idx="75">
                  <c:v>4.7546697913198897E-2</c:v>
                </c:pt>
                <c:pt idx="76">
                  <c:v>1.06741816575771E-2</c:v>
                </c:pt>
                <c:pt idx="79">
                  <c:v>1.2190464532379999E-2</c:v>
                </c:pt>
                <c:pt idx="83">
                  <c:v>7.8215768970539799E-3</c:v>
                </c:pt>
                <c:pt idx="86">
                  <c:v>8.5404461622494696E-2</c:v>
                </c:pt>
                <c:pt idx="87">
                  <c:v>9.3925079862164695E-2</c:v>
                </c:pt>
                <c:pt idx="88">
                  <c:v>5.3081446255385502E-2</c:v>
                </c:pt>
                <c:pt idx="89">
                  <c:v>1.9582653030303401E-4</c:v>
                </c:pt>
                <c:pt idx="90">
                  <c:v>7.4141727016716605E-2</c:v>
                </c:pt>
                <c:pt idx="91">
                  <c:v>3.3560189240494899E-2</c:v>
                </c:pt>
                <c:pt idx="92">
                  <c:v>3.5723345788458698E-2</c:v>
                </c:pt>
                <c:pt idx="94">
                  <c:v>5.7364061981373601E-2</c:v>
                </c:pt>
                <c:pt idx="95">
                  <c:v>1.7770571188400398E-2</c:v>
                </c:pt>
                <c:pt idx="96">
                  <c:v>2.2645573980086799E-2</c:v>
                </c:pt>
                <c:pt idx="97">
                  <c:v>3.1956564052952198E-2</c:v>
                </c:pt>
                <c:pt idx="99">
                  <c:v>2.8495380443795099E-2</c:v>
                </c:pt>
                <c:pt idx="105">
                  <c:v>0.10772303853581</c:v>
                </c:pt>
                <c:pt idx="107">
                  <c:v>8.5327639481440603E-3</c:v>
                </c:pt>
                <c:pt idx="109">
                  <c:v>5.4892511014553898E-2</c:v>
                </c:pt>
                <c:pt idx="111">
                  <c:v>8.5208197301247495E-3</c:v>
                </c:pt>
                <c:pt idx="112">
                  <c:v>1.04913823933168E-2</c:v>
                </c:pt>
                <c:pt idx="114">
                  <c:v>1.9742029696721501E-2</c:v>
                </c:pt>
                <c:pt idx="117">
                  <c:v>8.2983117760394104E-2</c:v>
                </c:pt>
                <c:pt idx="118">
                  <c:v>5.0486926072412796E-4</c:v>
                </c:pt>
                <c:pt idx="120">
                  <c:v>5.6178704444133101E-2</c:v>
                </c:pt>
                <c:pt idx="123">
                  <c:v>2.7187751316435399E-3</c:v>
                </c:pt>
                <c:pt idx="124">
                  <c:v>2.1608341965291902E-2</c:v>
                </c:pt>
                <c:pt idx="125">
                  <c:v>4.8424360241865498E-3</c:v>
                </c:pt>
                <c:pt idx="126">
                  <c:v>3.6021556221367303E-2</c:v>
                </c:pt>
                <c:pt idx="127">
                  <c:v>3.0263211466054599E-2</c:v>
                </c:pt>
                <c:pt idx="128">
                  <c:v>4.29428710266144E-3</c:v>
                </c:pt>
                <c:pt idx="130">
                  <c:v>1.7859356788849E-2</c:v>
                </c:pt>
                <c:pt idx="134">
                  <c:v>3.5773288410591901E-2</c:v>
                </c:pt>
                <c:pt idx="136">
                  <c:v>5.3177568506868103E-5</c:v>
                </c:pt>
                <c:pt idx="138">
                  <c:v>9.1116391659653406E-2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0-43A3-A5F0-DD5D355DCF8F}"/>
            </c:ext>
          </c:extLst>
        </c:ser>
        <c:ser>
          <c:idx val="1"/>
          <c:order val="1"/>
          <c:tx>
            <c:strRef>
              <c:f>Recession!$O$4:$O$5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Recession!$M$6:$M$160</c:f>
              <c:multiLvlStrCache>
                <c:ptCount val="14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</c:lvl>
                <c:lvl>
                  <c:pt idx="0">
                    <c:v>1998</c:v>
                  </c:pt>
                  <c:pt idx="12">
                    <c:v>1999</c:v>
                  </c:pt>
                  <c:pt idx="24">
                    <c:v>2000</c:v>
                  </c:pt>
                  <c:pt idx="36">
                    <c:v>2001</c:v>
                  </c:pt>
                  <c:pt idx="48">
                    <c:v>2002</c:v>
                  </c:pt>
                  <c:pt idx="60">
                    <c:v>2003</c:v>
                  </c:pt>
                  <c:pt idx="72">
                    <c:v>2008</c:v>
                  </c:pt>
                  <c:pt idx="84">
                    <c:v>2009</c:v>
                  </c:pt>
                  <c:pt idx="96">
                    <c:v>2011</c:v>
                  </c:pt>
                  <c:pt idx="108">
                    <c:v>2015</c:v>
                  </c:pt>
                  <c:pt idx="120">
                    <c:v>2018</c:v>
                  </c:pt>
                  <c:pt idx="132">
                    <c:v>2022</c:v>
                  </c:pt>
                </c:lvl>
              </c:multiLvlStrCache>
            </c:multiLvlStrRef>
          </c:cat>
          <c:val>
            <c:numRef>
              <c:f>Recession!$O$6:$O$160</c:f>
              <c:numCache>
                <c:formatCode>General</c:formatCode>
                <c:ptCount val="142"/>
                <c:pt idx="4">
                  <c:v>-1.8826223521475099E-2</c:v>
                </c:pt>
                <c:pt idx="6">
                  <c:v>-1.1615327025789501E-2</c:v>
                </c:pt>
                <c:pt idx="7">
                  <c:v>-0.14579671855670701</c:v>
                </c:pt>
                <c:pt idx="13">
                  <c:v>-3.2282562686194102E-2</c:v>
                </c:pt>
                <c:pt idx="16">
                  <c:v>-2.4970480872686801E-2</c:v>
                </c:pt>
                <c:pt idx="18">
                  <c:v>-3.2046092218893797E-2</c:v>
                </c:pt>
                <c:pt idx="19">
                  <c:v>-6.2540920445004504E-3</c:v>
                </c:pt>
                <c:pt idx="20">
                  <c:v>-2.85517922684916E-2</c:v>
                </c:pt>
                <c:pt idx="24">
                  <c:v>-5.0903548749361899E-2</c:v>
                </c:pt>
                <c:pt idx="25">
                  <c:v>-2.0108083261058299E-2</c:v>
                </c:pt>
                <c:pt idx="27">
                  <c:v>-3.0795755551931401E-2</c:v>
                </c:pt>
                <c:pt idx="28">
                  <c:v>-2.1915050512993601E-2</c:v>
                </c:pt>
                <c:pt idx="30">
                  <c:v>-1.6341276221772699E-2</c:v>
                </c:pt>
                <c:pt idx="32">
                  <c:v>-5.3482974745611297E-2</c:v>
                </c:pt>
                <c:pt idx="33">
                  <c:v>-4.9494858723608797E-3</c:v>
                </c:pt>
                <c:pt idx="34">
                  <c:v>-8.0068609961069903E-2</c:v>
                </c:pt>
                <c:pt idx="37">
                  <c:v>-9.2290735848999994E-2</c:v>
                </c:pt>
                <c:pt idx="38">
                  <c:v>-6.4204710540895493E-2</c:v>
                </c:pt>
                <c:pt idx="41">
                  <c:v>-2.5035389109833502E-2</c:v>
                </c:pt>
                <c:pt idx="42">
                  <c:v>-1.0740150072934201E-2</c:v>
                </c:pt>
                <c:pt idx="43">
                  <c:v>-6.4108406563714707E-2</c:v>
                </c:pt>
                <c:pt idx="44">
                  <c:v>-8.1723406019716199E-2</c:v>
                </c:pt>
                <c:pt idx="48">
                  <c:v>-1.55738325597943E-2</c:v>
                </c:pt>
                <c:pt idx="49">
                  <c:v>-2.0766211305560299E-2</c:v>
                </c:pt>
                <c:pt idx="51">
                  <c:v>-6.1417626159139899E-2</c:v>
                </c:pt>
                <c:pt idx="52">
                  <c:v>-9.0814810760454501E-3</c:v>
                </c:pt>
                <c:pt idx="53">
                  <c:v>-7.2455354417573697E-2</c:v>
                </c:pt>
                <c:pt idx="54">
                  <c:v>-7.9004274966125304E-2</c:v>
                </c:pt>
                <c:pt idx="56">
                  <c:v>-0.110024318261519</c:v>
                </c:pt>
                <c:pt idx="59">
                  <c:v>-6.0332572674290597E-2</c:v>
                </c:pt>
                <c:pt idx="60">
                  <c:v>-2.74146925599522E-2</c:v>
                </c:pt>
                <c:pt idx="61">
                  <c:v>-1.7003608502929399E-2</c:v>
                </c:pt>
                <c:pt idx="68">
                  <c:v>-1.1944364520745199E-2</c:v>
                </c:pt>
                <c:pt idx="72">
                  <c:v>-6.1163431935936402E-2</c:v>
                </c:pt>
                <c:pt idx="73">
                  <c:v>-3.4761192772624502E-2</c:v>
                </c:pt>
                <c:pt idx="74">
                  <c:v>-5.95962361452984E-3</c:v>
                </c:pt>
                <c:pt idx="77">
                  <c:v>-8.5962384902803599E-2</c:v>
                </c:pt>
                <c:pt idx="78">
                  <c:v>-9.8593710937500099E-3</c:v>
                </c:pt>
                <c:pt idx="80">
                  <c:v>-9.0791433779084593E-2</c:v>
                </c:pt>
                <c:pt idx="81">
                  <c:v>-0.16942452376742001</c:v>
                </c:pt>
                <c:pt idx="82">
                  <c:v>-7.4849042580645203E-2</c:v>
                </c:pt>
                <c:pt idx="84">
                  <c:v>-8.5657342928314395E-2</c:v>
                </c:pt>
                <c:pt idx="85">
                  <c:v>-0.109931197571492</c:v>
                </c:pt>
                <c:pt idx="93">
                  <c:v>-1.9762000860415501E-2</c:v>
                </c:pt>
                <c:pt idx="98">
                  <c:v>-1.0473132038185699E-3</c:v>
                </c:pt>
                <c:pt idx="100">
                  <c:v>-1.3500952766930601E-2</c:v>
                </c:pt>
                <c:pt idx="101">
                  <c:v>-1.8257461265697099E-2</c:v>
                </c:pt>
                <c:pt idx="102">
                  <c:v>-2.1474425791951999E-2</c:v>
                </c:pt>
                <c:pt idx="103">
                  <c:v>-5.6791107463597598E-2</c:v>
                </c:pt>
                <c:pt idx="104">
                  <c:v>-7.1761988303760099E-2</c:v>
                </c:pt>
                <c:pt idx="106">
                  <c:v>-5.0587151935872496E-3</c:v>
                </c:pt>
                <c:pt idx="108">
                  <c:v>-3.1040805790470201E-2</c:v>
                </c:pt>
                <c:pt idx="110">
                  <c:v>-1.7396106913756301E-2</c:v>
                </c:pt>
                <c:pt idx="113">
                  <c:v>-2.10116723759005E-2</c:v>
                </c:pt>
                <c:pt idx="115">
                  <c:v>-6.2580818167202804E-2</c:v>
                </c:pt>
                <c:pt idx="116">
                  <c:v>-2.6442831573227101E-2</c:v>
                </c:pt>
                <c:pt idx="119">
                  <c:v>-1.7530185176314401E-2</c:v>
                </c:pt>
                <c:pt idx="121">
                  <c:v>-3.8947372061896898E-2</c:v>
                </c:pt>
                <c:pt idx="122">
                  <c:v>-2.6884498624825101E-2</c:v>
                </c:pt>
                <c:pt idx="129">
                  <c:v>-6.9403356024429499E-2</c:v>
                </c:pt>
                <c:pt idx="131">
                  <c:v>-9.1776894596563893E-2</c:v>
                </c:pt>
                <c:pt idx="132">
                  <c:v>-5.2585165005310602E-2</c:v>
                </c:pt>
                <c:pt idx="133">
                  <c:v>-3.1360492102910101E-2</c:v>
                </c:pt>
                <c:pt idx="135">
                  <c:v>-8.7956711705729301E-2</c:v>
                </c:pt>
                <c:pt idx="137">
                  <c:v>-8.3919999812243101E-2</c:v>
                </c:pt>
                <c:pt idx="139">
                  <c:v>-4.2440128258508597E-2</c:v>
                </c:pt>
                <c:pt idx="140">
                  <c:v>-9.339567E-2</c:v>
                </c:pt>
                <c:pt idx="141">
                  <c:v>-7.1118769999999997E-4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0-43A3-A5F0-DD5D355DCF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41544127"/>
        <c:axId val="2041556607"/>
      </c:barChart>
      <c:catAx>
        <c:axId val="20415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56607"/>
        <c:crosses val="autoZero"/>
        <c:auto val="1"/>
        <c:lblAlgn val="ctr"/>
        <c:lblOffset val="100"/>
        <c:noMultiLvlLbl val="0"/>
      </c:catAx>
      <c:valAx>
        <c:axId val="20415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4412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[bullbear spread.xlsx]Monthly vix buckets 5!PivotTable20</c:name>
    <c:fmtId val="5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622494857231263E-2"/>
          <c:y val="9.7374290094792114E-3"/>
          <c:w val="0.97507303303900195"/>
          <c:h val="0.96179879617895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vix buckets 5'!$O$4:$O$5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vix buckets 5'!$N$6:$N$289</c:f>
              <c:multiLvlStrCache>
                <c:ptCount val="26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  <c:pt idx="142">
                    <c:v>Nov</c:v>
                  </c:pt>
                  <c:pt idx="143">
                    <c:v>Dec</c:v>
                  </c:pt>
                  <c:pt idx="144">
                    <c:v>Jan</c:v>
                  </c:pt>
                  <c:pt idx="145">
                    <c:v>Feb</c:v>
                  </c:pt>
                  <c:pt idx="146">
                    <c:v>Mar</c:v>
                  </c:pt>
                  <c:pt idx="147">
                    <c:v>Apr</c:v>
                  </c:pt>
                  <c:pt idx="148">
                    <c:v>May</c:v>
                  </c:pt>
                  <c:pt idx="149">
                    <c:v>Jun</c:v>
                  </c:pt>
                  <c:pt idx="150">
                    <c:v>Jul</c:v>
                  </c:pt>
                  <c:pt idx="151">
                    <c:v>Aug</c:v>
                  </c:pt>
                  <c:pt idx="152">
                    <c:v>Sep</c:v>
                  </c:pt>
                  <c:pt idx="153">
                    <c:v>Oct</c:v>
                  </c:pt>
                  <c:pt idx="154">
                    <c:v>Nov</c:v>
                  </c:pt>
                  <c:pt idx="155">
                    <c:v>Dec</c:v>
                  </c:pt>
                  <c:pt idx="156">
                    <c:v>Jan</c:v>
                  </c:pt>
                  <c:pt idx="157">
                    <c:v>Feb</c:v>
                  </c:pt>
                  <c:pt idx="158">
                    <c:v>Mar</c:v>
                  </c:pt>
                  <c:pt idx="159">
                    <c:v>Apr</c:v>
                  </c:pt>
                  <c:pt idx="160">
                    <c:v>May</c:v>
                  </c:pt>
                  <c:pt idx="161">
                    <c:v>Jun</c:v>
                  </c:pt>
                  <c:pt idx="162">
                    <c:v>Jul</c:v>
                  </c:pt>
                  <c:pt idx="163">
                    <c:v>Aug</c:v>
                  </c:pt>
                  <c:pt idx="164">
                    <c:v>Sep</c:v>
                  </c:pt>
                  <c:pt idx="165">
                    <c:v>Oct</c:v>
                  </c:pt>
                  <c:pt idx="166">
                    <c:v>Nov</c:v>
                  </c:pt>
                  <c:pt idx="167">
                    <c:v>Dec</c:v>
                  </c:pt>
                  <c:pt idx="168">
                    <c:v>Jan</c:v>
                  </c:pt>
                  <c:pt idx="169">
                    <c:v>Feb</c:v>
                  </c:pt>
                  <c:pt idx="170">
                    <c:v>Mar</c:v>
                  </c:pt>
                  <c:pt idx="171">
                    <c:v>Apr</c:v>
                  </c:pt>
                  <c:pt idx="172">
                    <c:v>May</c:v>
                  </c:pt>
                  <c:pt idx="173">
                    <c:v>Jun</c:v>
                  </c:pt>
                  <c:pt idx="174">
                    <c:v>Jul</c:v>
                  </c:pt>
                  <c:pt idx="175">
                    <c:v>Aug</c:v>
                  </c:pt>
                  <c:pt idx="176">
                    <c:v>Sep</c:v>
                  </c:pt>
                  <c:pt idx="177">
                    <c:v>Oct</c:v>
                  </c:pt>
                  <c:pt idx="178">
                    <c:v>Nov</c:v>
                  </c:pt>
                  <c:pt idx="179">
                    <c:v>Dec</c:v>
                  </c:pt>
                  <c:pt idx="180">
                    <c:v>Jan</c:v>
                  </c:pt>
                  <c:pt idx="181">
                    <c:v>Feb</c:v>
                  </c:pt>
                  <c:pt idx="182">
                    <c:v>Mar</c:v>
                  </c:pt>
                  <c:pt idx="183">
                    <c:v>Apr</c:v>
                  </c:pt>
                  <c:pt idx="184">
                    <c:v>May</c:v>
                  </c:pt>
                  <c:pt idx="185">
                    <c:v>Jun</c:v>
                  </c:pt>
                  <c:pt idx="186">
                    <c:v>Jul</c:v>
                  </c:pt>
                  <c:pt idx="187">
                    <c:v>Aug</c:v>
                  </c:pt>
                  <c:pt idx="188">
                    <c:v>Sep</c:v>
                  </c:pt>
                  <c:pt idx="189">
                    <c:v>Oct</c:v>
                  </c:pt>
                  <c:pt idx="190">
                    <c:v>Nov</c:v>
                  </c:pt>
                  <c:pt idx="191">
                    <c:v>Dec</c:v>
                  </c:pt>
                  <c:pt idx="192">
                    <c:v>Jan</c:v>
                  </c:pt>
                  <c:pt idx="193">
                    <c:v>Feb</c:v>
                  </c:pt>
                  <c:pt idx="194">
                    <c:v>Mar</c:v>
                  </c:pt>
                  <c:pt idx="195">
                    <c:v>Apr</c:v>
                  </c:pt>
                  <c:pt idx="196">
                    <c:v>May</c:v>
                  </c:pt>
                  <c:pt idx="197">
                    <c:v>Jun</c:v>
                  </c:pt>
                  <c:pt idx="198">
                    <c:v>Jul</c:v>
                  </c:pt>
                  <c:pt idx="199">
                    <c:v>Aug</c:v>
                  </c:pt>
                  <c:pt idx="200">
                    <c:v>Sep</c:v>
                  </c:pt>
                  <c:pt idx="201">
                    <c:v>Oct</c:v>
                  </c:pt>
                  <c:pt idx="202">
                    <c:v>Nov</c:v>
                  </c:pt>
                  <c:pt idx="203">
                    <c:v>Dec</c:v>
                  </c:pt>
                  <c:pt idx="204">
                    <c:v>Jan</c:v>
                  </c:pt>
                  <c:pt idx="205">
                    <c:v>Feb</c:v>
                  </c:pt>
                  <c:pt idx="206">
                    <c:v>Mar</c:v>
                  </c:pt>
                  <c:pt idx="207">
                    <c:v>Apr</c:v>
                  </c:pt>
                  <c:pt idx="208">
                    <c:v>May</c:v>
                  </c:pt>
                  <c:pt idx="209">
                    <c:v>Jun</c:v>
                  </c:pt>
                  <c:pt idx="210">
                    <c:v>Jul</c:v>
                  </c:pt>
                  <c:pt idx="211">
                    <c:v>Aug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Jan</c:v>
                  </c:pt>
                  <c:pt idx="217">
                    <c:v>Feb</c:v>
                  </c:pt>
                  <c:pt idx="218">
                    <c:v>Mar</c:v>
                  </c:pt>
                  <c:pt idx="219">
                    <c:v>Apr</c:v>
                  </c:pt>
                  <c:pt idx="220">
                    <c:v>May</c:v>
                  </c:pt>
                  <c:pt idx="221">
                    <c:v>Jun</c:v>
                  </c:pt>
                  <c:pt idx="222">
                    <c:v>Jul</c:v>
                  </c:pt>
                  <c:pt idx="223">
                    <c:v>Aug</c:v>
                  </c:pt>
                  <c:pt idx="224">
                    <c:v>Sep</c:v>
                  </c:pt>
                  <c:pt idx="225">
                    <c:v>Oct</c:v>
                  </c:pt>
                  <c:pt idx="226">
                    <c:v>Nov</c:v>
                  </c:pt>
                  <c:pt idx="227">
                    <c:v>Dec</c:v>
                  </c:pt>
                  <c:pt idx="228">
                    <c:v>Jan</c:v>
                  </c:pt>
                  <c:pt idx="229">
                    <c:v>Feb</c:v>
                  </c:pt>
                  <c:pt idx="230">
                    <c:v>Mar</c:v>
                  </c:pt>
                  <c:pt idx="231">
                    <c:v>Apr</c:v>
                  </c:pt>
                  <c:pt idx="232">
                    <c:v>May</c:v>
                  </c:pt>
                  <c:pt idx="233">
                    <c:v>Jun</c:v>
                  </c:pt>
                  <c:pt idx="234">
                    <c:v>Jul</c:v>
                  </c:pt>
                  <c:pt idx="235">
                    <c:v>Aug</c:v>
                  </c:pt>
                  <c:pt idx="236">
                    <c:v>Sep</c:v>
                  </c:pt>
                  <c:pt idx="237">
                    <c:v>Oct</c:v>
                  </c:pt>
                  <c:pt idx="238">
                    <c:v>Nov</c:v>
                  </c:pt>
                  <c:pt idx="239">
                    <c:v>Dec</c:v>
                  </c:pt>
                  <c:pt idx="240">
                    <c:v>Jan</c:v>
                  </c:pt>
                  <c:pt idx="241">
                    <c:v>Feb</c:v>
                  </c:pt>
                  <c:pt idx="242">
                    <c:v>Mar</c:v>
                  </c:pt>
                  <c:pt idx="243">
                    <c:v>Apr</c:v>
                  </c:pt>
                  <c:pt idx="244">
                    <c:v>May</c:v>
                  </c:pt>
                  <c:pt idx="245">
                    <c:v>Jun</c:v>
                  </c:pt>
                  <c:pt idx="246">
                    <c:v>Jul</c:v>
                  </c:pt>
                  <c:pt idx="247">
                    <c:v>Aug</c:v>
                  </c:pt>
                  <c:pt idx="248">
                    <c:v>Sep</c:v>
                  </c:pt>
                  <c:pt idx="249">
                    <c:v>Oct</c:v>
                  </c:pt>
                  <c:pt idx="250">
                    <c:v>Nov</c:v>
                  </c:pt>
                  <c:pt idx="251">
                    <c:v>Dec</c:v>
                  </c:pt>
                  <c:pt idx="252">
                    <c:v>Jan</c:v>
                  </c:pt>
                  <c:pt idx="253">
                    <c:v>Feb</c:v>
                  </c:pt>
                  <c:pt idx="254">
                    <c:v>Mar</c:v>
                  </c:pt>
                  <c:pt idx="255">
                    <c:v>Apr</c:v>
                  </c:pt>
                  <c:pt idx="256">
                    <c:v>May</c:v>
                  </c:pt>
                  <c:pt idx="257">
                    <c:v>Jun</c:v>
                  </c:pt>
                  <c:pt idx="258">
                    <c:v>Jul</c:v>
                  </c:pt>
                  <c:pt idx="259">
                    <c:v>Aug</c:v>
                  </c:pt>
                  <c:pt idx="260">
                    <c:v>Sep</c:v>
                  </c:pt>
                </c:lvl>
                <c:lvl>
                  <c:pt idx="0">
                    <c:v>1948</c:v>
                  </c:pt>
                  <c:pt idx="12">
                    <c:v>1949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1973</c:v>
                  </c:pt>
                  <c:pt idx="60">
                    <c:v>1974</c:v>
                  </c:pt>
                  <c:pt idx="72">
                    <c:v>1975</c:v>
                  </c:pt>
                  <c:pt idx="84">
                    <c:v>1976</c:v>
                  </c:pt>
                  <c:pt idx="96">
                    <c:v>1977</c:v>
                  </c:pt>
                  <c:pt idx="108">
                    <c:v>1978</c:v>
                  </c:pt>
                  <c:pt idx="120">
                    <c:v>1981</c:v>
                  </c:pt>
                  <c:pt idx="132">
                    <c:v>1982</c:v>
                  </c:pt>
                  <c:pt idx="144">
                    <c:v>1983</c:v>
                  </c:pt>
                  <c:pt idx="156">
                    <c:v>1988</c:v>
                  </c:pt>
                  <c:pt idx="168">
                    <c:v>1989</c:v>
                  </c:pt>
                  <c:pt idx="180">
                    <c:v>1990</c:v>
                  </c:pt>
                  <c:pt idx="192">
                    <c:v>1991</c:v>
                  </c:pt>
                  <c:pt idx="204">
                    <c:v>1992</c:v>
                  </c:pt>
                  <c:pt idx="216">
                    <c:v>2008</c:v>
                  </c:pt>
                  <c:pt idx="228">
                    <c:v>2009</c:v>
                  </c:pt>
                  <c:pt idx="240">
                    <c:v>2021</c:v>
                  </c:pt>
                  <c:pt idx="252">
                    <c:v>2022</c:v>
                  </c:pt>
                </c:lvl>
              </c:multiLvlStrCache>
            </c:multiLvlStrRef>
          </c:cat>
          <c:val>
            <c:numRef>
              <c:f>'Monthly vix buckets 5'!$O$6:$O$289</c:f>
              <c:numCache>
                <c:formatCode>0.00%</c:formatCode>
                <c:ptCount val="261"/>
                <c:pt idx="2">
                  <c:v>8.2555635319454507E-2</c:v>
                </c:pt>
                <c:pt idx="3">
                  <c:v>2.6525198938992099E-2</c:v>
                </c:pt>
                <c:pt idx="4">
                  <c:v>7.8165439276485699E-2</c:v>
                </c:pt>
                <c:pt idx="5">
                  <c:v>2.9957457761686799E-3</c:v>
                </c:pt>
                <c:pt idx="7">
                  <c:v>7.57097791798111E-3</c:v>
                </c:pt>
                <c:pt idx="9">
                  <c:v>6.5203357004519E-2</c:v>
                </c:pt>
                <c:pt idx="11">
                  <c:v>3.0508474576271101E-2</c:v>
                </c:pt>
                <c:pt idx="12">
                  <c:v>1.3157894736843801E-3</c:v>
                </c:pt>
                <c:pt idx="14">
                  <c:v>3.0095759233926201E-2</c:v>
                </c:pt>
                <c:pt idx="18">
                  <c:v>6.21468926553672E-2</c:v>
                </c:pt>
                <c:pt idx="19">
                  <c:v>1.1968085106382999E-2</c:v>
                </c:pt>
                <c:pt idx="20">
                  <c:v>2.36530880420498E-2</c:v>
                </c:pt>
                <c:pt idx="21">
                  <c:v>2.95250962772786E-2</c:v>
                </c:pt>
                <c:pt idx="22">
                  <c:v>1.24675802701013E-3</c:v>
                </c:pt>
                <c:pt idx="23">
                  <c:v>4.5454672817849998E-2</c:v>
                </c:pt>
                <c:pt idx="24">
                  <c:v>6.0205580029368599E-2</c:v>
                </c:pt>
                <c:pt idx="25">
                  <c:v>6.4634810710988396E-3</c:v>
                </c:pt>
                <c:pt idx="27">
                  <c:v>4.4227188081936701E-2</c:v>
                </c:pt>
                <c:pt idx="30">
                  <c:v>6.8702341064042799E-2</c:v>
                </c:pt>
                <c:pt idx="31">
                  <c:v>3.92857589285713E-2</c:v>
                </c:pt>
                <c:pt idx="35">
                  <c:v>3.8898646805010803E-2</c:v>
                </c:pt>
                <c:pt idx="36">
                  <c:v>1.5565797223390901E-2</c:v>
                </c:pt>
                <c:pt idx="38">
                  <c:v>4.7721453138434899E-2</c:v>
                </c:pt>
                <c:pt idx="40">
                  <c:v>2.3156132075471601E-2</c:v>
                </c:pt>
                <c:pt idx="41">
                  <c:v>4.6102177447519897E-2</c:v>
                </c:pt>
                <c:pt idx="42">
                  <c:v>1.7628245898567499E-2</c:v>
                </c:pt>
                <c:pt idx="46">
                  <c:v>4.64926590538337E-2</c:v>
                </c:pt>
                <c:pt idx="47">
                  <c:v>3.5463756819953202E-2</c:v>
                </c:pt>
                <c:pt idx="54">
                  <c:v>3.7981957836524798E-2</c:v>
                </c:pt>
                <c:pt idx="56">
                  <c:v>4.0095923261390901E-2</c:v>
                </c:pt>
                <c:pt idx="59">
                  <c:v>1.6569445775004701E-2</c:v>
                </c:pt>
                <c:pt idx="69">
                  <c:v>0.163046912762875</c:v>
                </c:pt>
                <c:pt idx="72">
                  <c:v>0.122812211867334</c:v>
                </c:pt>
                <c:pt idx="73">
                  <c:v>5.9885591326880101E-2</c:v>
                </c:pt>
                <c:pt idx="74">
                  <c:v>2.1693897374379E-2</c:v>
                </c:pt>
                <c:pt idx="75">
                  <c:v>4.7264898665248398E-2</c:v>
                </c:pt>
                <c:pt idx="76">
                  <c:v>4.4100788862515797E-2</c:v>
                </c:pt>
                <c:pt idx="77">
                  <c:v>4.43225442825552E-2</c:v>
                </c:pt>
                <c:pt idx="81">
                  <c:v>6.16429929065343E-2</c:v>
                </c:pt>
                <c:pt idx="82">
                  <c:v>2.47079624358943E-2</c:v>
                </c:pt>
                <c:pt idx="84">
                  <c:v>0.118305785157871</c:v>
                </c:pt>
                <c:pt idx="86">
                  <c:v>3.0688978344087799E-2</c:v>
                </c:pt>
                <c:pt idx="89">
                  <c:v>4.0926322619285298E-2</c:v>
                </c:pt>
                <c:pt idx="92">
                  <c:v>2.2641083562682698E-2</c:v>
                </c:pt>
                <c:pt idx="95">
                  <c:v>5.2497562242851403E-2</c:v>
                </c:pt>
                <c:pt idx="99">
                  <c:v>2.0325137580279299E-4</c:v>
                </c:pt>
                <c:pt idx="101">
                  <c:v>4.5359965292551999E-2</c:v>
                </c:pt>
                <c:pt idx="106">
                  <c:v>2.6965628198641001E-2</c:v>
                </c:pt>
                <c:pt idx="107">
                  <c:v>2.84715801229241E-3</c:v>
                </c:pt>
                <c:pt idx="110">
                  <c:v>2.49310429120972E-2</c:v>
                </c:pt>
                <c:pt idx="111">
                  <c:v>8.5416467721292105E-2</c:v>
                </c:pt>
                <c:pt idx="112">
                  <c:v>4.2341835333228302E-3</c:v>
                </c:pt>
                <c:pt idx="114">
                  <c:v>5.3909777597715799E-2</c:v>
                </c:pt>
                <c:pt idx="115">
                  <c:v>2.5923728645212502E-2</c:v>
                </c:pt>
                <c:pt idx="118">
                  <c:v>1.66397741998974E-2</c:v>
                </c:pt>
                <c:pt idx="119">
                  <c:v>1.48891662583686E-2</c:v>
                </c:pt>
                <c:pt idx="121">
                  <c:v>1.32767345439582E-2</c:v>
                </c:pt>
                <c:pt idx="122">
                  <c:v>3.60325729859809E-2</c:v>
                </c:pt>
                <c:pt idx="129">
                  <c:v>4.9147865381304903E-2</c:v>
                </c:pt>
                <c:pt idx="130">
                  <c:v>3.6590360460992302E-2</c:v>
                </c:pt>
                <c:pt idx="135">
                  <c:v>4.0014317970831902E-2</c:v>
                </c:pt>
                <c:pt idx="139">
                  <c:v>0.115977275785873</c:v>
                </c:pt>
                <c:pt idx="140">
                  <c:v>7.6143919736526601E-3</c:v>
                </c:pt>
                <c:pt idx="141">
                  <c:v>0.110446796386759</c:v>
                </c:pt>
                <c:pt idx="142">
                  <c:v>3.5970669787835301E-2</c:v>
                </c:pt>
                <c:pt idx="143">
                  <c:v>1.5231357938579E-2</c:v>
                </c:pt>
                <c:pt idx="144">
                  <c:v>3.3134272135482798E-2</c:v>
                </c:pt>
                <c:pt idx="145">
                  <c:v>1.8995147577526302E-2</c:v>
                </c:pt>
                <c:pt idx="146">
                  <c:v>3.30947525745608E-2</c:v>
                </c:pt>
                <c:pt idx="147">
                  <c:v>7.4986829727328605E-2</c:v>
                </c:pt>
                <c:pt idx="149">
                  <c:v>3.2329577143479102E-2</c:v>
                </c:pt>
                <c:pt idx="151">
                  <c:v>1.1318873170753901E-2</c:v>
                </c:pt>
                <c:pt idx="152">
                  <c:v>1.01582302977457E-2</c:v>
                </c:pt>
                <c:pt idx="154">
                  <c:v>1.7425808301574801E-2</c:v>
                </c:pt>
                <c:pt idx="156">
                  <c:v>4.0432268573479903E-2</c:v>
                </c:pt>
                <c:pt idx="157">
                  <c:v>4.1817402681285899E-2</c:v>
                </c:pt>
                <c:pt idx="159">
                  <c:v>9.4247435537442303E-3</c:v>
                </c:pt>
                <c:pt idx="160">
                  <c:v>3.1761261289926499E-3</c:v>
                </c:pt>
                <c:pt idx="161">
                  <c:v>4.3256010935977897E-2</c:v>
                </c:pt>
                <c:pt idx="164">
                  <c:v>3.9729334035724498E-2</c:v>
                </c:pt>
                <c:pt idx="165">
                  <c:v>2.5964462124019601E-2</c:v>
                </c:pt>
                <c:pt idx="167">
                  <c:v>1.46875733421599E-2</c:v>
                </c:pt>
                <c:pt idx="168">
                  <c:v>7.1114791620643797E-2</c:v>
                </c:pt>
                <c:pt idx="170">
                  <c:v>2.0805962445785E-2</c:v>
                </c:pt>
                <c:pt idx="171">
                  <c:v>5.0089938788108898E-2</c:v>
                </c:pt>
                <c:pt idx="172">
                  <c:v>3.5137493453486698E-2</c:v>
                </c:pt>
                <c:pt idx="174">
                  <c:v>8.8370259223621503E-2</c:v>
                </c:pt>
                <c:pt idx="175">
                  <c:v>1.5516716371120299E-2</c:v>
                </c:pt>
                <c:pt idx="178">
                  <c:v>1.65413246213417E-2</c:v>
                </c:pt>
                <c:pt idx="179">
                  <c:v>2.1416816133900299E-2</c:v>
                </c:pt>
                <c:pt idx="181">
                  <c:v>8.5390425155207304E-3</c:v>
                </c:pt>
                <c:pt idx="182">
                  <c:v>2.4254983989199001E-2</c:v>
                </c:pt>
                <c:pt idx="184">
                  <c:v>9.1989190156802597E-2</c:v>
                </c:pt>
                <c:pt idx="190">
                  <c:v>5.9934213815789401E-2</c:v>
                </c:pt>
                <c:pt idx="191">
                  <c:v>2.4827757355757599E-2</c:v>
                </c:pt>
                <c:pt idx="192">
                  <c:v>4.1517751676101597E-2</c:v>
                </c:pt>
                <c:pt idx="193">
                  <c:v>6.7281174863978596E-2</c:v>
                </c:pt>
                <c:pt idx="194">
                  <c:v>2.22028328236583E-2</c:v>
                </c:pt>
                <c:pt idx="195">
                  <c:v>3.1979905037093898E-4</c:v>
                </c:pt>
                <c:pt idx="196">
                  <c:v>3.8604974568177998E-2</c:v>
                </c:pt>
                <c:pt idx="198">
                  <c:v>4.4859343195825498E-2</c:v>
                </c:pt>
                <c:pt idx="199">
                  <c:v>1.96487842997797E-2</c:v>
                </c:pt>
                <c:pt idx="201">
                  <c:v>1.1834237037883701E-2</c:v>
                </c:pt>
                <c:pt idx="203">
                  <c:v>0.1115878548276</c:v>
                </c:pt>
                <c:pt idx="205">
                  <c:v>9.5895420754186205E-3</c:v>
                </c:pt>
                <c:pt idx="207">
                  <c:v>2.78927145686407E-2</c:v>
                </c:pt>
                <c:pt idx="208">
                  <c:v>9.6395707538854403E-4</c:v>
                </c:pt>
                <c:pt idx="210">
                  <c:v>3.9373684053008097E-2</c:v>
                </c:pt>
                <c:pt idx="212">
                  <c:v>9.1055938195434595E-3</c:v>
                </c:pt>
                <c:pt idx="213">
                  <c:v>2.1062829709799199E-3</c:v>
                </c:pt>
                <c:pt idx="214">
                  <c:v>3.02618066586238E-2</c:v>
                </c:pt>
                <c:pt idx="215">
                  <c:v>1.01077661744602E-2</c:v>
                </c:pt>
                <c:pt idx="219">
                  <c:v>4.7546697913198897E-2</c:v>
                </c:pt>
                <c:pt idx="220">
                  <c:v>1.06741816575771E-2</c:v>
                </c:pt>
                <c:pt idx="223">
                  <c:v>1.2190464532379999E-2</c:v>
                </c:pt>
                <c:pt idx="227">
                  <c:v>7.8215768970539799E-3</c:v>
                </c:pt>
                <c:pt idx="230">
                  <c:v>8.5404461622494696E-2</c:v>
                </c:pt>
                <c:pt idx="231">
                  <c:v>9.3925079862164695E-2</c:v>
                </c:pt>
                <c:pt idx="232">
                  <c:v>5.3081446255385502E-2</c:v>
                </c:pt>
                <c:pt idx="233">
                  <c:v>1.9582653030303401E-4</c:v>
                </c:pt>
                <c:pt idx="234">
                  <c:v>7.4141727016716605E-2</c:v>
                </c:pt>
                <c:pt idx="235">
                  <c:v>3.3560189240494899E-2</c:v>
                </c:pt>
                <c:pt idx="236">
                  <c:v>3.5723345788458698E-2</c:v>
                </c:pt>
                <c:pt idx="238">
                  <c:v>5.7364061981373601E-2</c:v>
                </c:pt>
                <c:pt idx="239">
                  <c:v>1.7770571188400398E-2</c:v>
                </c:pt>
                <c:pt idx="241">
                  <c:v>2.60914513496475E-2</c:v>
                </c:pt>
                <c:pt idx="242">
                  <c:v>4.24386327378838E-2</c:v>
                </c:pt>
                <c:pt idx="243">
                  <c:v>5.2425321267266303E-2</c:v>
                </c:pt>
                <c:pt idx="244">
                  <c:v>5.4864885732810497E-3</c:v>
                </c:pt>
                <c:pt idx="245">
                  <c:v>2.2214009634219802E-2</c:v>
                </c:pt>
                <c:pt idx="246">
                  <c:v>2.2748054915648699E-2</c:v>
                </c:pt>
                <c:pt idx="247">
                  <c:v>2.8990416217415299E-2</c:v>
                </c:pt>
                <c:pt idx="249">
                  <c:v>6.9143836459647501E-2</c:v>
                </c:pt>
                <c:pt idx="251">
                  <c:v>4.3612913509962797E-2</c:v>
                </c:pt>
                <c:pt idx="254">
                  <c:v>3.5773288410591901E-2</c:v>
                </c:pt>
                <c:pt idx="256">
                  <c:v>5.3177568506868103E-5</c:v>
                </c:pt>
                <c:pt idx="258">
                  <c:v>9.1116391659653406E-2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3-4A6C-95F4-492ECBDC864C}"/>
            </c:ext>
          </c:extLst>
        </c:ser>
        <c:ser>
          <c:idx val="1"/>
          <c:order val="1"/>
          <c:tx>
            <c:strRef>
              <c:f>'Monthly vix buckets 5'!$P$4:$P$5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vix buckets 5'!$N$6:$N$289</c:f>
              <c:multiLvlStrCache>
                <c:ptCount val="26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  <c:pt idx="142">
                    <c:v>Nov</c:v>
                  </c:pt>
                  <c:pt idx="143">
                    <c:v>Dec</c:v>
                  </c:pt>
                  <c:pt idx="144">
                    <c:v>Jan</c:v>
                  </c:pt>
                  <c:pt idx="145">
                    <c:v>Feb</c:v>
                  </c:pt>
                  <c:pt idx="146">
                    <c:v>Mar</c:v>
                  </c:pt>
                  <c:pt idx="147">
                    <c:v>Apr</c:v>
                  </c:pt>
                  <c:pt idx="148">
                    <c:v>May</c:v>
                  </c:pt>
                  <c:pt idx="149">
                    <c:v>Jun</c:v>
                  </c:pt>
                  <c:pt idx="150">
                    <c:v>Jul</c:v>
                  </c:pt>
                  <c:pt idx="151">
                    <c:v>Aug</c:v>
                  </c:pt>
                  <c:pt idx="152">
                    <c:v>Sep</c:v>
                  </c:pt>
                  <c:pt idx="153">
                    <c:v>Oct</c:v>
                  </c:pt>
                  <c:pt idx="154">
                    <c:v>Nov</c:v>
                  </c:pt>
                  <c:pt idx="155">
                    <c:v>Dec</c:v>
                  </c:pt>
                  <c:pt idx="156">
                    <c:v>Jan</c:v>
                  </c:pt>
                  <c:pt idx="157">
                    <c:v>Feb</c:v>
                  </c:pt>
                  <c:pt idx="158">
                    <c:v>Mar</c:v>
                  </c:pt>
                  <c:pt idx="159">
                    <c:v>Apr</c:v>
                  </c:pt>
                  <c:pt idx="160">
                    <c:v>May</c:v>
                  </c:pt>
                  <c:pt idx="161">
                    <c:v>Jun</c:v>
                  </c:pt>
                  <c:pt idx="162">
                    <c:v>Jul</c:v>
                  </c:pt>
                  <c:pt idx="163">
                    <c:v>Aug</c:v>
                  </c:pt>
                  <c:pt idx="164">
                    <c:v>Sep</c:v>
                  </c:pt>
                  <c:pt idx="165">
                    <c:v>Oct</c:v>
                  </c:pt>
                  <c:pt idx="166">
                    <c:v>Nov</c:v>
                  </c:pt>
                  <c:pt idx="167">
                    <c:v>Dec</c:v>
                  </c:pt>
                  <c:pt idx="168">
                    <c:v>Jan</c:v>
                  </c:pt>
                  <c:pt idx="169">
                    <c:v>Feb</c:v>
                  </c:pt>
                  <c:pt idx="170">
                    <c:v>Mar</c:v>
                  </c:pt>
                  <c:pt idx="171">
                    <c:v>Apr</c:v>
                  </c:pt>
                  <c:pt idx="172">
                    <c:v>May</c:v>
                  </c:pt>
                  <c:pt idx="173">
                    <c:v>Jun</c:v>
                  </c:pt>
                  <c:pt idx="174">
                    <c:v>Jul</c:v>
                  </c:pt>
                  <c:pt idx="175">
                    <c:v>Aug</c:v>
                  </c:pt>
                  <c:pt idx="176">
                    <c:v>Sep</c:v>
                  </c:pt>
                  <c:pt idx="177">
                    <c:v>Oct</c:v>
                  </c:pt>
                  <c:pt idx="178">
                    <c:v>Nov</c:v>
                  </c:pt>
                  <c:pt idx="179">
                    <c:v>Dec</c:v>
                  </c:pt>
                  <c:pt idx="180">
                    <c:v>Jan</c:v>
                  </c:pt>
                  <c:pt idx="181">
                    <c:v>Feb</c:v>
                  </c:pt>
                  <c:pt idx="182">
                    <c:v>Mar</c:v>
                  </c:pt>
                  <c:pt idx="183">
                    <c:v>Apr</c:v>
                  </c:pt>
                  <c:pt idx="184">
                    <c:v>May</c:v>
                  </c:pt>
                  <c:pt idx="185">
                    <c:v>Jun</c:v>
                  </c:pt>
                  <c:pt idx="186">
                    <c:v>Jul</c:v>
                  </c:pt>
                  <c:pt idx="187">
                    <c:v>Aug</c:v>
                  </c:pt>
                  <c:pt idx="188">
                    <c:v>Sep</c:v>
                  </c:pt>
                  <c:pt idx="189">
                    <c:v>Oct</c:v>
                  </c:pt>
                  <c:pt idx="190">
                    <c:v>Nov</c:v>
                  </c:pt>
                  <c:pt idx="191">
                    <c:v>Dec</c:v>
                  </c:pt>
                  <c:pt idx="192">
                    <c:v>Jan</c:v>
                  </c:pt>
                  <c:pt idx="193">
                    <c:v>Feb</c:v>
                  </c:pt>
                  <c:pt idx="194">
                    <c:v>Mar</c:v>
                  </c:pt>
                  <c:pt idx="195">
                    <c:v>Apr</c:v>
                  </c:pt>
                  <c:pt idx="196">
                    <c:v>May</c:v>
                  </c:pt>
                  <c:pt idx="197">
                    <c:v>Jun</c:v>
                  </c:pt>
                  <c:pt idx="198">
                    <c:v>Jul</c:v>
                  </c:pt>
                  <c:pt idx="199">
                    <c:v>Aug</c:v>
                  </c:pt>
                  <c:pt idx="200">
                    <c:v>Sep</c:v>
                  </c:pt>
                  <c:pt idx="201">
                    <c:v>Oct</c:v>
                  </c:pt>
                  <c:pt idx="202">
                    <c:v>Nov</c:v>
                  </c:pt>
                  <c:pt idx="203">
                    <c:v>Dec</c:v>
                  </c:pt>
                  <c:pt idx="204">
                    <c:v>Jan</c:v>
                  </c:pt>
                  <c:pt idx="205">
                    <c:v>Feb</c:v>
                  </c:pt>
                  <c:pt idx="206">
                    <c:v>Mar</c:v>
                  </c:pt>
                  <c:pt idx="207">
                    <c:v>Apr</c:v>
                  </c:pt>
                  <c:pt idx="208">
                    <c:v>May</c:v>
                  </c:pt>
                  <c:pt idx="209">
                    <c:v>Jun</c:v>
                  </c:pt>
                  <c:pt idx="210">
                    <c:v>Jul</c:v>
                  </c:pt>
                  <c:pt idx="211">
                    <c:v>Aug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Jan</c:v>
                  </c:pt>
                  <c:pt idx="217">
                    <c:v>Feb</c:v>
                  </c:pt>
                  <c:pt idx="218">
                    <c:v>Mar</c:v>
                  </c:pt>
                  <c:pt idx="219">
                    <c:v>Apr</c:v>
                  </c:pt>
                  <c:pt idx="220">
                    <c:v>May</c:v>
                  </c:pt>
                  <c:pt idx="221">
                    <c:v>Jun</c:v>
                  </c:pt>
                  <c:pt idx="222">
                    <c:v>Jul</c:v>
                  </c:pt>
                  <c:pt idx="223">
                    <c:v>Aug</c:v>
                  </c:pt>
                  <c:pt idx="224">
                    <c:v>Sep</c:v>
                  </c:pt>
                  <c:pt idx="225">
                    <c:v>Oct</c:v>
                  </c:pt>
                  <c:pt idx="226">
                    <c:v>Nov</c:v>
                  </c:pt>
                  <c:pt idx="227">
                    <c:v>Dec</c:v>
                  </c:pt>
                  <c:pt idx="228">
                    <c:v>Jan</c:v>
                  </c:pt>
                  <c:pt idx="229">
                    <c:v>Feb</c:v>
                  </c:pt>
                  <c:pt idx="230">
                    <c:v>Mar</c:v>
                  </c:pt>
                  <c:pt idx="231">
                    <c:v>Apr</c:v>
                  </c:pt>
                  <c:pt idx="232">
                    <c:v>May</c:v>
                  </c:pt>
                  <c:pt idx="233">
                    <c:v>Jun</c:v>
                  </c:pt>
                  <c:pt idx="234">
                    <c:v>Jul</c:v>
                  </c:pt>
                  <c:pt idx="235">
                    <c:v>Aug</c:v>
                  </c:pt>
                  <c:pt idx="236">
                    <c:v>Sep</c:v>
                  </c:pt>
                  <c:pt idx="237">
                    <c:v>Oct</c:v>
                  </c:pt>
                  <c:pt idx="238">
                    <c:v>Nov</c:v>
                  </c:pt>
                  <c:pt idx="239">
                    <c:v>Dec</c:v>
                  </c:pt>
                  <c:pt idx="240">
                    <c:v>Jan</c:v>
                  </c:pt>
                  <c:pt idx="241">
                    <c:v>Feb</c:v>
                  </c:pt>
                  <c:pt idx="242">
                    <c:v>Mar</c:v>
                  </c:pt>
                  <c:pt idx="243">
                    <c:v>Apr</c:v>
                  </c:pt>
                  <c:pt idx="244">
                    <c:v>May</c:v>
                  </c:pt>
                  <c:pt idx="245">
                    <c:v>Jun</c:v>
                  </c:pt>
                  <c:pt idx="246">
                    <c:v>Jul</c:v>
                  </c:pt>
                  <c:pt idx="247">
                    <c:v>Aug</c:v>
                  </c:pt>
                  <c:pt idx="248">
                    <c:v>Sep</c:v>
                  </c:pt>
                  <c:pt idx="249">
                    <c:v>Oct</c:v>
                  </c:pt>
                  <c:pt idx="250">
                    <c:v>Nov</c:v>
                  </c:pt>
                  <c:pt idx="251">
                    <c:v>Dec</c:v>
                  </c:pt>
                  <c:pt idx="252">
                    <c:v>Jan</c:v>
                  </c:pt>
                  <c:pt idx="253">
                    <c:v>Feb</c:v>
                  </c:pt>
                  <c:pt idx="254">
                    <c:v>Mar</c:v>
                  </c:pt>
                  <c:pt idx="255">
                    <c:v>Apr</c:v>
                  </c:pt>
                  <c:pt idx="256">
                    <c:v>May</c:v>
                  </c:pt>
                  <c:pt idx="257">
                    <c:v>Jun</c:v>
                  </c:pt>
                  <c:pt idx="258">
                    <c:v>Jul</c:v>
                  </c:pt>
                  <c:pt idx="259">
                    <c:v>Aug</c:v>
                  </c:pt>
                  <c:pt idx="260">
                    <c:v>Sep</c:v>
                  </c:pt>
                </c:lvl>
                <c:lvl>
                  <c:pt idx="0">
                    <c:v>1948</c:v>
                  </c:pt>
                  <c:pt idx="12">
                    <c:v>1949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1973</c:v>
                  </c:pt>
                  <c:pt idx="60">
                    <c:v>1974</c:v>
                  </c:pt>
                  <c:pt idx="72">
                    <c:v>1975</c:v>
                  </c:pt>
                  <c:pt idx="84">
                    <c:v>1976</c:v>
                  </c:pt>
                  <c:pt idx="96">
                    <c:v>1977</c:v>
                  </c:pt>
                  <c:pt idx="108">
                    <c:v>1978</c:v>
                  </c:pt>
                  <c:pt idx="120">
                    <c:v>1981</c:v>
                  </c:pt>
                  <c:pt idx="132">
                    <c:v>1982</c:v>
                  </c:pt>
                  <c:pt idx="144">
                    <c:v>1983</c:v>
                  </c:pt>
                  <c:pt idx="156">
                    <c:v>1988</c:v>
                  </c:pt>
                  <c:pt idx="168">
                    <c:v>1989</c:v>
                  </c:pt>
                  <c:pt idx="180">
                    <c:v>1990</c:v>
                  </c:pt>
                  <c:pt idx="192">
                    <c:v>1991</c:v>
                  </c:pt>
                  <c:pt idx="204">
                    <c:v>1992</c:v>
                  </c:pt>
                  <c:pt idx="216">
                    <c:v>2008</c:v>
                  </c:pt>
                  <c:pt idx="228">
                    <c:v>2009</c:v>
                  </c:pt>
                  <c:pt idx="240">
                    <c:v>2021</c:v>
                  </c:pt>
                  <c:pt idx="252">
                    <c:v>2022</c:v>
                  </c:pt>
                </c:lvl>
              </c:multiLvlStrCache>
            </c:multiLvlStrRef>
          </c:cat>
          <c:val>
            <c:numRef>
              <c:f>'Monthly vix buckets 5'!$P$6:$P$289</c:f>
              <c:numCache>
                <c:formatCode>0.00%</c:formatCode>
                <c:ptCount val="261"/>
                <c:pt idx="0">
                  <c:v>-4.05228758169935E-2</c:v>
                </c:pt>
                <c:pt idx="1">
                  <c:v>-5.1089918256130698E-2</c:v>
                </c:pt>
                <c:pt idx="6">
                  <c:v>-5.3166069295101502E-2</c:v>
                </c:pt>
                <c:pt idx="8">
                  <c:v>-3.0056355666875399E-2</c:v>
                </c:pt>
                <c:pt idx="10">
                  <c:v>-0.10606060606060599</c:v>
                </c:pt>
                <c:pt idx="13">
                  <c:v>-3.9421813403416703E-2</c:v>
                </c:pt>
                <c:pt idx="15">
                  <c:v>-2.3240371845949501E-2</c:v>
                </c:pt>
                <c:pt idx="16">
                  <c:v>-3.5350101971448097E-2</c:v>
                </c:pt>
                <c:pt idx="17">
                  <c:v>-2.11416490486249E-3</c:v>
                </c:pt>
                <c:pt idx="26">
                  <c:v>-1.46788538843511E-2</c:v>
                </c:pt>
                <c:pt idx="28">
                  <c:v>-4.05706642888988E-2</c:v>
                </c:pt>
                <c:pt idx="29">
                  <c:v>-2.6022351301115201E-2</c:v>
                </c:pt>
                <c:pt idx="32">
                  <c:v>-8.5914944763087998E-4</c:v>
                </c:pt>
                <c:pt idx="33">
                  <c:v>-1.37574806534825E-2</c:v>
                </c:pt>
                <c:pt idx="34">
                  <c:v>-2.6156058144896099E-3</c:v>
                </c:pt>
                <c:pt idx="37">
                  <c:v>-3.6453978312095098E-2</c:v>
                </c:pt>
                <c:pt idx="39">
                  <c:v>-4.3085800447853803E-2</c:v>
                </c:pt>
                <c:pt idx="43">
                  <c:v>-1.4566889763779499E-2</c:v>
                </c:pt>
                <c:pt idx="44">
                  <c:v>-1.9576507408049899E-2</c:v>
                </c:pt>
                <c:pt idx="45">
                  <c:v>-8.1503664160409396E-4</c:v>
                </c:pt>
                <c:pt idx="48">
                  <c:v>-1.71114269264355E-2</c:v>
                </c:pt>
                <c:pt idx="49">
                  <c:v>-3.7490295936312097E-2</c:v>
                </c:pt>
                <c:pt idx="50">
                  <c:v>-1.43269161891124E-3</c:v>
                </c:pt>
                <c:pt idx="51">
                  <c:v>-4.0799821757527499E-2</c:v>
                </c:pt>
                <c:pt idx="52">
                  <c:v>-1.8883836413164001E-2</c:v>
                </c:pt>
                <c:pt idx="53">
                  <c:v>-6.5745118601575597E-3</c:v>
                </c:pt>
                <c:pt idx="55">
                  <c:v>-3.6684540411342302E-2</c:v>
                </c:pt>
                <c:pt idx="57">
                  <c:v>-1.29114636170802E-3</c:v>
                </c:pt>
                <c:pt idx="58">
                  <c:v>-0.113860946404461</c:v>
                </c:pt>
                <c:pt idx="60">
                  <c:v>-1.0046160634152E-2</c:v>
                </c:pt>
                <c:pt idx="61">
                  <c:v>-3.62430361395871E-3</c:v>
                </c:pt>
                <c:pt idx="62">
                  <c:v>-2.3279962343795799E-2</c:v>
                </c:pt>
                <c:pt idx="63">
                  <c:v>-3.9050913841745701E-2</c:v>
                </c:pt>
                <c:pt idx="64">
                  <c:v>-3.3551091430651901E-2</c:v>
                </c:pt>
                <c:pt idx="65">
                  <c:v>-1.46654332569367E-2</c:v>
                </c:pt>
                <c:pt idx="66">
                  <c:v>-7.7790720930232607E-2</c:v>
                </c:pt>
                <c:pt idx="67">
                  <c:v>-9.0278605227048295E-2</c:v>
                </c:pt>
                <c:pt idx="68">
                  <c:v>-0.119334729886771</c:v>
                </c:pt>
                <c:pt idx="70">
                  <c:v>-5.3179985028958501E-2</c:v>
                </c:pt>
                <c:pt idx="71">
                  <c:v>-2.0151536084728701E-2</c:v>
                </c:pt>
                <c:pt idx="78">
                  <c:v>-6.7654184942658194E-2</c:v>
                </c:pt>
                <c:pt idx="79">
                  <c:v>-2.10704563380282E-2</c:v>
                </c:pt>
                <c:pt idx="80">
                  <c:v>-3.4645420165012299E-2</c:v>
                </c:pt>
                <c:pt idx="83">
                  <c:v>-1.15080668896989E-2</c:v>
                </c:pt>
                <c:pt idx="85">
                  <c:v>-1.14019630041448E-2</c:v>
                </c:pt>
                <c:pt idx="87">
                  <c:v>-1.0995407540977199E-2</c:v>
                </c:pt>
                <c:pt idx="88">
                  <c:v>-1.4364413758012701E-2</c:v>
                </c:pt>
                <c:pt idx="90">
                  <c:v>-8.0552072118834604E-3</c:v>
                </c:pt>
                <c:pt idx="91">
                  <c:v>-5.1237237988452904E-3</c:v>
                </c:pt>
                <c:pt idx="93">
                  <c:v>-2.2234854090362102E-2</c:v>
                </c:pt>
                <c:pt idx="94">
                  <c:v>-7.7745771083658202E-3</c:v>
                </c:pt>
                <c:pt idx="96">
                  <c:v>-5.0530430397640297E-2</c:v>
                </c:pt>
                <c:pt idx="97">
                  <c:v>-2.1660286402629601E-2</c:v>
                </c:pt>
                <c:pt idx="98">
                  <c:v>-1.402526547786E-2</c:v>
                </c:pt>
                <c:pt idx="100">
                  <c:v>-2.3567644787329499E-2</c:v>
                </c:pt>
                <c:pt idx="102">
                  <c:v>-1.62221830347676E-2</c:v>
                </c:pt>
                <c:pt idx="103">
                  <c:v>-2.1041993344299199E-2</c:v>
                </c:pt>
                <c:pt idx="104">
                  <c:v>-2.4800868806474901E-3</c:v>
                </c:pt>
                <c:pt idx="105">
                  <c:v>-4.3406226493382702E-2</c:v>
                </c:pt>
                <c:pt idx="108">
                  <c:v>-6.1514175846775501E-2</c:v>
                </c:pt>
                <c:pt idx="109">
                  <c:v>-2.4761893557423E-2</c:v>
                </c:pt>
                <c:pt idx="113">
                  <c:v>-1.7585345898505699E-2</c:v>
                </c:pt>
                <c:pt idx="116">
                  <c:v>-7.2611094272329001E-3</c:v>
                </c:pt>
                <c:pt idx="117">
                  <c:v>-9.1574009249327001E-2</c:v>
                </c:pt>
                <c:pt idx="120">
                  <c:v>-4.5742429498469003E-2</c:v>
                </c:pt>
                <c:pt idx="123">
                  <c:v>-2.3455897058823401E-2</c:v>
                </c:pt>
                <c:pt idx="124">
                  <c:v>-1.6565168534976599E-3</c:v>
                </c:pt>
                <c:pt idx="125">
                  <c:v>-1.04079420893868E-2</c:v>
                </c:pt>
                <c:pt idx="126">
                  <c:v>-2.2102658679073999E-3</c:v>
                </c:pt>
                <c:pt idx="127">
                  <c:v>-6.2098969784585498E-2</c:v>
                </c:pt>
                <c:pt idx="128">
                  <c:v>-5.3831752961708897E-2</c:v>
                </c:pt>
                <c:pt idx="131">
                  <c:v>-3.00751488733699E-2</c:v>
                </c:pt>
                <c:pt idx="132">
                  <c:v>-1.7543867379587099E-2</c:v>
                </c:pt>
                <c:pt idx="133">
                  <c:v>-6.0548180057339203E-2</c:v>
                </c:pt>
                <c:pt idx="134">
                  <c:v>-1.0167111571327801E-2</c:v>
                </c:pt>
                <c:pt idx="136">
                  <c:v>-3.9161842336622503E-2</c:v>
                </c:pt>
                <c:pt idx="137">
                  <c:v>-2.02895607871709E-2</c:v>
                </c:pt>
                <c:pt idx="138">
                  <c:v>-2.2990648453693599E-2</c:v>
                </c:pt>
                <c:pt idx="148">
                  <c:v>-1.24064592035834E-2</c:v>
                </c:pt>
                <c:pt idx="150">
                  <c:v>-3.0303036448956201E-2</c:v>
                </c:pt>
                <c:pt idx="153">
                  <c:v>-1.5174347526823499E-2</c:v>
                </c:pt>
                <c:pt idx="155">
                  <c:v>-8.8341409435387392E-3</c:v>
                </c:pt>
                <c:pt idx="158">
                  <c:v>-3.33432595272838E-2</c:v>
                </c:pt>
                <c:pt idx="162">
                  <c:v>-5.4113747714807899E-3</c:v>
                </c:pt>
                <c:pt idx="163">
                  <c:v>-3.8600104494526701E-2</c:v>
                </c:pt>
                <c:pt idx="166">
                  <c:v>-1.88908806721481E-2</c:v>
                </c:pt>
                <c:pt idx="169">
                  <c:v>-2.8944148892513202E-2</c:v>
                </c:pt>
                <c:pt idx="173">
                  <c:v>-7.9245541219584697E-3</c:v>
                </c:pt>
                <c:pt idx="176">
                  <c:v>-6.5443673964080702E-3</c:v>
                </c:pt>
                <c:pt idx="177">
                  <c:v>-2.5175452244172201E-2</c:v>
                </c:pt>
                <c:pt idx="180">
                  <c:v>-6.8817225277032601E-2</c:v>
                </c:pt>
                <c:pt idx="183">
                  <c:v>-2.6887138748678398E-2</c:v>
                </c:pt>
                <c:pt idx="185">
                  <c:v>-8.8863657565815303E-3</c:v>
                </c:pt>
                <c:pt idx="186">
                  <c:v>-5.2231580846174904E-3</c:v>
                </c:pt>
                <c:pt idx="187">
                  <c:v>-9.43141838154853E-2</c:v>
                </c:pt>
                <c:pt idx="188">
                  <c:v>-5.1184307112997998E-2</c:v>
                </c:pt>
                <c:pt idx="189">
                  <c:v>-6.6982129729734599E-3</c:v>
                </c:pt>
                <c:pt idx="197">
                  <c:v>-4.7892629152718302E-2</c:v>
                </c:pt>
                <c:pt idx="200">
                  <c:v>-1.9143737536368399E-2</c:v>
                </c:pt>
                <c:pt idx="202">
                  <c:v>-4.3903708684304897E-2</c:v>
                </c:pt>
                <c:pt idx="204">
                  <c:v>-1.9923750460799899E-2</c:v>
                </c:pt>
                <c:pt idx="206">
                  <c:v>-2.1831862704186199E-2</c:v>
                </c:pt>
                <c:pt idx="209">
                  <c:v>-1.7358832059340301E-2</c:v>
                </c:pt>
                <c:pt idx="211">
                  <c:v>-2.3997530034600301E-2</c:v>
                </c:pt>
                <c:pt idx="216">
                  <c:v>-6.1163431935936402E-2</c:v>
                </c:pt>
                <c:pt idx="217">
                  <c:v>-3.4761192772624502E-2</c:v>
                </c:pt>
                <c:pt idx="218">
                  <c:v>-5.95962361452984E-3</c:v>
                </c:pt>
                <c:pt idx="221">
                  <c:v>-8.5962384902803599E-2</c:v>
                </c:pt>
                <c:pt idx="222">
                  <c:v>-9.8593710937500099E-3</c:v>
                </c:pt>
                <c:pt idx="224">
                  <c:v>-9.0791433779084593E-2</c:v>
                </c:pt>
                <c:pt idx="225">
                  <c:v>-0.16942452376742001</c:v>
                </c:pt>
                <c:pt idx="226">
                  <c:v>-7.4849042580645203E-2</c:v>
                </c:pt>
                <c:pt idx="228">
                  <c:v>-8.5657342928314395E-2</c:v>
                </c:pt>
                <c:pt idx="229">
                  <c:v>-0.109931197571492</c:v>
                </c:pt>
                <c:pt idx="237">
                  <c:v>-1.9762000860415501E-2</c:v>
                </c:pt>
                <c:pt idx="240">
                  <c:v>-1.11366607232312E-2</c:v>
                </c:pt>
                <c:pt idx="248">
                  <c:v>-4.75691688617867E-2</c:v>
                </c:pt>
                <c:pt idx="250">
                  <c:v>-8.3337062251199693E-3</c:v>
                </c:pt>
                <c:pt idx="252">
                  <c:v>-5.2585165005310602E-2</c:v>
                </c:pt>
                <c:pt idx="253">
                  <c:v>-3.1360492102910101E-2</c:v>
                </c:pt>
                <c:pt idx="255">
                  <c:v>-8.7956711705729301E-2</c:v>
                </c:pt>
                <c:pt idx="257">
                  <c:v>-8.3919999812243101E-2</c:v>
                </c:pt>
                <c:pt idx="259">
                  <c:v>-4.2440128258508597E-2</c:v>
                </c:pt>
                <c:pt idx="260">
                  <c:v>-9.339567E-2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3-4A6C-95F4-492ECBDC86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1544127"/>
        <c:axId val="2041556607"/>
      </c:barChart>
      <c:catAx>
        <c:axId val="20415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56607"/>
        <c:crosses val="autoZero"/>
        <c:auto val="1"/>
        <c:lblAlgn val="ctr"/>
        <c:lblOffset val="100"/>
        <c:noMultiLvlLbl val="0"/>
      </c:catAx>
      <c:valAx>
        <c:axId val="20415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4412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[bullbear spread.xlsx]Monthly vix buckets 10!PivotTable20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622494857231263E-2"/>
          <c:y val="9.7374290094792114E-3"/>
          <c:w val="0.97507303303900195"/>
          <c:h val="0.96179879617895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vix buckets 10'!$O$4:$O$5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vix buckets 10'!$N$6:$N$289</c:f>
              <c:multiLvlStrCache>
                <c:ptCount val="26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  <c:pt idx="142">
                    <c:v>Nov</c:v>
                  </c:pt>
                  <c:pt idx="143">
                    <c:v>Dec</c:v>
                  </c:pt>
                  <c:pt idx="144">
                    <c:v>Jan</c:v>
                  </c:pt>
                  <c:pt idx="145">
                    <c:v>Feb</c:v>
                  </c:pt>
                  <c:pt idx="146">
                    <c:v>Mar</c:v>
                  </c:pt>
                  <c:pt idx="147">
                    <c:v>Apr</c:v>
                  </c:pt>
                  <c:pt idx="148">
                    <c:v>May</c:v>
                  </c:pt>
                  <c:pt idx="149">
                    <c:v>Jun</c:v>
                  </c:pt>
                  <c:pt idx="150">
                    <c:v>Jul</c:v>
                  </c:pt>
                  <c:pt idx="151">
                    <c:v>Aug</c:v>
                  </c:pt>
                  <c:pt idx="152">
                    <c:v>Sep</c:v>
                  </c:pt>
                  <c:pt idx="153">
                    <c:v>Oct</c:v>
                  </c:pt>
                  <c:pt idx="154">
                    <c:v>Nov</c:v>
                  </c:pt>
                  <c:pt idx="155">
                    <c:v>Dec</c:v>
                  </c:pt>
                  <c:pt idx="156">
                    <c:v>Jan</c:v>
                  </c:pt>
                  <c:pt idx="157">
                    <c:v>Feb</c:v>
                  </c:pt>
                  <c:pt idx="158">
                    <c:v>Mar</c:v>
                  </c:pt>
                  <c:pt idx="159">
                    <c:v>Apr</c:v>
                  </c:pt>
                  <c:pt idx="160">
                    <c:v>May</c:v>
                  </c:pt>
                  <c:pt idx="161">
                    <c:v>Jun</c:v>
                  </c:pt>
                  <c:pt idx="162">
                    <c:v>Jul</c:v>
                  </c:pt>
                  <c:pt idx="163">
                    <c:v>Aug</c:v>
                  </c:pt>
                  <c:pt idx="164">
                    <c:v>Sep</c:v>
                  </c:pt>
                  <c:pt idx="165">
                    <c:v>Oct</c:v>
                  </c:pt>
                  <c:pt idx="166">
                    <c:v>Nov</c:v>
                  </c:pt>
                  <c:pt idx="167">
                    <c:v>Dec</c:v>
                  </c:pt>
                  <c:pt idx="168">
                    <c:v>Jan</c:v>
                  </c:pt>
                  <c:pt idx="169">
                    <c:v>Feb</c:v>
                  </c:pt>
                  <c:pt idx="170">
                    <c:v>Mar</c:v>
                  </c:pt>
                  <c:pt idx="171">
                    <c:v>Apr</c:v>
                  </c:pt>
                  <c:pt idx="172">
                    <c:v>May</c:v>
                  </c:pt>
                  <c:pt idx="173">
                    <c:v>Jun</c:v>
                  </c:pt>
                  <c:pt idx="174">
                    <c:v>Jul</c:v>
                  </c:pt>
                  <c:pt idx="175">
                    <c:v>Aug</c:v>
                  </c:pt>
                  <c:pt idx="176">
                    <c:v>Sep</c:v>
                  </c:pt>
                  <c:pt idx="177">
                    <c:v>Oct</c:v>
                  </c:pt>
                  <c:pt idx="178">
                    <c:v>Nov</c:v>
                  </c:pt>
                  <c:pt idx="179">
                    <c:v>Dec</c:v>
                  </c:pt>
                  <c:pt idx="180">
                    <c:v>Jan</c:v>
                  </c:pt>
                  <c:pt idx="181">
                    <c:v>Feb</c:v>
                  </c:pt>
                  <c:pt idx="182">
                    <c:v>Mar</c:v>
                  </c:pt>
                  <c:pt idx="183">
                    <c:v>Apr</c:v>
                  </c:pt>
                  <c:pt idx="184">
                    <c:v>May</c:v>
                  </c:pt>
                  <c:pt idx="185">
                    <c:v>Jun</c:v>
                  </c:pt>
                  <c:pt idx="186">
                    <c:v>Jul</c:v>
                  </c:pt>
                  <c:pt idx="187">
                    <c:v>Aug</c:v>
                  </c:pt>
                  <c:pt idx="188">
                    <c:v>Sep</c:v>
                  </c:pt>
                  <c:pt idx="189">
                    <c:v>Oct</c:v>
                  </c:pt>
                  <c:pt idx="190">
                    <c:v>Nov</c:v>
                  </c:pt>
                  <c:pt idx="191">
                    <c:v>Dec</c:v>
                  </c:pt>
                  <c:pt idx="192">
                    <c:v>Jan</c:v>
                  </c:pt>
                  <c:pt idx="193">
                    <c:v>Feb</c:v>
                  </c:pt>
                  <c:pt idx="194">
                    <c:v>Mar</c:v>
                  </c:pt>
                  <c:pt idx="195">
                    <c:v>Apr</c:v>
                  </c:pt>
                  <c:pt idx="196">
                    <c:v>May</c:v>
                  </c:pt>
                  <c:pt idx="197">
                    <c:v>Jun</c:v>
                  </c:pt>
                  <c:pt idx="198">
                    <c:v>Jul</c:v>
                  </c:pt>
                  <c:pt idx="199">
                    <c:v>Aug</c:v>
                  </c:pt>
                  <c:pt idx="200">
                    <c:v>Sep</c:v>
                  </c:pt>
                  <c:pt idx="201">
                    <c:v>Oct</c:v>
                  </c:pt>
                  <c:pt idx="202">
                    <c:v>Nov</c:v>
                  </c:pt>
                  <c:pt idx="203">
                    <c:v>Dec</c:v>
                  </c:pt>
                  <c:pt idx="204">
                    <c:v>Jan</c:v>
                  </c:pt>
                  <c:pt idx="205">
                    <c:v>Feb</c:v>
                  </c:pt>
                  <c:pt idx="206">
                    <c:v>Mar</c:v>
                  </c:pt>
                  <c:pt idx="207">
                    <c:v>Apr</c:v>
                  </c:pt>
                  <c:pt idx="208">
                    <c:v>May</c:v>
                  </c:pt>
                  <c:pt idx="209">
                    <c:v>Jun</c:v>
                  </c:pt>
                  <c:pt idx="210">
                    <c:v>Jul</c:v>
                  </c:pt>
                  <c:pt idx="211">
                    <c:v>Aug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Jan</c:v>
                  </c:pt>
                  <c:pt idx="217">
                    <c:v>Feb</c:v>
                  </c:pt>
                  <c:pt idx="218">
                    <c:v>Mar</c:v>
                  </c:pt>
                  <c:pt idx="219">
                    <c:v>Apr</c:v>
                  </c:pt>
                  <c:pt idx="220">
                    <c:v>May</c:v>
                  </c:pt>
                  <c:pt idx="221">
                    <c:v>Jun</c:v>
                  </c:pt>
                  <c:pt idx="222">
                    <c:v>Jul</c:v>
                  </c:pt>
                  <c:pt idx="223">
                    <c:v>Aug</c:v>
                  </c:pt>
                  <c:pt idx="224">
                    <c:v>Sep</c:v>
                  </c:pt>
                  <c:pt idx="225">
                    <c:v>Oct</c:v>
                  </c:pt>
                  <c:pt idx="226">
                    <c:v>Nov</c:v>
                  </c:pt>
                  <c:pt idx="227">
                    <c:v>Dec</c:v>
                  </c:pt>
                  <c:pt idx="228">
                    <c:v>Jan</c:v>
                  </c:pt>
                  <c:pt idx="229">
                    <c:v>Feb</c:v>
                  </c:pt>
                  <c:pt idx="230">
                    <c:v>Mar</c:v>
                  </c:pt>
                  <c:pt idx="231">
                    <c:v>Apr</c:v>
                  </c:pt>
                  <c:pt idx="232">
                    <c:v>May</c:v>
                  </c:pt>
                  <c:pt idx="233">
                    <c:v>Jun</c:v>
                  </c:pt>
                  <c:pt idx="234">
                    <c:v>Jul</c:v>
                  </c:pt>
                  <c:pt idx="235">
                    <c:v>Aug</c:v>
                  </c:pt>
                  <c:pt idx="236">
                    <c:v>Sep</c:v>
                  </c:pt>
                  <c:pt idx="237">
                    <c:v>Oct</c:v>
                  </c:pt>
                  <c:pt idx="238">
                    <c:v>Nov</c:v>
                  </c:pt>
                  <c:pt idx="239">
                    <c:v>Dec</c:v>
                  </c:pt>
                  <c:pt idx="240">
                    <c:v>Jan</c:v>
                  </c:pt>
                  <c:pt idx="241">
                    <c:v>Feb</c:v>
                  </c:pt>
                  <c:pt idx="242">
                    <c:v>Mar</c:v>
                  </c:pt>
                  <c:pt idx="243">
                    <c:v>Apr</c:v>
                  </c:pt>
                  <c:pt idx="244">
                    <c:v>May</c:v>
                  </c:pt>
                  <c:pt idx="245">
                    <c:v>Jun</c:v>
                  </c:pt>
                  <c:pt idx="246">
                    <c:v>Jul</c:v>
                  </c:pt>
                  <c:pt idx="247">
                    <c:v>Aug</c:v>
                  </c:pt>
                  <c:pt idx="248">
                    <c:v>Sep</c:v>
                  </c:pt>
                  <c:pt idx="249">
                    <c:v>Oct</c:v>
                  </c:pt>
                  <c:pt idx="250">
                    <c:v>Nov</c:v>
                  </c:pt>
                  <c:pt idx="251">
                    <c:v>Dec</c:v>
                  </c:pt>
                  <c:pt idx="252">
                    <c:v>Jan</c:v>
                  </c:pt>
                  <c:pt idx="253">
                    <c:v>Feb</c:v>
                  </c:pt>
                  <c:pt idx="254">
                    <c:v>Mar</c:v>
                  </c:pt>
                  <c:pt idx="255">
                    <c:v>Apr</c:v>
                  </c:pt>
                  <c:pt idx="256">
                    <c:v>May</c:v>
                  </c:pt>
                  <c:pt idx="257">
                    <c:v>Jun</c:v>
                  </c:pt>
                  <c:pt idx="258">
                    <c:v>Jul</c:v>
                  </c:pt>
                  <c:pt idx="259">
                    <c:v>Aug</c:v>
                  </c:pt>
                  <c:pt idx="260">
                    <c:v>Sep</c:v>
                  </c:pt>
                </c:lvl>
                <c:lvl>
                  <c:pt idx="0">
                    <c:v>1948</c:v>
                  </c:pt>
                  <c:pt idx="12">
                    <c:v>1949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1973</c:v>
                  </c:pt>
                  <c:pt idx="60">
                    <c:v>1974</c:v>
                  </c:pt>
                  <c:pt idx="72">
                    <c:v>1975</c:v>
                  </c:pt>
                  <c:pt idx="84">
                    <c:v>1976</c:v>
                  </c:pt>
                  <c:pt idx="96">
                    <c:v>1977</c:v>
                  </c:pt>
                  <c:pt idx="108">
                    <c:v>1978</c:v>
                  </c:pt>
                  <c:pt idx="120">
                    <c:v>1981</c:v>
                  </c:pt>
                  <c:pt idx="132">
                    <c:v>1982</c:v>
                  </c:pt>
                  <c:pt idx="144">
                    <c:v>1983</c:v>
                  </c:pt>
                  <c:pt idx="156">
                    <c:v>1988</c:v>
                  </c:pt>
                  <c:pt idx="168">
                    <c:v>1989</c:v>
                  </c:pt>
                  <c:pt idx="180">
                    <c:v>1990</c:v>
                  </c:pt>
                  <c:pt idx="192">
                    <c:v>1991</c:v>
                  </c:pt>
                  <c:pt idx="204">
                    <c:v>1992</c:v>
                  </c:pt>
                  <c:pt idx="216">
                    <c:v>2008</c:v>
                  </c:pt>
                  <c:pt idx="228">
                    <c:v>2009</c:v>
                  </c:pt>
                  <c:pt idx="240">
                    <c:v>2021</c:v>
                  </c:pt>
                  <c:pt idx="252">
                    <c:v>2022</c:v>
                  </c:pt>
                </c:lvl>
              </c:multiLvlStrCache>
            </c:multiLvlStrRef>
          </c:cat>
          <c:val>
            <c:numRef>
              <c:f>'Monthly vix buckets 10'!$O$6:$O$289</c:f>
              <c:numCache>
                <c:formatCode>0.00%</c:formatCode>
                <c:ptCount val="261"/>
                <c:pt idx="2">
                  <c:v>8.2555635319454507E-2</c:v>
                </c:pt>
                <c:pt idx="3">
                  <c:v>2.6525198938992099E-2</c:v>
                </c:pt>
                <c:pt idx="4">
                  <c:v>7.8165439276485699E-2</c:v>
                </c:pt>
                <c:pt idx="5">
                  <c:v>2.9957457761686799E-3</c:v>
                </c:pt>
                <c:pt idx="7">
                  <c:v>7.57097791798111E-3</c:v>
                </c:pt>
                <c:pt idx="9">
                  <c:v>6.5203357004519E-2</c:v>
                </c:pt>
                <c:pt idx="11">
                  <c:v>3.0508474576271101E-2</c:v>
                </c:pt>
                <c:pt idx="12">
                  <c:v>1.3157894736843801E-3</c:v>
                </c:pt>
                <c:pt idx="14">
                  <c:v>3.0095759233926201E-2</c:v>
                </c:pt>
                <c:pt idx="18">
                  <c:v>6.21468926553672E-2</c:v>
                </c:pt>
                <c:pt idx="19">
                  <c:v>1.1968085106382999E-2</c:v>
                </c:pt>
                <c:pt idx="20">
                  <c:v>2.36530880420498E-2</c:v>
                </c:pt>
                <c:pt idx="21">
                  <c:v>2.95250962772786E-2</c:v>
                </c:pt>
                <c:pt idx="22">
                  <c:v>1.24675802701013E-3</c:v>
                </c:pt>
                <c:pt idx="23">
                  <c:v>4.5454672817849998E-2</c:v>
                </c:pt>
                <c:pt idx="24">
                  <c:v>6.0205580029368599E-2</c:v>
                </c:pt>
                <c:pt idx="25">
                  <c:v>6.4634810710988396E-3</c:v>
                </c:pt>
                <c:pt idx="27">
                  <c:v>4.4227188081936701E-2</c:v>
                </c:pt>
                <c:pt idx="30">
                  <c:v>6.8702341064042799E-2</c:v>
                </c:pt>
                <c:pt idx="31">
                  <c:v>3.92857589285713E-2</c:v>
                </c:pt>
                <c:pt idx="35">
                  <c:v>3.8898646805010803E-2</c:v>
                </c:pt>
                <c:pt idx="36">
                  <c:v>1.5565797223390901E-2</c:v>
                </c:pt>
                <c:pt idx="38">
                  <c:v>4.7721453138434899E-2</c:v>
                </c:pt>
                <c:pt idx="40">
                  <c:v>2.3156132075471601E-2</c:v>
                </c:pt>
                <c:pt idx="41">
                  <c:v>4.6102177447519897E-2</c:v>
                </c:pt>
                <c:pt idx="42">
                  <c:v>1.7628245898567499E-2</c:v>
                </c:pt>
                <c:pt idx="46">
                  <c:v>4.64926590538337E-2</c:v>
                </c:pt>
                <c:pt idx="47">
                  <c:v>3.5463756819953202E-2</c:v>
                </c:pt>
                <c:pt idx="54">
                  <c:v>3.7981957836524798E-2</c:v>
                </c:pt>
                <c:pt idx="56">
                  <c:v>4.0095923261390901E-2</c:v>
                </c:pt>
                <c:pt idx="59">
                  <c:v>1.6569445775004701E-2</c:v>
                </c:pt>
                <c:pt idx="69">
                  <c:v>0.163046912762875</c:v>
                </c:pt>
                <c:pt idx="72">
                  <c:v>0.122812211867334</c:v>
                </c:pt>
                <c:pt idx="73">
                  <c:v>5.9885591326880101E-2</c:v>
                </c:pt>
                <c:pt idx="74">
                  <c:v>2.1693897374379E-2</c:v>
                </c:pt>
                <c:pt idx="75">
                  <c:v>4.7264898665248398E-2</c:v>
                </c:pt>
                <c:pt idx="76">
                  <c:v>4.4100788862515797E-2</c:v>
                </c:pt>
                <c:pt idx="77">
                  <c:v>4.43225442825552E-2</c:v>
                </c:pt>
                <c:pt idx="81">
                  <c:v>6.16429929065343E-2</c:v>
                </c:pt>
                <c:pt idx="82">
                  <c:v>2.47079624358943E-2</c:v>
                </c:pt>
                <c:pt idx="84">
                  <c:v>0.118305785157871</c:v>
                </c:pt>
                <c:pt idx="86">
                  <c:v>3.0688978344087799E-2</c:v>
                </c:pt>
                <c:pt idx="89">
                  <c:v>4.0926322619285298E-2</c:v>
                </c:pt>
                <c:pt idx="92">
                  <c:v>2.2641083562682698E-2</c:v>
                </c:pt>
                <c:pt idx="95">
                  <c:v>5.2497562242851403E-2</c:v>
                </c:pt>
                <c:pt idx="99">
                  <c:v>2.0325137580279299E-4</c:v>
                </c:pt>
                <c:pt idx="101">
                  <c:v>4.5359965292551999E-2</c:v>
                </c:pt>
                <c:pt idx="106">
                  <c:v>2.6965628198641001E-2</c:v>
                </c:pt>
                <c:pt idx="107">
                  <c:v>2.84715801229241E-3</c:v>
                </c:pt>
                <c:pt idx="110">
                  <c:v>2.49310429120972E-2</c:v>
                </c:pt>
                <c:pt idx="111">
                  <c:v>8.5416467721292105E-2</c:v>
                </c:pt>
                <c:pt idx="112">
                  <c:v>4.2341835333228302E-3</c:v>
                </c:pt>
                <c:pt idx="114">
                  <c:v>5.3909777597715799E-2</c:v>
                </c:pt>
                <c:pt idx="115">
                  <c:v>2.5923728645212502E-2</c:v>
                </c:pt>
                <c:pt idx="118">
                  <c:v>1.66397741998974E-2</c:v>
                </c:pt>
                <c:pt idx="119">
                  <c:v>1.48891662583686E-2</c:v>
                </c:pt>
                <c:pt idx="121">
                  <c:v>1.32767345439582E-2</c:v>
                </c:pt>
                <c:pt idx="122">
                  <c:v>3.60325729859809E-2</c:v>
                </c:pt>
                <c:pt idx="129">
                  <c:v>4.9147865381304903E-2</c:v>
                </c:pt>
                <c:pt idx="130">
                  <c:v>3.6590360460992302E-2</c:v>
                </c:pt>
                <c:pt idx="135">
                  <c:v>4.0014317970831902E-2</c:v>
                </c:pt>
                <c:pt idx="139">
                  <c:v>0.115977275785873</c:v>
                </c:pt>
                <c:pt idx="140">
                  <c:v>7.6143919736526601E-3</c:v>
                </c:pt>
                <c:pt idx="141">
                  <c:v>0.110446796386759</c:v>
                </c:pt>
                <c:pt idx="142">
                  <c:v>3.5970669787835301E-2</c:v>
                </c:pt>
                <c:pt idx="143">
                  <c:v>1.5231357938579E-2</c:v>
                </c:pt>
                <c:pt idx="144">
                  <c:v>3.3134272135482798E-2</c:v>
                </c:pt>
                <c:pt idx="145">
                  <c:v>1.8995147577526302E-2</c:v>
                </c:pt>
                <c:pt idx="146">
                  <c:v>3.30947525745608E-2</c:v>
                </c:pt>
                <c:pt idx="147">
                  <c:v>7.4986829727328605E-2</c:v>
                </c:pt>
                <c:pt idx="149">
                  <c:v>3.2329577143479102E-2</c:v>
                </c:pt>
                <c:pt idx="151">
                  <c:v>1.1318873170753901E-2</c:v>
                </c:pt>
                <c:pt idx="152">
                  <c:v>1.01582302977457E-2</c:v>
                </c:pt>
                <c:pt idx="154">
                  <c:v>1.7425808301574801E-2</c:v>
                </c:pt>
                <c:pt idx="156">
                  <c:v>4.0432268573479903E-2</c:v>
                </c:pt>
                <c:pt idx="157">
                  <c:v>4.1817402681285899E-2</c:v>
                </c:pt>
                <c:pt idx="159">
                  <c:v>9.4247435537442303E-3</c:v>
                </c:pt>
                <c:pt idx="160">
                  <c:v>3.1761261289926499E-3</c:v>
                </c:pt>
                <c:pt idx="161">
                  <c:v>4.3256010935977897E-2</c:v>
                </c:pt>
                <c:pt idx="164">
                  <c:v>3.9729334035724498E-2</c:v>
                </c:pt>
                <c:pt idx="165">
                  <c:v>2.5964462124019601E-2</c:v>
                </c:pt>
                <c:pt idx="167">
                  <c:v>1.46875733421599E-2</c:v>
                </c:pt>
                <c:pt idx="168">
                  <c:v>7.1114791620643797E-2</c:v>
                </c:pt>
                <c:pt idx="170">
                  <c:v>2.0805962445785E-2</c:v>
                </c:pt>
                <c:pt idx="171">
                  <c:v>5.0089938788108898E-2</c:v>
                </c:pt>
                <c:pt idx="172">
                  <c:v>3.5137493453486698E-2</c:v>
                </c:pt>
                <c:pt idx="174">
                  <c:v>8.8370259223621503E-2</c:v>
                </c:pt>
                <c:pt idx="175">
                  <c:v>1.5516716371120299E-2</c:v>
                </c:pt>
                <c:pt idx="178">
                  <c:v>1.65413246213417E-2</c:v>
                </c:pt>
                <c:pt idx="179">
                  <c:v>2.1416816133900299E-2</c:v>
                </c:pt>
                <c:pt idx="181">
                  <c:v>8.5390425155207304E-3</c:v>
                </c:pt>
                <c:pt idx="182">
                  <c:v>2.4254983989199001E-2</c:v>
                </c:pt>
                <c:pt idx="184">
                  <c:v>9.1989190156802597E-2</c:v>
                </c:pt>
                <c:pt idx="190">
                  <c:v>5.9934213815789401E-2</c:v>
                </c:pt>
                <c:pt idx="191">
                  <c:v>2.4827757355757599E-2</c:v>
                </c:pt>
                <c:pt idx="192">
                  <c:v>4.1517751676101597E-2</c:v>
                </c:pt>
                <c:pt idx="193">
                  <c:v>6.7281174863978596E-2</c:v>
                </c:pt>
                <c:pt idx="194">
                  <c:v>2.22028328236583E-2</c:v>
                </c:pt>
                <c:pt idx="195">
                  <c:v>3.1979905037093898E-4</c:v>
                </c:pt>
                <c:pt idx="196">
                  <c:v>3.8604974568177998E-2</c:v>
                </c:pt>
                <c:pt idx="198">
                  <c:v>4.4859343195825498E-2</c:v>
                </c:pt>
                <c:pt idx="199">
                  <c:v>1.96487842997797E-2</c:v>
                </c:pt>
                <c:pt idx="201">
                  <c:v>1.1834237037883701E-2</c:v>
                </c:pt>
                <c:pt idx="203">
                  <c:v>0.1115878548276</c:v>
                </c:pt>
                <c:pt idx="205">
                  <c:v>9.5895420754186205E-3</c:v>
                </c:pt>
                <c:pt idx="207">
                  <c:v>2.78927145686407E-2</c:v>
                </c:pt>
                <c:pt idx="208">
                  <c:v>9.6395707538854403E-4</c:v>
                </c:pt>
                <c:pt idx="210">
                  <c:v>3.9373684053008097E-2</c:v>
                </c:pt>
                <c:pt idx="212">
                  <c:v>9.1055938195434595E-3</c:v>
                </c:pt>
                <c:pt idx="213">
                  <c:v>2.1062829709799199E-3</c:v>
                </c:pt>
                <c:pt idx="214">
                  <c:v>3.02618066586238E-2</c:v>
                </c:pt>
                <c:pt idx="215">
                  <c:v>1.01077661744602E-2</c:v>
                </c:pt>
                <c:pt idx="219">
                  <c:v>4.7546697913198897E-2</c:v>
                </c:pt>
                <c:pt idx="220">
                  <c:v>1.06741816575771E-2</c:v>
                </c:pt>
                <c:pt idx="223">
                  <c:v>1.2190464532379999E-2</c:v>
                </c:pt>
                <c:pt idx="227">
                  <c:v>7.8215768970539799E-3</c:v>
                </c:pt>
                <c:pt idx="230">
                  <c:v>8.5404461622494696E-2</c:v>
                </c:pt>
                <c:pt idx="231">
                  <c:v>9.3925079862164695E-2</c:v>
                </c:pt>
                <c:pt idx="232">
                  <c:v>5.3081446255385502E-2</c:v>
                </c:pt>
                <c:pt idx="233">
                  <c:v>1.9582653030303401E-4</c:v>
                </c:pt>
                <c:pt idx="234">
                  <c:v>7.4141727016716605E-2</c:v>
                </c:pt>
                <c:pt idx="235">
                  <c:v>3.3560189240494899E-2</c:v>
                </c:pt>
                <c:pt idx="236">
                  <c:v>3.5723345788458698E-2</c:v>
                </c:pt>
                <c:pt idx="238">
                  <c:v>5.7364061981373601E-2</c:v>
                </c:pt>
                <c:pt idx="239">
                  <c:v>1.7770571188400398E-2</c:v>
                </c:pt>
                <c:pt idx="241">
                  <c:v>2.60914513496475E-2</c:v>
                </c:pt>
                <c:pt idx="242">
                  <c:v>4.24386327378838E-2</c:v>
                </c:pt>
                <c:pt idx="243">
                  <c:v>5.2425321267266303E-2</c:v>
                </c:pt>
                <c:pt idx="244">
                  <c:v>5.4864885732810497E-3</c:v>
                </c:pt>
                <c:pt idx="245">
                  <c:v>2.2214009634219802E-2</c:v>
                </c:pt>
                <c:pt idx="246">
                  <c:v>2.2748054915648699E-2</c:v>
                </c:pt>
                <c:pt idx="247">
                  <c:v>2.8990416217415299E-2</c:v>
                </c:pt>
                <c:pt idx="249">
                  <c:v>6.9143836459647501E-2</c:v>
                </c:pt>
                <c:pt idx="251">
                  <c:v>4.3612913509962797E-2</c:v>
                </c:pt>
                <c:pt idx="254">
                  <c:v>3.5773288410591901E-2</c:v>
                </c:pt>
                <c:pt idx="256">
                  <c:v>5.3177568506868103E-5</c:v>
                </c:pt>
                <c:pt idx="258">
                  <c:v>9.1116391659653406E-2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9-4327-A6F9-6148E8F14092}"/>
            </c:ext>
          </c:extLst>
        </c:ser>
        <c:ser>
          <c:idx val="1"/>
          <c:order val="1"/>
          <c:tx>
            <c:strRef>
              <c:f>'Monthly vix buckets 10'!$P$4:$P$5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vix buckets 10'!$N$6:$N$289</c:f>
              <c:multiLvlStrCache>
                <c:ptCount val="26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  <c:pt idx="142">
                    <c:v>Nov</c:v>
                  </c:pt>
                  <c:pt idx="143">
                    <c:v>Dec</c:v>
                  </c:pt>
                  <c:pt idx="144">
                    <c:v>Jan</c:v>
                  </c:pt>
                  <c:pt idx="145">
                    <c:v>Feb</c:v>
                  </c:pt>
                  <c:pt idx="146">
                    <c:v>Mar</c:v>
                  </c:pt>
                  <c:pt idx="147">
                    <c:v>Apr</c:v>
                  </c:pt>
                  <c:pt idx="148">
                    <c:v>May</c:v>
                  </c:pt>
                  <c:pt idx="149">
                    <c:v>Jun</c:v>
                  </c:pt>
                  <c:pt idx="150">
                    <c:v>Jul</c:v>
                  </c:pt>
                  <c:pt idx="151">
                    <c:v>Aug</c:v>
                  </c:pt>
                  <c:pt idx="152">
                    <c:v>Sep</c:v>
                  </c:pt>
                  <c:pt idx="153">
                    <c:v>Oct</c:v>
                  </c:pt>
                  <c:pt idx="154">
                    <c:v>Nov</c:v>
                  </c:pt>
                  <c:pt idx="155">
                    <c:v>Dec</c:v>
                  </c:pt>
                  <c:pt idx="156">
                    <c:v>Jan</c:v>
                  </c:pt>
                  <c:pt idx="157">
                    <c:v>Feb</c:v>
                  </c:pt>
                  <c:pt idx="158">
                    <c:v>Mar</c:v>
                  </c:pt>
                  <c:pt idx="159">
                    <c:v>Apr</c:v>
                  </c:pt>
                  <c:pt idx="160">
                    <c:v>May</c:v>
                  </c:pt>
                  <c:pt idx="161">
                    <c:v>Jun</c:v>
                  </c:pt>
                  <c:pt idx="162">
                    <c:v>Jul</c:v>
                  </c:pt>
                  <c:pt idx="163">
                    <c:v>Aug</c:v>
                  </c:pt>
                  <c:pt idx="164">
                    <c:v>Sep</c:v>
                  </c:pt>
                  <c:pt idx="165">
                    <c:v>Oct</c:v>
                  </c:pt>
                  <c:pt idx="166">
                    <c:v>Nov</c:v>
                  </c:pt>
                  <c:pt idx="167">
                    <c:v>Dec</c:v>
                  </c:pt>
                  <c:pt idx="168">
                    <c:v>Jan</c:v>
                  </c:pt>
                  <c:pt idx="169">
                    <c:v>Feb</c:v>
                  </c:pt>
                  <c:pt idx="170">
                    <c:v>Mar</c:v>
                  </c:pt>
                  <c:pt idx="171">
                    <c:v>Apr</c:v>
                  </c:pt>
                  <c:pt idx="172">
                    <c:v>May</c:v>
                  </c:pt>
                  <c:pt idx="173">
                    <c:v>Jun</c:v>
                  </c:pt>
                  <c:pt idx="174">
                    <c:v>Jul</c:v>
                  </c:pt>
                  <c:pt idx="175">
                    <c:v>Aug</c:v>
                  </c:pt>
                  <c:pt idx="176">
                    <c:v>Sep</c:v>
                  </c:pt>
                  <c:pt idx="177">
                    <c:v>Oct</c:v>
                  </c:pt>
                  <c:pt idx="178">
                    <c:v>Nov</c:v>
                  </c:pt>
                  <c:pt idx="179">
                    <c:v>Dec</c:v>
                  </c:pt>
                  <c:pt idx="180">
                    <c:v>Jan</c:v>
                  </c:pt>
                  <c:pt idx="181">
                    <c:v>Feb</c:v>
                  </c:pt>
                  <c:pt idx="182">
                    <c:v>Mar</c:v>
                  </c:pt>
                  <c:pt idx="183">
                    <c:v>Apr</c:v>
                  </c:pt>
                  <c:pt idx="184">
                    <c:v>May</c:v>
                  </c:pt>
                  <c:pt idx="185">
                    <c:v>Jun</c:v>
                  </c:pt>
                  <c:pt idx="186">
                    <c:v>Jul</c:v>
                  </c:pt>
                  <c:pt idx="187">
                    <c:v>Aug</c:v>
                  </c:pt>
                  <c:pt idx="188">
                    <c:v>Sep</c:v>
                  </c:pt>
                  <c:pt idx="189">
                    <c:v>Oct</c:v>
                  </c:pt>
                  <c:pt idx="190">
                    <c:v>Nov</c:v>
                  </c:pt>
                  <c:pt idx="191">
                    <c:v>Dec</c:v>
                  </c:pt>
                  <c:pt idx="192">
                    <c:v>Jan</c:v>
                  </c:pt>
                  <c:pt idx="193">
                    <c:v>Feb</c:v>
                  </c:pt>
                  <c:pt idx="194">
                    <c:v>Mar</c:v>
                  </c:pt>
                  <c:pt idx="195">
                    <c:v>Apr</c:v>
                  </c:pt>
                  <c:pt idx="196">
                    <c:v>May</c:v>
                  </c:pt>
                  <c:pt idx="197">
                    <c:v>Jun</c:v>
                  </c:pt>
                  <c:pt idx="198">
                    <c:v>Jul</c:v>
                  </c:pt>
                  <c:pt idx="199">
                    <c:v>Aug</c:v>
                  </c:pt>
                  <c:pt idx="200">
                    <c:v>Sep</c:v>
                  </c:pt>
                  <c:pt idx="201">
                    <c:v>Oct</c:v>
                  </c:pt>
                  <c:pt idx="202">
                    <c:v>Nov</c:v>
                  </c:pt>
                  <c:pt idx="203">
                    <c:v>Dec</c:v>
                  </c:pt>
                  <c:pt idx="204">
                    <c:v>Jan</c:v>
                  </c:pt>
                  <c:pt idx="205">
                    <c:v>Feb</c:v>
                  </c:pt>
                  <c:pt idx="206">
                    <c:v>Mar</c:v>
                  </c:pt>
                  <c:pt idx="207">
                    <c:v>Apr</c:v>
                  </c:pt>
                  <c:pt idx="208">
                    <c:v>May</c:v>
                  </c:pt>
                  <c:pt idx="209">
                    <c:v>Jun</c:v>
                  </c:pt>
                  <c:pt idx="210">
                    <c:v>Jul</c:v>
                  </c:pt>
                  <c:pt idx="211">
                    <c:v>Aug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Jan</c:v>
                  </c:pt>
                  <c:pt idx="217">
                    <c:v>Feb</c:v>
                  </c:pt>
                  <c:pt idx="218">
                    <c:v>Mar</c:v>
                  </c:pt>
                  <c:pt idx="219">
                    <c:v>Apr</c:v>
                  </c:pt>
                  <c:pt idx="220">
                    <c:v>May</c:v>
                  </c:pt>
                  <c:pt idx="221">
                    <c:v>Jun</c:v>
                  </c:pt>
                  <c:pt idx="222">
                    <c:v>Jul</c:v>
                  </c:pt>
                  <c:pt idx="223">
                    <c:v>Aug</c:v>
                  </c:pt>
                  <c:pt idx="224">
                    <c:v>Sep</c:v>
                  </c:pt>
                  <c:pt idx="225">
                    <c:v>Oct</c:v>
                  </c:pt>
                  <c:pt idx="226">
                    <c:v>Nov</c:v>
                  </c:pt>
                  <c:pt idx="227">
                    <c:v>Dec</c:v>
                  </c:pt>
                  <c:pt idx="228">
                    <c:v>Jan</c:v>
                  </c:pt>
                  <c:pt idx="229">
                    <c:v>Feb</c:v>
                  </c:pt>
                  <c:pt idx="230">
                    <c:v>Mar</c:v>
                  </c:pt>
                  <c:pt idx="231">
                    <c:v>Apr</c:v>
                  </c:pt>
                  <c:pt idx="232">
                    <c:v>May</c:v>
                  </c:pt>
                  <c:pt idx="233">
                    <c:v>Jun</c:v>
                  </c:pt>
                  <c:pt idx="234">
                    <c:v>Jul</c:v>
                  </c:pt>
                  <c:pt idx="235">
                    <c:v>Aug</c:v>
                  </c:pt>
                  <c:pt idx="236">
                    <c:v>Sep</c:v>
                  </c:pt>
                  <c:pt idx="237">
                    <c:v>Oct</c:v>
                  </c:pt>
                  <c:pt idx="238">
                    <c:v>Nov</c:v>
                  </c:pt>
                  <c:pt idx="239">
                    <c:v>Dec</c:v>
                  </c:pt>
                  <c:pt idx="240">
                    <c:v>Jan</c:v>
                  </c:pt>
                  <c:pt idx="241">
                    <c:v>Feb</c:v>
                  </c:pt>
                  <c:pt idx="242">
                    <c:v>Mar</c:v>
                  </c:pt>
                  <c:pt idx="243">
                    <c:v>Apr</c:v>
                  </c:pt>
                  <c:pt idx="244">
                    <c:v>May</c:v>
                  </c:pt>
                  <c:pt idx="245">
                    <c:v>Jun</c:v>
                  </c:pt>
                  <c:pt idx="246">
                    <c:v>Jul</c:v>
                  </c:pt>
                  <c:pt idx="247">
                    <c:v>Aug</c:v>
                  </c:pt>
                  <c:pt idx="248">
                    <c:v>Sep</c:v>
                  </c:pt>
                  <c:pt idx="249">
                    <c:v>Oct</c:v>
                  </c:pt>
                  <c:pt idx="250">
                    <c:v>Nov</c:v>
                  </c:pt>
                  <c:pt idx="251">
                    <c:v>Dec</c:v>
                  </c:pt>
                  <c:pt idx="252">
                    <c:v>Jan</c:v>
                  </c:pt>
                  <c:pt idx="253">
                    <c:v>Feb</c:v>
                  </c:pt>
                  <c:pt idx="254">
                    <c:v>Mar</c:v>
                  </c:pt>
                  <c:pt idx="255">
                    <c:v>Apr</c:v>
                  </c:pt>
                  <c:pt idx="256">
                    <c:v>May</c:v>
                  </c:pt>
                  <c:pt idx="257">
                    <c:v>Jun</c:v>
                  </c:pt>
                  <c:pt idx="258">
                    <c:v>Jul</c:v>
                  </c:pt>
                  <c:pt idx="259">
                    <c:v>Aug</c:v>
                  </c:pt>
                  <c:pt idx="260">
                    <c:v>Sep</c:v>
                  </c:pt>
                </c:lvl>
                <c:lvl>
                  <c:pt idx="0">
                    <c:v>1948</c:v>
                  </c:pt>
                  <c:pt idx="12">
                    <c:v>1949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1973</c:v>
                  </c:pt>
                  <c:pt idx="60">
                    <c:v>1974</c:v>
                  </c:pt>
                  <c:pt idx="72">
                    <c:v>1975</c:v>
                  </c:pt>
                  <c:pt idx="84">
                    <c:v>1976</c:v>
                  </c:pt>
                  <c:pt idx="96">
                    <c:v>1977</c:v>
                  </c:pt>
                  <c:pt idx="108">
                    <c:v>1978</c:v>
                  </c:pt>
                  <c:pt idx="120">
                    <c:v>1981</c:v>
                  </c:pt>
                  <c:pt idx="132">
                    <c:v>1982</c:v>
                  </c:pt>
                  <c:pt idx="144">
                    <c:v>1983</c:v>
                  </c:pt>
                  <c:pt idx="156">
                    <c:v>1988</c:v>
                  </c:pt>
                  <c:pt idx="168">
                    <c:v>1989</c:v>
                  </c:pt>
                  <c:pt idx="180">
                    <c:v>1990</c:v>
                  </c:pt>
                  <c:pt idx="192">
                    <c:v>1991</c:v>
                  </c:pt>
                  <c:pt idx="204">
                    <c:v>1992</c:v>
                  </c:pt>
                  <c:pt idx="216">
                    <c:v>2008</c:v>
                  </c:pt>
                  <c:pt idx="228">
                    <c:v>2009</c:v>
                  </c:pt>
                  <c:pt idx="240">
                    <c:v>2021</c:v>
                  </c:pt>
                  <c:pt idx="252">
                    <c:v>2022</c:v>
                  </c:pt>
                </c:lvl>
              </c:multiLvlStrCache>
            </c:multiLvlStrRef>
          </c:cat>
          <c:val>
            <c:numRef>
              <c:f>'Monthly vix buckets 10'!$P$6:$P$289</c:f>
              <c:numCache>
                <c:formatCode>0.00%</c:formatCode>
                <c:ptCount val="261"/>
                <c:pt idx="0">
                  <c:v>-4.05228758169935E-2</c:v>
                </c:pt>
                <c:pt idx="1">
                  <c:v>-5.1089918256130698E-2</c:v>
                </c:pt>
                <c:pt idx="6">
                  <c:v>-5.3166069295101502E-2</c:v>
                </c:pt>
                <c:pt idx="8">
                  <c:v>-3.0056355666875399E-2</c:v>
                </c:pt>
                <c:pt idx="10">
                  <c:v>-0.10606060606060599</c:v>
                </c:pt>
                <c:pt idx="13">
                  <c:v>-3.9421813403416703E-2</c:v>
                </c:pt>
                <c:pt idx="15">
                  <c:v>-2.3240371845949501E-2</c:v>
                </c:pt>
                <c:pt idx="16">
                  <c:v>-3.5350101971448097E-2</c:v>
                </c:pt>
                <c:pt idx="17">
                  <c:v>-2.11416490486249E-3</c:v>
                </c:pt>
                <c:pt idx="26">
                  <c:v>-1.46788538843511E-2</c:v>
                </c:pt>
                <c:pt idx="28">
                  <c:v>-4.05706642888988E-2</c:v>
                </c:pt>
                <c:pt idx="29">
                  <c:v>-2.6022351301115201E-2</c:v>
                </c:pt>
                <c:pt idx="32">
                  <c:v>-8.5914944763087998E-4</c:v>
                </c:pt>
                <c:pt idx="33">
                  <c:v>-1.37574806534825E-2</c:v>
                </c:pt>
                <c:pt idx="34">
                  <c:v>-2.6156058144896099E-3</c:v>
                </c:pt>
                <c:pt idx="37">
                  <c:v>-3.6453978312095098E-2</c:v>
                </c:pt>
                <c:pt idx="39">
                  <c:v>-4.3085800447853803E-2</c:v>
                </c:pt>
                <c:pt idx="43">
                  <c:v>-1.4566889763779499E-2</c:v>
                </c:pt>
                <c:pt idx="44">
                  <c:v>-1.9576507408049899E-2</c:v>
                </c:pt>
                <c:pt idx="45">
                  <c:v>-8.1503664160409396E-4</c:v>
                </c:pt>
                <c:pt idx="48">
                  <c:v>-1.71114269264355E-2</c:v>
                </c:pt>
                <c:pt idx="49">
                  <c:v>-3.7490295936312097E-2</c:v>
                </c:pt>
                <c:pt idx="50">
                  <c:v>-1.43269161891124E-3</c:v>
                </c:pt>
                <c:pt idx="51">
                  <c:v>-4.0799821757527499E-2</c:v>
                </c:pt>
                <c:pt idx="52">
                  <c:v>-1.8883836413164001E-2</c:v>
                </c:pt>
                <c:pt idx="53">
                  <c:v>-6.5745118601575597E-3</c:v>
                </c:pt>
                <c:pt idx="55">
                  <c:v>-3.6684540411342302E-2</c:v>
                </c:pt>
                <c:pt idx="57">
                  <c:v>-1.29114636170802E-3</c:v>
                </c:pt>
                <c:pt idx="58">
                  <c:v>-0.113860946404461</c:v>
                </c:pt>
                <c:pt idx="60">
                  <c:v>-1.0046160634152E-2</c:v>
                </c:pt>
                <c:pt idx="61">
                  <c:v>-3.62430361395871E-3</c:v>
                </c:pt>
                <c:pt idx="62">
                  <c:v>-2.3279962343795799E-2</c:v>
                </c:pt>
                <c:pt idx="63">
                  <c:v>-3.9050913841745701E-2</c:v>
                </c:pt>
                <c:pt idx="64">
                  <c:v>-3.3551091430651901E-2</c:v>
                </c:pt>
                <c:pt idx="65">
                  <c:v>-1.46654332569367E-2</c:v>
                </c:pt>
                <c:pt idx="66">
                  <c:v>-7.7790720930232607E-2</c:v>
                </c:pt>
                <c:pt idx="67">
                  <c:v>-9.0278605227048295E-2</c:v>
                </c:pt>
                <c:pt idx="68">
                  <c:v>-0.119334729886771</c:v>
                </c:pt>
                <c:pt idx="70">
                  <c:v>-5.3179985028958501E-2</c:v>
                </c:pt>
                <c:pt idx="71">
                  <c:v>-2.0151536084728701E-2</c:v>
                </c:pt>
                <c:pt idx="78">
                  <c:v>-6.7654184942658194E-2</c:v>
                </c:pt>
                <c:pt idx="79">
                  <c:v>-2.10704563380282E-2</c:v>
                </c:pt>
                <c:pt idx="80">
                  <c:v>-3.4645420165012299E-2</c:v>
                </c:pt>
                <c:pt idx="83">
                  <c:v>-1.15080668896989E-2</c:v>
                </c:pt>
                <c:pt idx="85">
                  <c:v>-1.14019630041448E-2</c:v>
                </c:pt>
                <c:pt idx="87">
                  <c:v>-1.0995407540977199E-2</c:v>
                </c:pt>
                <c:pt idx="88">
                  <c:v>-1.4364413758012701E-2</c:v>
                </c:pt>
                <c:pt idx="90">
                  <c:v>-8.0552072118834604E-3</c:v>
                </c:pt>
                <c:pt idx="91">
                  <c:v>-5.1237237988452904E-3</c:v>
                </c:pt>
                <c:pt idx="93">
                  <c:v>-2.2234854090362102E-2</c:v>
                </c:pt>
                <c:pt idx="94">
                  <c:v>-7.7745771083658202E-3</c:v>
                </c:pt>
                <c:pt idx="96">
                  <c:v>-5.0530430397640297E-2</c:v>
                </c:pt>
                <c:pt idx="97">
                  <c:v>-2.1660286402629601E-2</c:v>
                </c:pt>
                <c:pt idx="98">
                  <c:v>-1.402526547786E-2</c:v>
                </c:pt>
                <c:pt idx="100">
                  <c:v>-2.3567644787329499E-2</c:v>
                </c:pt>
                <c:pt idx="102">
                  <c:v>-1.62221830347676E-2</c:v>
                </c:pt>
                <c:pt idx="103">
                  <c:v>-2.1041993344299199E-2</c:v>
                </c:pt>
                <c:pt idx="104">
                  <c:v>-2.4800868806474901E-3</c:v>
                </c:pt>
                <c:pt idx="105">
                  <c:v>-4.3406226493382702E-2</c:v>
                </c:pt>
                <c:pt idx="108">
                  <c:v>-6.1514175846775501E-2</c:v>
                </c:pt>
                <c:pt idx="109">
                  <c:v>-2.4761893557423E-2</c:v>
                </c:pt>
                <c:pt idx="113">
                  <c:v>-1.7585345898505699E-2</c:v>
                </c:pt>
                <c:pt idx="116">
                  <c:v>-7.2611094272329001E-3</c:v>
                </c:pt>
                <c:pt idx="117">
                  <c:v>-9.1574009249327001E-2</c:v>
                </c:pt>
                <c:pt idx="120">
                  <c:v>-4.5742429498469003E-2</c:v>
                </c:pt>
                <c:pt idx="123">
                  <c:v>-2.3455897058823401E-2</c:v>
                </c:pt>
                <c:pt idx="124">
                  <c:v>-1.6565168534976599E-3</c:v>
                </c:pt>
                <c:pt idx="125">
                  <c:v>-1.04079420893868E-2</c:v>
                </c:pt>
                <c:pt idx="126">
                  <c:v>-2.2102658679073999E-3</c:v>
                </c:pt>
                <c:pt idx="127">
                  <c:v>-6.2098969784585498E-2</c:v>
                </c:pt>
                <c:pt idx="128">
                  <c:v>-5.3831752961708897E-2</c:v>
                </c:pt>
                <c:pt idx="131">
                  <c:v>-3.00751488733699E-2</c:v>
                </c:pt>
                <c:pt idx="132">
                  <c:v>-1.7543867379587099E-2</c:v>
                </c:pt>
                <c:pt idx="133">
                  <c:v>-6.0548180057339203E-2</c:v>
                </c:pt>
                <c:pt idx="134">
                  <c:v>-1.0167111571327801E-2</c:v>
                </c:pt>
                <c:pt idx="136">
                  <c:v>-3.9161842336622503E-2</c:v>
                </c:pt>
                <c:pt idx="137">
                  <c:v>-2.02895607871709E-2</c:v>
                </c:pt>
                <c:pt idx="138">
                  <c:v>-2.2990648453693599E-2</c:v>
                </c:pt>
                <c:pt idx="148">
                  <c:v>-1.24064592035834E-2</c:v>
                </c:pt>
                <c:pt idx="150">
                  <c:v>-3.0303036448956201E-2</c:v>
                </c:pt>
                <c:pt idx="153">
                  <c:v>-1.5174347526823499E-2</c:v>
                </c:pt>
                <c:pt idx="155">
                  <c:v>-8.8341409435387392E-3</c:v>
                </c:pt>
                <c:pt idx="158">
                  <c:v>-3.33432595272838E-2</c:v>
                </c:pt>
                <c:pt idx="162">
                  <c:v>-5.4113747714807899E-3</c:v>
                </c:pt>
                <c:pt idx="163">
                  <c:v>-3.8600104494526701E-2</c:v>
                </c:pt>
                <c:pt idx="166">
                  <c:v>-1.88908806721481E-2</c:v>
                </c:pt>
                <c:pt idx="169">
                  <c:v>-2.8944148892513202E-2</c:v>
                </c:pt>
                <c:pt idx="173">
                  <c:v>-7.9245541219584697E-3</c:v>
                </c:pt>
                <c:pt idx="176">
                  <c:v>-6.5443673964080702E-3</c:v>
                </c:pt>
                <c:pt idx="177">
                  <c:v>-2.5175452244172201E-2</c:v>
                </c:pt>
                <c:pt idx="180">
                  <c:v>-6.8817225277032601E-2</c:v>
                </c:pt>
                <c:pt idx="183">
                  <c:v>-2.6887138748678398E-2</c:v>
                </c:pt>
                <c:pt idx="185">
                  <c:v>-8.8863657565815303E-3</c:v>
                </c:pt>
                <c:pt idx="186">
                  <c:v>-5.2231580846174904E-3</c:v>
                </c:pt>
                <c:pt idx="187">
                  <c:v>-9.43141838154853E-2</c:v>
                </c:pt>
                <c:pt idx="188">
                  <c:v>-5.1184307112997998E-2</c:v>
                </c:pt>
                <c:pt idx="189">
                  <c:v>-6.6982129729734599E-3</c:v>
                </c:pt>
                <c:pt idx="197">
                  <c:v>-4.7892629152718302E-2</c:v>
                </c:pt>
                <c:pt idx="200">
                  <c:v>-1.9143737536368399E-2</c:v>
                </c:pt>
                <c:pt idx="202">
                  <c:v>-4.3903708684304897E-2</c:v>
                </c:pt>
                <c:pt idx="204">
                  <c:v>-1.9923750460799899E-2</c:v>
                </c:pt>
                <c:pt idx="206">
                  <c:v>-2.1831862704186199E-2</c:v>
                </c:pt>
                <c:pt idx="209">
                  <c:v>-1.7358832059340301E-2</c:v>
                </c:pt>
                <c:pt idx="211">
                  <c:v>-2.3997530034600301E-2</c:v>
                </c:pt>
                <c:pt idx="216">
                  <c:v>-6.1163431935936402E-2</c:v>
                </c:pt>
                <c:pt idx="217">
                  <c:v>-3.4761192772624502E-2</c:v>
                </c:pt>
                <c:pt idx="218">
                  <c:v>-5.95962361452984E-3</c:v>
                </c:pt>
                <c:pt idx="221">
                  <c:v>-8.5962384902803599E-2</c:v>
                </c:pt>
                <c:pt idx="222">
                  <c:v>-9.8593710937500099E-3</c:v>
                </c:pt>
                <c:pt idx="224">
                  <c:v>-9.0791433779084593E-2</c:v>
                </c:pt>
                <c:pt idx="225">
                  <c:v>-0.16942452376742001</c:v>
                </c:pt>
                <c:pt idx="226">
                  <c:v>-7.4849042580645203E-2</c:v>
                </c:pt>
                <c:pt idx="228">
                  <c:v>-8.5657342928314395E-2</c:v>
                </c:pt>
                <c:pt idx="229">
                  <c:v>-0.109931197571492</c:v>
                </c:pt>
                <c:pt idx="237">
                  <c:v>-1.9762000860415501E-2</c:v>
                </c:pt>
                <c:pt idx="240">
                  <c:v>-1.11366607232312E-2</c:v>
                </c:pt>
                <c:pt idx="248">
                  <c:v>-4.75691688617867E-2</c:v>
                </c:pt>
                <c:pt idx="250">
                  <c:v>-8.3337062251199693E-3</c:v>
                </c:pt>
                <c:pt idx="252">
                  <c:v>-5.2585165005310602E-2</c:v>
                </c:pt>
                <c:pt idx="253">
                  <c:v>-3.1360492102910101E-2</c:v>
                </c:pt>
                <c:pt idx="255">
                  <c:v>-8.7956711705729301E-2</c:v>
                </c:pt>
                <c:pt idx="257">
                  <c:v>-8.3919999812243101E-2</c:v>
                </c:pt>
                <c:pt idx="259">
                  <c:v>-4.2440128258508597E-2</c:v>
                </c:pt>
                <c:pt idx="260">
                  <c:v>-9.339567E-2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9-4327-A6F9-6148E8F140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1544127"/>
        <c:axId val="2041556607"/>
      </c:barChart>
      <c:catAx>
        <c:axId val="20415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56607"/>
        <c:crosses val="autoZero"/>
        <c:auto val="1"/>
        <c:lblAlgn val="ctr"/>
        <c:lblOffset val="100"/>
        <c:noMultiLvlLbl val="0"/>
      </c:catAx>
      <c:valAx>
        <c:axId val="20415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4412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[bullbear spread.xlsx]Monthly!PivotTable20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622494857231263E-2"/>
          <c:y val="9.7374290094792114E-3"/>
          <c:w val="0.97507303303900195"/>
          <c:h val="0.96179879617895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Monthly!$M$4:$M$5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Monthly!$L$6:$L$289</c:f>
              <c:multiLvlStrCache>
                <c:ptCount val="26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  <c:pt idx="142">
                    <c:v>Nov</c:v>
                  </c:pt>
                  <c:pt idx="143">
                    <c:v>Dec</c:v>
                  </c:pt>
                  <c:pt idx="144">
                    <c:v>Jan</c:v>
                  </c:pt>
                  <c:pt idx="145">
                    <c:v>Feb</c:v>
                  </c:pt>
                  <c:pt idx="146">
                    <c:v>Mar</c:v>
                  </c:pt>
                  <c:pt idx="147">
                    <c:v>Apr</c:v>
                  </c:pt>
                  <c:pt idx="148">
                    <c:v>May</c:v>
                  </c:pt>
                  <c:pt idx="149">
                    <c:v>Jun</c:v>
                  </c:pt>
                  <c:pt idx="150">
                    <c:v>Jul</c:v>
                  </c:pt>
                  <c:pt idx="151">
                    <c:v>Aug</c:v>
                  </c:pt>
                  <c:pt idx="152">
                    <c:v>Sep</c:v>
                  </c:pt>
                  <c:pt idx="153">
                    <c:v>Oct</c:v>
                  </c:pt>
                  <c:pt idx="154">
                    <c:v>Nov</c:v>
                  </c:pt>
                  <c:pt idx="155">
                    <c:v>Dec</c:v>
                  </c:pt>
                  <c:pt idx="156">
                    <c:v>Jan</c:v>
                  </c:pt>
                  <c:pt idx="157">
                    <c:v>Feb</c:v>
                  </c:pt>
                  <c:pt idx="158">
                    <c:v>Mar</c:v>
                  </c:pt>
                  <c:pt idx="159">
                    <c:v>Apr</c:v>
                  </c:pt>
                  <c:pt idx="160">
                    <c:v>May</c:v>
                  </c:pt>
                  <c:pt idx="161">
                    <c:v>Jun</c:v>
                  </c:pt>
                  <c:pt idx="162">
                    <c:v>Jul</c:v>
                  </c:pt>
                  <c:pt idx="163">
                    <c:v>Aug</c:v>
                  </c:pt>
                  <c:pt idx="164">
                    <c:v>Sep</c:v>
                  </c:pt>
                  <c:pt idx="165">
                    <c:v>Oct</c:v>
                  </c:pt>
                  <c:pt idx="166">
                    <c:v>Nov</c:v>
                  </c:pt>
                  <c:pt idx="167">
                    <c:v>Dec</c:v>
                  </c:pt>
                  <c:pt idx="168">
                    <c:v>Jan</c:v>
                  </c:pt>
                  <c:pt idx="169">
                    <c:v>Feb</c:v>
                  </c:pt>
                  <c:pt idx="170">
                    <c:v>Mar</c:v>
                  </c:pt>
                  <c:pt idx="171">
                    <c:v>Apr</c:v>
                  </c:pt>
                  <c:pt idx="172">
                    <c:v>May</c:v>
                  </c:pt>
                  <c:pt idx="173">
                    <c:v>Jun</c:v>
                  </c:pt>
                  <c:pt idx="174">
                    <c:v>Jul</c:v>
                  </c:pt>
                  <c:pt idx="175">
                    <c:v>Aug</c:v>
                  </c:pt>
                  <c:pt idx="176">
                    <c:v>Sep</c:v>
                  </c:pt>
                  <c:pt idx="177">
                    <c:v>Oct</c:v>
                  </c:pt>
                  <c:pt idx="178">
                    <c:v>Nov</c:v>
                  </c:pt>
                  <c:pt idx="179">
                    <c:v>Dec</c:v>
                  </c:pt>
                  <c:pt idx="180">
                    <c:v>Jan</c:v>
                  </c:pt>
                  <c:pt idx="181">
                    <c:v>Feb</c:v>
                  </c:pt>
                  <c:pt idx="182">
                    <c:v>Mar</c:v>
                  </c:pt>
                  <c:pt idx="183">
                    <c:v>Apr</c:v>
                  </c:pt>
                  <c:pt idx="184">
                    <c:v>May</c:v>
                  </c:pt>
                  <c:pt idx="185">
                    <c:v>Jun</c:v>
                  </c:pt>
                  <c:pt idx="186">
                    <c:v>Jul</c:v>
                  </c:pt>
                  <c:pt idx="187">
                    <c:v>Aug</c:v>
                  </c:pt>
                  <c:pt idx="188">
                    <c:v>Sep</c:v>
                  </c:pt>
                  <c:pt idx="189">
                    <c:v>Oct</c:v>
                  </c:pt>
                  <c:pt idx="190">
                    <c:v>Nov</c:v>
                  </c:pt>
                  <c:pt idx="191">
                    <c:v>Dec</c:v>
                  </c:pt>
                  <c:pt idx="192">
                    <c:v>Jan</c:v>
                  </c:pt>
                  <c:pt idx="193">
                    <c:v>Feb</c:v>
                  </c:pt>
                  <c:pt idx="194">
                    <c:v>Mar</c:v>
                  </c:pt>
                  <c:pt idx="195">
                    <c:v>Apr</c:v>
                  </c:pt>
                  <c:pt idx="196">
                    <c:v>May</c:v>
                  </c:pt>
                  <c:pt idx="197">
                    <c:v>Jun</c:v>
                  </c:pt>
                  <c:pt idx="198">
                    <c:v>Jul</c:v>
                  </c:pt>
                  <c:pt idx="199">
                    <c:v>Aug</c:v>
                  </c:pt>
                  <c:pt idx="200">
                    <c:v>Sep</c:v>
                  </c:pt>
                  <c:pt idx="201">
                    <c:v>Oct</c:v>
                  </c:pt>
                  <c:pt idx="202">
                    <c:v>Nov</c:v>
                  </c:pt>
                  <c:pt idx="203">
                    <c:v>Dec</c:v>
                  </c:pt>
                  <c:pt idx="204">
                    <c:v>Jan</c:v>
                  </c:pt>
                  <c:pt idx="205">
                    <c:v>Feb</c:v>
                  </c:pt>
                  <c:pt idx="206">
                    <c:v>Mar</c:v>
                  </c:pt>
                  <c:pt idx="207">
                    <c:v>Apr</c:v>
                  </c:pt>
                  <c:pt idx="208">
                    <c:v>May</c:v>
                  </c:pt>
                  <c:pt idx="209">
                    <c:v>Jun</c:v>
                  </c:pt>
                  <c:pt idx="210">
                    <c:v>Jul</c:v>
                  </c:pt>
                  <c:pt idx="211">
                    <c:v>Aug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Jan</c:v>
                  </c:pt>
                  <c:pt idx="217">
                    <c:v>Feb</c:v>
                  </c:pt>
                  <c:pt idx="218">
                    <c:v>Mar</c:v>
                  </c:pt>
                  <c:pt idx="219">
                    <c:v>Apr</c:v>
                  </c:pt>
                  <c:pt idx="220">
                    <c:v>May</c:v>
                  </c:pt>
                  <c:pt idx="221">
                    <c:v>Jun</c:v>
                  </c:pt>
                  <c:pt idx="222">
                    <c:v>Jul</c:v>
                  </c:pt>
                  <c:pt idx="223">
                    <c:v>Aug</c:v>
                  </c:pt>
                  <c:pt idx="224">
                    <c:v>Sep</c:v>
                  </c:pt>
                  <c:pt idx="225">
                    <c:v>Oct</c:v>
                  </c:pt>
                  <c:pt idx="226">
                    <c:v>Nov</c:v>
                  </c:pt>
                  <c:pt idx="227">
                    <c:v>Dec</c:v>
                  </c:pt>
                  <c:pt idx="228">
                    <c:v>Jan</c:v>
                  </c:pt>
                  <c:pt idx="229">
                    <c:v>Feb</c:v>
                  </c:pt>
                  <c:pt idx="230">
                    <c:v>Mar</c:v>
                  </c:pt>
                  <c:pt idx="231">
                    <c:v>Apr</c:v>
                  </c:pt>
                  <c:pt idx="232">
                    <c:v>May</c:v>
                  </c:pt>
                  <c:pt idx="233">
                    <c:v>Jun</c:v>
                  </c:pt>
                  <c:pt idx="234">
                    <c:v>Jul</c:v>
                  </c:pt>
                  <c:pt idx="235">
                    <c:v>Aug</c:v>
                  </c:pt>
                  <c:pt idx="236">
                    <c:v>Sep</c:v>
                  </c:pt>
                  <c:pt idx="237">
                    <c:v>Oct</c:v>
                  </c:pt>
                  <c:pt idx="238">
                    <c:v>Nov</c:v>
                  </c:pt>
                  <c:pt idx="239">
                    <c:v>Dec</c:v>
                  </c:pt>
                  <c:pt idx="240">
                    <c:v>Jan</c:v>
                  </c:pt>
                  <c:pt idx="241">
                    <c:v>Feb</c:v>
                  </c:pt>
                  <c:pt idx="242">
                    <c:v>Mar</c:v>
                  </c:pt>
                  <c:pt idx="243">
                    <c:v>Apr</c:v>
                  </c:pt>
                  <c:pt idx="244">
                    <c:v>May</c:v>
                  </c:pt>
                  <c:pt idx="245">
                    <c:v>Jun</c:v>
                  </c:pt>
                  <c:pt idx="246">
                    <c:v>Jul</c:v>
                  </c:pt>
                  <c:pt idx="247">
                    <c:v>Aug</c:v>
                  </c:pt>
                  <c:pt idx="248">
                    <c:v>Sep</c:v>
                  </c:pt>
                  <c:pt idx="249">
                    <c:v>Oct</c:v>
                  </c:pt>
                  <c:pt idx="250">
                    <c:v>Nov</c:v>
                  </c:pt>
                  <c:pt idx="251">
                    <c:v>Dec</c:v>
                  </c:pt>
                  <c:pt idx="252">
                    <c:v>Jan</c:v>
                  </c:pt>
                  <c:pt idx="253">
                    <c:v>Feb</c:v>
                  </c:pt>
                  <c:pt idx="254">
                    <c:v>Mar</c:v>
                  </c:pt>
                  <c:pt idx="255">
                    <c:v>Apr</c:v>
                  </c:pt>
                  <c:pt idx="256">
                    <c:v>May</c:v>
                  </c:pt>
                  <c:pt idx="257">
                    <c:v>Jun</c:v>
                  </c:pt>
                  <c:pt idx="258">
                    <c:v>Jul</c:v>
                  </c:pt>
                  <c:pt idx="259">
                    <c:v>Aug</c:v>
                  </c:pt>
                  <c:pt idx="260">
                    <c:v>Sep</c:v>
                  </c:pt>
                </c:lvl>
                <c:lvl>
                  <c:pt idx="0">
                    <c:v>1948</c:v>
                  </c:pt>
                  <c:pt idx="12">
                    <c:v>1949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1973</c:v>
                  </c:pt>
                  <c:pt idx="60">
                    <c:v>1974</c:v>
                  </c:pt>
                  <c:pt idx="72">
                    <c:v>1975</c:v>
                  </c:pt>
                  <c:pt idx="84">
                    <c:v>1976</c:v>
                  </c:pt>
                  <c:pt idx="96">
                    <c:v>1977</c:v>
                  </c:pt>
                  <c:pt idx="108">
                    <c:v>1978</c:v>
                  </c:pt>
                  <c:pt idx="120">
                    <c:v>1981</c:v>
                  </c:pt>
                  <c:pt idx="132">
                    <c:v>1982</c:v>
                  </c:pt>
                  <c:pt idx="144">
                    <c:v>1983</c:v>
                  </c:pt>
                  <c:pt idx="156">
                    <c:v>1988</c:v>
                  </c:pt>
                  <c:pt idx="168">
                    <c:v>1989</c:v>
                  </c:pt>
                  <c:pt idx="180">
                    <c:v>1990</c:v>
                  </c:pt>
                  <c:pt idx="192">
                    <c:v>1991</c:v>
                  </c:pt>
                  <c:pt idx="204">
                    <c:v>1992</c:v>
                  </c:pt>
                  <c:pt idx="216">
                    <c:v>2008</c:v>
                  </c:pt>
                  <c:pt idx="228">
                    <c:v>2009</c:v>
                  </c:pt>
                  <c:pt idx="240">
                    <c:v>2021</c:v>
                  </c:pt>
                  <c:pt idx="252">
                    <c:v>2022</c:v>
                  </c:pt>
                </c:lvl>
              </c:multiLvlStrCache>
            </c:multiLvlStrRef>
          </c:cat>
          <c:val>
            <c:numRef>
              <c:f>Monthly!$M$6:$M$289</c:f>
              <c:numCache>
                <c:formatCode>0.00%</c:formatCode>
                <c:ptCount val="261"/>
                <c:pt idx="2">
                  <c:v>8.2555635319454507E-2</c:v>
                </c:pt>
                <c:pt idx="3">
                  <c:v>2.6525198938992099E-2</c:v>
                </c:pt>
                <c:pt idx="4">
                  <c:v>7.8165439276485699E-2</c:v>
                </c:pt>
                <c:pt idx="5">
                  <c:v>2.9957457761686799E-3</c:v>
                </c:pt>
                <c:pt idx="7">
                  <c:v>7.57097791798111E-3</c:v>
                </c:pt>
                <c:pt idx="9">
                  <c:v>6.5203357004519E-2</c:v>
                </c:pt>
                <c:pt idx="11">
                  <c:v>3.0508474576271101E-2</c:v>
                </c:pt>
                <c:pt idx="12">
                  <c:v>1.3157894736843801E-3</c:v>
                </c:pt>
                <c:pt idx="14">
                  <c:v>3.0095759233926201E-2</c:v>
                </c:pt>
                <c:pt idx="18">
                  <c:v>6.21468926553672E-2</c:v>
                </c:pt>
                <c:pt idx="19">
                  <c:v>1.1968085106382999E-2</c:v>
                </c:pt>
                <c:pt idx="20">
                  <c:v>2.36530880420498E-2</c:v>
                </c:pt>
                <c:pt idx="21">
                  <c:v>2.95250962772786E-2</c:v>
                </c:pt>
                <c:pt idx="22">
                  <c:v>1.24675802701013E-3</c:v>
                </c:pt>
                <c:pt idx="23">
                  <c:v>4.5454672817849998E-2</c:v>
                </c:pt>
                <c:pt idx="24">
                  <c:v>6.0205580029368599E-2</c:v>
                </c:pt>
                <c:pt idx="25">
                  <c:v>6.4634810710988396E-3</c:v>
                </c:pt>
                <c:pt idx="27">
                  <c:v>4.4227188081936701E-2</c:v>
                </c:pt>
                <c:pt idx="30">
                  <c:v>6.8702341064042799E-2</c:v>
                </c:pt>
                <c:pt idx="31">
                  <c:v>3.92857589285713E-2</c:v>
                </c:pt>
                <c:pt idx="35">
                  <c:v>3.8898646805010803E-2</c:v>
                </c:pt>
                <c:pt idx="36">
                  <c:v>1.5565797223390901E-2</c:v>
                </c:pt>
                <c:pt idx="38">
                  <c:v>4.7721453138434899E-2</c:v>
                </c:pt>
                <c:pt idx="40">
                  <c:v>2.3156132075471601E-2</c:v>
                </c:pt>
                <c:pt idx="41">
                  <c:v>4.6102177447519897E-2</c:v>
                </c:pt>
                <c:pt idx="42">
                  <c:v>1.7628245898567499E-2</c:v>
                </c:pt>
                <c:pt idx="46">
                  <c:v>4.64926590538337E-2</c:v>
                </c:pt>
                <c:pt idx="47">
                  <c:v>3.5463756819953202E-2</c:v>
                </c:pt>
                <c:pt idx="54">
                  <c:v>3.7981957836524798E-2</c:v>
                </c:pt>
                <c:pt idx="56">
                  <c:v>4.0095923261390901E-2</c:v>
                </c:pt>
                <c:pt idx="59">
                  <c:v>1.6569445775004701E-2</c:v>
                </c:pt>
                <c:pt idx="69">
                  <c:v>0.163046912762875</c:v>
                </c:pt>
                <c:pt idx="72">
                  <c:v>0.122812211867334</c:v>
                </c:pt>
                <c:pt idx="73">
                  <c:v>5.9885591326880101E-2</c:v>
                </c:pt>
                <c:pt idx="74">
                  <c:v>2.1693897374379E-2</c:v>
                </c:pt>
                <c:pt idx="75">
                  <c:v>4.7264898665248398E-2</c:v>
                </c:pt>
                <c:pt idx="76">
                  <c:v>4.4100788862515797E-2</c:v>
                </c:pt>
                <c:pt idx="77">
                  <c:v>4.43225442825552E-2</c:v>
                </c:pt>
                <c:pt idx="81">
                  <c:v>6.16429929065343E-2</c:v>
                </c:pt>
                <c:pt idx="82">
                  <c:v>2.47079624358943E-2</c:v>
                </c:pt>
                <c:pt idx="84">
                  <c:v>0.118305785157871</c:v>
                </c:pt>
                <c:pt idx="86">
                  <c:v>3.0688978344087799E-2</c:v>
                </c:pt>
                <c:pt idx="89">
                  <c:v>4.0926322619285298E-2</c:v>
                </c:pt>
                <c:pt idx="92">
                  <c:v>2.2641083562682698E-2</c:v>
                </c:pt>
                <c:pt idx="95">
                  <c:v>5.2497562242851403E-2</c:v>
                </c:pt>
                <c:pt idx="99">
                  <c:v>2.0325137580279299E-4</c:v>
                </c:pt>
                <c:pt idx="101">
                  <c:v>4.5359965292551999E-2</c:v>
                </c:pt>
                <c:pt idx="106">
                  <c:v>2.6965628198641001E-2</c:v>
                </c:pt>
                <c:pt idx="107">
                  <c:v>2.84715801229241E-3</c:v>
                </c:pt>
                <c:pt idx="110">
                  <c:v>2.49310429120972E-2</c:v>
                </c:pt>
                <c:pt idx="111">
                  <c:v>8.5416467721292105E-2</c:v>
                </c:pt>
                <c:pt idx="112">
                  <c:v>4.2341835333228302E-3</c:v>
                </c:pt>
                <c:pt idx="114">
                  <c:v>5.3909777597715799E-2</c:v>
                </c:pt>
                <c:pt idx="115">
                  <c:v>2.5923728645212502E-2</c:v>
                </c:pt>
                <c:pt idx="118">
                  <c:v>1.66397741998974E-2</c:v>
                </c:pt>
                <c:pt idx="119">
                  <c:v>1.48891662583686E-2</c:v>
                </c:pt>
                <c:pt idx="121">
                  <c:v>1.32767345439582E-2</c:v>
                </c:pt>
                <c:pt idx="122">
                  <c:v>3.60325729859809E-2</c:v>
                </c:pt>
                <c:pt idx="129">
                  <c:v>4.9147865381304903E-2</c:v>
                </c:pt>
                <c:pt idx="130">
                  <c:v>3.6590360460992302E-2</c:v>
                </c:pt>
                <c:pt idx="135">
                  <c:v>4.0014317970831902E-2</c:v>
                </c:pt>
                <c:pt idx="139">
                  <c:v>0.115977275785873</c:v>
                </c:pt>
                <c:pt idx="140">
                  <c:v>7.6143919736526601E-3</c:v>
                </c:pt>
                <c:pt idx="141">
                  <c:v>0.110446796386759</c:v>
                </c:pt>
                <c:pt idx="142">
                  <c:v>3.5970669787835301E-2</c:v>
                </c:pt>
                <c:pt idx="143">
                  <c:v>1.5231357938579E-2</c:v>
                </c:pt>
                <c:pt idx="144">
                  <c:v>3.3134272135482798E-2</c:v>
                </c:pt>
                <c:pt idx="145">
                  <c:v>1.8995147577526302E-2</c:v>
                </c:pt>
                <c:pt idx="146">
                  <c:v>3.30947525745608E-2</c:v>
                </c:pt>
                <c:pt idx="147">
                  <c:v>7.4986829727328605E-2</c:v>
                </c:pt>
                <c:pt idx="149">
                  <c:v>3.2329577143479102E-2</c:v>
                </c:pt>
                <c:pt idx="151">
                  <c:v>1.1318873170753901E-2</c:v>
                </c:pt>
                <c:pt idx="152">
                  <c:v>1.01582302977457E-2</c:v>
                </c:pt>
                <c:pt idx="154">
                  <c:v>1.7425808301574801E-2</c:v>
                </c:pt>
                <c:pt idx="156">
                  <c:v>4.0432268573479903E-2</c:v>
                </c:pt>
                <c:pt idx="157">
                  <c:v>4.1817402681285899E-2</c:v>
                </c:pt>
                <c:pt idx="159">
                  <c:v>9.4247435537442303E-3</c:v>
                </c:pt>
                <c:pt idx="160">
                  <c:v>3.1761261289926499E-3</c:v>
                </c:pt>
                <c:pt idx="161">
                  <c:v>4.3256010935977897E-2</c:v>
                </c:pt>
                <c:pt idx="164">
                  <c:v>3.9729334035724498E-2</c:v>
                </c:pt>
                <c:pt idx="165">
                  <c:v>2.5964462124019601E-2</c:v>
                </c:pt>
                <c:pt idx="167">
                  <c:v>1.46875733421599E-2</c:v>
                </c:pt>
                <c:pt idx="168">
                  <c:v>7.1114791620643797E-2</c:v>
                </c:pt>
                <c:pt idx="170">
                  <c:v>2.0805962445785E-2</c:v>
                </c:pt>
                <c:pt idx="171">
                  <c:v>5.0089938788108898E-2</c:v>
                </c:pt>
                <c:pt idx="172">
                  <c:v>3.5137493453486698E-2</c:v>
                </c:pt>
                <c:pt idx="174">
                  <c:v>8.8370259223621503E-2</c:v>
                </c:pt>
                <c:pt idx="175">
                  <c:v>1.5516716371120299E-2</c:v>
                </c:pt>
                <c:pt idx="178">
                  <c:v>1.65413246213417E-2</c:v>
                </c:pt>
                <c:pt idx="179">
                  <c:v>2.1416816133900299E-2</c:v>
                </c:pt>
                <c:pt idx="181">
                  <c:v>8.5390425155207304E-3</c:v>
                </c:pt>
                <c:pt idx="182">
                  <c:v>2.4254983989199001E-2</c:v>
                </c:pt>
                <c:pt idx="184">
                  <c:v>9.1989190156802597E-2</c:v>
                </c:pt>
                <c:pt idx="190">
                  <c:v>5.9934213815789401E-2</c:v>
                </c:pt>
                <c:pt idx="191">
                  <c:v>2.4827757355757599E-2</c:v>
                </c:pt>
                <c:pt idx="192">
                  <c:v>4.1517751676101597E-2</c:v>
                </c:pt>
                <c:pt idx="193">
                  <c:v>6.7281174863978596E-2</c:v>
                </c:pt>
                <c:pt idx="194">
                  <c:v>2.22028328236583E-2</c:v>
                </c:pt>
                <c:pt idx="195">
                  <c:v>3.1979905037093898E-4</c:v>
                </c:pt>
                <c:pt idx="196">
                  <c:v>3.8604974568177998E-2</c:v>
                </c:pt>
                <c:pt idx="198">
                  <c:v>4.4859343195825498E-2</c:v>
                </c:pt>
                <c:pt idx="199">
                  <c:v>1.96487842997797E-2</c:v>
                </c:pt>
                <c:pt idx="201">
                  <c:v>1.1834237037883701E-2</c:v>
                </c:pt>
                <c:pt idx="203">
                  <c:v>0.1115878548276</c:v>
                </c:pt>
                <c:pt idx="205">
                  <c:v>9.5895420754186205E-3</c:v>
                </c:pt>
                <c:pt idx="207">
                  <c:v>2.78927145686407E-2</c:v>
                </c:pt>
                <c:pt idx="208">
                  <c:v>9.6395707538854403E-4</c:v>
                </c:pt>
                <c:pt idx="210">
                  <c:v>3.9373684053008097E-2</c:v>
                </c:pt>
                <c:pt idx="212">
                  <c:v>9.1055938195434595E-3</c:v>
                </c:pt>
                <c:pt idx="213">
                  <c:v>2.1062829709799199E-3</c:v>
                </c:pt>
                <c:pt idx="214">
                  <c:v>3.02618066586238E-2</c:v>
                </c:pt>
                <c:pt idx="215">
                  <c:v>1.01077661744602E-2</c:v>
                </c:pt>
                <c:pt idx="219">
                  <c:v>4.7546697913198897E-2</c:v>
                </c:pt>
                <c:pt idx="220">
                  <c:v>1.06741816575771E-2</c:v>
                </c:pt>
                <c:pt idx="223">
                  <c:v>1.2190464532379999E-2</c:v>
                </c:pt>
                <c:pt idx="227">
                  <c:v>7.8215768970539799E-3</c:v>
                </c:pt>
                <c:pt idx="230">
                  <c:v>8.5404461622494696E-2</c:v>
                </c:pt>
                <c:pt idx="231">
                  <c:v>9.3925079862164695E-2</c:v>
                </c:pt>
                <c:pt idx="232">
                  <c:v>5.3081446255385502E-2</c:v>
                </c:pt>
                <c:pt idx="233">
                  <c:v>1.9582653030303401E-4</c:v>
                </c:pt>
                <c:pt idx="234">
                  <c:v>7.4141727016716605E-2</c:v>
                </c:pt>
                <c:pt idx="235">
                  <c:v>3.3560189240494899E-2</c:v>
                </c:pt>
                <c:pt idx="236">
                  <c:v>3.5723345788458698E-2</c:v>
                </c:pt>
                <c:pt idx="238">
                  <c:v>5.7364061981373601E-2</c:v>
                </c:pt>
                <c:pt idx="239">
                  <c:v>1.7770571188400398E-2</c:v>
                </c:pt>
                <c:pt idx="241">
                  <c:v>2.60914513496475E-2</c:v>
                </c:pt>
                <c:pt idx="242">
                  <c:v>4.24386327378838E-2</c:v>
                </c:pt>
                <c:pt idx="243">
                  <c:v>5.2425321267266303E-2</c:v>
                </c:pt>
                <c:pt idx="244">
                  <c:v>5.4864885732810497E-3</c:v>
                </c:pt>
                <c:pt idx="245">
                  <c:v>2.2214009634219802E-2</c:v>
                </c:pt>
                <c:pt idx="246">
                  <c:v>2.2748054915648699E-2</c:v>
                </c:pt>
                <c:pt idx="247">
                  <c:v>2.8990416217415299E-2</c:v>
                </c:pt>
                <c:pt idx="249">
                  <c:v>6.9143836459647501E-2</c:v>
                </c:pt>
                <c:pt idx="251">
                  <c:v>4.3612913509962797E-2</c:v>
                </c:pt>
                <c:pt idx="254">
                  <c:v>3.5773288410591901E-2</c:v>
                </c:pt>
                <c:pt idx="256">
                  <c:v>5.3177568506868103E-5</c:v>
                </c:pt>
                <c:pt idx="258">
                  <c:v>9.1116391659653406E-2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8-4000-B5B3-930021DF8C00}"/>
            </c:ext>
          </c:extLst>
        </c:ser>
        <c:ser>
          <c:idx val="1"/>
          <c:order val="1"/>
          <c:tx>
            <c:strRef>
              <c:f>Monthly!$N$4:$N$5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Monthly!$L$6:$L$289</c:f>
              <c:multiLvlStrCache>
                <c:ptCount val="26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  <c:pt idx="70">
                    <c:v>Nov</c:v>
                  </c:pt>
                  <c:pt idx="71">
                    <c:v>Dec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Mar</c:v>
                  </c:pt>
                  <c:pt idx="75">
                    <c:v>Apr</c:v>
                  </c:pt>
                  <c:pt idx="76">
                    <c:v>May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</c:v>
                  </c:pt>
                  <c:pt idx="81">
                    <c:v>Oct</c:v>
                  </c:pt>
                  <c:pt idx="82">
                    <c:v>Nov</c:v>
                  </c:pt>
                  <c:pt idx="83">
                    <c:v>Dec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Mar</c:v>
                  </c:pt>
                  <c:pt idx="87">
                    <c:v>Apr</c:v>
                  </c:pt>
                  <c:pt idx="88">
                    <c:v>May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</c:v>
                  </c:pt>
                  <c:pt idx="93">
                    <c:v>Oct</c:v>
                  </c:pt>
                  <c:pt idx="94">
                    <c:v>Nov</c:v>
                  </c:pt>
                  <c:pt idx="95">
                    <c:v>Dec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Mar</c:v>
                  </c:pt>
                  <c:pt idx="99">
                    <c:v>Apr</c:v>
                  </c:pt>
                  <c:pt idx="100">
                    <c:v>May</c:v>
                  </c:pt>
                  <c:pt idx="101">
                    <c:v>Jun</c:v>
                  </c:pt>
                  <c:pt idx="102">
                    <c:v>Jul</c:v>
                  </c:pt>
                  <c:pt idx="103">
                    <c:v>Aug</c:v>
                  </c:pt>
                  <c:pt idx="104">
                    <c:v>Sep</c:v>
                  </c:pt>
                  <c:pt idx="105">
                    <c:v>Oct</c:v>
                  </c:pt>
                  <c:pt idx="106">
                    <c:v>Nov</c:v>
                  </c:pt>
                  <c:pt idx="107">
                    <c:v>Dec</c:v>
                  </c:pt>
                  <c:pt idx="108">
                    <c:v>Jan</c:v>
                  </c:pt>
                  <c:pt idx="109">
                    <c:v>Feb</c:v>
                  </c:pt>
                  <c:pt idx="110">
                    <c:v>Mar</c:v>
                  </c:pt>
                  <c:pt idx="111">
                    <c:v>Apr</c:v>
                  </c:pt>
                  <c:pt idx="112">
                    <c:v>May</c:v>
                  </c:pt>
                  <c:pt idx="113">
                    <c:v>Jun</c:v>
                  </c:pt>
                  <c:pt idx="114">
                    <c:v>Jul</c:v>
                  </c:pt>
                  <c:pt idx="115">
                    <c:v>Aug</c:v>
                  </c:pt>
                  <c:pt idx="116">
                    <c:v>Sep</c:v>
                  </c:pt>
                  <c:pt idx="117">
                    <c:v>Oct</c:v>
                  </c:pt>
                  <c:pt idx="118">
                    <c:v>Nov</c:v>
                  </c:pt>
                  <c:pt idx="119">
                    <c:v>Dec</c:v>
                  </c:pt>
                  <c:pt idx="120">
                    <c:v>Jan</c:v>
                  </c:pt>
                  <c:pt idx="121">
                    <c:v>Feb</c:v>
                  </c:pt>
                  <c:pt idx="122">
                    <c:v>Mar</c:v>
                  </c:pt>
                  <c:pt idx="123">
                    <c:v>Apr</c:v>
                  </c:pt>
                  <c:pt idx="124">
                    <c:v>May</c:v>
                  </c:pt>
                  <c:pt idx="125">
                    <c:v>Jun</c:v>
                  </c:pt>
                  <c:pt idx="126">
                    <c:v>Jul</c:v>
                  </c:pt>
                  <c:pt idx="127">
                    <c:v>Aug</c:v>
                  </c:pt>
                  <c:pt idx="128">
                    <c:v>Sep</c:v>
                  </c:pt>
                  <c:pt idx="129">
                    <c:v>Oct</c:v>
                  </c:pt>
                  <c:pt idx="130">
                    <c:v>Nov</c:v>
                  </c:pt>
                  <c:pt idx="131">
                    <c:v>Dec</c:v>
                  </c:pt>
                  <c:pt idx="132">
                    <c:v>Jan</c:v>
                  </c:pt>
                  <c:pt idx="133">
                    <c:v>Feb</c:v>
                  </c:pt>
                  <c:pt idx="134">
                    <c:v>Mar</c:v>
                  </c:pt>
                  <c:pt idx="135">
                    <c:v>Apr</c:v>
                  </c:pt>
                  <c:pt idx="136">
                    <c:v>May</c:v>
                  </c:pt>
                  <c:pt idx="137">
                    <c:v>Jun</c:v>
                  </c:pt>
                  <c:pt idx="138">
                    <c:v>Jul</c:v>
                  </c:pt>
                  <c:pt idx="139">
                    <c:v>Aug</c:v>
                  </c:pt>
                  <c:pt idx="140">
                    <c:v>Sep</c:v>
                  </c:pt>
                  <c:pt idx="141">
                    <c:v>Oct</c:v>
                  </c:pt>
                  <c:pt idx="142">
                    <c:v>Nov</c:v>
                  </c:pt>
                  <c:pt idx="143">
                    <c:v>Dec</c:v>
                  </c:pt>
                  <c:pt idx="144">
                    <c:v>Jan</c:v>
                  </c:pt>
                  <c:pt idx="145">
                    <c:v>Feb</c:v>
                  </c:pt>
                  <c:pt idx="146">
                    <c:v>Mar</c:v>
                  </c:pt>
                  <c:pt idx="147">
                    <c:v>Apr</c:v>
                  </c:pt>
                  <c:pt idx="148">
                    <c:v>May</c:v>
                  </c:pt>
                  <c:pt idx="149">
                    <c:v>Jun</c:v>
                  </c:pt>
                  <c:pt idx="150">
                    <c:v>Jul</c:v>
                  </c:pt>
                  <c:pt idx="151">
                    <c:v>Aug</c:v>
                  </c:pt>
                  <c:pt idx="152">
                    <c:v>Sep</c:v>
                  </c:pt>
                  <c:pt idx="153">
                    <c:v>Oct</c:v>
                  </c:pt>
                  <c:pt idx="154">
                    <c:v>Nov</c:v>
                  </c:pt>
                  <c:pt idx="155">
                    <c:v>Dec</c:v>
                  </c:pt>
                  <c:pt idx="156">
                    <c:v>Jan</c:v>
                  </c:pt>
                  <c:pt idx="157">
                    <c:v>Feb</c:v>
                  </c:pt>
                  <c:pt idx="158">
                    <c:v>Mar</c:v>
                  </c:pt>
                  <c:pt idx="159">
                    <c:v>Apr</c:v>
                  </c:pt>
                  <c:pt idx="160">
                    <c:v>May</c:v>
                  </c:pt>
                  <c:pt idx="161">
                    <c:v>Jun</c:v>
                  </c:pt>
                  <c:pt idx="162">
                    <c:v>Jul</c:v>
                  </c:pt>
                  <c:pt idx="163">
                    <c:v>Aug</c:v>
                  </c:pt>
                  <c:pt idx="164">
                    <c:v>Sep</c:v>
                  </c:pt>
                  <c:pt idx="165">
                    <c:v>Oct</c:v>
                  </c:pt>
                  <c:pt idx="166">
                    <c:v>Nov</c:v>
                  </c:pt>
                  <c:pt idx="167">
                    <c:v>Dec</c:v>
                  </c:pt>
                  <c:pt idx="168">
                    <c:v>Jan</c:v>
                  </c:pt>
                  <c:pt idx="169">
                    <c:v>Feb</c:v>
                  </c:pt>
                  <c:pt idx="170">
                    <c:v>Mar</c:v>
                  </c:pt>
                  <c:pt idx="171">
                    <c:v>Apr</c:v>
                  </c:pt>
                  <c:pt idx="172">
                    <c:v>May</c:v>
                  </c:pt>
                  <c:pt idx="173">
                    <c:v>Jun</c:v>
                  </c:pt>
                  <c:pt idx="174">
                    <c:v>Jul</c:v>
                  </c:pt>
                  <c:pt idx="175">
                    <c:v>Aug</c:v>
                  </c:pt>
                  <c:pt idx="176">
                    <c:v>Sep</c:v>
                  </c:pt>
                  <c:pt idx="177">
                    <c:v>Oct</c:v>
                  </c:pt>
                  <c:pt idx="178">
                    <c:v>Nov</c:v>
                  </c:pt>
                  <c:pt idx="179">
                    <c:v>Dec</c:v>
                  </c:pt>
                  <c:pt idx="180">
                    <c:v>Jan</c:v>
                  </c:pt>
                  <c:pt idx="181">
                    <c:v>Feb</c:v>
                  </c:pt>
                  <c:pt idx="182">
                    <c:v>Mar</c:v>
                  </c:pt>
                  <c:pt idx="183">
                    <c:v>Apr</c:v>
                  </c:pt>
                  <c:pt idx="184">
                    <c:v>May</c:v>
                  </c:pt>
                  <c:pt idx="185">
                    <c:v>Jun</c:v>
                  </c:pt>
                  <c:pt idx="186">
                    <c:v>Jul</c:v>
                  </c:pt>
                  <c:pt idx="187">
                    <c:v>Aug</c:v>
                  </c:pt>
                  <c:pt idx="188">
                    <c:v>Sep</c:v>
                  </c:pt>
                  <c:pt idx="189">
                    <c:v>Oct</c:v>
                  </c:pt>
                  <c:pt idx="190">
                    <c:v>Nov</c:v>
                  </c:pt>
                  <c:pt idx="191">
                    <c:v>Dec</c:v>
                  </c:pt>
                  <c:pt idx="192">
                    <c:v>Jan</c:v>
                  </c:pt>
                  <c:pt idx="193">
                    <c:v>Feb</c:v>
                  </c:pt>
                  <c:pt idx="194">
                    <c:v>Mar</c:v>
                  </c:pt>
                  <c:pt idx="195">
                    <c:v>Apr</c:v>
                  </c:pt>
                  <c:pt idx="196">
                    <c:v>May</c:v>
                  </c:pt>
                  <c:pt idx="197">
                    <c:v>Jun</c:v>
                  </c:pt>
                  <c:pt idx="198">
                    <c:v>Jul</c:v>
                  </c:pt>
                  <c:pt idx="199">
                    <c:v>Aug</c:v>
                  </c:pt>
                  <c:pt idx="200">
                    <c:v>Sep</c:v>
                  </c:pt>
                  <c:pt idx="201">
                    <c:v>Oct</c:v>
                  </c:pt>
                  <c:pt idx="202">
                    <c:v>Nov</c:v>
                  </c:pt>
                  <c:pt idx="203">
                    <c:v>Dec</c:v>
                  </c:pt>
                  <c:pt idx="204">
                    <c:v>Jan</c:v>
                  </c:pt>
                  <c:pt idx="205">
                    <c:v>Feb</c:v>
                  </c:pt>
                  <c:pt idx="206">
                    <c:v>Mar</c:v>
                  </c:pt>
                  <c:pt idx="207">
                    <c:v>Apr</c:v>
                  </c:pt>
                  <c:pt idx="208">
                    <c:v>May</c:v>
                  </c:pt>
                  <c:pt idx="209">
                    <c:v>Jun</c:v>
                  </c:pt>
                  <c:pt idx="210">
                    <c:v>Jul</c:v>
                  </c:pt>
                  <c:pt idx="211">
                    <c:v>Aug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Jan</c:v>
                  </c:pt>
                  <c:pt idx="217">
                    <c:v>Feb</c:v>
                  </c:pt>
                  <c:pt idx="218">
                    <c:v>Mar</c:v>
                  </c:pt>
                  <c:pt idx="219">
                    <c:v>Apr</c:v>
                  </c:pt>
                  <c:pt idx="220">
                    <c:v>May</c:v>
                  </c:pt>
                  <c:pt idx="221">
                    <c:v>Jun</c:v>
                  </c:pt>
                  <c:pt idx="222">
                    <c:v>Jul</c:v>
                  </c:pt>
                  <c:pt idx="223">
                    <c:v>Aug</c:v>
                  </c:pt>
                  <c:pt idx="224">
                    <c:v>Sep</c:v>
                  </c:pt>
                  <c:pt idx="225">
                    <c:v>Oct</c:v>
                  </c:pt>
                  <c:pt idx="226">
                    <c:v>Nov</c:v>
                  </c:pt>
                  <c:pt idx="227">
                    <c:v>Dec</c:v>
                  </c:pt>
                  <c:pt idx="228">
                    <c:v>Jan</c:v>
                  </c:pt>
                  <c:pt idx="229">
                    <c:v>Feb</c:v>
                  </c:pt>
                  <c:pt idx="230">
                    <c:v>Mar</c:v>
                  </c:pt>
                  <c:pt idx="231">
                    <c:v>Apr</c:v>
                  </c:pt>
                  <c:pt idx="232">
                    <c:v>May</c:v>
                  </c:pt>
                  <c:pt idx="233">
                    <c:v>Jun</c:v>
                  </c:pt>
                  <c:pt idx="234">
                    <c:v>Jul</c:v>
                  </c:pt>
                  <c:pt idx="235">
                    <c:v>Aug</c:v>
                  </c:pt>
                  <c:pt idx="236">
                    <c:v>Sep</c:v>
                  </c:pt>
                  <c:pt idx="237">
                    <c:v>Oct</c:v>
                  </c:pt>
                  <c:pt idx="238">
                    <c:v>Nov</c:v>
                  </c:pt>
                  <c:pt idx="239">
                    <c:v>Dec</c:v>
                  </c:pt>
                  <c:pt idx="240">
                    <c:v>Jan</c:v>
                  </c:pt>
                  <c:pt idx="241">
                    <c:v>Feb</c:v>
                  </c:pt>
                  <c:pt idx="242">
                    <c:v>Mar</c:v>
                  </c:pt>
                  <c:pt idx="243">
                    <c:v>Apr</c:v>
                  </c:pt>
                  <c:pt idx="244">
                    <c:v>May</c:v>
                  </c:pt>
                  <c:pt idx="245">
                    <c:v>Jun</c:v>
                  </c:pt>
                  <c:pt idx="246">
                    <c:v>Jul</c:v>
                  </c:pt>
                  <c:pt idx="247">
                    <c:v>Aug</c:v>
                  </c:pt>
                  <c:pt idx="248">
                    <c:v>Sep</c:v>
                  </c:pt>
                  <c:pt idx="249">
                    <c:v>Oct</c:v>
                  </c:pt>
                  <c:pt idx="250">
                    <c:v>Nov</c:v>
                  </c:pt>
                  <c:pt idx="251">
                    <c:v>Dec</c:v>
                  </c:pt>
                  <c:pt idx="252">
                    <c:v>Jan</c:v>
                  </c:pt>
                  <c:pt idx="253">
                    <c:v>Feb</c:v>
                  </c:pt>
                  <c:pt idx="254">
                    <c:v>Mar</c:v>
                  </c:pt>
                  <c:pt idx="255">
                    <c:v>Apr</c:v>
                  </c:pt>
                  <c:pt idx="256">
                    <c:v>May</c:v>
                  </c:pt>
                  <c:pt idx="257">
                    <c:v>Jun</c:v>
                  </c:pt>
                  <c:pt idx="258">
                    <c:v>Jul</c:v>
                  </c:pt>
                  <c:pt idx="259">
                    <c:v>Aug</c:v>
                  </c:pt>
                  <c:pt idx="260">
                    <c:v>Sep</c:v>
                  </c:pt>
                </c:lvl>
                <c:lvl>
                  <c:pt idx="0">
                    <c:v>1948</c:v>
                  </c:pt>
                  <c:pt idx="12">
                    <c:v>1949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1973</c:v>
                  </c:pt>
                  <c:pt idx="60">
                    <c:v>1974</c:v>
                  </c:pt>
                  <c:pt idx="72">
                    <c:v>1975</c:v>
                  </c:pt>
                  <c:pt idx="84">
                    <c:v>1976</c:v>
                  </c:pt>
                  <c:pt idx="96">
                    <c:v>1977</c:v>
                  </c:pt>
                  <c:pt idx="108">
                    <c:v>1978</c:v>
                  </c:pt>
                  <c:pt idx="120">
                    <c:v>1981</c:v>
                  </c:pt>
                  <c:pt idx="132">
                    <c:v>1982</c:v>
                  </c:pt>
                  <c:pt idx="144">
                    <c:v>1983</c:v>
                  </c:pt>
                  <c:pt idx="156">
                    <c:v>1988</c:v>
                  </c:pt>
                  <c:pt idx="168">
                    <c:v>1989</c:v>
                  </c:pt>
                  <c:pt idx="180">
                    <c:v>1990</c:v>
                  </c:pt>
                  <c:pt idx="192">
                    <c:v>1991</c:v>
                  </c:pt>
                  <c:pt idx="204">
                    <c:v>1992</c:v>
                  </c:pt>
                  <c:pt idx="216">
                    <c:v>2008</c:v>
                  </c:pt>
                  <c:pt idx="228">
                    <c:v>2009</c:v>
                  </c:pt>
                  <c:pt idx="240">
                    <c:v>2021</c:v>
                  </c:pt>
                  <c:pt idx="252">
                    <c:v>2022</c:v>
                  </c:pt>
                </c:lvl>
              </c:multiLvlStrCache>
            </c:multiLvlStrRef>
          </c:cat>
          <c:val>
            <c:numRef>
              <c:f>Monthly!$N$6:$N$289</c:f>
              <c:numCache>
                <c:formatCode>0.00%</c:formatCode>
                <c:ptCount val="261"/>
                <c:pt idx="0">
                  <c:v>-4.05228758169935E-2</c:v>
                </c:pt>
                <c:pt idx="1">
                  <c:v>-5.1089918256130698E-2</c:v>
                </c:pt>
                <c:pt idx="6">
                  <c:v>-5.3166069295101502E-2</c:v>
                </c:pt>
                <c:pt idx="8">
                  <c:v>-3.0056355666875399E-2</c:v>
                </c:pt>
                <c:pt idx="10">
                  <c:v>-0.10606060606060599</c:v>
                </c:pt>
                <c:pt idx="13">
                  <c:v>-3.9421813403416703E-2</c:v>
                </c:pt>
                <c:pt idx="15">
                  <c:v>-2.3240371845949501E-2</c:v>
                </c:pt>
                <c:pt idx="16">
                  <c:v>-3.5350101971448097E-2</c:v>
                </c:pt>
                <c:pt idx="17">
                  <c:v>-2.11416490486249E-3</c:v>
                </c:pt>
                <c:pt idx="26">
                  <c:v>-1.46788538843511E-2</c:v>
                </c:pt>
                <c:pt idx="28">
                  <c:v>-4.05706642888988E-2</c:v>
                </c:pt>
                <c:pt idx="29">
                  <c:v>-2.6022351301115201E-2</c:v>
                </c:pt>
                <c:pt idx="32">
                  <c:v>-8.5914944763087998E-4</c:v>
                </c:pt>
                <c:pt idx="33">
                  <c:v>-1.37574806534825E-2</c:v>
                </c:pt>
                <c:pt idx="34">
                  <c:v>-2.6156058144896099E-3</c:v>
                </c:pt>
                <c:pt idx="37">
                  <c:v>-3.6453978312095098E-2</c:v>
                </c:pt>
                <c:pt idx="39">
                  <c:v>-4.3085800447853803E-2</c:v>
                </c:pt>
                <c:pt idx="43">
                  <c:v>-1.4566889763779499E-2</c:v>
                </c:pt>
                <c:pt idx="44">
                  <c:v>-1.9576507408049899E-2</c:v>
                </c:pt>
                <c:pt idx="45">
                  <c:v>-8.1503664160409396E-4</c:v>
                </c:pt>
                <c:pt idx="48">
                  <c:v>-1.71114269264355E-2</c:v>
                </c:pt>
                <c:pt idx="49">
                  <c:v>-3.7490295936312097E-2</c:v>
                </c:pt>
                <c:pt idx="50">
                  <c:v>-1.43269161891124E-3</c:v>
                </c:pt>
                <c:pt idx="51">
                  <c:v>-4.0799821757527499E-2</c:v>
                </c:pt>
                <c:pt idx="52">
                  <c:v>-1.8883836413164001E-2</c:v>
                </c:pt>
                <c:pt idx="53">
                  <c:v>-6.5745118601575597E-3</c:v>
                </c:pt>
                <c:pt idx="55">
                  <c:v>-3.6684540411342302E-2</c:v>
                </c:pt>
                <c:pt idx="57">
                  <c:v>-1.29114636170802E-3</c:v>
                </c:pt>
                <c:pt idx="58">
                  <c:v>-0.113860946404461</c:v>
                </c:pt>
                <c:pt idx="60">
                  <c:v>-1.0046160634152E-2</c:v>
                </c:pt>
                <c:pt idx="61">
                  <c:v>-3.62430361395871E-3</c:v>
                </c:pt>
                <c:pt idx="62">
                  <c:v>-2.3279962343795799E-2</c:v>
                </c:pt>
                <c:pt idx="63">
                  <c:v>-3.9050913841745701E-2</c:v>
                </c:pt>
                <c:pt idx="64">
                  <c:v>-3.3551091430651901E-2</c:v>
                </c:pt>
                <c:pt idx="65">
                  <c:v>-1.46654332569367E-2</c:v>
                </c:pt>
                <c:pt idx="66">
                  <c:v>-7.7790720930232607E-2</c:v>
                </c:pt>
                <c:pt idx="67">
                  <c:v>-9.0278605227048295E-2</c:v>
                </c:pt>
                <c:pt idx="68">
                  <c:v>-0.119334729886771</c:v>
                </c:pt>
                <c:pt idx="70">
                  <c:v>-5.3179985028958501E-2</c:v>
                </c:pt>
                <c:pt idx="71">
                  <c:v>-2.0151536084728701E-2</c:v>
                </c:pt>
                <c:pt idx="78">
                  <c:v>-6.7654184942658194E-2</c:v>
                </c:pt>
                <c:pt idx="79">
                  <c:v>-2.10704563380282E-2</c:v>
                </c:pt>
                <c:pt idx="80">
                  <c:v>-3.4645420165012299E-2</c:v>
                </c:pt>
                <c:pt idx="83">
                  <c:v>-1.15080668896989E-2</c:v>
                </c:pt>
                <c:pt idx="85">
                  <c:v>-1.14019630041448E-2</c:v>
                </c:pt>
                <c:pt idx="87">
                  <c:v>-1.0995407540977199E-2</c:v>
                </c:pt>
                <c:pt idx="88">
                  <c:v>-1.4364413758012701E-2</c:v>
                </c:pt>
                <c:pt idx="90">
                  <c:v>-8.0552072118834604E-3</c:v>
                </c:pt>
                <c:pt idx="91">
                  <c:v>-5.1237237988452904E-3</c:v>
                </c:pt>
                <c:pt idx="93">
                  <c:v>-2.2234854090362102E-2</c:v>
                </c:pt>
                <c:pt idx="94">
                  <c:v>-7.7745771083658202E-3</c:v>
                </c:pt>
                <c:pt idx="96">
                  <c:v>-5.0530430397640297E-2</c:v>
                </c:pt>
                <c:pt idx="97">
                  <c:v>-2.1660286402629601E-2</c:v>
                </c:pt>
                <c:pt idx="98">
                  <c:v>-1.402526547786E-2</c:v>
                </c:pt>
                <c:pt idx="100">
                  <c:v>-2.3567644787329499E-2</c:v>
                </c:pt>
                <c:pt idx="102">
                  <c:v>-1.62221830347676E-2</c:v>
                </c:pt>
                <c:pt idx="103">
                  <c:v>-2.1041993344299199E-2</c:v>
                </c:pt>
                <c:pt idx="104">
                  <c:v>-2.4800868806474901E-3</c:v>
                </c:pt>
                <c:pt idx="105">
                  <c:v>-4.3406226493382702E-2</c:v>
                </c:pt>
                <c:pt idx="108">
                  <c:v>-6.1514175846775501E-2</c:v>
                </c:pt>
                <c:pt idx="109">
                  <c:v>-2.4761893557423E-2</c:v>
                </c:pt>
                <c:pt idx="113">
                  <c:v>-1.7585345898505699E-2</c:v>
                </c:pt>
                <c:pt idx="116">
                  <c:v>-7.2611094272329001E-3</c:v>
                </c:pt>
                <c:pt idx="117">
                  <c:v>-9.1574009249327001E-2</c:v>
                </c:pt>
                <c:pt idx="120">
                  <c:v>-4.5742429498469003E-2</c:v>
                </c:pt>
                <c:pt idx="123">
                  <c:v>-2.3455897058823401E-2</c:v>
                </c:pt>
                <c:pt idx="124">
                  <c:v>-1.6565168534976599E-3</c:v>
                </c:pt>
                <c:pt idx="125">
                  <c:v>-1.04079420893868E-2</c:v>
                </c:pt>
                <c:pt idx="126">
                  <c:v>-2.2102658679073999E-3</c:v>
                </c:pt>
                <c:pt idx="127">
                  <c:v>-6.2098969784585498E-2</c:v>
                </c:pt>
                <c:pt idx="128">
                  <c:v>-5.3831752961708897E-2</c:v>
                </c:pt>
                <c:pt idx="131">
                  <c:v>-3.00751488733699E-2</c:v>
                </c:pt>
                <c:pt idx="132">
                  <c:v>-1.7543867379587099E-2</c:v>
                </c:pt>
                <c:pt idx="133">
                  <c:v>-6.0548180057339203E-2</c:v>
                </c:pt>
                <c:pt idx="134">
                  <c:v>-1.0167111571327801E-2</c:v>
                </c:pt>
                <c:pt idx="136">
                  <c:v>-3.9161842336622503E-2</c:v>
                </c:pt>
                <c:pt idx="137">
                  <c:v>-2.02895607871709E-2</c:v>
                </c:pt>
                <c:pt idx="138">
                  <c:v>-2.2990648453693599E-2</c:v>
                </c:pt>
                <c:pt idx="148">
                  <c:v>-1.24064592035834E-2</c:v>
                </c:pt>
                <c:pt idx="150">
                  <c:v>-3.0303036448956201E-2</c:v>
                </c:pt>
                <c:pt idx="153">
                  <c:v>-1.5174347526823499E-2</c:v>
                </c:pt>
                <c:pt idx="155">
                  <c:v>-8.8341409435387392E-3</c:v>
                </c:pt>
                <c:pt idx="158">
                  <c:v>-3.33432595272838E-2</c:v>
                </c:pt>
                <c:pt idx="162">
                  <c:v>-5.4113747714807899E-3</c:v>
                </c:pt>
                <c:pt idx="163">
                  <c:v>-3.8600104494526701E-2</c:v>
                </c:pt>
                <c:pt idx="166">
                  <c:v>-1.88908806721481E-2</c:v>
                </c:pt>
                <c:pt idx="169">
                  <c:v>-2.8944148892513202E-2</c:v>
                </c:pt>
                <c:pt idx="173">
                  <c:v>-7.9245541219584697E-3</c:v>
                </c:pt>
                <c:pt idx="176">
                  <c:v>-6.5443673964080702E-3</c:v>
                </c:pt>
                <c:pt idx="177">
                  <c:v>-2.5175452244172201E-2</c:v>
                </c:pt>
                <c:pt idx="180">
                  <c:v>-6.8817225277032601E-2</c:v>
                </c:pt>
                <c:pt idx="183">
                  <c:v>-2.6887138748678398E-2</c:v>
                </c:pt>
                <c:pt idx="185">
                  <c:v>-8.8863657565815303E-3</c:v>
                </c:pt>
                <c:pt idx="186">
                  <c:v>-5.2231580846174904E-3</c:v>
                </c:pt>
                <c:pt idx="187">
                  <c:v>-9.43141838154853E-2</c:v>
                </c:pt>
                <c:pt idx="188">
                  <c:v>-5.1184307112997998E-2</c:v>
                </c:pt>
                <c:pt idx="189">
                  <c:v>-6.6982129729734599E-3</c:v>
                </c:pt>
                <c:pt idx="197">
                  <c:v>-4.7892629152718302E-2</c:v>
                </c:pt>
                <c:pt idx="200">
                  <c:v>-1.9143737536368399E-2</c:v>
                </c:pt>
                <c:pt idx="202">
                  <c:v>-4.3903708684304897E-2</c:v>
                </c:pt>
                <c:pt idx="204">
                  <c:v>-1.9923750460799899E-2</c:v>
                </c:pt>
                <c:pt idx="206">
                  <c:v>-2.1831862704186199E-2</c:v>
                </c:pt>
                <c:pt idx="209">
                  <c:v>-1.7358832059340301E-2</c:v>
                </c:pt>
                <c:pt idx="211">
                  <c:v>-2.3997530034600301E-2</c:v>
                </c:pt>
                <c:pt idx="216">
                  <c:v>-6.1163431935936402E-2</c:v>
                </c:pt>
                <c:pt idx="217">
                  <c:v>-3.4761192772624502E-2</c:v>
                </c:pt>
                <c:pt idx="218">
                  <c:v>-5.95962361452984E-3</c:v>
                </c:pt>
                <c:pt idx="221">
                  <c:v>-8.5962384902803599E-2</c:v>
                </c:pt>
                <c:pt idx="222">
                  <c:v>-9.8593710937500099E-3</c:v>
                </c:pt>
                <c:pt idx="224">
                  <c:v>-9.0791433779084593E-2</c:v>
                </c:pt>
                <c:pt idx="225">
                  <c:v>-0.16942452376742001</c:v>
                </c:pt>
                <c:pt idx="226">
                  <c:v>-7.4849042580645203E-2</c:v>
                </c:pt>
                <c:pt idx="228">
                  <c:v>-8.5657342928314395E-2</c:v>
                </c:pt>
                <c:pt idx="229">
                  <c:v>-0.109931197571492</c:v>
                </c:pt>
                <c:pt idx="237">
                  <c:v>-1.9762000860415501E-2</c:v>
                </c:pt>
                <c:pt idx="240">
                  <c:v>-1.11366607232312E-2</c:v>
                </c:pt>
                <c:pt idx="248">
                  <c:v>-4.75691688617867E-2</c:v>
                </c:pt>
                <c:pt idx="250">
                  <c:v>-8.3337062251199693E-3</c:v>
                </c:pt>
                <c:pt idx="252">
                  <c:v>-5.2585165005310602E-2</c:v>
                </c:pt>
                <c:pt idx="253">
                  <c:v>-3.1360492102910101E-2</c:v>
                </c:pt>
                <c:pt idx="255">
                  <c:v>-8.7956711705729301E-2</c:v>
                </c:pt>
                <c:pt idx="257">
                  <c:v>-8.3919999812243101E-2</c:v>
                </c:pt>
                <c:pt idx="259">
                  <c:v>-4.2440128258508597E-2</c:v>
                </c:pt>
                <c:pt idx="260">
                  <c:v>-9.339567E-2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8-4000-B5B3-930021DF8C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1544127"/>
        <c:axId val="2041556607"/>
      </c:barChart>
      <c:catAx>
        <c:axId val="20415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56607"/>
        <c:crosses val="autoZero"/>
        <c:auto val="1"/>
        <c:lblAlgn val="ctr"/>
        <c:lblOffset val="100"/>
        <c:noMultiLvlLbl val="0"/>
      </c:catAx>
      <c:valAx>
        <c:axId val="20415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4412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[bullbear spread.xlsx]monthly chart!PivotTable20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chart'!$N$3:$N$4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chart'!$M$5:$M$67</c:f>
              <c:multiLvlStrCache>
                <c:ptCount val="5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</c:lvl>
              </c:multiLvlStrCache>
            </c:multiLvlStrRef>
          </c:cat>
          <c:val>
            <c:numRef>
              <c:f>'monthly chart'!$N$5:$N$67</c:f>
              <c:numCache>
                <c:formatCode>General</c:formatCode>
                <c:ptCount val="57"/>
                <c:pt idx="0">
                  <c:v>5.6178704444133101E-2</c:v>
                </c:pt>
                <c:pt idx="3">
                  <c:v>2.7187751316435399E-3</c:v>
                </c:pt>
                <c:pt idx="4">
                  <c:v>2.1608341965291902E-2</c:v>
                </c:pt>
                <c:pt idx="5">
                  <c:v>4.8424360241865498E-3</c:v>
                </c:pt>
                <c:pt idx="6">
                  <c:v>3.6021556221367303E-2</c:v>
                </c:pt>
                <c:pt idx="7">
                  <c:v>3.0263211466054599E-2</c:v>
                </c:pt>
                <c:pt idx="8">
                  <c:v>4.29428710266144E-3</c:v>
                </c:pt>
                <c:pt idx="10">
                  <c:v>1.7859356788849E-2</c:v>
                </c:pt>
                <c:pt idx="12">
                  <c:v>7.8684401655036804E-2</c:v>
                </c:pt>
                <c:pt idx="13">
                  <c:v>2.9728889126352302E-2</c:v>
                </c:pt>
                <c:pt idx="14">
                  <c:v>1.7924256211817102E-2</c:v>
                </c:pt>
                <c:pt idx="15">
                  <c:v>3.9313498395682697E-2</c:v>
                </c:pt>
                <c:pt idx="17">
                  <c:v>6.8930163925612103E-2</c:v>
                </c:pt>
                <c:pt idx="18">
                  <c:v>1.31281521499778E-2</c:v>
                </c:pt>
                <c:pt idx="20">
                  <c:v>1.71811778292086E-2</c:v>
                </c:pt>
                <c:pt idx="21">
                  <c:v>2.0431770730503101E-2</c:v>
                </c:pt>
                <c:pt idx="22">
                  <c:v>3.4047037421886202E-2</c:v>
                </c:pt>
                <c:pt idx="23">
                  <c:v>2.85898189647169E-2</c:v>
                </c:pt>
                <c:pt idx="27">
                  <c:v>0.12684403825663801</c:v>
                </c:pt>
                <c:pt idx="28">
                  <c:v>4.52818196760656E-2</c:v>
                </c:pt>
                <c:pt idx="29">
                  <c:v>1.8388396357494698E-2</c:v>
                </c:pt>
                <c:pt idx="30">
                  <c:v>5.5101321441235702E-2</c:v>
                </c:pt>
                <c:pt idx="31">
                  <c:v>7.0064667087246499E-2</c:v>
                </c:pt>
                <c:pt idx="34">
                  <c:v>0.10754563548003</c:v>
                </c:pt>
                <c:pt idx="35">
                  <c:v>3.7121458940645703E-2</c:v>
                </c:pt>
                <c:pt idx="37">
                  <c:v>2.60914513496475E-2</c:v>
                </c:pt>
                <c:pt idx="38">
                  <c:v>4.24386327378838E-2</c:v>
                </c:pt>
                <c:pt idx="39">
                  <c:v>5.2425321267266303E-2</c:v>
                </c:pt>
                <c:pt idx="40">
                  <c:v>5.4864885732810497E-3</c:v>
                </c:pt>
                <c:pt idx="41">
                  <c:v>2.2214009634219802E-2</c:v>
                </c:pt>
                <c:pt idx="42">
                  <c:v>2.2748054915648699E-2</c:v>
                </c:pt>
                <c:pt idx="43">
                  <c:v>2.8990416217415299E-2</c:v>
                </c:pt>
                <c:pt idx="45">
                  <c:v>6.9143836459647501E-2</c:v>
                </c:pt>
                <c:pt idx="47">
                  <c:v>4.3612913509962797E-2</c:v>
                </c:pt>
                <c:pt idx="50">
                  <c:v>3.5773288410591901E-2</c:v>
                </c:pt>
                <c:pt idx="52">
                  <c:v>5.3177568506868103E-5</c:v>
                </c:pt>
                <c:pt idx="54">
                  <c:v>9.1116391659653406E-2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4-45E8-BA14-396845677613}"/>
            </c:ext>
          </c:extLst>
        </c:ser>
        <c:ser>
          <c:idx val="1"/>
          <c:order val="1"/>
          <c:tx>
            <c:strRef>
              <c:f>'monthly chart'!$O$3:$O$4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chart'!$M$5:$M$67</c:f>
              <c:multiLvlStrCache>
                <c:ptCount val="5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</c:lvl>
              </c:multiLvlStrCache>
            </c:multiLvlStrRef>
          </c:cat>
          <c:val>
            <c:numRef>
              <c:f>'monthly chart'!$O$5:$O$67</c:f>
              <c:numCache>
                <c:formatCode>General</c:formatCode>
                <c:ptCount val="57"/>
                <c:pt idx="1">
                  <c:v>-3.8947372061896898E-2</c:v>
                </c:pt>
                <c:pt idx="2">
                  <c:v>-2.6884498624825101E-2</c:v>
                </c:pt>
                <c:pt idx="9">
                  <c:v>-6.9403356024429499E-2</c:v>
                </c:pt>
                <c:pt idx="11">
                  <c:v>-9.1776894596563893E-2</c:v>
                </c:pt>
                <c:pt idx="16">
                  <c:v>-6.5777731189286898E-2</c:v>
                </c:pt>
                <c:pt idx="19">
                  <c:v>-1.8091627281326701E-2</c:v>
                </c:pt>
                <c:pt idx="24">
                  <c:v>-1.6280925822201901E-3</c:v>
                </c:pt>
                <c:pt idx="25">
                  <c:v>-8.4110483679465706E-2</c:v>
                </c:pt>
                <c:pt idx="26">
                  <c:v>-0.12511928245982301</c:v>
                </c:pt>
                <c:pt idx="32">
                  <c:v>-3.9227970289931399E-2</c:v>
                </c:pt>
                <c:pt idx="33">
                  <c:v>-2.7665786202795101E-2</c:v>
                </c:pt>
                <c:pt idx="36">
                  <c:v>-1.11366607232312E-2</c:v>
                </c:pt>
                <c:pt idx="44">
                  <c:v>-4.75691688617867E-2</c:v>
                </c:pt>
                <c:pt idx="46">
                  <c:v>-8.3337062251199693E-3</c:v>
                </c:pt>
                <c:pt idx="48">
                  <c:v>-5.2585165005310602E-2</c:v>
                </c:pt>
                <c:pt idx="49">
                  <c:v>-3.1360492102910101E-2</c:v>
                </c:pt>
                <c:pt idx="51">
                  <c:v>-8.7956711705729301E-2</c:v>
                </c:pt>
                <c:pt idx="53">
                  <c:v>-8.3919999812243101E-2</c:v>
                </c:pt>
                <c:pt idx="55">
                  <c:v>-4.2440128258508597E-2</c:v>
                </c:pt>
                <c:pt idx="56">
                  <c:v>-7.0884980530973501E-2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E4-45E8-BA14-3968456776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1544127"/>
        <c:axId val="2041556607"/>
      </c:barChart>
      <c:catAx>
        <c:axId val="20415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56607"/>
        <c:crosses val="autoZero"/>
        <c:auto val="1"/>
        <c:lblAlgn val="ctr"/>
        <c:lblOffset val="100"/>
        <c:noMultiLvlLbl val="0"/>
      </c:catAx>
      <c:valAx>
        <c:axId val="20415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4412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[bullbear spread.xlsx]VIX Prob table Decile yearly!PivotTable19</c:name>
    <c:fmtId val="0"/>
  </c:pivotSource>
  <c:chart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>
              <a:glow rad="127000">
                <a:schemeClr val="bg1"/>
              </a:glo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5">
                <a:lumMod val="75000"/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5">
                <a:lumMod val="75000"/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'VIX Prob table Decile yearly'!$I$62:$I$63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'VIX Prob table Decile yearly'!$H$64:$H$159</c:f>
              <c:strCache>
                <c:ptCount val="95"/>
                <c:pt idx="0">
                  <c:v>12/31/1928</c:v>
                </c:pt>
                <c:pt idx="1">
                  <c:v>12/31/1929</c:v>
                </c:pt>
                <c:pt idx="2">
                  <c:v>12/31/1930</c:v>
                </c:pt>
                <c:pt idx="3">
                  <c:v>12/31/1931</c:v>
                </c:pt>
                <c:pt idx="4">
                  <c:v>12/30/1932</c:v>
                </c:pt>
                <c:pt idx="5">
                  <c:v>12/29/1933</c:v>
                </c:pt>
                <c:pt idx="6">
                  <c:v>12/31/1934</c:v>
                </c:pt>
                <c:pt idx="7">
                  <c:v>12/31/1935</c:v>
                </c:pt>
                <c:pt idx="8">
                  <c:v>12/31/1936</c:v>
                </c:pt>
                <c:pt idx="9">
                  <c:v>12/31/1937</c:v>
                </c:pt>
                <c:pt idx="10">
                  <c:v>12/30/1938</c:v>
                </c:pt>
                <c:pt idx="11">
                  <c:v>12/29/1939</c:v>
                </c:pt>
                <c:pt idx="12">
                  <c:v>12/31/1940</c:v>
                </c:pt>
                <c:pt idx="13">
                  <c:v>12/31/1941</c:v>
                </c:pt>
                <c:pt idx="14">
                  <c:v>12/31/1942</c:v>
                </c:pt>
                <c:pt idx="15">
                  <c:v>12/31/1943</c:v>
                </c:pt>
                <c:pt idx="16">
                  <c:v>12/29/1944</c:v>
                </c:pt>
                <c:pt idx="17">
                  <c:v>12/31/1945</c:v>
                </c:pt>
                <c:pt idx="18">
                  <c:v>12/31/1946</c:v>
                </c:pt>
                <c:pt idx="19">
                  <c:v>12/31/1947</c:v>
                </c:pt>
                <c:pt idx="20">
                  <c:v>12/31/1948</c:v>
                </c:pt>
                <c:pt idx="21">
                  <c:v>12/30/1949</c:v>
                </c:pt>
                <c:pt idx="22">
                  <c:v>12/29/1950</c:v>
                </c:pt>
                <c:pt idx="23">
                  <c:v>12/31/1951</c:v>
                </c:pt>
                <c:pt idx="24">
                  <c:v>12/31/1952</c:v>
                </c:pt>
                <c:pt idx="25">
                  <c:v>12/31/1953</c:v>
                </c:pt>
                <c:pt idx="26">
                  <c:v>12/31/1954</c:v>
                </c:pt>
                <c:pt idx="27">
                  <c:v>12/30/1955</c:v>
                </c:pt>
                <c:pt idx="28">
                  <c:v>12/31/1956</c:v>
                </c:pt>
                <c:pt idx="29">
                  <c:v>12/31/1957</c:v>
                </c:pt>
                <c:pt idx="30">
                  <c:v>12/31/1958</c:v>
                </c:pt>
                <c:pt idx="31">
                  <c:v>12/31/1959</c:v>
                </c:pt>
                <c:pt idx="32">
                  <c:v>12/30/1960</c:v>
                </c:pt>
                <c:pt idx="33">
                  <c:v>12/29/1961</c:v>
                </c:pt>
                <c:pt idx="34">
                  <c:v>12/31/1962</c:v>
                </c:pt>
                <c:pt idx="35">
                  <c:v>12/31/1963</c:v>
                </c:pt>
                <c:pt idx="36">
                  <c:v>12/31/1964</c:v>
                </c:pt>
                <c:pt idx="37">
                  <c:v>12/31/1965</c:v>
                </c:pt>
                <c:pt idx="38">
                  <c:v>12/30/1966</c:v>
                </c:pt>
                <c:pt idx="39">
                  <c:v>12/29/1967</c:v>
                </c:pt>
                <c:pt idx="40">
                  <c:v>12/31/1968</c:v>
                </c:pt>
                <c:pt idx="41">
                  <c:v>12/31/1969</c:v>
                </c:pt>
                <c:pt idx="42">
                  <c:v>12/31/1970</c:v>
                </c:pt>
                <c:pt idx="43">
                  <c:v>12/31/1971</c:v>
                </c:pt>
                <c:pt idx="44">
                  <c:v>12/29/1972</c:v>
                </c:pt>
                <c:pt idx="45">
                  <c:v>12/31/1973</c:v>
                </c:pt>
                <c:pt idx="46">
                  <c:v>12/31/1974</c:v>
                </c:pt>
                <c:pt idx="47">
                  <c:v>12/31/1975</c:v>
                </c:pt>
                <c:pt idx="48">
                  <c:v>12/31/1976</c:v>
                </c:pt>
                <c:pt idx="49">
                  <c:v>12/30/1977</c:v>
                </c:pt>
                <c:pt idx="50">
                  <c:v>12/29/1978</c:v>
                </c:pt>
                <c:pt idx="51">
                  <c:v>12/31/1979</c:v>
                </c:pt>
                <c:pt idx="52">
                  <c:v>12/31/1980</c:v>
                </c:pt>
                <c:pt idx="53">
                  <c:v>12/31/1981</c:v>
                </c:pt>
                <c:pt idx="54">
                  <c:v>12/31/1982</c:v>
                </c:pt>
                <c:pt idx="55">
                  <c:v>12/30/1983</c:v>
                </c:pt>
                <c:pt idx="56">
                  <c:v>12/31/1984</c:v>
                </c:pt>
                <c:pt idx="57">
                  <c:v>12/31/1985</c:v>
                </c:pt>
                <c:pt idx="58">
                  <c:v>12/31/1986</c:v>
                </c:pt>
                <c:pt idx="59">
                  <c:v>12/31/1987</c:v>
                </c:pt>
                <c:pt idx="60">
                  <c:v>12/30/1988</c:v>
                </c:pt>
                <c:pt idx="61">
                  <c:v>12/29/1989</c:v>
                </c:pt>
                <c:pt idx="62">
                  <c:v>12/31/1990</c:v>
                </c:pt>
                <c:pt idx="63">
                  <c:v>12/31/1991</c:v>
                </c:pt>
                <c:pt idx="64">
                  <c:v>12/31/1992</c:v>
                </c:pt>
                <c:pt idx="65">
                  <c:v>12/31/1993</c:v>
                </c:pt>
                <c:pt idx="66">
                  <c:v>12/30/1994</c:v>
                </c:pt>
                <c:pt idx="67">
                  <c:v>12/29/1995</c:v>
                </c:pt>
                <c:pt idx="68">
                  <c:v>12/31/1996</c:v>
                </c:pt>
                <c:pt idx="69">
                  <c:v>12/31/1997</c:v>
                </c:pt>
                <c:pt idx="70">
                  <c:v>12/31/1998</c:v>
                </c:pt>
                <c:pt idx="71">
                  <c:v>12/31/1999</c:v>
                </c:pt>
                <c:pt idx="72">
                  <c:v>12/29/2000</c:v>
                </c:pt>
                <c:pt idx="73">
                  <c:v>12/31/2001</c:v>
                </c:pt>
                <c:pt idx="74">
                  <c:v>12/31/2002</c:v>
                </c:pt>
                <c:pt idx="75">
                  <c:v>12/31/2003</c:v>
                </c:pt>
                <c:pt idx="76">
                  <c:v>12/31/2004</c:v>
                </c:pt>
                <c:pt idx="77">
                  <c:v>12/30/2005</c:v>
                </c:pt>
                <c:pt idx="78">
                  <c:v>12/29/2006</c:v>
                </c:pt>
                <c:pt idx="79">
                  <c:v>12/31/2007</c:v>
                </c:pt>
                <c:pt idx="80">
                  <c:v>12/31/2008</c:v>
                </c:pt>
                <c:pt idx="81">
                  <c:v>12/31/2009</c:v>
                </c:pt>
                <c:pt idx="82">
                  <c:v>12/31/2010</c:v>
                </c:pt>
                <c:pt idx="83">
                  <c:v>12/30/2011</c:v>
                </c:pt>
                <c:pt idx="84">
                  <c:v>12/31/2012</c:v>
                </c:pt>
                <c:pt idx="85">
                  <c:v>12/31/2013</c:v>
                </c:pt>
                <c:pt idx="86">
                  <c:v>12/31/2014</c:v>
                </c:pt>
                <c:pt idx="87">
                  <c:v>12/31/2015</c:v>
                </c:pt>
                <c:pt idx="88">
                  <c:v>12/30/2016</c:v>
                </c:pt>
                <c:pt idx="89">
                  <c:v>12/29/2017</c:v>
                </c:pt>
                <c:pt idx="90">
                  <c:v>12/31/2018</c:v>
                </c:pt>
                <c:pt idx="91">
                  <c:v>12/31/2019</c:v>
                </c:pt>
                <c:pt idx="92">
                  <c:v>12/31/2020</c:v>
                </c:pt>
                <c:pt idx="93">
                  <c:v>12/31/2021</c:v>
                </c:pt>
                <c:pt idx="94">
                  <c:v>9/30/2022</c:v>
                </c:pt>
              </c:strCache>
            </c:strRef>
          </c:cat>
          <c:val>
            <c:numRef>
              <c:f>'VIX Prob table Decile yearly'!$I$64:$I$159</c:f>
              <c:numCache>
                <c:formatCode>General</c:formatCode>
                <c:ptCount val="95"/>
                <c:pt idx="0">
                  <c:v>0.37882219705549303</c:v>
                </c:pt>
                <c:pt idx="5">
                  <c:v>0.440751445086705</c:v>
                </c:pt>
                <c:pt idx="7">
                  <c:v>0.41368421052631599</c:v>
                </c:pt>
                <c:pt idx="8">
                  <c:v>0.27922561429635101</c:v>
                </c:pt>
                <c:pt idx="10">
                  <c:v>0.24549763033175401</c:v>
                </c:pt>
                <c:pt idx="14">
                  <c:v>0.124280782508631</c:v>
                </c:pt>
                <c:pt idx="15">
                  <c:v>0.19447287615148401</c:v>
                </c:pt>
                <c:pt idx="16">
                  <c:v>0.13796058269066</c:v>
                </c:pt>
                <c:pt idx="17">
                  <c:v>0.30722899096385498</c:v>
                </c:pt>
                <c:pt idx="21">
                  <c:v>0.104605328947369</c:v>
                </c:pt>
                <c:pt idx="22">
                  <c:v>0.21679563926172499</c:v>
                </c:pt>
                <c:pt idx="23">
                  <c:v>0.16348507097405801</c:v>
                </c:pt>
                <c:pt idx="24">
                  <c:v>0.117795540597392</c:v>
                </c:pt>
                <c:pt idx="26">
                  <c:v>0.45022174325762698</c:v>
                </c:pt>
                <c:pt idx="27">
                  <c:v>0.26403557531962202</c:v>
                </c:pt>
                <c:pt idx="28">
                  <c:v>2.6165303430079299E-2</c:v>
                </c:pt>
                <c:pt idx="30">
                  <c:v>0.38059505473393102</c:v>
                </c:pt>
                <c:pt idx="31">
                  <c:v>8.4767253844724805E-2</c:v>
                </c:pt>
                <c:pt idx="33">
                  <c:v>0.23128552346781101</c:v>
                </c:pt>
                <c:pt idx="35">
                  <c:v>0.188906487762488</c:v>
                </c:pt>
                <c:pt idx="36">
                  <c:v>0.12969879217670499</c:v>
                </c:pt>
                <c:pt idx="37">
                  <c:v>9.0619469026548702E-2</c:v>
                </c:pt>
                <c:pt idx="39">
                  <c:v>0.200921182598751</c:v>
                </c:pt>
                <c:pt idx="40">
                  <c:v>7.6604124840840407E-2</c:v>
                </c:pt>
                <c:pt idx="42">
                  <c:v>9.7766676032295897E-4</c:v>
                </c:pt>
                <c:pt idx="43">
                  <c:v>0.10786753970987401</c:v>
                </c:pt>
                <c:pt idx="44">
                  <c:v>0.15633272235606699</c:v>
                </c:pt>
                <c:pt idx="47">
                  <c:v>0.31549014922666702</c:v>
                </c:pt>
                <c:pt idx="48">
                  <c:v>0.19148460602096401</c:v>
                </c:pt>
                <c:pt idx="50">
                  <c:v>1.06204313484843E-2</c:v>
                </c:pt>
                <c:pt idx="51">
                  <c:v>0.123088137310497</c:v>
                </c:pt>
                <c:pt idx="52">
                  <c:v>0.25773570951017799</c:v>
                </c:pt>
                <c:pt idx="54">
                  <c:v>0.147613182840966</c:v>
                </c:pt>
                <c:pt idx="55">
                  <c:v>0.17271042500505199</c:v>
                </c:pt>
                <c:pt idx="56">
                  <c:v>1.40060152673382E-2</c:v>
                </c:pt>
                <c:pt idx="57">
                  <c:v>0.26333408684124299</c:v>
                </c:pt>
                <c:pt idx="58">
                  <c:v>0.14620408531902701</c:v>
                </c:pt>
                <c:pt idx="59">
                  <c:v>2.0275030105091799E-2</c:v>
                </c:pt>
                <c:pt idx="60">
                  <c:v>0.124008413274985</c:v>
                </c:pt>
                <c:pt idx="61">
                  <c:v>0.272504654787179</c:v>
                </c:pt>
                <c:pt idx="63">
                  <c:v>0.26306703027355399</c:v>
                </c:pt>
                <c:pt idx="64">
                  <c:v>4.4642631514950203E-2</c:v>
                </c:pt>
                <c:pt idx="65">
                  <c:v>7.0551563275949705E-2</c:v>
                </c:pt>
                <c:pt idx="67">
                  <c:v>0.34110655551673802</c:v>
                </c:pt>
                <c:pt idx="68">
                  <c:v>0.20263666068945599</c:v>
                </c:pt>
                <c:pt idx="69">
                  <c:v>0.31008181831792297</c:v>
                </c:pt>
                <c:pt idx="70">
                  <c:v>0.26668589065342302</c:v>
                </c:pt>
                <c:pt idx="71">
                  <c:v>0.19526046704458</c:v>
                </c:pt>
                <c:pt idx="75">
                  <c:v>0.263803999856075</c:v>
                </c:pt>
                <c:pt idx="76">
                  <c:v>8.9934524105044406E-2</c:v>
                </c:pt>
                <c:pt idx="77">
                  <c:v>3.0010226483224899E-2</c:v>
                </c:pt>
                <c:pt idx="78">
                  <c:v>0.13619431757718301</c:v>
                </c:pt>
                <c:pt idx="79">
                  <c:v>3.5295730290142699E-2</c:v>
                </c:pt>
                <c:pt idx="81">
                  <c:v>0.23454190534182101</c:v>
                </c:pt>
                <c:pt idx="82">
                  <c:v>0.12782713843408799</c:v>
                </c:pt>
                <c:pt idx="84">
                  <c:v>0.134056908569788</c:v>
                </c:pt>
                <c:pt idx="85">
                  <c:v>0.296012495855908</c:v>
                </c:pt>
                <c:pt idx="86">
                  <c:v>0.113906337893373</c:v>
                </c:pt>
                <c:pt idx="88">
                  <c:v>9.5350226829389997E-2</c:v>
                </c:pt>
                <c:pt idx="89">
                  <c:v>0.194199655111119</c:v>
                </c:pt>
                <c:pt idx="91">
                  <c:v>0.28878070195643601</c:v>
                </c:pt>
                <c:pt idx="92">
                  <c:v>0.162589230552657</c:v>
                </c:pt>
                <c:pt idx="93">
                  <c:v>0.26892738679336098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D-4C9F-89E8-46C81449D590}"/>
            </c:ext>
          </c:extLst>
        </c:ser>
        <c:ser>
          <c:idx val="1"/>
          <c:order val="1"/>
          <c:tx>
            <c:strRef>
              <c:f>'VIX Prob table Decile yearly'!$J$62:$J$63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>
                <a:glow rad="127000">
                  <a:schemeClr val="bg1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'VIX Prob table Decile yearly'!$H$64:$H$159</c:f>
              <c:strCache>
                <c:ptCount val="95"/>
                <c:pt idx="0">
                  <c:v>12/31/1928</c:v>
                </c:pt>
                <c:pt idx="1">
                  <c:v>12/31/1929</c:v>
                </c:pt>
                <c:pt idx="2">
                  <c:v>12/31/1930</c:v>
                </c:pt>
                <c:pt idx="3">
                  <c:v>12/31/1931</c:v>
                </c:pt>
                <c:pt idx="4">
                  <c:v>12/30/1932</c:v>
                </c:pt>
                <c:pt idx="5">
                  <c:v>12/29/1933</c:v>
                </c:pt>
                <c:pt idx="6">
                  <c:v>12/31/1934</c:v>
                </c:pt>
                <c:pt idx="7">
                  <c:v>12/31/1935</c:v>
                </c:pt>
                <c:pt idx="8">
                  <c:v>12/31/1936</c:v>
                </c:pt>
                <c:pt idx="9">
                  <c:v>12/31/1937</c:v>
                </c:pt>
                <c:pt idx="10">
                  <c:v>12/30/1938</c:v>
                </c:pt>
                <c:pt idx="11">
                  <c:v>12/29/1939</c:v>
                </c:pt>
                <c:pt idx="12">
                  <c:v>12/31/1940</c:v>
                </c:pt>
                <c:pt idx="13">
                  <c:v>12/31/1941</c:v>
                </c:pt>
                <c:pt idx="14">
                  <c:v>12/31/1942</c:v>
                </c:pt>
                <c:pt idx="15">
                  <c:v>12/31/1943</c:v>
                </c:pt>
                <c:pt idx="16">
                  <c:v>12/29/1944</c:v>
                </c:pt>
                <c:pt idx="17">
                  <c:v>12/31/1945</c:v>
                </c:pt>
                <c:pt idx="18">
                  <c:v>12/31/1946</c:v>
                </c:pt>
                <c:pt idx="19">
                  <c:v>12/31/1947</c:v>
                </c:pt>
                <c:pt idx="20">
                  <c:v>12/31/1948</c:v>
                </c:pt>
                <c:pt idx="21">
                  <c:v>12/30/1949</c:v>
                </c:pt>
                <c:pt idx="22">
                  <c:v>12/29/1950</c:v>
                </c:pt>
                <c:pt idx="23">
                  <c:v>12/31/1951</c:v>
                </c:pt>
                <c:pt idx="24">
                  <c:v>12/31/1952</c:v>
                </c:pt>
                <c:pt idx="25">
                  <c:v>12/31/1953</c:v>
                </c:pt>
                <c:pt idx="26">
                  <c:v>12/31/1954</c:v>
                </c:pt>
                <c:pt idx="27">
                  <c:v>12/30/1955</c:v>
                </c:pt>
                <c:pt idx="28">
                  <c:v>12/31/1956</c:v>
                </c:pt>
                <c:pt idx="29">
                  <c:v>12/31/1957</c:v>
                </c:pt>
                <c:pt idx="30">
                  <c:v>12/31/1958</c:v>
                </c:pt>
                <c:pt idx="31">
                  <c:v>12/31/1959</c:v>
                </c:pt>
                <c:pt idx="32">
                  <c:v>12/30/1960</c:v>
                </c:pt>
                <c:pt idx="33">
                  <c:v>12/29/1961</c:v>
                </c:pt>
                <c:pt idx="34">
                  <c:v>12/31/1962</c:v>
                </c:pt>
                <c:pt idx="35">
                  <c:v>12/31/1963</c:v>
                </c:pt>
                <c:pt idx="36">
                  <c:v>12/31/1964</c:v>
                </c:pt>
                <c:pt idx="37">
                  <c:v>12/31/1965</c:v>
                </c:pt>
                <c:pt idx="38">
                  <c:v>12/30/1966</c:v>
                </c:pt>
                <c:pt idx="39">
                  <c:v>12/29/1967</c:v>
                </c:pt>
                <c:pt idx="40">
                  <c:v>12/31/1968</c:v>
                </c:pt>
                <c:pt idx="41">
                  <c:v>12/31/1969</c:v>
                </c:pt>
                <c:pt idx="42">
                  <c:v>12/31/1970</c:v>
                </c:pt>
                <c:pt idx="43">
                  <c:v>12/31/1971</c:v>
                </c:pt>
                <c:pt idx="44">
                  <c:v>12/29/1972</c:v>
                </c:pt>
                <c:pt idx="45">
                  <c:v>12/31/1973</c:v>
                </c:pt>
                <c:pt idx="46">
                  <c:v>12/31/1974</c:v>
                </c:pt>
                <c:pt idx="47">
                  <c:v>12/31/1975</c:v>
                </c:pt>
                <c:pt idx="48">
                  <c:v>12/31/1976</c:v>
                </c:pt>
                <c:pt idx="49">
                  <c:v>12/30/1977</c:v>
                </c:pt>
                <c:pt idx="50">
                  <c:v>12/29/1978</c:v>
                </c:pt>
                <c:pt idx="51">
                  <c:v>12/31/1979</c:v>
                </c:pt>
                <c:pt idx="52">
                  <c:v>12/31/1980</c:v>
                </c:pt>
                <c:pt idx="53">
                  <c:v>12/31/1981</c:v>
                </c:pt>
                <c:pt idx="54">
                  <c:v>12/31/1982</c:v>
                </c:pt>
                <c:pt idx="55">
                  <c:v>12/30/1983</c:v>
                </c:pt>
                <c:pt idx="56">
                  <c:v>12/31/1984</c:v>
                </c:pt>
                <c:pt idx="57">
                  <c:v>12/31/1985</c:v>
                </c:pt>
                <c:pt idx="58">
                  <c:v>12/31/1986</c:v>
                </c:pt>
                <c:pt idx="59">
                  <c:v>12/31/1987</c:v>
                </c:pt>
                <c:pt idx="60">
                  <c:v>12/30/1988</c:v>
                </c:pt>
                <c:pt idx="61">
                  <c:v>12/29/1989</c:v>
                </c:pt>
                <c:pt idx="62">
                  <c:v>12/31/1990</c:v>
                </c:pt>
                <c:pt idx="63">
                  <c:v>12/31/1991</c:v>
                </c:pt>
                <c:pt idx="64">
                  <c:v>12/31/1992</c:v>
                </c:pt>
                <c:pt idx="65">
                  <c:v>12/31/1993</c:v>
                </c:pt>
                <c:pt idx="66">
                  <c:v>12/30/1994</c:v>
                </c:pt>
                <c:pt idx="67">
                  <c:v>12/29/1995</c:v>
                </c:pt>
                <c:pt idx="68">
                  <c:v>12/31/1996</c:v>
                </c:pt>
                <c:pt idx="69">
                  <c:v>12/31/1997</c:v>
                </c:pt>
                <c:pt idx="70">
                  <c:v>12/31/1998</c:v>
                </c:pt>
                <c:pt idx="71">
                  <c:v>12/31/1999</c:v>
                </c:pt>
                <c:pt idx="72">
                  <c:v>12/29/2000</c:v>
                </c:pt>
                <c:pt idx="73">
                  <c:v>12/31/2001</c:v>
                </c:pt>
                <c:pt idx="74">
                  <c:v>12/31/2002</c:v>
                </c:pt>
                <c:pt idx="75">
                  <c:v>12/31/2003</c:v>
                </c:pt>
                <c:pt idx="76">
                  <c:v>12/31/2004</c:v>
                </c:pt>
                <c:pt idx="77">
                  <c:v>12/30/2005</c:v>
                </c:pt>
                <c:pt idx="78">
                  <c:v>12/29/2006</c:v>
                </c:pt>
                <c:pt idx="79">
                  <c:v>12/31/2007</c:v>
                </c:pt>
                <c:pt idx="80">
                  <c:v>12/31/2008</c:v>
                </c:pt>
                <c:pt idx="81">
                  <c:v>12/31/2009</c:v>
                </c:pt>
                <c:pt idx="82">
                  <c:v>12/31/2010</c:v>
                </c:pt>
                <c:pt idx="83">
                  <c:v>12/30/2011</c:v>
                </c:pt>
                <c:pt idx="84">
                  <c:v>12/31/2012</c:v>
                </c:pt>
                <c:pt idx="85">
                  <c:v>12/31/2013</c:v>
                </c:pt>
                <c:pt idx="86">
                  <c:v>12/31/2014</c:v>
                </c:pt>
                <c:pt idx="87">
                  <c:v>12/31/2015</c:v>
                </c:pt>
                <c:pt idx="88">
                  <c:v>12/30/2016</c:v>
                </c:pt>
                <c:pt idx="89">
                  <c:v>12/29/2017</c:v>
                </c:pt>
                <c:pt idx="90">
                  <c:v>12/31/2018</c:v>
                </c:pt>
                <c:pt idx="91">
                  <c:v>12/31/2019</c:v>
                </c:pt>
                <c:pt idx="92">
                  <c:v>12/31/2020</c:v>
                </c:pt>
                <c:pt idx="93">
                  <c:v>12/31/2021</c:v>
                </c:pt>
                <c:pt idx="94">
                  <c:v>9/30/2022</c:v>
                </c:pt>
              </c:strCache>
            </c:strRef>
          </c:cat>
          <c:val>
            <c:numRef>
              <c:f>'VIX Prob table Decile yearly'!$J$64:$J$159</c:f>
              <c:numCache>
                <c:formatCode>General</c:formatCode>
                <c:ptCount val="95"/>
                <c:pt idx="1">
                  <c:v>-0.119096468172485</c:v>
                </c:pt>
                <c:pt idx="2">
                  <c:v>-0.28484851818888002</c:v>
                </c:pt>
                <c:pt idx="3">
                  <c:v>-0.47066492829204698</c:v>
                </c:pt>
                <c:pt idx="4">
                  <c:v>-0.147783251231527</c:v>
                </c:pt>
                <c:pt idx="6">
                  <c:v>-4.7141424272818498E-2</c:v>
                </c:pt>
                <c:pt idx="9">
                  <c:v>-0.38591385331781097</c:v>
                </c:pt>
                <c:pt idx="11">
                  <c:v>-5.1750380517503802E-2</c:v>
                </c:pt>
                <c:pt idx="12">
                  <c:v>-0.15088282504012901</c:v>
                </c:pt>
                <c:pt idx="13">
                  <c:v>-0.17863894139886599</c:v>
                </c:pt>
                <c:pt idx="18">
                  <c:v>-0.118663645238269</c:v>
                </c:pt>
                <c:pt idx="19">
                  <c:v>0</c:v>
                </c:pt>
                <c:pt idx="20">
                  <c:v>-6.5359477124183902E-3</c:v>
                </c:pt>
                <c:pt idx="25">
                  <c:v>-6.6240158073014602E-2</c:v>
                </c:pt>
                <c:pt idx="29">
                  <c:v>-0.14313255380897999</c:v>
                </c:pt>
                <c:pt idx="32">
                  <c:v>-2.9721122553366699E-2</c:v>
                </c:pt>
                <c:pt idx="34">
                  <c:v>-0.118099296236228</c:v>
                </c:pt>
                <c:pt idx="38">
                  <c:v>-0.130909856107325</c:v>
                </c:pt>
                <c:pt idx="41">
                  <c:v>-0.11361450882327701</c:v>
                </c:pt>
                <c:pt idx="45">
                  <c:v>-0.17365522642129899</c:v>
                </c:pt>
                <c:pt idx="46">
                  <c:v>-0.29718097497136903</c:v>
                </c:pt>
                <c:pt idx="49">
                  <c:v>-0.115019552531356</c:v>
                </c:pt>
                <c:pt idx="53">
                  <c:v>-9.7304010654979706E-2</c:v>
                </c:pt>
                <c:pt idx="62">
                  <c:v>-6.5591379155484505E-2</c:v>
                </c:pt>
                <c:pt idx="66">
                  <c:v>-1.53929098837712E-2</c:v>
                </c:pt>
                <c:pt idx="72">
                  <c:v>-0.101391846860643</c:v>
                </c:pt>
                <c:pt idx="73">
                  <c:v>-0.130426931573317</c:v>
                </c:pt>
                <c:pt idx="74">
                  <c:v>-0.233659639816933</c:v>
                </c:pt>
                <c:pt idx="80">
                  <c:v>-0.38485793046178701</c:v>
                </c:pt>
                <c:pt idx="83">
                  <c:v>-3.1836614231783903E-5</c:v>
                </c:pt>
                <c:pt idx="87">
                  <c:v>-7.2659972373926296E-3</c:v>
                </c:pt>
                <c:pt idx="90">
                  <c:v>-6.2372598219685001E-2</c:v>
                </c:pt>
                <c:pt idx="94">
                  <c:v>-9.339567E-2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D-4C9F-89E8-46C81449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296349839"/>
        <c:axId val="296329455"/>
      </c:barChart>
      <c:catAx>
        <c:axId val="29634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29455"/>
        <c:crosses val="autoZero"/>
        <c:auto val="1"/>
        <c:lblAlgn val="ctr"/>
        <c:lblOffset val="100"/>
        <c:noMultiLvlLbl val="0"/>
      </c:catAx>
      <c:valAx>
        <c:axId val="2963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4983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115656</xdr:colOff>
      <xdr:row>3</xdr:row>
      <xdr:rowOff>125186</xdr:rowOff>
    </xdr:from>
    <xdr:to>
      <xdr:col>24</xdr:col>
      <xdr:colOff>1183820</xdr:colOff>
      <xdr:row>63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84E82-9544-4ACC-B139-F53C40C00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168088</xdr:colOff>
      <xdr:row>0</xdr:row>
      <xdr:rowOff>20565</xdr:rowOff>
    </xdr:from>
    <xdr:to>
      <xdr:col>27</xdr:col>
      <xdr:colOff>605570</xdr:colOff>
      <xdr:row>61</xdr:row>
      <xdr:rowOff>89649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222D9-388A-49FA-9E6F-F494ED389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588238</xdr:colOff>
      <xdr:row>3</xdr:row>
      <xdr:rowOff>189672</xdr:rowOff>
    </xdr:from>
    <xdr:to>
      <xdr:col>42</xdr:col>
      <xdr:colOff>964161</xdr:colOff>
      <xdr:row>81</xdr:row>
      <xdr:rowOff>101306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67B3D-EB6A-4E61-8DCE-B49C17FB0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588238</xdr:colOff>
      <xdr:row>3</xdr:row>
      <xdr:rowOff>189672</xdr:rowOff>
    </xdr:from>
    <xdr:to>
      <xdr:col>39</xdr:col>
      <xdr:colOff>964161</xdr:colOff>
      <xdr:row>81</xdr:row>
      <xdr:rowOff>101306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BCCD2-2A73-400A-92DB-076D5BCF8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374194</xdr:colOff>
      <xdr:row>7</xdr:row>
      <xdr:rowOff>97971</xdr:rowOff>
    </xdr:from>
    <xdr:to>
      <xdr:col>25</xdr:col>
      <xdr:colOff>870858</xdr:colOff>
      <xdr:row>67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40C4BB-9EB5-423E-974C-56E801FDA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517071</xdr:colOff>
      <xdr:row>56</xdr:row>
      <xdr:rowOff>0</xdr:rowOff>
    </xdr:from>
    <xdr:to>
      <xdr:col>26</xdr:col>
      <xdr:colOff>108857</xdr:colOff>
      <xdr:row>108</xdr:row>
      <xdr:rowOff>13606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97B5CC-9C65-4FDB-97C8-27EB80FBF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36684837961" createdVersion="8" refreshedVersion="8" minRefreshableVersion="3" recordCount="1137" xr:uid="{B141498F-0C7D-4336-8975-D7EEF4FB41BC}">
  <cacheSource type="worksheet">
    <worksheetSource ref="A1:E1139" sheet="Monthly"/>
  </cacheSource>
  <cacheFields count="7">
    <cacheField name="Date" numFmtId="14">
      <sharedItems containsSemiMixedTypes="0" containsNonDate="0" containsDate="1" containsString="0" minDate="1928-01-31T00:00:00" maxDate="2022-10-01T00:00:00" count="1137">
        <d v="2022-09-30T00:00:00"/>
        <d v="2022-08-31T00:00:00"/>
        <d v="2022-07-29T00:00:00"/>
        <d v="2022-06-30T00:00:00"/>
        <d v="2022-05-31T00:00:00"/>
        <d v="2022-04-29T00:00:00"/>
        <d v="2022-03-31T00:00:00"/>
        <d v="2022-02-28T00:00:00"/>
        <d v="2022-01-31T00:00:00"/>
        <d v="2021-12-31T00:00:00"/>
        <d v="2021-11-30T00:00:00"/>
        <d v="2021-10-29T00:00:00"/>
        <d v="2021-09-30T00:00:00"/>
        <d v="2021-08-31T00:00:00"/>
        <d v="2021-07-30T00:00:00"/>
        <d v="2021-06-30T00:00:00"/>
        <d v="2021-05-28T00:00:00"/>
        <d v="2021-04-30T00:00:00"/>
        <d v="2021-03-31T00:00:00"/>
        <d v="2021-02-26T00:00:00"/>
        <d v="2021-01-29T00:00:00"/>
        <d v="2020-12-31T00:00:00"/>
        <d v="2020-11-30T00:00:00"/>
        <d v="2020-10-30T00:00:00"/>
        <d v="2020-09-30T00:00:00"/>
        <d v="2020-08-31T00:00:00"/>
        <d v="2020-07-31T00:00:00"/>
        <d v="2020-06-30T00:00:00"/>
        <d v="2020-05-29T00:00:00"/>
        <d v="2020-04-30T00:00:00"/>
        <d v="2020-03-31T00:00:00"/>
        <d v="2020-02-28T00:00:00"/>
        <d v="2020-01-31T00:00:00"/>
        <d v="2019-12-31T00:00:00"/>
        <d v="2019-11-29T00:00:00"/>
        <d v="2019-10-31T00:00:00"/>
        <d v="2019-09-30T00:00:00"/>
        <d v="2019-08-30T00:00:00"/>
        <d v="2019-07-31T00:00:00"/>
        <d v="2019-06-28T00:00:00"/>
        <d v="2019-05-31T00:00:00"/>
        <d v="2019-04-30T00:00:00"/>
        <d v="2019-03-29T00:00:00"/>
        <d v="2019-02-28T00:00:00"/>
        <d v="2019-01-31T00:00:00"/>
        <d v="2018-12-31T00:00:00"/>
        <d v="2018-11-30T00:00:00"/>
        <d v="2018-10-31T00:00:00"/>
        <d v="2018-09-28T00:00:00"/>
        <d v="2018-08-31T00:00:00"/>
        <d v="2018-07-31T00:00:00"/>
        <d v="2018-06-29T00:00:00"/>
        <d v="2018-05-31T00:00:00"/>
        <d v="2018-04-30T00:00:00"/>
        <d v="2018-03-29T00:00:00"/>
        <d v="2018-02-28T00:00:00"/>
        <d v="2018-01-31T00:00:00"/>
        <d v="2017-12-29T00:00:00"/>
        <d v="2017-11-30T00:00:00"/>
        <d v="2017-10-31T00:00:00"/>
        <d v="2017-09-29T00:00:00"/>
        <d v="2017-08-31T00:00:00"/>
        <d v="2017-07-31T00:00:00"/>
        <d v="2017-06-30T00:00:00"/>
        <d v="2017-05-31T00:00:00"/>
        <d v="2017-04-28T00:00:00"/>
        <d v="2017-03-31T00:00:00"/>
        <d v="2017-02-28T00:00:00"/>
        <d v="2017-01-31T00:00:00"/>
        <d v="2016-12-30T00:00:00"/>
        <d v="2016-11-30T00:00:00"/>
        <d v="2016-10-31T00:00:00"/>
        <d v="2016-09-30T00:00:00"/>
        <d v="2016-08-31T00:00:00"/>
        <d v="2016-07-29T00:00:00"/>
        <d v="2016-06-30T00:00:00"/>
        <d v="2016-05-31T00:00:00"/>
        <d v="2016-04-29T00:00:00"/>
        <d v="2016-03-31T00:00:00"/>
        <d v="2016-02-29T00:00:00"/>
        <d v="2016-01-29T00:00:00"/>
        <d v="2015-12-31T00:00:00"/>
        <d v="2015-11-30T00:00:00"/>
        <d v="2015-10-30T00:00:00"/>
        <d v="2015-09-30T00:00:00"/>
        <d v="2015-08-31T00:00:00"/>
        <d v="2015-07-31T00:00:00"/>
        <d v="2015-06-30T00:00:00"/>
        <d v="2015-05-29T00:00:00"/>
        <d v="2015-04-30T00:00:00"/>
        <d v="2015-03-31T00:00:00"/>
        <d v="2015-02-27T00:00:00"/>
        <d v="2015-01-30T00:00:00"/>
        <d v="2014-12-31T00:00:00"/>
        <d v="2014-11-28T00:00:00"/>
        <d v="2014-10-31T00:00:00"/>
        <d v="2014-09-30T00:00:00"/>
        <d v="2014-08-29T00:00:00"/>
        <d v="2014-07-31T00:00:00"/>
        <d v="2014-06-30T00:00:00"/>
        <d v="2014-05-30T00:00:00"/>
        <d v="2014-04-30T00:00:00"/>
        <d v="2014-03-31T00:00:00"/>
        <d v="2014-02-28T00:00:00"/>
        <d v="2014-01-31T00:00:00"/>
        <d v="2013-12-31T00:00:00"/>
        <d v="2013-11-29T00:00:00"/>
        <d v="2013-10-31T00:00:00"/>
        <d v="2013-09-30T00:00:00"/>
        <d v="2013-08-30T00:00:00"/>
        <d v="2013-07-31T00:00:00"/>
        <d v="2013-06-28T00:00:00"/>
        <d v="2013-05-31T00:00:00"/>
        <d v="2013-04-30T00:00:00"/>
        <d v="2013-03-28T00:00:00"/>
        <d v="2013-02-28T00:00:00"/>
        <d v="2013-01-31T00:00:00"/>
        <d v="2012-12-31T00:00:00"/>
        <d v="2012-11-30T00:00:00"/>
        <d v="2012-10-31T00:00:00"/>
        <d v="2012-09-28T00:00:00"/>
        <d v="2012-08-31T00:00:00"/>
        <d v="2012-07-31T00:00:00"/>
        <d v="2012-06-29T00:00:00"/>
        <d v="2012-05-31T00:00:00"/>
        <d v="2012-04-30T00:00:00"/>
        <d v="2012-03-30T00:00:00"/>
        <d v="2012-02-29T00:00:00"/>
        <d v="2012-01-31T00:00:00"/>
        <d v="2011-12-30T00:00:00"/>
        <d v="2011-11-30T00:00:00"/>
        <d v="2011-10-31T00:00:00"/>
        <d v="2011-09-30T00:00:00"/>
        <d v="2011-08-31T00:00:00"/>
        <d v="2011-07-29T00:00:00"/>
        <d v="2011-06-30T00:00:00"/>
        <d v="2011-05-31T00:00:00"/>
        <d v="2011-04-29T00:00:00"/>
        <d v="2011-03-31T00:00:00"/>
        <d v="2011-02-28T00:00:00"/>
        <d v="2011-01-31T00:00:00"/>
        <d v="2010-12-31T00:00:00"/>
        <d v="2010-11-30T00:00:00"/>
        <d v="2010-10-29T00:00:00"/>
        <d v="2010-09-30T00:00:00"/>
        <d v="2010-08-31T00:00:00"/>
        <d v="2010-07-30T00:00:00"/>
        <d v="2010-06-30T00:00:00"/>
        <d v="2010-05-28T00:00:00"/>
        <d v="2010-04-30T00:00:00"/>
        <d v="2010-03-31T00:00:00"/>
        <d v="2010-02-26T00:00:00"/>
        <d v="2010-01-29T00:00:00"/>
        <d v="2009-12-31T00:00:00"/>
        <d v="2009-11-30T00:00:00"/>
        <d v="2009-10-30T00:00:00"/>
        <d v="2009-09-30T00:00:00"/>
        <d v="2009-08-31T00:00:00"/>
        <d v="2009-07-31T00:00:00"/>
        <d v="2009-06-30T00:00:00"/>
        <d v="2009-05-29T00:00:00"/>
        <d v="2009-04-30T00:00:00"/>
        <d v="2009-03-31T00:00:00"/>
        <d v="2009-02-27T00:00:00"/>
        <d v="2009-01-30T00:00:00"/>
        <d v="2008-12-31T00:00:00"/>
        <d v="2008-11-28T00:00:00"/>
        <d v="2008-10-31T00:00:00"/>
        <d v="2008-09-30T00:00:00"/>
        <d v="2008-08-29T00:00:00"/>
        <d v="2008-07-31T00:00:00"/>
        <d v="2008-06-30T00:00:00"/>
        <d v="2008-05-30T00:00:00"/>
        <d v="2008-04-30T00:00:00"/>
        <d v="2008-03-31T00:00:00"/>
        <d v="2008-02-29T00:00:00"/>
        <d v="2008-01-31T00:00:00"/>
        <d v="2007-12-31T00:00:00"/>
        <d v="2007-11-30T00:00:00"/>
        <d v="2007-10-31T00:00:00"/>
        <d v="2007-09-28T00:00:00"/>
        <d v="2007-08-31T00:00:00"/>
        <d v="2007-07-31T00:00:00"/>
        <d v="2007-06-29T00:00:00"/>
        <d v="2007-05-31T00:00:00"/>
        <d v="2007-04-30T00:00:00"/>
        <d v="2007-03-30T00:00:00"/>
        <d v="2007-02-28T00:00:00"/>
        <d v="2007-01-31T00:00:00"/>
        <d v="2006-12-29T00:00:00"/>
        <d v="2006-11-30T00:00:00"/>
        <d v="2006-10-31T00:00:00"/>
        <d v="2006-09-29T00:00:00"/>
        <d v="2006-08-31T00:00:00"/>
        <d v="2006-07-31T00:00:00"/>
        <d v="2006-06-30T00:00:00"/>
        <d v="2006-05-31T00:00:00"/>
        <d v="2006-04-28T00:00:00"/>
        <d v="2006-03-31T00:00:00"/>
        <d v="2006-02-28T00:00:00"/>
        <d v="2006-01-31T00:00:00"/>
        <d v="2005-12-30T00:00:00"/>
        <d v="2005-11-30T00:00:00"/>
        <d v="2005-10-31T00:00:00"/>
        <d v="2005-09-30T00:00:00"/>
        <d v="2005-08-31T00:00:00"/>
        <d v="2005-07-29T00:00:00"/>
        <d v="2005-06-30T00:00:00"/>
        <d v="2005-05-31T00:00:00"/>
        <d v="2005-04-29T00:00:00"/>
        <d v="2005-03-31T00:00:00"/>
        <d v="2005-02-28T00:00:00"/>
        <d v="2005-01-31T00:00:00"/>
        <d v="2004-12-31T00:00:00"/>
        <d v="2004-11-30T00:00:00"/>
        <d v="2004-10-29T00:00:00"/>
        <d v="2004-09-30T00:00:00"/>
        <d v="2004-08-31T00:00:00"/>
        <d v="2004-07-30T00:00:00"/>
        <d v="2004-06-30T00:00:00"/>
        <d v="2004-05-28T00:00:00"/>
        <d v="2004-04-30T00:00:00"/>
        <d v="2004-03-31T00:00:00"/>
        <d v="2004-02-27T00:00:00"/>
        <d v="2004-01-30T00:00:00"/>
        <d v="2003-12-31T00:00:00"/>
        <d v="2003-11-28T00:00:00"/>
        <d v="2003-10-31T00:00:00"/>
        <d v="2003-09-30T00:00:00"/>
        <d v="2003-08-29T00:00:00"/>
        <d v="2003-07-31T00:00:00"/>
        <d v="2003-06-30T00:00:00"/>
        <d v="2003-05-30T00:00:00"/>
        <d v="2003-04-30T00:00:00"/>
        <d v="2003-03-31T00:00:00"/>
        <d v="2003-02-28T00:00:00"/>
        <d v="2003-01-31T00:00:00"/>
        <d v="2002-12-31T00:00:00"/>
        <d v="2002-11-29T00:00:00"/>
        <d v="2002-10-31T00:00:00"/>
        <d v="2002-09-30T00:00:00"/>
        <d v="2002-08-30T00:00:00"/>
        <d v="2002-07-31T00:00:00"/>
        <d v="2002-06-28T00:00:00"/>
        <d v="2002-05-31T00:00:00"/>
        <d v="2002-04-30T00:00:00"/>
        <d v="2002-03-28T00:00:00"/>
        <d v="2002-02-28T00:00:00"/>
        <d v="2002-01-31T00:00:00"/>
        <d v="2001-12-31T00:00:00"/>
        <d v="2001-11-30T00:00:00"/>
        <d v="2001-10-31T00:00:00"/>
        <d v="2001-09-28T00:00:00"/>
        <d v="2001-08-31T00:00:00"/>
        <d v="2001-07-31T00:00:00"/>
        <d v="2001-06-29T00:00:00"/>
        <d v="2001-05-31T00:00:00"/>
        <d v="2001-04-30T00:00:00"/>
        <d v="2001-03-30T00:00:00"/>
        <d v="2001-02-28T00:00:00"/>
        <d v="2001-01-31T00:00:00"/>
        <d v="2000-12-29T00:00:00"/>
        <d v="2000-11-30T00:00:00"/>
        <d v="2000-10-31T00:00:00"/>
        <d v="2000-09-29T00:00:00"/>
        <d v="2000-08-31T00:00:00"/>
        <d v="2000-07-31T00:00:00"/>
        <d v="2000-06-30T00:00:00"/>
        <d v="2000-05-31T00:00:00"/>
        <d v="2000-04-28T00:00:00"/>
        <d v="2000-03-31T00:00:00"/>
        <d v="2000-02-29T00:00:00"/>
        <d v="2000-01-31T00:00:00"/>
        <d v="1999-12-31T00:00:00"/>
        <d v="1999-11-30T00:00:00"/>
        <d v="1999-10-29T00:00:00"/>
        <d v="1999-09-30T00:00:00"/>
        <d v="1999-08-31T00:00:00"/>
        <d v="1999-07-30T00:00:00"/>
        <d v="1999-06-30T00:00:00"/>
        <d v="1999-05-28T00:00:00"/>
        <d v="1999-04-30T00:00:00"/>
        <d v="1999-03-31T00:00:00"/>
        <d v="1999-02-26T00:00:00"/>
        <d v="1999-01-29T00:00:00"/>
        <d v="1998-12-31T00:00:00"/>
        <d v="1998-11-30T00:00:00"/>
        <d v="1998-10-30T00:00:00"/>
        <d v="1998-09-30T00:00:00"/>
        <d v="1998-08-31T00:00:00"/>
        <d v="1998-07-31T00:00:00"/>
        <d v="1998-06-30T00:00:00"/>
        <d v="1998-05-29T00:00:00"/>
        <d v="1998-04-30T00:00:00"/>
        <d v="1998-03-31T00:00:00"/>
        <d v="1998-02-27T00:00:00"/>
        <d v="1998-01-30T00:00:00"/>
        <d v="1997-12-31T00:00:00"/>
        <d v="1997-11-28T00:00:00"/>
        <d v="1997-10-31T00:00:00"/>
        <d v="1997-09-30T00:00:00"/>
        <d v="1997-08-29T00:00:00"/>
        <d v="1997-07-31T00:00:00"/>
        <d v="1997-06-30T00:00:00"/>
        <d v="1997-05-30T00:00:00"/>
        <d v="1997-04-30T00:00:00"/>
        <d v="1997-03-31T00:00:00"/>
        <d v="1997-02-28T00:00:00"/>
        <d v="1997-01-31T00:00:00"/>
        <d v="1996-12-31T00:00:00"/>
        <d v="1996-11-29T00:00:00"/>
        <d v="1996-10-31T00:00:00"/>
        <d v="1996-09-30T00:00:00"/>
        <d v="1996-08-30T00:00:00"/>
        <d v="1996-07-31T00:00:00"/>
        <d v="1996-06-28T00:00:00"/>
        <d v="1996-05-31T00:00:00"/>
        <d v="1996-04-30T00:00:00"/>
        <d v="1996-03-29T00:00:00"/>
        <d v="1996-02-29T00:00:00"/>
        <d v="1996-01-31T00:00:00"/>
        <d v="1995-12-29T00:00:00"/>
        <d v="1995-11-30T00:00:00"/>
        <d v="1995-10-31T00:00:00"/>
        <d v="1995-09-29T00:00:00"/>
        <d v="1995-08-31T00:00:00"/>
        <d v="1995-07-31T00:00:00"/>
        <d v="1995-06-30T00:00:00"/>
        <d v="1995-05-31T00:00:00"/>
        <d v="1995-04-28T00:00:00"/>
        <d v="1995-03-31T00:00:00"/>
        <d v="1995-02-28T00:00:00"/>
        <d v="1995-01-31T00:00:00"/>
        <d v="1994-12-30T00:00:00"/>
        <d v="1994-11-30T00:00:00"/>
        <d v="1994-10-31T00:00:00"/>
        <d v="1994-09-30T00:00:00"/>
        <d v="1994-08-31T00:00:00"/>
        <d v="1994-07-29T00:00:00"/>
        <d v="1994-06-30T00:00:00"/>
        <d v="1994-05-31T00:00:00"/>
        <d v="1994-04-29T00:00:00"/>
        <d v="1994-03-31T00:00:00"/>
        <d v="1994-02-28T00:00:00"/>
        <d v="1994-01-31T00:00:00"/>
        <d v="1993-12-31T00:00:00"/>
        <d v="1993-11-30T00:00:00"/>
        <d v="1993-10-29T00:00:00"/>
        <d v="1993-09-30T00:00:00"/>
        <d v="1993-08-31T00:00:00"/>
        <d v="1993-07-30T00:00:00"/>
        <d v="1993-06-30T00:00:00"/>
        <d v="1993-05-28T00:00:00"/>
        <d v="1993-04-30T00:00:00"/>
        <d v="1993-03-31T00:00:00"/>
        <d v="1993-02-26T00:00:00"/>
        <d v="1993-01-29T00:00:00"/>
        <d v="1992-12-31T00:00:00"/>
        <d v="1992-11-30T00:00:00"/>
        <d v="1992-10-30T00:00:00"/>
        <d v="1992-09-30T00:00:00"/>
        <d v="1992-08-31T00:00:00"/>
        <d v="1992-07-31T00:00:00"/>
        <d v="1992-06-30T00:00:00"/>
        <d v="1992-05-29T00:00:00"/>
        <d v="1992-04-30T00:00:00"/>
        <d v="1992-03-31T00:00:00"/>
        <d v="1992-02-28T00:00:00"/>
        <d v="1992-01-31T00:00:00"/>
        <d v="1991-12-31T00:00:00"/>
        <d v="1991-11-29T00:00:00"/>
        <d v="1991-10-31T00:00:00"/>
        <d v="1991-09-30T00:00:00"/>
        <d v="1991-08-30T00:00:00"/>
        <d v="1991-07-31T00:00:00"/>
        <d v="1991-06-28T00:00:00"/>
        <d v="1991-05-31T00:00:00"/>
        <d v="1991-04-30T00:00:00"/>
        <d v="1991-03-28T00:00:00"/>
        <d v="1991-02-28T00:00:00"/>
        <d v="1991-01-31T00:00:00"/>
        <d v="1990-12-31T00:00:00"/>
        <d v="1990-11-30T00:00:00"/>
        <d v="1990-10-31T00:00:00"/>
        <d v="1990-09-28T00:00:00"/>
        <d v="1990-08-31T00:00:00"/>
        <d v="1990-07-31T00:00:00"/>
        <d v="1990-06-29T00:00:00"/>
        <d v="1990-05-31T00:00:00"/>
        <d v="1990-04-30T00:00:00"/>
        <d v="1990-03-30T00:00:00"/>
        <d v="1990-02-28T00:00:00"/>
        <d v="1990-01-31T00:00:00"/>
        <d v="1989-12-29T00:00:00"/>
        <d v="1989-11-30T00:00:00"/>
        <d v="1989-10-31T00:00:00"/>
        <d v="1989-09-29T00:00:00"/>
        <d v="1989-08-31T00:00:00"/>
        <d v="1989-07-31T00:00:00"/>
        <d v="1989-06-30T00:00:00"/>
        <d v="1989-05-31T00:00:00"/>
        <d v="1989-04-28T00:00:00"/>
        <d v="1989-03-31T00:00:00"/>
        <d v="1989-02-28T00:00:00"/>
        <d v="1989-01-31T00:00:00"/>
        <d v="1988-12-30T00:00:00"/>
        <d v="1988-11-30T00:00:00"/>
        <d v="1988-10-31T00:00:00"/>
        <d v="1988-09-30T00:00:00"/>
        <d v="1988-08-31T00:00:00"/>
        <d v="1988-07-29T00:00:00"/>
        <d v="1988-06-30T00:00:00"/>
        <d v="1988-05-31T00:00:00"/>
        <d v="1988-04-29T00:00:00"/>
        <d v="1988-03-31T00:00:00"/>
        <d v="1988-02-29T00:00:00"/>
        <d v="1988-01-29T00:00:00"/>
        <d v="1987-12-31T00:00:00"/>
        <d v="1987-11-30T00:00:00"/>
        <d v="1987-10-30T00:00:00"/>
        <d v="1987-09-30T00:00:00"/>
        <d v="1987-08-31T00:00:00"/>
        <d v="1987-07-31T00:00:00"/>
        <d v="1987-06-30T00:00:00"/>
        <d v="1987-05-29T00:00:00"/>
        <d v="1987-04-30T00:00:00"/>
        <d v="1987-03-31T00:00:00"/>
        <d v="1987-02-27T00:00:00"/>
        <d v="1987-01-30T00:00:00"/>
        <d v="1986-12-31T00:00:00"/>
        <d v="1986-11-28T00:00:00"/>
        <d v="1986-10-31T00:00:00"/>
        <d v="1986-09-30T00:00:00"/>
        <d v="1986-08-29T00:00:00"/>
        <d v="1986-07-31T00:00:00"/>
        <d v="1986-06-30T00:00:00"/>
        <d v="1986-05-30T00:00:00"/>
        <d v="1986-04-30T00:00:00"/>
        <d v="1986-03-31T00:00:00"/>
        <d v="1986-02-28T00:00:00"/>
        <d v="1986-01-31T00:00:00"/>
        <d v="1985-12-31T00:00:00"/>
        <d v="1985-11-29T00:00:00"/>
        <d v="1985-10-31T00:00:00"/>
        <d v="1985-09-30T00:00:00"/>
        <d v="1985-08-30T00:00:00"/>
        <d v="1985-07-31T00:00:00"/>
        <d v="1985-06-28T00:00:00"/>
        <d v="1985-05-31T00:00:00"/>
        <d v="1985-04-30T00:00:00"/>
        <d v="1985-03-29T00:00:00"/>
        <d v="1985-02-28T00:00:00"/>
        <d v="1985-01-31T00:00:00"/>
        <d v="1984-12-31T00:00:00"/>
        <d v="1984-11-30T00:00:00"/>
        <d v="1984-10-31T00:00:00"/>
        <d v="1984-09-28T00:00:00"/>
        <d v="1984-08-31T00:00:00"/>
        <d v="1984-07-31T00:00:00"/>
        <d v="1984-06-29T00:00:00"/>
        <d v="1984-05-31T00:00:00"/>
        <d v="1984-04-30T00:00:00"/>
        <d v="1984-03-30T00:00:00"/>
        <d v="1984-02-29T00:00:00"/>
        <d v="1984-01-31T00:00:00"/>
        <d v="1983-12-30T00:00:00"/>
        <d v="1983-11-30T00:00:00"/>
        <d v="1983-10-31T00:00:00"/>
        <d v="1983-09-30T00:00:00"/>
        <d v="1983-08-31T00:00:00"/>
        <d v="1983-07-29T00:00:00"/>
        <d v="1983-06-30T00:00:00"/>
        <d v="1983-05-31T00:00:00"/>
        <d v="1983-04-29T00:00:00"/>
        <d v="1983-03-31T00:00:00"/>
        <d v="1983-02-28T00:00:00"/>
        <d v="1983-01-31T00:00:00"/>
        <d v="1982-12-31T00:00:00"/>
        <d v="1982-11-30T00:00:00"/>
        <d v="1982-10-29T00:00:00"/>
        <d v="1982-09-30T00:00:00"/>
        <d v="1982-08-31T00:00:00"/>
        <d v="1982-07-30T00:00:00"/>
        <d v="1982-06-30T00:00:00"/>
        <d v="1982-05-28T00:00:00"/>
        <d v="1982-04-30T00:00:00"/>
        <d v="1982-03-31T00:00:00"/>
        <d v="1982-02-26T00:00:00"/>
        <d v="1982-01-29T00:00:00"/>
        <d v="1981-12-31T00:00:00"/>
        <d v="1981-11-30T00:00:00"/>
        <d v="1981-10-30T00:00:00"/>
        <d v="1981-09-30T00:00:00"/>
        <d v="1981-08-31T00:00:00"/>
        <d v="1981-07-31T00:00:00"/>
        <d v="1981-06-30T00:00:00"/>
        <d v="1981-05-29T00:00:00"/>
        <d v="1981-04-30T00:00:00"/>
        <d v="1981-03-31T00:00:00"/>
        <d v="1981-02-27T00:00:00"/>
        <d v="1981-01-30T00:00:00"/>
        <d v="1980-12-31T00:00:00"/>
        <d v="1980-11-28T00:00:00"/>
        <d v="1980-10-31T00:00:00"/>
        <d v="1980-09-30T00:00:00"/>
        <d v="1980-08-29T00:00:00"/>
        <d v="1980-07-31T00:00:00"/>
        <d v="1980-06-30T00:00:00"/>
        <d v="1980-05-30T00:00:00"/>
        <d v="1980-04-30T00:00:00"/>
        <d v="1980-03-31T00:00:00"/>
        <d v="1980-02-29T00:00:00"/>
        <d v="1980-01-31T00:00:00"/>
        <d v="1979-12-31T00:00:00"/>
        <d v="1979-11-30T00:00:00"/>
        <d v="1979-10-31T00:00:00"/>
        <d v="1979-09-28T00:00:00"/>
        <d v="1979-08-31T00:00:00"/>
        <d v="1979-07-31T00:00:00"/>
        <d v="1979-06-29T00:00:00"/>
        <d v="1979-05-31T00:00:00"/>
        <d v="1979-04-30T00:00:00"/>
        <d v="1979-03-30T00:00:00"/>
        <d v="1979-02-28T00:00:00"/>
        <d v="1979-01-31T00:00:00"/>
        <d v="1978-12-29T00:00:00"/>
        <d v="1978-11-30T00:00:00"/>
        <d v="1978-10-31T00:00:00"/>
        <d v="1978-09-29T00:00:00"/>
        <d v="1978-08-31T00:00:00"/>
        <d v="1978-07-31T00:00:00"/>
        <d v="1978-06-30T00:00:00"/>
        <d v="1978-05-31T00:00:00"/>
        <d v="1978-04-28T00:00:00"/>
        <d v="1978-03-31T00:00:00"/>
        <d v="1978-02-28T00:00:00"/>
        <d v="1978-01-31T00:00:00"/>
        <d v="1977-12-30T00:00:00"/>
        <d v="1977-11-30T00:00:00"/>
        <d v="1977-10-31T00:00:00"/>
        <d v="1977-09-30T00:00:00"/>
        <d v="1977-08-31T00:00:00"/>
        <d v="1977-07-29T00:00:00"/>
        <d v="1977-06-30T00:00:00"/>
        <d v="1977-05-31T00:00:00"/>
        <d v="1977-04-29T00:00:00"/>
        <d v="1977-03-31T00:00:00"/>
        <d v="1977-02-28T00:00:00"/>
        <d v="1977-01-31T00:00:00"/>
        <d v="1976-12-31T00:00:00"/>
        <d v="1976-11-30T00:00:00"/>
        <d v="1976-10-29T00:00:00"/>
        <d v="1976-09-30T00:00:00"/>
        <d v="1976-08-31T00:00:00"/>
        <d v="1976-07-30T00:00:00"/>
        <d v="1976-06-30T00:00:00"/>
        <d v="1976-05-28T00:00:00"/>
        <d v="1976-04-30T00:00:00"/>
        <d v="1976-03-31T00:00:00"/>
        <d v="1976-02-27T00:00:00"/>
        <d v="1976-01-30T00:00:00"/>
        <d v="1975-12-31T00:00:00"/>
        <d v="1975-11-28T00:00:00"/>
        <d v="1975-10-31T00:00:00"/>
        <d v="1975-09-30T00:00:00"/>
        <d v="1975-08-29T00:00:00"/>
        <d v="1975-07-31T00:00:00"/>
        <d v="1975-06-30T00:00:00"/>
        <d v="1975-05-30T00:00:00"/>
        <d v="1975-04-30T00:00:00"/>
        <d v="1975-03-31T00:00:00"/>
        <d v="1975-02-28T00:00:00"/>
        <d v="1975-01-31T00:00:00"/>
        <d v="1974-12-31T00:00:00"/>
        <d v="1974-11-29T00:00:00"/>
        <d v="1974-10-31T00:00:00"/>
        <d v="1974-09-30T00:00:00"/>
        <d v="1974-08-30T00:00:00"/>
        <d v="1974-07-31T00:00:00"/>
        <d v="1974-06-28T00:00:00"/>
        <d v="1974-05-31T00:00:00"/>
        <d v="1974-04-30T00:00:00"/>
        <d v="1974-03-29T00:00:00"/>
        <d v="1974-02-28T00:00:00"/>
        <d v="1974-01-31T00:00:00"/>
        <d v="1973-12-31T00:00:00"/>
        <d v="1973-11-30T00:00:00"/>
        <d v="1973-10-31T00:00:00"/>
        <d v="1973-09-28T00:00:00"/>
        <d v="1973-08-31T00:00:00"/>
        <d v="1973-07-31T00:00:00"/>
        <d v="1973-06-29T00:00:00"/>
        <d v="1973-05-31T00:00:00"/>
        <d v="1973-04-30T00:00:00"/>
        <d v="1973-03-30T00:00:00"/>
        <d v="1973-02-28T00:00:00"/>
        <d v="1973-01-31T00:00:00"/>
        <d v="1972-12-29T00:00:00"/>
        <d v="1972-11-30T00:00:00"/>
        <d v="1972-10-31T00:00:00"/>
        <d v="1972-09-29T00:00:00"/>
        <d v="1972-08-31T00:00:00"/>
        <d v="1972-07-31T00:00:00"/>
        <d v="1972-06-30T00:00:00"/>
        <d v="1972-05-31T00:00:00"/>
        <d v="1972-04-28T00:00:00"/>
        <d v="1972-03-30T00:00:00"/>
        <d v="1972-02-29T00:00:00"/>
        <d v="1972-01-31T00:00:00"/>
        <d v="1971-12-31T00:00:00"/>
        <d v="1971-11-30T00:00:00"/>
        <d v="1971-10-29T00:00:00"/>
        <d v="1971-09-30T00:00:00"/>
        <d v="1971-08-31T00:00:00"/>
        <d v="1971-07-30T00:00:00"/>
        <d v="1971-06-30T00:00:00"/>
        <d v="1971-05-28T00:00:00"/>
        <d v="1971-04-30T00:00:00"/>
        <d v="1971-03-31T00:00:00"/>
        <d v="1971-02-26T00:00:00"/>
        <d v="1971-01-29T00:00:00"/>
        <d v="1970-12-31T00:00:00"/>
        <d v="1970-11-30T00:00:00"/>
        <d v="1970-10-30T00:00:00"/>
        <d v="1970-09-30T00:00:00"/>
        <d v="1970-08-31T00:00:00"/>
        <d v="1970-07-31T00:00:00"/>
        <d v="1970-06-30T00:00:00"/>
        <d v="1970-05-29T00:00:00"/>
        <d v="1970-04-30T00:00:00"/>
        <d v="1970-03-31T00:00:00"/>
        <d v="1970-02-27T00:00:00"/>
        <d v="1970-01-30T00:00:00"/>
        <d v="1969-12-31T00:00:00"/>
        <d v="1969-11-28T00:00:00"/>
        <d v="1969-10-31T00:00:00"/>
        <d v="1969-09-30T00:00:00"/>
        <d v="1969-08-29T00:00:00"/>
        <d v="1969-07-31T00:00:00"/>
        <d v="1969-06-30T00:00:00"/>
        <d v="1969-05-29T00:00:00"/>
        <d v="1969-04-30T00:00:00"/>
        <d v="1969-03-28T00:00:00"/>
        <d v="1969-02-28T00:00:00"/>
        <d v="1969-01-31T00:00:00"/>
        <d v="1968-12-31T00:00:00"/>
        <d v="1968-11-29T00:00:00"/>
        <d v="1968-10-31T00:00:00"/>
        <d v="1968-09-30T00:00:00"/>
        <d v="1968-08-30T00:00:00"/>
        <d v="1968-07-30T00:00:00"/>
        <d v="1968-06-28T00:00:00"/>
        <d v="1968-05-31T00:00:00"/>
        <d v="1968-04-30T00:00:00"/>
        <d v="1968-03-29T00:00:00"/>
        <d v="1968-02-29T00:00:00"/>
        <d v="1968-01-31T00:00:00"/>
        <d v="1967-12-29T00:00:00"/>
        <d v="1967-11-30T00:00:00"/>
        <d v="1967-10-31T00:00:00"/>
        <d v="1967-09-29T00:00:00"/>
        <d v="1967-08-31T00:00:00"/>
        <d v="1967-07-31T00:00:00"/>
        <d v="1967-06-30T00:00:00"/>
        <d v="1967-05-31T00:00:00"/>
        <d v="1967-04-28T00:00:00"/>
        <d v="1967-03-31T00:00:00"/>
        <d v="1967-02-28T00:00:00"/>
        <d v="1967-01-31T00:00:00"/>
        <d v="1966-12-30T00:00:00"/>
        <d v="1966-11-30T00:00:00"/>
        <d v="1966-10-31T00:00:00"/>
        <d v="1966-09-30T00:00:00"/>
        <d v="1966-08-31T00:00:00"/>
        <d v="1966-07-29T00:00:00"/>
        <d v="1966-06-30T00:00:00"/>
        <d v="1966-05-31T00:00:00"/>
        <d v="1966-04-29T00:00:00"/>
        <d v="1966-03-31T00:00:00"/>
        <d v="1966-02-28T00:00:00"/>
        <d v="1966-01-31T00:00:00"/>
        <d v="1965-12-31T00:00:00"/>
        <d v="1965-11-30T00:00:00"/>
        <d v="1965-10-29T00:00:00"/>
        <d v="1965-09-30T00:00:00"/>
        <d v="1965-08-31T00:00:00"/>
        <d v="1965-07-30T00:00:00"/>
        <d v="1965-06-30T00:00:00"/>
        <d v="1965-05-28T00:00:00"/>
        <d v="1965-04-30T00:00:00"/>
        <d v="1965-03-31T00:00:00"/>
        <d v="1965-02-26T00:00:00"/>
        <d v="1965-01-29T00:00:00"/>
        <d v="1964-12-31T00:00:00"/>
        <d v="1964-11-30T00:00:00"/>
        <d v="1964-10-30T00:00:00"/>
        <d v="1964-09-30T00:00:00"/>
        <d v="1964-08-31T00:00:00"/>
        <d v="1964-07-31T00:00:00"/>
        <d v="1964-06-30T00:00:00"/>
        <d v="1964-05-28T00:00:00"/>
        <d v="1964-04-30T00:00:00"/>
        <d v="1964-03-31T00:00:00"/>
        <d v="1964-02-28T00:00:00"/>
        <d v="1964-01-31T00:00:00"/>
        <d v="1963-12-31T00:00:00"/>
        <d v="1963-11-29T00:00:00"/>
        <d v="1963-10-31T00:00:00"/>
        <d v="1963-09-30T00:00:00"/>
        <d v="1963-08-30T00:00:00"/>
        <d v="1963-07-31T00:00:00"/>
        <d v="1963-06-28T00:00:00"/>
        <d v="1963-05-31T00:00:00"/>
        <d v="1963-04-30T00:00:00"/>
        <d v="1963-03-29T00:00:00"/>
        <d v="1963-02-28T00:00:00"/>
        <d v="1963-01-31T00:00:00"/>
        <d v="1962-12-31T00:00:00"/>
        <d v="1962-11-30T00:00:00"/>
        <d v="1962-10-31T00:00:00"/>
        <d v="1962-09-28T00:00:00"/>
        <d v="1962-08-31T00:00:00"/>
        <d v="1962-07-31T00:00:00"/>
        <d v="1962-06-29T00:00:00"/>
        <d v="1962-05-31T00:00:00"/>
        <d v="1962-04-30T00:00:00"/>
        <d v="1962-03-30T00:00:00"/>
        <d v="1962-02-28T00:00:00"/>
        <d v="1962-01-31T00:00:00"/>
        <d v="1961-12-29T00:00:00"/>
        <d v="1961-11-30T00:00:00"/>
        <d v="1961-10-31T00:00:00"/>
        <d v="1961-09-29T00:00:00"/>
        <d v="1961-08-31T00:00:00"/>
        <d v="1961-07-31T00:00:00"/>
        <d v="1961-06-30T00:00:00"/>
        <d v="1961-05-31T00:00:00"/>
        <d v="1961-04-28T00:00:00"/>
        <d v="1961-03-30T00:00:00"/>
        <d v="1961-02-28T00:00:00"/>
        <d v="1961-01-31T00:00:00"/>
        <d v="1960-12-30T00:00:00"/>
        <d v="1960-11-30T00:00:00"/>
        <d v="1960-10-31T00:00:00"/>
        <d v="1960-09-30T00:00:00"/>
        <d v="1960-08-31T00:00:00"/>
        <d v="1960-07-29T00:00:00"/>
        <d v="1960-06-30T00:00:00"/>
        <d v="1960-05-31T00:00:00"/>
        <d v="1960-04-29T00:00:00"/>
        <d v="1960-03-31T00:00:00"/>
        <d v="1960-02-29T00:00:00"/>
        <d v="1960-01-29T00:00:00"/>
        <d v="1959-12-31T00:00:00"/>
        <d v="1959-11-30T00:00:00"/>
        <d v="1959-10-30T00:00:00"/>
        <d v="1959-09-30T00:00:00"/>
        <d v="1959-08-31T00:00:00"/>
        <d v="1959-07-31T00:00:00"/>
        <d v="1959-06-30T00:00:00"/>
        <d v="1959-05-29T00:00:00"/>
        <d v="1959-04-30T00:00:00"/>
        <d v="1959-03-31T00:00:00"/>
        <d v="1959-02-27T00:00:00"/>
        <d v="1959-01-30T00:00:00"/>
        <d v="1958-12-31T00:00:00"/>
        <d v="1958-11-28T00:00:00"/>
        <d v="1958-10-31T00:00:00"/>
        <d v="1958-09-30T00:00:00"/>
        <d v="1958-08-29T00:00:00"/>
        <d v="1958-07-31T00:00:00"/>
        <d v="1958-06-30T00:00:00"/>
        <d v="1958-05-29T00:00:00"/>
        <d v="1958-04-30T00:00:00"/>
        <d v="1958-03-31T00:00:00"/>
        <d v="1958-02-28T00:00:00"/>
        <d v="1958-01-31T00:00:00"/>
        <d v="1957-12-31T00:00:00"/>
        <d v="1957-11-29T00:00:00"/>
        <d v="1957-10-31T00:00:00"/>
        <d v="1957-09-30T00:00:00"/>
        <d v="1957-08-30T00:00:00"/>
        <d v="1957-07-31T00:00:00"/>
        <d v="1957-06-28T00:00:00"/>
        <d v="1957-05-31T00:00:00"/>
        <d v="1957-04-30T00:00:00"/>
        <d v="1957-03-29T00:00:00"/>
        <d v="1957-02-28T00:00:00"/>
        <d v="1957-01-31T00:00:00"/>
        <d v="1956-12-31T00:00:00"/>
        <d v="1956-11-30T00:00:00"/>
        <d v="1956-10-31T00:00:00"/>
        <d v="1956-09-28T00:00:00"/>
        <d v="1956-08-31T00:00:00"/>
        <d v="1956-07-31T00:00:00"/>
        <d v="1956-06-29T00:00:00"/>
        <d v="1956-05-31T00:00:00"/>
        <d v="1956-04-30T00:00:00"/>
        <d v="1956-03-29T00:00:00"/>
        <d v="1956-02-29T00:00:00"/>
        <d v="1956-01-31T00:00:00"/>
        <d v="1955-12-30T00:00:00"/>
        <d v="1955-11-30T00:00:00"/>
        <d v="1955-10-31T00:00:00"/>
        <d v="1955-09-30T00:00:00"/>
        <d v="1955-08-31T00:00:00"/>
        <d v="1955-07-29T00:00:00"/>
        <d v="1955-06-30T00:00:00"/>
        <d v="1955-05-31T00:00:00"/>
        <d v="1955-04-29T00:00:00"/>
        <d v="1955-03-31T00:00:00"/>
        <d v="1955-02-28T00:00:00"/>
        <d v="1955-01-31T00:00:00"/>
        <d v="1954-12-31T00:00:00"/>
        <d v="1954-11-30T00:00:00"/>
        <d v="1954-10-29T00:00:00"/>
        <d v="1954-09-30T00:00:00"/>
        <d v="1954-08-31T00:00:00"/>
        <d v="1954-07-30T00:00:00"/>
        <d v="1954-06-30T00:00:00"/>
        <d v="1954-05-28T00:00:00"/>
        <d v="1954-04-30T00:00:00"/>
        <d v="1954-03-31T00:00:00"/>
        <d v="1954-02-26T00:00:00"/>
        <d v="1954-01-29T00:00:00"/>
        <d v="1953-12-31T00:00:00"/>
        <d v="1953-11-30T00:00:00"/>
        <d v="1953-10-30T00:00:00"/>
        <d v="1953-09-30T00:00:00"/>
        <d v="1953-08-31T00:00:00"/>
        <d v="1953-07-31T00:00:00"/>
        <d v="1953-06-30T00:00:00"/>
        <d v="1953-05-29T00:00:00"/>
        <d v="1953-04-30T00:00:00"/>
        <d v="1953-03-31T00:00:00"/>
        <d v="1953-02-27T00:00:00"/>
        <d v="1953-01-30T00:00:00"/>
        <d v="1952-12-31T00:00:00"/>
        <d v="1952-11-28T00:00:00"/>
        <d v="1952-10-31T00:00:00"/>
        <d v="1952-09-30T00:00:00"/>
        <d v="1952-08-29T00:00:00"/>
        <d v="1952-07-31T00:00:00"/>
        <d v="1952-06-30T00:00:00"/>
        <d v="1952-05-29T00:00:00"/>
        <d v="1952-04-30T00:00:00"/>
        <d v="1952-03-31T00:00:00"/>
        <d v="1952-02-29T00:00:00"/>
        <d v="1952-01-31T00:00:00"/>
        <d v="1951-12-31T00:00:00"/>
        <d v="1951-11-30T00:00:00"/>
        <d v="1951-10-31T00:00:00"/>
        <d v="1951-09-28T00:00:00"/>
        <d v="1951-08-31T00:00:00"/>
        <d v="1951-07-31T00:00:00"/>
        <d v="1951-06-29T00:00:00"/>
        <d v="1951-05-31T00:00:00"/>
        <d v="1951-04-30T00:00:00"/>
        <d v="1951-03-30T00:00:00"/>
        <d v="1951-02-28T00:00:00"/>
        <d v="1951-01-31T00:00:00"/>
        <d v="1950-12-29T00:00:00"/>
        <d v="1950-11-30T00:00:00"/>
        <d v="1950-10-31T00:00:00"/>
        <d v="1950-09-29T00:00:00"/>
        <d v="1950-08-31T00:00:00"/>
        <d v="1950-07-31T00:00:00"/>
        <d v="1950-06-30T00:00:00"/>
        <d v="1950-05-31T00:00:00"/>
        <d v="1950-04-28T00:00:00"/>
        <d v="1950-03-31T00:00:00"/>
        <d v="1950-02-28T00:00:00"/>
        <d v="1950-01-31T00:00:00"/>
        <d v="1949-12-30T00:00:00"/>
        <d v="1949-11-30T00:00:00"/>
        <d v="1949-10-31T00:00:00"/>
        <d v="1949-09-30T00:00:00"/>
        <d v="1949-08-31T00:00:00"/>
        <d v="1949-07-29T00:00:00"/>
        <d v="1949-06-30T00:00:00"/>
        <d v="1949-05-31T00:00:00"/>
        <d v="1949-04-29T00:00:00"/>
        <d v="1949-03-31T00:00:00"/>
        <d v="1949-02-28T00:00:00"/>
        <d v="1949-01-31T00:00:00"/>
        <d v="1948-12-31T00:00:00"/>
        <d v="1948-11-30T00:00:00"/>
        <d v="1948-10-29T00:00:00"/>
        <d v="1948-09-30T00:00:00"/>
        <d v="1948-08-31T00:00:00"/>
        <d v="1948-07-30T00:00:00"/>
        <d v="1948-06-30T00:00:00"/>
        <d v="1948-05-28T00:00:00"/>
        <d v="1948-04-30T00:00:00"/>
        <d v="1948-03-31T00:00:00"/>
        <d v="1948-02-27T00:00:00"/>
        <d v="1948-01-30T00:00:00"/>
        <d v="1947-12-31T00:00:00"/>
        <d v="1947-11-28T00:00:00"/>
        <d v="1947-10-31T00:00:00"/>
        <d v="1947-09-30T00:00:00"/>
        <d v="1947-08-29T00:00:00"/>
        <d v="1947-07-31T00:00:00"/>
        <d v="1947-06-30T00:00:00"/>
        <d v="1947-05-29T00:00:00"/>
        <d v="1947-04-30T00:00:00"/>
        <d v="1947-03-31T00:00:00"/>
        <d v="1947-02-28T00:00:00"/>
        <d v="1947-01-31T00:00:00"/>
        <d v="1946-12-31T00:00:00"/>
        <d v="1946-11-29T00:00:00"/>
        <d v="1946-10-31T00:00:00"/>
        <d v="1946-09-30T00:00:00"/>
        <d v="1946-08-30T00:00:00"/>
        <d v="1946-07-31T00:00:00"/>
        <d v="1946-06-28T00:00:00"/>
        <d v="1946-05-31T00:00:00"/>
        <d v="1946-04-30T00:00:00"/>
        <d v="1946-03-29T00:00:00"/>
        <d v="1946-02-28T00:00:00"/>
        <d v="1946-01-31T00:00:00"/>
        <d v="1945-12-31T00:00:00"/>
        <d v="1945-11-30T00:00:00"/>
        <d v="1945-10-31T00:00:00"/>
        <d v="1945-09-28T00:00:00"/>
        <d v="1945-08-31T00:00:00"/>
        <d v="1945-07-31T00:00:00"/>
        <d v="1945-06-29T00:00:00"/>
        <d v="1945-05-31T00:00:00"/>
        <d v="1945-04-30T00:00:00"/>
        <d v="1945-03-29T00:00:00"/>
        <d v="1945-02-28T00:00:00"/>
        <d v="1945-01-31T00:00:00"/>
        <d v="1944-12-29T00:00:00"/>
        <d v="1944-11-30T00:00:00"/>
        <d v="1944-10-31T00:00:00"/>
        <d v="1944-09-29T00:00:00"/>
        <d v="1944-08-31T00:00:00"/>
        <d v="1944-07-31T00:00:00"/>
        <d v="1944-06-30T00:00:00"/>
        <d v="1944-05-31T00:00:00"/>
        <d v="1944-04-28T00:00:00"/>
        <d v="1944-03-31T00:00:00"/>
        <d v="1944-02-29T00:00:00"/>
        <d v="1944-01-31T00:00:00"/>
        <d v="1943-12-31T00:00:00"/>
        <d v="1943-11-30T00:00:00"/>
        <d v="1943-10-29T00:00:00"/>
        <d v="1943-09-30T00:00:00"/>
        <d v="1943-08-31T00:00:00"/>
        <d v="1943-07-30T00:00:00"/>
        <d v="1943-06-30T00:00:00"/>
        <d v="1943-05-28T00:00:00"/>
        <d v="1943-04-30T00:00:00"/>
        <d v="1943-03-31T00:00:00"/>
        <d v="1943-02-26T00:00:00"/>
        <d v="1943-01-29T00:00:00"/>
        <d v="1942-12-31T00:00:00"/>
        <d v="1942-11-30T00:00:00"/>
        <d v="1942-10-30T00:00:00"/>
        <d v="1942-09-30T00:00:00"/>
        <d v="1942-08-31T00:00:00"/>
        <d v="1942-07-31T00:00:00"/>
        <d v="1942-06-30T00:00:00"/>
        <d v="1942-05-29T00:00:00"/>
        <d v="1942-04-30T00:00:00"/>
        <d v="1942-03-31T00:00:00"/>
        <d v="1942-02-27T00:00:00"/>
        <d v="1942-01-30T00:00:00"/>
        <d v="1941-12-31T00:00:00"/>
        <d v="1941-11-28T00:00:00"/>
        <d v="1941-10-31T00:00:00"/>
        <d v="1941-09-30T00:00:00"/>
        <d v="1941-08-29T00:00:00"/>
        <d v="1941-07-31T00:00:00"/>
        <d v="1941-06-30T00:00:00"/>
        <d v="1941-05-29T00:00:00"/>
        <d v="1941-04-30T00:00:00"/>
        <d v="1941-03-31T00:00:00"/>
        <d v="1941-02-28T00:00:00"/>
        <d v="1941-01-31T00:00:00"/>
        <d v="1940-12-31T00:00:00"/>
        <d v="1940-11-29T00:00:00"/>
        <d v="1940-10-31T00:00:00"/>
        <d v="1940-09-30T00:00:00"/>
        <d v="1940-08-30T00:00:00"/>
        <d v="1940-07-31T00:00:00"/>
        <d v="1940-06-28T00:00:00"/>
        <d v="1940-05-31T00:00:00"/>
        <d v="1940-04-30T00:00:00"/>
        <d v="1940-03-29T00:00:00"/>
        <d v="1940-02-29T00:00:00"/>
        <d v="1940-01-31T00:00:00"/>
        <d v="1939-12-29T00:00:00"/>
        <d v="1939-11-30T00:00:00"/>
        <d v="1939-10-31T00:00:00"/>
        <d v="1939-09-29T00:00:00"/>
        <d v="1939-08-31T00:00:00"/>
        <d v="1939-07-31T00:00:00"/>
        <d v="1939-06-30T00:00:00"/>
        <d v="1939-05-31T00:00:00"/>
        <d v="1939-04-28T00:00:00"/>
        <d v="1939-03-31T00:00:00"/>
        <d v="1939-02-28T00:00:00"/>
        <d v="1939-01-31T00:00:00"/>
        <d v="1938-12-30T00:00:00"/>
        <d v="1938-11-30T00:00:00"/>
        <d v="1938-10-31T00:00:00"/>
        <d v="1938-09-30T00:00:00"/>
        <d v="1938-08-31T00:00:00"/>
        <d v="1938-07-29T00:00:00"/>
        <d v="1938-06-30T00:00:00"/>
        <d v="1938-05-31T00:00:00"/>
        <d v="1938-04-29T00:00:00"/>
        <d v="1938-03-31T00:00:00"/>
        <d v="1938-02-28T00:00:00"/>
        <d v="1938-01-31T00:00:00"/>
        <d v="1937-12-31T00:00:00"/>
        <d v="1937-11-30T00:00:00"/>
        <d v="1937-10-29T00:00:00"/>
        <d v="1937-09-30T00:00:00"/>
        <d v="1937-08-31T00:00:00"/>
        <d v="1937-07-30T00:00:00"/>
        <d v="1937-06-30T00:00:00"/>
        <d v="1937-05-28T00:00:00"/>
        <d v="1937-04-30T00:00:00"/>
        <d v="1937-03-31T00:00:00"/>
        <d v="1937-02-26T00:00:00"/>
        <d v="1937-01-29T00:00:00"/>
        <d v="1936-12-31T00:00:00"/>
        <d v="1936-11-30T00:00:00"/>
        <d v="1936-10-30T00:00:00"/>
        <d v="1936-09-30T00:00:00"/>
        <d v="1936-08-31T00:00:00"/>
        <d v="1936-07-31T00:00:00"/>
        <d v="1936-06-30T00:00:00"/>
        <d v="1936-05-29T00:00:00"/>
        <d v="1936-04-30T00:00:00"/>
        <d v="1936-03-31T00:00:00"/>
        <d v="1936-02-28T00:00:00"/>
        <d v="1936-01-31T00:00:00"/>
        <d v="1935-12-31T00:00:00"/>
        <d v="1935-11-29T00:00:00"/>
        <d v="1935-10-31T00:00:00"/>
        <d v="1935-09-30T00:00:00"/>
        <d v="1935-08-30T00:00:00"/>
        <d v="1935-07-31T00:00:00"/>
        <d v="1935-06-28T00:00:00"/>
        <d v="1935-05-31T00:00:00"/>
        <d v="1935-04-30T00:00:00"/>
        <d v="1935-03-29T00:00:00"/>
        <d v="1935-02-28T00:00:00"/>
        <d v="1935-01-31T00:00:00"/>
        <d v="1934-12-31T00:00:00"/>
        <d v="1934-11-30T00:00:00"/>
        <d v="1934-10-31T00:00:00"/>
        <d v="1934-09-28T00:00:00"/>
        <d v="1934-08-31T00:00:00"/>
        <d v="1934-07-31T00:00:00"/>
        <d v="1934-06-29T00:00:00"/>
        <d v="1934-05-31T00:00:00"/>
        <d v="1934-04-30T00:00:00"/>
        <d v="1934-03-29T00:00:00"/>
        <d v="1934-02-28T00:00:00"/>
        <d v="1934-01-31T00:00:00"/>
        <d v="1933-12-29T00:00:00"/>
        <d v="1933-11-29T00:00:00"/>
        <d v="1933-10-31T00:00:00"/>
        <d v="1933-09-29T00:00:00"/>
        <d v="1933-08-31T00:00:00"/>
        <d v="1933-07-31T00:00:00"/>
        <d v="1933-06-30T00:00:00"/>
        <d v="1933-05-31T00:00:00"/>
        <d v="1933-04-28T00:00:00"/>
        <d v="1933-03-31T00:00:00"/>
        <d v="1933-02-28T00:00:00"/>
        <d v="1933-01-31T00:00:00"/>
        <d v="1932-12-30T00:00:00"/>
        <d v="1932-11-30T00:00:00"/>
        <d v="1932-10-31T00:00:00"/>
        <d v="1932-09-30T00:00:00"/>
        <d v="1932-08-31T00:00:00"/>
        <d v="1932-07-29T00:00:00"/>
        <d v="1932-06-30T00:00:00"/>
        <d v="1932-05-31T00:00:00"/>
        <d v="1932-04-29T00:00:00"/>
        <d v="1932-03-31T00:00:00"/>
        <d v="1932-02-29T00:00:00"/>
        <d v="1932-01-29T00:00:00"/>
        <d v="1931-12-31T00:00:00"/>
        <d v="1931-11-30T00:00:00"/>
        <d v="1931-10-30T00:00:00"/>
        <d v="1931-09-30T00:00:00"/>
        <d v="1931-08-31T00:00:00"/>
        <d v="1931-07-31T00:00:00"/>
        <d v="1931-06-30T00:00:00"/>
        <d v="1931-05-29T00:00:00"/>
        <d v="1931-04-30T00:00:00"/>
        <d v="1931-03-31T00:00:00"/>
        <d v="1931-02-27T00:00:00"/>
        <d v="1931-01-30T00:00:00"/>
        <d v="1930-12-31T00:00:00"/>
        <d v="1930-11-28T00:00:00"/>
        <d v="1930-10-31T00:00:00"/>
        <d v="1930-09-30T00:00:00"/>
        <d v="1930-08-29T00:00:00"/>
        <d v="1930-07-31T00:00:00"/>
        <d v="1930-06-30T00:00:00"/>
        <d v="1930-05-29T00:00:00"/>
        <d v="1930-04-30T00:00:00"/>
        <d v="1930-03-31T00:00:00"/>
        <d v="1930-02-28T00:00:00"/>
        <d v="1930-01-31T00:00:00"/>
        <d v="1929-12-31T00:00:00"/>
        <d v="1929-11-27T00:00:00"/>
        <d v="1929-10-31T00:00:00"/>
        <d v="1929-09-30T00:00:00"/>
        <d v="1929-08-30T00:00:00"/>
        <d v="1929-07-31T00:00:00"/>
        <d v="1929-06-28T00:00:00"/>
        <d v="1929-05-31T00:00:00"/>
        <d v="1929-04-30T00:00:00"/>
        <d v="1929-03-28T00:00:00"/>
        <d v="1929-02-28T00:00:00"/>
        <d v="1929-01-31T00:00:00"/>
        <d v="1928-12-31T00:00:00"/>
        <d v="1928-11-30T00:00:00"/>
        <d v="1928-10-31T00:00:00"/>
        <d v="1928-09-28T00:00:00"/>
        <d v="1928-08-31T00:00:00"/>
        <d v="1928-07-31T00:00:00"/>
        <d v="1928-06-29T00:00:00"/>
        <d v="1928-05-31T00:00:00"/>
        <d v="1928-04-30T00:00:00"/>
        <d v="1928-03-30T00:00:00"/>
        <d v="1928-02-29T00:00:00"/>
        <d v="1928-01-31T00:00:00"/>
      </sharedItems>
      <fieldGroup par="6" base="0">
        <rangePr groupBy="months" startDate="1928-01-31T00:00:00" endDate="2022-10-01T00:00:00"/>
        <groupItems count="14">
          <s v="&lt;1/31/192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2"/>
        </groupItems>
      </fieldGroup>
    </cacheField>
    <cacheField name="Returns" numFmtId="164">
      <sharedItems containsSemiMixedTypes="0" containsString="0" containsNumber="1" minValue="-0.29942279942279898" maxValue="0.391376451077944"/>
    </cacheField>
    <cacheField name="Color" numFmtId="0">
      <sharedItems/>
    </cacheField>
    <cacheField name="Positive" numFmtId="0">
      <sharedItems containsSemiMixedTypes="0" containsString="0" containsNumber="1" containsInteger="1" minValue="0" maxValue="1"/>
    </cacheField>
    <cacheField name="Month" numFmtId="0">
      <sharedItems containsSemiMixedTypes="0" containsString="0" containsNumber="1" containsInteger="1" minValue="1" maxValue="12" count="12">
        <n v="9"/>
        <n v="8"/>
        <n v="7"/>
        <n v="6"/>
        <n v="5"/>
        <n v="4"/>
        <n v="3"/>
        <n v="2"/>
        <n v="1"/>
        <n v="12"/>
        <n v="11"/>
        <n v="10"/>
      </sharedItems>
    </cacheField>
    <cacheField name="Quarters" numFmtId="0" databaseField="0">
      <fieldGroup base="0">
        <rangePr groupBy="quarters" startDate="1928-01-31T00:00:00" endDate="2022-10-01T00:00:00"/>
        <groupItems count="6">
          <s v="&lt;1/31/1928"/>
          <s v="Qtr1"/>
          <s v="Qtr2"/>
          <s v="Qtr3"/>
          <s v="Qtr4"/>
          <s v="&gt;10/1/2022"/>
        </groupItems>
      </fieldGroup>
    </cacheField>
    <cacheField name="Years" numFmtId="0" databaseField="0">
      <fieldGroup base="0">
        <rangePr groupBy="years" startDate="1928-01-31T00:00:00" endDate="2022-10-01T00:00:00"/>
        <groupItems count="97">
          <s v="&lt;1/31/1928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0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36684837961" createdVersion="8" refreshedVersion="8" minRefreshableVersion="3" recordCount="1137" xr:uid="{BE24E4FD-2589-4ADC-BC2D-CEE7B1DEDD52}">
  <cacheSource type="worksheet">
    <worksheetSource ref="A1:C1139" sheet="Monthly"/>
  </cacheSource>
  <cacheFields count="5">
    <cacheField name="Date" numFmtId="14">
      <sharedItems containsSemiMixedTypes="0" containsNonDate="0" containsDate="1" containsString="0" minDate="1928-01-31T00:00:00" maxDate="2022-10-01T00:00:00" count="1137">
        <d v="2022-09-30T00:00:00"/>
        <d v="2022-08-31T00:00:00"/>
        <d v="2022-07-29T00:00:00"/>
        <d v="2022-06-30T00:00:00"/>
        <d v="2022-05-31T00:00:00"/>
        <d v="2022-04-29T00:00:00"/>
        <d v="2022-03-31T00:00:00"/>
        <d v="2022-02-28T00:00:00"/>
        <d v="2022-01-31T00:00:00"/>
        <d v="2021-12-31T00:00:00"/>
        <d v="2021-11-30T00:00:00"/>
        <d v="2021-10-29T00:00:00"/>
        <d v="2021-09-30T00:00:00"/>
        <d v="2021-08-31T00:00:00"/>
        <d v="2021-07-30T00:00:00"/>
        <d v="2021-06-30T00:00:00"/>
        <d v="2021-05-28T00:00:00"/>
        <d v="2021-04-30T00:00:00"/>
        <d v="2021-03-31T00:00:00"/>
        <d v="2021-02-26T00:00:00"/>
        <d v="2021-01-29T00:00:00"/>
        <d v="2020-12-31T00:00:00"/>
        <d v="2020-11-30T00:00:00"/>
        <d v="2020-10-30T00:00:00"/>
        <d v="2020-09-30T00:00:00"/>
        <d v="2020-08-31T00:00:00"/>
        <d v="2020-07-31T00:00:00"/>
        <d v="2020-06-30T00:00:00"/>
        <d v="2020-05-29T00:00:00"/>
        <d v="2020-04-30T00:00:00"/>
        <d v="2020-03-31T00:00:00"/>
        <d v="2020-02-28T00:00:00"/>
        <d v="2020-01-31T00:00:00"/>
        <d v="2019-12-31T00:00:00"/>
        <d v="2019-11-29T00:00:00"/>
        <d v="2019-10-31T00:00:00"/>
        <d v="2019-09-30T00:00:00"/>
        <d v="2019-08-30T00:00:00"/>
        <d v="2019-07-31T00:00:00"/>
        <d v="2019-06-28T00:00:00"/>
        <d v="2019-05-31T00:00:00"/>
        <d v="2019-04-30T00:00:00"/>
        <d v="2019-03-29T00:00:00"/>
        <d v="2019-02-28T00:00:00"/>
        <d v="2019-01-31T00:00:00"/>
        <d v="2018-12-31T00:00:00"/>
        <d v="2018-11-30T00:00:00"/>
        <d v="2018-10-31T00:00:00"/>
        <d v="2018-09-28T00:00:00"/>
        <d v="2018-08-31T00:00:00"/>
        <d v="2018-07-31T00:00:00"/>
        <d v="2018-06-29T00:00:00"/>
        <d v="2018-05-31T00:00:00"/>
        <d v="2018-04-30T00:00:00"/>
        <d v="2018-03-29T00:00:00"/>
        <d v="2018-02-28T00:00:00"/>
        <d v="2018-01-31T00:00:00"/>
        <d v="2017-12-29T00:00:00"/>
        <d v="2017-11-30T00:00:00"/>
        <d v="2017-10-31T00:00:00"/>
        <d v="2017-09-29T00:00:00"/>
        <d v="2017-08-31T00:00:00"/>
        <d v="2017-07-31T00:00:00"/>
        <d v="2017-06-30T00:00:00"/>
        <d v="2017-05-31T00:00:00"/>
        <d v="2017-04-28T00:00:00"/>
        <d v="2017-03-31T00:00:00"/>
        <d v="2017-02-28T00:00:00"/>
        <d v="2017-01-31T00:00:00"/>
        <d v="2016-12-30T00:00:00"/>
        <d v="2016-11-30T00:00:00"/>
        <d v="2016-10-31T00:00:00"/>
        <d v="2016-09-30T00:00:00"/>
        <d v="2016-08-31T00:00:00"/>
        <d v="2016-07-29T00:00:00"/>
        <d v="2016-06-30T00:00:00"/>
        <d v="2016-05-31T00:00:00"/>
        <d v="2016-04-29T00:00:00"/>
        <d v="2016-03-31T00:00:00"/>
        <d v="2016-02-29T00:00:00"/>
        <d v="2016-01-29T00:00:00"/>
        <d v="2015-12-31T00:00:00"/>
        <d v="2015-11-30T00:00:00"/>
        <d v="2015-10-30T00:00:00"/>
        <d v="2015-09-30T00:00:00"/>
        <d v="2015-08-31T00:00:00"/>
        <d v="2015-07-31T00:00:00"/>
        <d v="2015-06-30T00:00:00"/>
        <d v="2015-05-29T00:00:00"/>
        <d v="2015-04-30T00:00:00"/>
        <d v="2015-03-31T00:00:00"/>
        <d v="2015-02-27T00:00:00"/>
        <d v="2015-01-30T00:00:00"/>
        <d v="2014-12-31T00:00:00"/>
        <d v="2014-11-28T00:00:00"/>
        <d v="2014-10-31T00:00:00"/>
        <d v="2014-09-30T00:00:00"/>
        <d v="2014-08-29T00:00:00"/>
        <d v="2014-07-31T00:00:00"/>
        <d v="2014-06-30T00:00:00"/>
        <d v="2014-05-30T00:00:00"/>
        <d v="2014-04-30T00:00:00"/>
        <d v="2014-03-31T00:00:00"/>
        <d v="2014-02-28T00:00:00"/>
        <d v="2014-01-31T00:00:00"/>
        <d v="2013-12-31T00:00:00"/>
        <d v="2013-11-29T00:00:00"/>
        <d v="2013-10-31T00:00:00"/>
        <d v="2013-09-30T00:00:00"/>
        <d v="2013-08-30T00:00:00"/>
        <d v="2013-07-31T00:00:00"/>
        <d v="2013-06-28T00:00:00"/>
        <d v="2013-05-31T00:00:00"/>
        <d v="2013-04-30T00:00:00"/>
        <d v="2013-03-28T00:00:00"/>
        <d v="2013-02-28T00:00:00"/>
        <d v="2013-01-31T00:00:00"/>
        <d v="2012-12-31T00:00:00"/>
        <d v="2012-11-30T00:00:00"/>
        <d v="2012-10-31T00:00:00"/>
        <d v="2012-09-28T00:00:00"/>
        <d v="2012-08-31T00:00:00"/>
        <d v="2012-07-31T00:00:00"/>
        <d v="2012-06-29T00:00:00"/>
        <d v="2012-05-31T00:00:00"/>
        <d v="2012-04-30T00:00:00"/>
        <d v="2012-03-30T00:00:00"/>
        <d v="2012-02-29T00:00:00"/>
        <d v="2012-01-31T00:00:00"/>
        <d v="2011-12-30T00:00:00"/>
        <d v="2011-11-30T00:00:00"/>
        <d v="2011-10-31T00:00:00"/>
        <d v="2011-09-30T00:00:00"/>
        <d v="2011-08-31T00:00:00"/>
        <d v="2011-07-29T00:00:00"/>
        <d v="2011-06-30T00:00:00"/>
        <d v="2011-05-31T00:00:00"/>
        <d v="2011-04-29T00:00:00"/>
        <d v="2011-03-31T00:00:00"/>
        <d v="2011-02-28T00:00:00"/>
        <d v="2011-01-31T00:00:00"/>
        <d v="2010-12-31T00:00:00"/>
        <d v="2010-11-30T00:00:00"/>
        <d v="2010-10-29T00:00:00"/>
        <d v="2010-09-30T00:00:00"/>
        <d v="2010-08-31T00:00:00"/>
        <d v="2010-07-30T00:00:00"/>
        <d v="2010-06-30T00:00:00"/>
        <d v="2010-05-28T00:00:00"/>
        <d v="2010-04-30T00:00:00"/>
        <d v="2010-03-31T00:00:00"/>
        <d v="2010-02-26T00:00:00"/>
        <d v="2010-01-29T00:00:00"/>
        <d v="2009-12-31T00:00:00"/>
        <d v="2009-11-30T00:00:00"/>
        <d v="2009-10-30T00:00:00"/>
        <d v="2009-09-30T00:00:00"/>
        <d v="2009-08-31T00:00:00"/>
        <d v="2009-07-31T00:00:00"/>
        <d v="2009-06-30T00:00:00"/>
        <d v="2009-05-29T00:00:00"/>
        <d v="2009-04-30T00:00:00"/>
        <d v="2009-03-31T00:00:00"/>
        <d v="2009-02-27T00:00:00"/>
        <d v="2009-01-30T00:00:00"/>
        <d v="2008-12-31T00:00:00"/>
        <d v="2008-11-28T00:00:00"/>
        <d v="2008-10-31T00:00:00"/>
        <d v="2008-09-30T00:00:00"/>
        <d v="2008-08-29T00:00:00"/>
        <d v="2008-07-31T00:00:00"/>
        <d v="2008-06-30T00:00:00"/>
        <d v="2008-05-30T00:00:00"/>
        <d v="2008-04-30T00:00:00"/>
        <d v="2008-03-31T00:00:00"/>
        <d v="2008-02-29T00:00:00"/>
        <d v="2008-01-31T00:00:00"/>
        <d v="2007-12-31T00:00:00"/>
        <d v="2007-11-30T00:00:00"/>
        <d v="2007-10-31T00:00:00"/>
        <d v="2007-09-28T00:00:00"/>
        <d v="2007-08-31T00:00:00"/>
        <d v="2007-07-31T00:00:00"/>
        <d v="2007-06-29T00:00:00"/>
        <d v="2007-05-31T00:00:00"/>
        <d v="2007-04-30T00:00:00"/>
        <d v="2007-03-30T00:00:00"/>
        <d v="2007-02-28T00:00:00"/>
        <d v="2007-01-31T00:00:00"/>
        <d v="2006-12-29T00:00:00"/>
        <d v="2006-11-30T00:00:00"/>
        <d v="2006-10-31T00:00:00"/>
        <d v="2006-09-29T00:00:00"/>
        <d v="2006-08-31T00:00:00"/>
        <d v="2006-07-31T00:00:00"/>
        <d v="2006-06-30T00:00:00"/>
        <d v="2006-05-31T00:00:00"/>
        <d v="2006-04-28T00:00:00"/>
        <d v="2006-03-31T00:00:00"/>
        <d v="2006-02-28T00:00:00"/>
        <d v="2006-01-31T00:00:00"/>
        <d v="2005-12-30T00:00:00"/>
        <d v="2005-11-30T00:00:00"/>
        <d v="2005-10-31T00:00:00"/>
        <d v="2005-09-30T00:00:00"/>
        <d v="2005-08-31T00:00:00"/>
        <d v="2005-07-29T00:00:00"/>
        <d v="2005-06-30T00:00:00"/>
        <d v="2005-05-31T00:00:00"/>
        <d v="2005-04-29T00:00:00"/>
        <d v="2005-03-31T00:00:00"/>
        <d v="2005-02-28T00:00:00"/>
        <d v="2005-01-31T00:00:00"/>
        <d v="2004-12-31T00:00:00"/>
        <d v="2004-11-30T00:00:00"/>
        <d v="2004-10-29T00:00:00"/>
        <d v="2004-09-30T00:00:00"/>
        <d v="2004-08-31T00:00:00"/>
        <d v="2004-07-30T00:00:00"/>
        <d v="2004-06-30T00:00:00"/>
        <d v="2004-05-28T00:00:00"/>
        <d v="2004-04-30T00:00:00"/>
        <d v="2004-03-31T00:00:00"/>
        <d v="2004-02-27T00:00:00"/>
        <d v="2004-01-30T00:00:00"/>
        <d v="2003-12-31T00:00:00"/>
        <d v="2003-11-28T00:00:00"/>
        <d v="2003-10-31T00:00:00"/>
        <d v="2003-09-30T00:00:00"/>
        <d v="2003-08-29T00:00:00"/>
        <d v="2003-07-31T00:00:00"/>
        <d v="2003-06-30T00:00:00"/>
        <d v="2003-05-30T00:00:00"/>
        <d v="2003-04-30T00:00:00"/>
        <d v="2003-03-31T00:00:00"/>
        <d v="2003-02-28T00:00:00"/>
        <d v="2003-01-31T00:00:00"/>
        <d v="2002-12-31T00:00:00"/>
        <d v="2002-11-29T00:00:00"/>
        <d v="2002-10-31T00:00:00"/>
        <d v="2002-09-30T00:00:00"/>
        <d v="2002-08-30T00:00:00"/>
        <d v="2002-07-31T00:00:00"/>
        <d v="2002-06-28T00:00:00"/>
        <d v="2002-05-31T00:00:00"/>
        <d v="2002-04-30T00:00:00"/>
        <d v="2002-03-28T00:00:00"/>
        <d v="2002-02-28T00:00:00"/>
        <d v="2002-01-31T00:00:00"/>
        <d v="2001-12-31T00:00:00"/>
        <d v="2001-11-30T00:00:00"/>
        <d v="2001-10-31T00:00:00"/>
        <d v="2001-09-28T00:00:00"/>
        <d v="2001-08-31T00:00:00"/>
        <d v="2001-07-31T00:00:00"/>
        <d v="2001-06-29T00:00:00"/>
        <d v="2001-05-31T00:00:00"/>
        <d v="2001-04-30T00:00:00"/>
        <d v="2001-03-30T00:00:00"/>
        <d v="2001-02-28T00:00:00"/>
        <d v="2001-01-31T00:00:00"/>
        <d v="2000-12-29T00:00:00"/>
        <d v="2000-11-30T00:00:00"/>
        <d v="2000-10-31T00:00:00"/>
        <d v="2000-09-29T00:00:00"/>
        <d v="2000-08-31T00:00:00"/>
        <d v="2000-07-31T00:00:00"/>
        <d v="2000-06-30T00:00:00"/>
        <d v="2000-05-31T00:00:00"/>
        <d v="2000-04-28T00:00:00"/>
        <d v="2000-03-31T00:00:00"/>
        <d v="2000-02-29T00:00:00"/>
        <d v="2000-01-31T00:00:00"/>
        <d v="1999-12-31T00:00:00"/>
        <d v="1999-11-30T00:00:00"/>
        <d v="1999-10-29T00:00:00"/>
        <d v="1999-09-30T00:00:00"/>
        <d v="1999-08-31T00:00:00"/>
        <d v="1999-07-30T00:00:00"/>
        <d v="1999-06-30T00:00:00"/>
        <d v="1999-05-28T00:00:00"/>
        <d v="1999-04-30T00:00:00"/>
        <d v="1999-03-31T00:00:00"/>
        <d v="1999-02-26T00:00:00"/>
        <d v="1999-01-29T00:00:00"/>
        <d v="1998-12-31T00:00:00"/>
        <d v="1998-11-30T00:00:00"/>
        <d v="1998-10-30T00:00:00"/>
        <d v="1998-09-30T00:00:00"/>
        <d v="1998-08-31T00:00:00"/>
        <d v="1998-07-31T00:00:00"/>
        <d v="1998-06-30T00:00:00"/>
        <d v="1998-05-29T00:00:00"/>
        <d v="1998-04-30T00:00:00"/>
        <d v="1998-03-31T00:00:00"/>
        <d v="1998-02-27T00:00:00"/>
        <d v="1998-01-30T00:00:00"/>
        <d v="1997-12-31T00:00:00"/>
        <d v="1997-11-28T00:00:00"/>
        <d v="1997-10-31T00:00:00"/>
        <d v="1997-09-30T00:00:00"/>
        <d v="1997-08-29T00:00:00"/>
        <d v="1997-07-31T00:00:00"/>
        <d v="1997-06-30T00:00:00"/>
        <d v="1997-05-30T00:00:00"/>
        <d v="1997-04-30T00:00:00"/>
        <d v="1997-03-31T00:00:00"/>
        <d v="1997-02-28T00:00:00"/>
        <d v="1997-01-31T00:00:00"/>
        <d v="1996-12-31T00:00:00"/>
        <d v="1996-11-29T00:00:00"/>
        <d v="1996-10-31T00:00:00"/>
        <d v="1996-09-30T00:00:00"/>
        <d v="1996-08-30T00:00:00"/>
        <d v="1996-07-31T00:00:00"/>
        <d v="1996-06-28T00:00:00"/>
        <d v="1996-05-31T00:00:00"/>
        <d v="1996-04-30T00:00:00"/>
        <d v="1996-03-29T00:00:00"/>
        <d v="1996-02-29T00:00:00"/>
        <d v="1996-01-31T00:00:00"/>
        <d v="1995-12-29T00:00:00"/>
        <d v="1995-11-30T00:00:00"/>
        <d v="1995-10-31T00:00:00"/>
        <d v="1995-09-29T00:00:00"/>
        <d v="1995-08-31T00:00:00"/>
        <d v="1995-07-31T00:00:00"/>
        <d v="1995-06-30T00:00:00"/>
        <d v="1995-05-31T00:00:00"/>
        <d v="1995-04-28T00:00:00"/>
        <d v="1995-03-31T00:00:00"/>
        <d v="1995-02-28T00:00:00"/>
        <d v="1995-01-31T00:00:00"/>
        <d v="1994-12-30T00:00:00"/>
        <d v="1994-11-30T00:00:00"/>
        <d v="1994-10-31T00:00:00"/>
        <d v="1994-09-30T00:00:00"/>
        <d v="1994-08-31T00:00:00"/>
        <d v="1994-07-29T00:00:00"/>
        <d v="1994-06-30T00:00:00"/>
        <d v="1994-05-31T00:00:00"/>
        <d v="1994-04-29T00:00:00"/>
        <d v="1994-03-31T00:00:00"/>
        <d v="1994-02-28T00:00:00"/>
        <d v="1994-01-31T00:00:00"/>
        <d v="1993-12-31T00:00:00"/>
        <d v="1993-11-30T00:00:00"/>
        <d v="1993-10-29T00:00:00"/>
        <d v="1993-09-30T00:00:00"/>
        <d v="1993-08-31T00:00:00"/>
        <d v="1993-07-30T00:00:00"/>
        <d v="1993-06-30T00:00:00"/>
        <d v="1993-05-28T00:00:00"/>
        <d v="1993-04-30T00:00:00"/>
        <d v="1993-03-31T00:00:00"/>
        <d v="1993-02-26T00:00:00"/>
        <d v="1993-01-29T00:00:00"/>
        <d v="1992-12-31T00:00:00"/>
        <d v="1992-11-30T00:00:00"/>
        <d v="1992-10-30T00:00:00"/>
        <d v="1992-09-30T00:00:00"/>
        <d v="1992-08-31T00:00:00"/>
        <d v="1992-07-31T00:00:00"/>
        <d v="1992-06-30T00:00:00"/>
        <d v="1992-05-29T00:00:00"/>
        <d v="1992-04-30T00:00:00"/>
        <d v="1992-03-31T00:00:00"/>
        <d v="1992-02-28T00:00:00"/>
        <d v="1992-01-31T00:00:00"/>
        <d v="1991-12-31T00:00:00"/>
        <d v="1991-11-29T00:00:00"/>
        <d v="1991-10-31T00:00:00"/>
        <d v="1991-09-30T00:00:00"/>
        <d v="1991-08-30T00:00:00"/>
        <d v="1991-07-31T00:00:00"/>
        <d v="1991-06-28T00:00:00"/>
        <d v="1991-05-31T00:00:00"/>
        <d v="1991-04-30T00:00:00"/>
        <d v="1991-03-28T00:00:00"/>
        <d v="1991-02-28T00:00:00"/>
        <d v="1991-01-31T00:00:00"/>
        <d v="1990-12-31T00:00:00"/>
        <d v="1990-11-30T00:00:00"/>
        <d v="1990-10-31T00:00:00"/>
        <d v="1990-09-28T00:00:00"/>
        <d v="1990-08-31T00:00:00"/>
        <d v="1990-07-31T00:00:00"/>
        <d v="1990-06-29T00:00:00"/>
        <d v="1990-05-31T00:00:00"/>
        <d v="1990-04-30T00:00:00"/>
        <d v="1990-03-30T00:00:00"/>
        <d v="1990-02-28T00:00:00"/>
        <d v="1990-01-31T00:00:00"/>
        <d v="1989-12-29T00:00:00"/>
        <d v="1989-11-30T00:00:00"/>
        <d v="1989-10-31T00:00:00"/>
        <d v="1989-09-29T00:00:00"/>
        <d v="1989-08-31T00:00:00"/>
        <d v="1989-07-31T00:00:00"/>
        <d v="1989-06-30T00:00:00"/>
        <d v="1989-05-31T00:00:00"/>
        <d v="1989-04-28T00:00:00"/>
        <d v="1989-03-31T00:00:00"/>
        <d v="1989-02-28T00:00:00"/>
        <d v="1989-01-31T00:00:00"/>
        <d v="1988-12-30T00:00:00"/>
        <d v="1988-11-30T00:00:00"/>
        <d v="1988-10-31T00:00:00"/>
        <d v="1988-09-30T00:00:00"/>
        <d v="1988-08-31T00:00:00"/>
        <d v="1988-07-29T00:00:00"/>
        <d v="1988-06-30T00:00:00"/>
        <d v="1988-05-31T00:00:00"/>
        <d v="1988-04-29T00:00:00"/>
        <d v="1988-03-31T00:00:00"/>
        <d v="1988-02-29T00:00:00"/>
        <d v="1988-01-29T00:00:00"/>
        <d v="1987-12-31T00:00:00"/>
        <d v="1987-11-30T00:00:00"/>
        <d v="1987-10-30T00:00:00"/>
        <d v="1987-09-30T00:00:00"/>
        <d v="1987-08-31T00:00:00"/>
        <d v="1987-07-31T00:00:00"/>
        <d v="1987-06-30T00:00:00"/>
        <d v="1987-05-29T00:00:00"/>
        <d v="1987-04-30T00:00:00"/>
        <d v="1987-03-31T00:00:00"/>
        <d v="1987-02-27T00:00:00"/>
        <d v="1987-01-30T00:00:00"/>
        <d v="1986-12-31T00:00:00"/>
        <d v="1986-11-28T00:00:00"/>
        <d v="1986-10-31T00:00:00"/>
        <d v="1986-09-30T00:00:00"/>
        <d v="1986-08-29T00:00:00"/>
        <d v="1986-07-31T00:00:00"/>
        <d v="1986-06-30T00:00:00"/>
        <d v="1986-05-30T00:00:00"/>
        <d v="1986-04-30T00:00:00"/>
        <d v="1986-03-31T00:00:00"/>
        <d v="1986-02-28T00:00:00"/>
        <d v="1986-01-31T00:00:00"/>
        <d v="1985-12-31T00:00:00"/>
        <d v="1985-11-29T00:00:00"/>
        <d v="1985-10-31T00:00:00"/>
        <d v="1985-09-30T00:00:00"/>
        <d v="1985-08-30T00:00:00"/>
        <d v="1985-07-31T00:00:00"/>
        <d v="1985-06-28T00:00:00"/>
        <d v="1985-05-31T00:00:00"/>
        <d v="1985-04-30T00:00:00"/>
        <d v="1985-03-29T00:00:00"/>
        <d v="1985-02-28T00:00:00"/>
        <d v="1985-01-31T00:00:00"/>
        <d v="1984-12-31T00:00:00"/>
        <d v="1984-11-30T00:00:00"/>
        <d v="1984-10-31T00:00:00"/>
        <d v="1984-09-28T00:00:00"/>
        <d v="1984-08-31T00:00:00"/>
        <d v="1984-07-31T00:00:00"/>
        <d v="1984-06-29T00:00:00"/>
        <d v="1984-05-31T00:00:00"/>
        <d v="1984-04-30T00:00:00"/>
        <d v="1984-03-30T00:00:00"/>
        <d v="1984-02-29T00:00:00"/>
        <d v="1984-01-31T00:00:00"/>
        <d v="1983-12-30T00:00:00"/>
        <d v="1983-11-30T00:00:00"/>
        <d v="1983-10-31T00:00:00"/>
        <d v="1983-09-30T00:00:00"/>
        <d v="1983-08-31T00:00:00"/>
        <d v="1983-07-29T00:00:00"/>
        <d v="1983-06-30T00:00:00"/>
        <d v="1983-05-31T00:00:00"/>
        <d v="1983-04-29T00:00:00"/>
        <d v="1983-03-31T00:00:00"/>
        <d v="1983-02-28T00:00:00"/>
        <d v="1983-01-31T00:00:00"/>
        <d v="1982-12-31T00:00:00"/>
        <d v="1982-11-30T00:00:00"/>
        <d v="1982-10-29T00:00:00"/>
        <d v="1982-09-30T00:00:00"/>
        <d v="1982-08-31T00:00:00"/>
        <d v="1982-07-30T00:00:00"/>
        <d v="1982-06-30T00:00:00"/>
        <d v="1982-05-28T00:00:00"/>
        <d v="1982-04-30T00:00:00"/>
        <d v="1982-03-31T00:00:00"/>
        <d v="1982-02-26T00:00:00"/>
        <d v="1982-01-29T00:00:00"/>
        <d v="1981-12-31T00:00:00"/>
        <d v="1981-11-30T00:00:00"/>
        <d v="1981-10-30T00:00:00"/>
        <d v="1981-09-30T00:00:00"/>
        <d v="1981-08-31T00:00:00"/>
        <d v="1981-07-31T00:00:00"/>
        <d v="1981-06-30T00:00:00"/>
        <d v="1981-05-29T00:00:00"/>
        <d v="1981-04-30T00:00:00"/>
        <d v="1981-03-31T00:00:00"/>
        <d v="1981-02-27T00:00:00"/>
        <d v="1981-01-30T00:00:00"/>
        <d v="1980-12-31T00:00:00"/>
        <d v="1980-11-28T00:00:00"/>
        <d v="1980-10-31T00:00:00"/>
        <d v="1980-09-30T00:00:00"/>
        <d v="1980-08-29T00:00:00"/>
        <d v="1980-07-31T00:00:00"/>
        <d v="1980-06-30T00:00:00"/>
        <d v="1980-05-30T00:00:00"/>
        <d v="1980-04-30T00:00:00"/>
        <d v="1980-03-31T00:00:00"/>
        <d v="1980-02-29T00:00:00"/>
        <d v="1980-01-31T00:00:00"/>
        <d v="1979-12-31T00:00:00"/>
        <d v="1979-11-30T00:00:00"/>
        <d v="1979-10-31T00:00:00"/>
        <d v="1979-09-28T00:00:00"/>
        <d v="1979-08-31T00:00:00"/>
        <d v="1979-07-31T00:00:00"/>
        <d v="1979-06-29T00:00:00"/>
        <d v="1979-05-31T00:00:00"/>
        <d v="1979-04-30T00:00:00"/>
        <d v="1979-03-30T00:00:00"/>
        <d v="1979-02-28T00:00:00"/>
        <d v="1979-01-31T00:00:00"/>
        <d v="1978-12-29T00:00:00"/>
        <d v="1978-11-30T00:00:00"/>
        <d v="1978-10-31T00:00:00"/>
        <d v="1978-09-29T00:00:00"/>
        <d v="1978-08-31T00:00:00"/>
        <d v="1978-07-31T00:00:00"/>
        <d v="1978-06-30T00:00:00"/>
        <d v="1978-05-31T00:00:00"/>
        <d v="1978-04-28T00:00:00"/>
        <d v="1978-03-31T00:00:00"/>
        <d v="1978-02-28T00:00:00"/>
        <d v="1978-01-31T00:00:00"/>
        <d v="1977-12-30T00:00:00"/>
        <d v="1977-11-30T00:00:00"/>
        <d v="1977-10-31T00:00:00"/>
        <d v="1977-09-30T00:00:00"/>
        <d v="1977-08-31T00:00:00"/>
        <d v="1977-07-29T00:00:00"/>
        <d v="1977-06-30T00:00:00"/>
        <d v="1977-05-31T00:00:00"/>
        <d v="1977-04-29T00:00:00"/>
        <d v="1977-03-31T00:00:00"/>
        <d v="1977-02-28T00:00:00"/>
        <d v="1977-01-31T00:00:00"/>
        <d v="1976-12-31T00:00:00"/>
        <d v="1976-11-30T00:00:00"/>
        <d v="1976-10-29T00:00:00"/>
        <d v="1976-09-30T00:00:00"/>
        <d v="1976-08-31T00:00:00"/>
        <d v="1976-07-30T00:00:00"/>
        <d v="1976-06-30T00:00:00"/>
        <d v="1976-05-28T00:00:00"/>
        <d v="1976-04-30T00:00:00"/>
        <d v="1976-03-31T00:00:00"/>
        <d v="1976-02-27T00:00:00"/>
        <d v="1976-01-30T00:00:00"/>
        <d v="1975-12-31T00:00:00"/>
        <d v="1975-11-28T00:00:00"/>
        <d v="1975-10-31T00:00:00"/>
        <d v="1975-09-30T00:00:00"/>
        <d v="1975-08-29T00:00:00"/>
        <d v="1975-07-31T00:00:00"/>
        <d v="1975-06-30T00:00:00"/>
        <d v="1975-05-30T00:00:00"/>
        <d v="1975-04-30T00:00:00"/>
        <d v="1975-03-31T00:00:00"/>
        <d v="1975-02-28T00:00:00"/>
        <d v="1975-01-31T00:00:00"/>
        <d v="1974-12-31T00:00:00"/>
        <d v="1974-11-29T00:00:00"/>
        <d v="1974-10-31T00:00:00"/>
        <d v="1974-09-30T00:00:00"/>
        <d v="1974-08-30T00:00:00"/>
        <d v="1974-07-31T00:00:00"/>
        <d v="1974-06-28T00:00:00"/>
        <d v="1974-05-31T00:00:00"/>
        <d v="1974-04-30T00:00:00"/>
        <d v="1974-03-29T00:00:00"/>
        <d v="1974-02-28T00:00:00"/>
        <d v="1974-01-31T00:00:00"/>
        <d v="1973-12-31T00:00:00"/>
        <d v="1973-11-30T00:00:00"/>
        <d v="1973-10-31T00:00:00"/>
        <d v="1973-09-28T00:00:00"/>
        <d v="1973-08-31T00:00:00"/>
        <d v="1973-07-31T00:00:00"/>
        <d v="1973-06-29T00:00:00"/>
        <d v="1973-05-31T00:00:00"/>
        <d v="1973-04-30T00:00:00"/>
        <d v="1973-03-30T00:00:00"/>
        <d v="1973-02-28T00:00:00"/>
        <d v="1973-01-31T00:00:00"/>
        <d v="1972-12-29T00:00:00"/>
        <d v="1972-11-30T00:00:00"/>
        <d v="1972-10-31T00:00:00"/>
        <d v="1972-09-29T00:00:00"/>
        <d v="1972-08-31T00:00:00"/>
        <d v="1972-07-31T00:00:00"/>
        <d v="1972-06-30T00:00:00"/>
        <d v="1972-05-31T00:00:00"/>
        <d v="1972-04-28T00:00:00"/>
        <d v="1972-03-30T00:00:00"/>
        <d v="1972-02-29T00:00:00"/>
        <d v="1972-01-31T00:00:00"/>
        <d v="1971-12-31T00:00:00"/>
        <d v="1971-11-30T00:00:00"/>
        <d v="1971-10-29T00:00:00"/>
        <d v="1971-09-30T00:00:00"/>
        <d v="1971-08-31T00:00:00"/>
        <d v="1971-07-30T00:00:00"/>
        <d v="1971-06-30T00:00:00"/>
        <d v="1971-05-28T00:00:00"/>
        <d v="1971-04-30T00:00:00"/>
        <d v="1971-03-31T00:00:00"/>
        <d v="1971-02-26T00:00:00"/>
        <d v="1971-01-29T00:00:00"/>
        <d v="1970-12-31T00:00:00"/>
        <d v="1970-11-30T00:00:00"/>
        <d v="1970-10-30T00:00:00"/>
        <d v="1970-09-30T00:00:00"/>
        <d v="1970-08-31T00:00:00"/>
        <d v="1970-07-31T00:00:00"/>
        <d v="1970-06-30T00:00:00"/>
        <d v="1970-05-29T00:00:00"/>
        <d v="1970-04-30T00:00:00"/>
        <d v="1970-03-31T00:00:00"/>
        <d v="1970-02-27T00:00:00"/>
        <d v="1970-01-30T00:00:00"/>
        <d v="1969-12-31T00:00:00"/>
        <d v="1969-11-28T00:00:00"/>
        <d v="1969-10-31T00:00:00"/>
        <d v="1969-09-30T00:00:00"/>
        <d v="1969-08-29T00:00:00"/>
        <d v="1969-07-31T00:00:00"/>
        <d v="1969-06-30T00:00:00"/>
        <d v="1969-05-29T00:00:00"/>
        <d v="1969-04-30T00:00:00"/>
        <d v="1969-03-28T00:00:00"/>
        <d v="1969-02-28T00:00:00"/>
        <d v="1969-01-31T00:00:00"/>
        <d v="1968-12-31T00:00:00"/>
        <d v="1968-11-29T00:00:00"/>
        <d v="1968-10-31T00:00:00"/>
        <d v="1968-09-30T00:00:00"/>
        <d v="1968-08-30T00:00:00"/>
        <d v="1968-07-30T00:00:00"/>
        <d v="1968-06-28T00:00:00"/>
        <d v="1968-05-31T00:00:00"/>
        <d v="1968-04-30T00:00:00"/>
        <d v="1968-03-29T00:00:00"/>
        <d v="1968-02-29T00:00:00"/>
        <d v="1968-01-31T00:00:00"/>
        <d v="1967-12-29T00:00:00"/>
        <d v="1967-11-30T00:00:00"/>
        <d v="1967-10-31T00:00:00"/>
        <d v="1967-09-29T00:00:00"/>
        <d v="1967-08-31T00:00:00"/>
        <d v="1967-07-31T00:00:00"/>
        <d v="1967-06-30T00:00:00"/>
        <d v="1967-05-31T00:00:00"/>
        <d v="1967-04-28T00:00:00"/>
        <d v="1967-03-31T00:00:00"/>
        <d v="1967-02-28T00:00:00"/>
        <d v="1967-01-31T00:00:00"/>
        <d v="1966-12-30T00:00:00"/>
        <d v="1966-11-30T00:00:00"/>
        <d v="1966-10-31T00:00:00"/>
        <d v="1966-09-30T00:00:00"/>
        <d v="1966-08-31T00:00:00"/>
        <d v="1966-07-29T00:00:00"/>
        <d v="1966-06-30T00:00:00"/>
        <d v="1966-05-31T00:00:00"/>
        <d v="1966-04-29T00:00:00"/>
        <d v="1966-03-31T00:00:00"/>
        <d v="1966-02-28T00:00:00"/>
        <d v="1966-01-31T00:00:00"/>
        <d v="1965-12-31T00:00:00"/>
        <d v="1965-11-30T00:00:00"/>
        <d v="1965-10-29T00:00:00"/>
        <d v="1965-09-30T00:00:00"/>
        <d v="1965-08-31T00:00:00"/>
        <d v="1965-07-30T00:00:00"/>
        <d v="1965-06-30T00:00:00"/>
        <d v="1965-05-28T00:00:00"/>
        <d v="1965-04-30T00:00:00"/>
        <d v="1965-03-31T00:00:00"/>
        <d v="1965-02-26T00:00:00"/>
        <d v="1965-01-29T00:00:00"/>
        <d v="1964-12-31T00:00:00"/>
        <d v="1964-11-30T00:00:00"/>
        <d v="1964-10-30T00:00:00"/>
        <d v="1964-09-30T00:00:00"/>
        <d v="1964-08-31T00:00:00"/>
        <d v="1964-07-31T00:00:00"/>
        <d v="1964-06-30T00:00:00"/>
        <d v="1964-05-28T00:00:00"/>
        <d v="1964-04-30T00:00:00"/>
        <d v="1964-03-31T00:00:00"/>
        <d v="1964-02-28T00:00:00"/>
        <d v="1964-01-31T00:00:00"/>
        <d v="1963-12-31T00:00:00"/>
        <d v="1963-11-29T00:00:00"/>
        <d v="1963-10-31T00:00:00"/>
        <d v="1963-09-30T00:00:00"/>
        <d v="1963-08-30T00:00:00"/>
        <d v="1963-07-31T00:00:00"/>
        <d v="1963-06-28T00:00:00"/>
        <d v="1963-05-31T00:00:00"/>
        <d v="1963-04-30T00:00:00"/>
        <d v="1963-03-29T00:00:00"/>
        <d v="1963-02-28T00:00:00"/>
        <d v="1963-01-31T00:00:00"/>
        <d v="1962-12-31T00:00:00"/>
        <d v="1962-11-30T00:00:00"/>
        <d v="1962-10-31T00:00:00"/>
        <d v="1962-09-28T00:00:00"/>
        <d v="1962-08-31T00:00:00"/>
        <d v="1962-07-31T00:00:00"/>
        <d v="1962-06-29T00:00:00"/>
        <d v="1962-05-31T00:00:00"/>
        <d v="1962-04-30T00:00:00"/>
        <d v="1962-03-30T00:00:00"/>
        <d v="1962-02-28T00:00:00"/>
        <d v="1962-01-31T00:00:00"/>
        <d v="1961-12-29T00:00:00"/>
        <d v="1961-11-30T00:00:00"/>
        <d v="1961-10-31T00:00:00"/>
        <d v="1961-09-29T00:00:00"/>
        <d v="1961-08-31T00:00:00"/>
        <d v="1961-07-31T00:00:00"/>
        <d v="1961-06-30T00:00:00"/>
        <d v="1961-05-31T00:00:00"/>
        <d v="1961-04-28T00:00:00"/>
        <d v="1961-03-30T00:00:00"/>
        <d v="1961-02-28T00:00:00"/>
        <d v="1961-01-31T00:00:00"/>
        <d v="1960-12-30T00:00:00"/>
        <d v="1960-11-30T00:00:00"/>
        <d v="1960-10-31T00:00:00"/>
        <d v="1960-09-30T00:00:00"/>
        <d v="1960-08-31T00:00:00"/>
        <d v="1960-07-29T00:00:00"/>
        <d v="1960-06-30T00:00:00"/>
        <d v="1960-05-31T00:00:00"/>
        <d v="1960-04-29T00:00:00"/>
        <d v="1960-03-31T00:00:00"/>
        <d v="1960-02-29T00:00:00"/>
        <d v="1960-01-29T00:00:00"/>
        <d v="1959-12-31T00:00:00"/>
        <d v="1959-11-30T00:00:00"/>
        <d v="1959-10-30T00:00:00"/>
        <d v="1959-09-30T00:00:00"/>
        <d v="1959-08-31T00:00:00"/>
        <d v="1959-07-31T00:00:00"/>
        <d v="1959-06-30T00:00:00"/>
        <d v="1959-05-29T00:00:00"/>
        <d v="1959-04-30T00:00:00"/>
        <d v="1959-03-31T00:00:00"/>
        <d v="1959-02-27T00:00:00"/>
        <d v="1959-01-30T00:00:00"/>
        <d v="1958-12-31T00:00:00"/>
        <d v="1958-11-28T00:00:00"/>
        <d v="1958-10-31T00:00:00"/>
        <d v="1958-09-30T00:00:00"/>
        <d v="1958-08-29T00:00:00"/>
        <d v="1958-07-31T00:00:00"/>
        <d v="1958-06-30T00:00:00"/>
        <d v="1958-05-29T00:00:00"/>
        <d v="1958-04-30T00:00:00"/>
        <d v="1958-03-31T00:00:00"/>
        <d v="1958-02-28T00:00:00"/>
        <d v="1958-01-31T00:00:00"/>
        <d v="1957-12-31T00:00:00"/>
        <d v="1957-11-29T00:00:00"/>
        <d v="1957-10-31T00:00:00"/>
        <d v="1957-09-30T00:00:00"/>
        <d v="1957-08-30T00:00:00"/>
        <d v="1957-07-31T00:00:00"/>
        <d v="1957-06-28T00:00:00"/>
        <d v="1957-05-31T00:00:00"/>
        <d v="1957-04-30T00:00:00"/>
        <d v="1957-03-29T00:00:00"/>
        <d v="1957-02-28T00:00:00"/>
        <d v="1957-01-31T00:00:00"/>
        <d v="1956-12-31T00:00:00"/>
        <d v="1956-11-30T00:00:00"/>
        <d v="1956-10-31T00:00:00"/>
        <d v="1956-09-28T00:00:00"/>
        <d v="1956-08-31T00:00:00"/>
        <d v="1956-07-31T00:00:00"/>
        <d v="1956-06-29T00:00:00"/>
        <d v="1956-05-31T00:00:00"/>
        <d v="1956-04-30T00:00:00"/>
        <d v="1956-03-29T00:00:00"/>
        <d v="1956-02-29T00:00:00"/>
        <d v="1956-01-31T00:00:00"/>
        <d v="1955-12-30T00:00:00"/>
        <d v="1955-11-30T00:00:00"/>
        <d v="1955-10-31T00:00:00"/>
        <d v="1955-09-30T00:00:00"/>
        <d v="1955-08-31T00:00:00"/>
        <d v="1955-07-29T00:00:00"/>
        <d v="1955-06-30T00:00:00"/>
        <d v="1955-05-31T00:00:00"/>
        <d v="1955-04-29T00:00:00"/>
        <d v="1955-03-31T00:00:00"/>
        <d v="1955-02-28T00:00:00"/>
        <d v="1955-01-31T00:00:00"/>
        <d v="1954-12-31T00:00:00"/>
        <d v="1954-11-30T00:00:00"/>
        <d v="1954-10-29T00:00:00"/>
        <d v="1954-09-30T00:00:00"/>
        <d v="1954-08-31T00:00:00"/>
        <d v="1954-07-30T00:00:00"/>
        <d v="1954-06-30T00:00:00"/>
        <d v="1954-05-28T00:00:00"/>
        <d v="1954-04-30T00:00:00"/>
        <d v="1954-03-31T00:00:00"/>
        <d v="1954-02-26T00:00:00"/>
        <d v="1954-01-29T00:00:00"/>
        <d v="1953-12-31T00:00:00"/>
        <d v="1953-11-30T00:00:00"/>
        <d v="1953-10-30T00:00:00"/>
        <d v="1953-09-30T00:00:00"/>
        <d v="1953-08-31T00:00:00"/>
        <d v="1953-07-31T00:00:00"/>
        <d v="1953-06-30T00:00:00"/>
        <d v="1953-05-29T00:00:00"/>
        <d v="1953-04-30T00:00:00"/>
        <d v="1953-03-31T00:00:00"/>
        <d v="1953-02-27T00:00:00"/>
        <d v="1953-01-30T00:00:00"/>
        <d v="1952-12-31T00:00:00"/>
        <d v="1952-11-28T00:00:00"/>
        <d v="1952-10-31T00:00:00"/>
        <d v="1952-09-30T00:00:00"/>
        <d v="1952-08-29T00:00:00"/>
        <d v="1952-07-31T00:00:00"/>
        <d v="1952-06-30T00:00:00"/>
        <d v="1952-05-29T00:00:00"/>
        <d v="1952-04-30T00:00:00"/>
        <d v="1952-03-31T00:00:00"/>
        <d v="1952-02-29T00:00:00"/>
        <d v="1952-01-31T00:00:00"/>
        <d v="1951-12-31T00:00:00"/>
        <d v="1951-11-30T00:00:00"/>
        <d v="1951-10-31T00:00:00"/>
        <d v="1951-09-28T00:00:00"/>
        <d v="1951-08-31T00:00:00"/>
        <d v="1951-07-31T00:00:00"/>
        <d v="1951-06-29T00:00:00"/>
        <d v="1951-05-31T00:00:00"/>
        <d v="1951-04-30T00:00:00"/>
        <d v="1951-03-30T00:00:00"/>
        <d v="1951-02-28T00:00:00"/>
        <d v="1951-01-31T00:00:00"/>
        <d v="1950-12-29T00:00:00"/>
        <d v="1950-11-30T00:00:00"/>
        <d v="1950-10-31T00:00:00"/>
        <d v="1950-09-29T00:00:00"/>
        <d v="1950-08-31T00:00:00"/>
        <d v="1950-07-31T00:00:00"/>
        <d v="1950-06-30T00:00:00"/>
        <d v="1950-05-31T00:00:00"/>
        <d v="1950-04-28T00:00:00"/>
        <d v="1950-03-31T00:00:00"/>
        <d v="1950-02-28T00:00:00"/>
        <d v="1950-01-31T00:00:00"/>
        <d v="1949-12-30T00:00:00"/>
        <d v="1949-11-30T00:00:00"/>
        <d v="1949-10-31T00:00:00"/>
        <d v="1949-09-30T00:00:00"/>
        <d v="1949-08-31T00:00:00"/>
        <d v="1949-07-29T00:00:00"/>
        <d v="1949-06-30T00:00:00"/>
        <d v="1949-05-31T00:00:00"/>
        <d v="1949-04-29T00:00:00"/>
        <d v="1949-03-31T00:00:00"/>
        <d v="1949-02-28T00:00:00"/>
        <d v="1949-01-31T00:00:00"/>
        <d v="1948-12-31T00:00:00"/>
        <d v="1948-11-30T00:00:00"/>
        <d v="1948-10-29T00:00:00"/>
        <d v="1948-09-30T00:00:00"/>
        <d v="1948-08-31T00:00:00"/>
        <d v="1948-07-30T00:00:00"/>
        <d v="1948-06-30T00:00:00"/>
        <d v="1948-05-28T00:00:00"/>
        <d v="1948-04-30T00:00:00"/>
        <d v="1948-03-31T00:00:00"/>
        <d v="1948-02-27T00:00:00"/>
        <d v="1948-01-30T00:00:00"/>
        <d v="1947-12-31T00:00:00"/>
        <d v="1947-11-28T00:00:00"/>
        <d v="1947-10-31T00:00:00"/>
        <d v="1947-09-30T00:00:00"/>
        <d v="1947-08-29T00:00:00"/>
        <d v="1947-07-31T00:00:00"/>
        <d v="1947-06-30T00:00:00"/>
        <d v="1947-05-29T00:00:00"/>
        <d v="1947-04-30T00:00:00"/>
        <d v="1947-03-31T00:00:00"/>
        <d v="1947-02-28T00:00:00"/>
        <d v="1947-01-31T00:00:00"/>
        <d v="1946-12-31T00:00:00"/>
        <d v="1946-11-29T00:00:00"/>
        <d v="1946-10-31T00:00:00"/>
        <d v="1946-09-30T00:00:00"/>
        <d v="1946-08-30T00:00:00"/>
        <d v="1946-07-31T00:00:00"/>
        <d v="1946-06-28T00:00:00"/>
        <d v="1946-05-31T00:00:00"/>
        <d v="1946-04-30T00:00:00"/>
        <d v="1946-03-29T00:00:00"/>
        <d v="1946-02-28T00:00:00"/>
        <d v="1946-01-31T00:00:00"/>
        <d v="1945-12-31T00:00:00"/>
        <d v="1945-11-30T00:00:00"/>
        <d v="1945-10-31T00:00:00"/>
        <d v="1945-09-28T00:00:00"/>
        <d v="1945-08-31T00:00:00"/>
        <d v="1945-07-31T00:00:00"/>
        <d v="1945-06-29T00:00:00"/>
        <d v="1945-05-31T00:00:00"/>
        <d v="1945-04-30T00:00:00"/>
        <d v="1945-03-29T00:00:00"/>
        <d v="1945-02-28T00:00:00"/>
        <d v="1945-01-31T00:00:00"/>
        <d v="1944-12-29T00:00:00"/>
        <d v="1944-11-30T00:00:00"/>
        <d v="1944-10-31T00:00:00"/>
        <d v="1944-09-29T00:00:00"/>
        <d v="1944-08-31T00:00:00"/>
        <d v="1944-07-31T00:00:00"/>
        <d v="1944-06-30T00:00:00"/>
        <d v="1944-05-31T00:00:00"/>
        <d v="1944-04-28T00:00:00"/>
        <d v="1944-03-31T00:00:00"/>
        <d v="1944-02-29T00:00:00"/>
        <d v="1944-01-31T00:00:00"/>
        <d v="1943-12-31T00:00:00"/>
        <d v="1943-11-30T00:00:00"/>
        <d v="1943-10-29T00:00:00"/>
        <d v="1943-09-30T00:00:00"/>
        <d v="1943-08-31T00:00:00"/>
        <d v="1943-07-30T00:00:00"/>
        <d v="1943-06-30T00:00:00"/>
        <d v="1943-05-28T00:00:00"/>
        <d v="1943-04-30T00:00:00"/>
        <d v="1943-03-31T00:00:00"/>
        <d v="1943-02-26T00:00:00"/>
        <d v="1943-01-29T00:00:00"/>
        <d v="1942-12-31T00:00:00"/>
        <d v="1942-11-30T00:00:00"/>
        <d v="1942-10-30T00:00:00"/>
        <d v="1942-09-30T00:00:00"/>
        <d v="1942-08-31T00:00:00"/>
        <d v="1942-07-31T00:00:00"/>
        <d v="1942-06-30T00:00:00"/>
        <d v="1942-05-29T00:00:00"/>
        <d v="1942-04-30T00:00:00"/>
        <d v="1942-03-31T00:00:00"/>
        <d v="1942-02-27T00:00:00"/>
        <d v="1942-01-30T00:00:00"/>
        <d v="1941-12-31T00:00:00"/>
        <d v="1941-11-28T00:00:00"/>
        <d v="1941-10-31T00:00:00"/>
        <d v="1941-09-30T00:00:00"/>
        <d v="1941-08-29T00:00:00"/>
        <d v="1941-07-31T00:00:00"/>
        <d v="1941-06-30T00:00:00"/>
        <d v="1941-05-29T00:00:00"/>
        <d v="1941-04-30T00:00:00"/>
        <d v="1941-03-31T00:00:00"/>
        <d v="1941-02-28T00:00:00"/>
        <d v="1941-01-31T00:00:00"/>
        <d v="1940-12-31T00:00:00"/>
        <d v="1940-11-29T00:00:00"/>
        <d v="1940-10-31T00:00:00"/>
        <d v="1940-09-30T00:00:00"/>
        <d v="1940-08-30T00:00:00"/>
        <d v="1940-07-31T00:00:00"/>
        <d v="1940-06-28T00:00:00"/>
        <d v="1940-05-31T00:00:00"/>
        <d v="1940-04-30T00:00:00"/>
        <d v="1940-03-29T00:00:00"/>
        <d v="1940-02-29T00:00:00"/>
        <d v="1940-01-31T00:00:00"/>
        <d v="1939-12-29T00:00:00"/>
        <d v="1939-11-30T00:00:00"/>
        <d v="1939-10-31T00:00:00"/>
        <d v="1939-09-29T00:00:00"/>
        <d v="1939-08-31T00:00:00"/>
        <d v="1939-07-31T00:00:00"/>
        <d v="1939-06-30T00:00:00"/>
        <d v="1939-05-31T00:00:00"/>
        <d v="1939-04-28T00:00:00"/>
        <d v="1939-03-31T00:00:00"/>
        <d v="1939-02-28T00:00:00"/>
        <d v="1939-01-31T00:00:00"/>
        <d v="1938-12-30T00:00:00"/>
        <d v="1938-11-30T00:00:00"/>
        <d v="1938-10-31T00:00:00"/>
        <d v="1938-09-30T00:00:00"/>
        <d v="1938-08-31T00:00:00"/>
        <d v="1938-07-29T00:00:00"/>
        <d v="1938-06-30T00:00:00"/>
        <d v="1938-05-31T00:00:00"/>
        <d v="1938-04-29T00:00:00"/>
        <d v="1938-03-31T00:00:00"/>
        <d v="1938-02-28T00:00:00"/>
        <d v="1938-01-31T00:00:00"/>
        <d v="1937-12-31T00:00:00"/>
        <d v="1937-11-30T00:00:00"/>
        <d v="1937-10-29T00:00:00"/>
        <d v="1937-09-30T00:00:00"/>
        <d v="1937-08-31T00:00:00"/>
        <d v="1937-07-30T00:00:00"/>
        <d v="1937-06-30T00:00:00"/>
        <d v="1937-05-28T00:00:00"/>
        <d v="1937-04-30T00:00:00"/>
        <d v="1937-03-31T00:00:00"/>
        <d v="1937-02-26T00:00:00"/>
        <d v="1937-01-29T00:00:00"/>
        <d v="1936-12-31T00:00:00"/>
        <d v="1936-11-30T00:00:00"/>
        <d v="1936-10-30T00:00:00"/>
        <d v="1936-09-30T00:00:00"/>
        <d v="1936-08-31T00:00:00"/>
        <d v="1936-07-31T00:00:00"/>
        <d v="1936-06-30T00:00:00"/>
        <d v="1936-05-29T00:00:00"/>
        <d v="1936-04-30T00:00:00"/>
        <d v="1936-03-31T00:00:00"/>
        <d v="1936-02-28T00:00:00"/>
        <d v="1936-01-31T00:00:00"/>
        <d v="1935-12-31T00:00:00"/>
        <d v="1935-11-29T00:00:00"/>
        <d v="1935-10-31T00:00:00"/>
        <d v="1935-09-30T00:00:00"/>
        <d v="1935-08-30T00:00:00"/>
        <d v="1935-07-31T00:00:00"/>
        <d v="1935-06-28T00:00:00"/>
        <d v="1935-05-31T00:00:00"/>
        <d v="1935-04-30T00:00:00"/>
        <d v="1935-03-29T00:00:00"/>
        <d v="1935-02-28T00:00:00"/>
        <d v="1935-01-31T00:00:00"/>
        <d v="1934-12-31T00:00:00"/>
        <d v="1934-11-30T00:00:00"/>
        <d v="1934-10-31T00:00:00"/>
        <d v="1934-09-28T00:00:00"/>
        <d v="1934-08-31T00:00:00"/>
        <d v="1934-07-31T00:00:00"/>
        <d v="1934-06-29T00:00:00"/>
        <d v="1934-05-31T00:00:00"/>
        <d v="1934-04-30T00:00:00"/>
        <d v="1934-03-29T00:00:00"/>
        <d v="1934-02-28T00:00:00"/>
        <d v="1934-01-31T00:00:00"/>
        <d v="1933-12-29T00:00:00"/>
        <d v="1933-11-29T00:00:00"/>
        <d v="1933-10-31T00:00:00"/>
        <d v="1933-09-29T00:00:00"/>
        <d v="1933-08-31T00:00:00"/>
        <d v="1933-07-31T00:00:00"/>
        <d v="1933-06-30T00:00:00"/>
        <d v="1933-05-31T00:00:00"/>
        <d v="1933-04-28T00:00:00"/>
        <d v="1933-03-31T00:00:00"/>
        <d v="1933-02-28T00:00:00"/>
        <d v="1933-01-31T00:00:00"/>
        <d v="1932-12-30T00:00:00"/>
        <d v="1932-11-30T00:00:00"/>
        <d v="1932-10-31T00:00:00"/>
        <d v="1932-09-30T00:00:00"/>
        <d v="1932-08-31T00:00:00"/>
        <d v="1932-07-29T00:00:00"/>
        <d v="1932-06-30T00:00:00"/>
        <d v="1932-05-31T00:00:00"/>
        <d v="1932-04-29T00:00:00"/>
        <d v="1932-03-31T00:00:00"/>
        <d v="1932-02-29T00:00:00"/>
        <d v="1932-01-29T00:00:00"/>
        <d v="1931-12-31T00:00:00"/>
        <d v="1931-11-30T00:00:00"/>
        <d v="1931-10-30T00:00:00"/>
        <d v="1931-09-30T00:00:00"/>
        <d v="1931-08-31T00:00:00"/>
        <d v="1931-07-31T00:00:00"/>
        <d v="1931-06-30T00:00:00"/>
        <d v="1931-05-29T00:00:00"/>
        <d v="1931-04-30T00:00:00"/>
        <d v="1931-03-31T00:00:00"/>
        <d v="1931-02-27T00:00:00"/>
        <d v="1931-01-30T00:00:00"/>
        <d v="1930-12-31T00:00:00"/>
        <d v="1930-11-28T00:00:00"/>
        <d v="1930-10-31T00:00:00"/>
        <d v="1930-09-30T00:00:00"/>
        <d v="1930-08-29T00:00:00"/>
        <d v="1930-07-31T00:00:00"/>
        <d v="1930-06-30T00:00:00"/>
        <d v="1930-05-29T00:00:00"/>
        <d v="1930-04-30T00:00:00"/>
        <d v="1930-03-31T00:00:00"/>
        <d v="1930-02-28T00:00:00"/>
        <d v="1930-01-31T00:00:00"/>
        <d v="1929-12-31T00:00:00"/>
        <d v="1929-11-27T00:00:00"/>
        <d v="1929-10-31T00:00:00"/>
        <d v="1929-09-30T00:00:00"/>
        <d v="1929-08-30T00:00:00"/>
        <d v="1929-07-31T00:00:00"/>
        <d v="1929-06-28T00:00:00"/>
        <d v="1929-05-31T00:00:00"/>
        <d v="1929-04-30T00:00:00"/>
        <d v="1929-03-28T00:00:00"/>
        <d v="1929-02-28T00:00:00"/>
        <d v="1929-01-31T00:00:00"/>
        <d v="1928-12-31T00:00:00"/>
        <d v="1928-11-30T00:00:00"/>
        <d v="1928-10-31T00:00:00"/>
        <d v="1928-09-28T00:00:00"/>
        <d v="1928-08-31T00:00:00"/>
        <d v="1928-07-31T00:00:00"/>
        <d v="1928-06-29T00:00:00"/>
        <d v="1928-05-31T00:00:00"/>
        <d v="1928-04-30T00:00:00"/>
        <d v="1928-03-30T00:00:00"/>
        <d v="1928-02-29T00:00:00"/>
        <d v="1928-01-31T00:00:00"/>
      </sharedItems>
      <fieldGroup par="4" base="0">
        <rangePr groupBy="months" startDate="1928-01-31T00:00:00" endDate="2022-10-01T00:00:00"/>
        <groupItems count="14">
          <s v="&lt;1/31/192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2"/>
        </groupItems>
      </fieldGroup>
    </cacheField>
    <cacheField name="Returns" numFmtId="164">
      <sharedItems containsSemiMixedTypes="0" containsString="0" containsNumber="1" minValue="-0.29942279942279898" maxValue="0.391376451077944"/>
    </cacheField>
    <cacheField name="Color" numFmtId="0">
      <sharedItems count="2">
        <s v="Red"/>
        <s v="Green"/>
      </sharedItems>
    </cacheField>
    <cacheField name="Quarters" numFmtId="0" databaseField="0">
      <fieldGroup base="0">
        <rangePr groupBy="quarters" startDate="1928-01-31T00:00:00" endDate="2022-10-01T00:00:00"/>
        <groupItems count="6">
          <s v="&lt;1/31/1928"/>
          <s v="Qtr1"/>
          <s v="Qtr2"/>
          <s v="Qtr3"/>
          <s v="Qtr4"/>
          <s v="&gt;10/1/2022"/>
        </groupItems>
      </fieldGroup>
    </cacheField>
    <cacheField name="Years" numFmtId="0" databaseField="0">
      <fieldGroup base="0">
        <rangePr groupBy="years" startDate="1928-01-31T00:00:00" endDate="2022-10-01T00:00:00"/>
        <groupItems count="97">
          <s v="&lt;1/31/1928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0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36685300923" createdVersion="7" refreshedVersion="8" minRefreshableVersion="3" recordCount="95" xr:uid="{BB3011AD-C374-4305-9AF6-78E15A2521EF}">
  <cacheSource type="worksheet">
    <worksheetSource ref="A62:C157" sheet="VIX Prob table Decile yearly"/>
  </cacheSource>
  <cacheFields count="3">
    <cacheField name="Date" numFmtId="14">
      <sharedItems containsSemiMixedTypes="0" containsNonDate="0" containsDate="1" containsString="0" minDate="1928-12-31T00:00:00" maxDate="2022-10-01T00:00:00" count="96">
        <d v="2022-09-30T00:00:00"/>
        <d v="2021-12-31T00:00:00"/>
        <d v="2020-12-31T00:00:00"/>
        <d v="2019-12-31T00:00:00"/>
        <d v="2018-12-31T00:00:00"/>
        <d v="2017-12-29T00:00:00"/>
        <d v="2016-12-30T00:00:00"/>
        <d v="2015-12-31T00:00:00"/>
        <d v="2014-12-31T00:00:00"/>
        <d v="2013-12-31T00:00:00"/>
        <d v="2012-12-31T00:00:00"/>
        <d v="2011-12-30T00:00:00"/>
        <d v="2010-12-31T00:00:00"/>
        <d v="2009-12-31T00:00:00"/>
        <d v="2008-12-31T00:00:00"/>
        <d v="2007-12-31T00:00:00"/>
        <d v="2006-12-29T00:00:00"/>
        <d v="2005-12-30T00:00:00"/>
        <d v="2004-12-31T00:00:00"/>
        <d v="2003-12-31T00:00:00"/>
        <d v="2002-12-31T00:00:00"/>
        <d v="2001-12-31T00:00:00"/>
        <d v="2000-12-29T00:00:00"/>
        <d v="1999-12-31T00:00:00"/>
        <d v="1998-12-31T00:00:00"/>
        <d v="1997-12-31T00:00:00"/>
        <d v="1996-12-31T00:00:00"/>
        <d v="1995-12-29T00:00:00"/>
        <d v="1994-12-30T00:00:00"/>
        <d v="1993-12-31T00:00:00"/>
        <d v="1992-12-31T00:00:00"/>
        <d v="1991-12-31T00:00:00"/>
        <d v="1990-12-31T00:00:00"/>
        <d v="1989-12-29T00:00:00"/>
        <d v="1988-12-30T00:00:00"/>
        <d v="1987-12-31T00:00:00"/>
        <d v="1986-12-31T00:00:00"/>
        <d v="1985-12-31T00:00:00"/>
        <d v="1984-12-31T00:00:00"/>
        <d v="1983-12-30T00:00:00"/>
        <d v="1982-12-31T00:00:00"/>
        <d v="1981-12-31T00:00:00"/>
        <d v="1980-12-31T00:00:00"/>
        <d v="1979-12-31T00:00:00"/>
        <d v="1978-12-29T00:00:00"/>
        <d v="1977-12-30T00:00:00"/>
        <d v="1976-12-31T00:00:00"/>
        <d v="1975-12-31T00:00:00"/>
        <d v="1974-12-31T00:00:00"/>
        <d v="1973-12-31T00:00:00"/>
        <d v="1972-12-29T00:00:00"/>
        <d v="1971-12-31T00:00:00"/>
        <d v="1970-12-31T00:00:00"/>
        <d v="1969-12-31T00:00:00"/>
        <d v="1968-12-31T00:00:00"/>
        <d v="1967-12-29T00:00:00"/>
        <d v="1966-12-30T00:00:00"/>
        <d v="1965-12-31T00:00:00"/>
        <d v="1964-12-31T00:00:00"/>
        <d v="1963-12-31T00:00:00"/>
        <d v="1962-12-31T00:00:00"/>
        <d v="1961-12-29T00:00:00"/>
        <d v="1960-12-30T00:00:00"/>
        <d v="1959-12-31T00:00:00"/>
        <d v="1958-12-31T00:00:00"/>
        <d v="1957-12-31T00:00:00"/>
        <d v="1956-12-31T00:00:00"/>
        <d v="1955-12-30T00:00:00"/>
        <d v="1954-12-31T00:00:00"/>
        <d v="1953-12-31T00:00:00"/>
        <d v="1952-12-31T00:00:00"/>
        <d v="1951-12-31T00:00:00"/>
        <d v="1950-12-29T00:00:00"/>
        <d v="1949-12-30T00:00:00"/>
        <d v="1948-12-31T00:00:00"/>
        <d v="1947-12-31T00:00:00"/>
        <d v="1946-12-31T00:00:00"/>
        <d v="1945-12-31T00:00:00"/>
        <d v="1944-12-29T00:00:00"/>
        <d v="1943-12-31T00:00:00"/>
        <d v="1942-12-31T00:00:00"/>
        <d v="1941-12-31T00:00:00"/>
        <d v="1940-12-31T00:00:00"/>
        <d v="1939-12-29T00:00:00"/>
        <d v="1938-12-30T00:00:00"/>
        <d v="1937-12-31T00:00:00"/>
        <d v="1936-12-31T00:00:00"/>
        <d v="1935-12-31T00:00:00"/>
        <d v="1934-12-31T00:00:00"/>
        <d v="1933-12-29T00:00:00"/>
        <d v="1932-12-30T00:00:00"/>
        <d v="1931-12-31T00:00:00"/>
        <d v="1930-12-31T00:00:00"/>
        <d v="1929-12-31T00:00:00"/>
        <d v="1928-12-31T00:00:00"/>
        <d v="2022-09-16T00:00:00" u="1"/>
      </sharedItems>
    </cacheField>
    <cacheField name="Returns" numFmtId="164">
      <sharedItems containsSemiMixedTypes="0" containsString="0" containsNumber="1" minValue="-0.47066492829204698" maxValue="0.45022174325762698"/>
    </cacheField>
    <cacheField name="Color" numFmtId="0">
      <sharedItems count="2">
        <s v="Red"/>
        <s v="Gre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36685300923" createdVersion="7" refreshedVersion="8" minRefreshableVersion="3" recordCount="393" xr:uid="{608D6F6F-91FE-4503-9EA2-CD1913B30882}">
  <cacheSource type="worksheet">
    <worksheetSource ref="A1:E394" sheet="monthly chart"/>
  </cacheSource>
  <cacheFields count="7">
    <cacheField name="Date" numFmtId="14">
      <sharedItems containsSemiMixedTypes="0" containsNonDate="0" containsDate="1" containsString="0" minDate="1990-01-31T00:00:00" maxDate="2022-09-17T00:00:00" count="393">
        <d v="2022-09-16T00:00:00"/>
        <d v="2022-08-31T00:00:00"/>
        <d v="2022-07-29T00:00:00"/>
        <d v="2022-06-30T00:00:00"/>
        <d v="2022-05-31T00:00:00"/>
        <d v="2022-04-29T00:00:00"/>
        <d v="2022-03-31T00:00:00"/>
        <d v="2022-02-28T00:00:00"/>
        <d v="2022-01-31T00:00:00"/>
        <d v="2021-12-31T00:00:00"/>
        <d v="2021-11-30T00:00:00"/>
        <d v="2021-10-29T00:00:00"/>
        <d v="2021-09-30T00:00:00"/>
        <d v="2021-08-31T00:00:00"/>
        <d v="2021-07-30T00:00:00"/>
        <d v="2021-06-30T00:00:00"/>
        <d v="2021-05-28T00:00:00"/>
        <d v="2021-04-30T00:00:00"/>
        <d v="2021-03-31T00:00:00"/>
        <d v="2021-02-26T00:00:00"/>
        <d v="2021-01-29T00:00:00"/>
        <d v="2020-12-31T00:00:00"/>
        <d v="2020-11-30T00:00:00"/>
        <d v="2020-10-30T00:00:00"/>
        <d v="2020-09-30T00:00:00"/>
        <d v="2020-08-31T00:00:00"/>
        <d v="2020-07-31T00:00:00"/>
        <d v="2020-06-30T00:00:00"/>
        <d v="2020-05-29T00:00:00"/>
        <d v="2020-04-30T00:00:00"/>
        <d v="2020-03-31T00:00:00"/>
        <d v="2020-02-28T00:00:00"/>
        <d v="2020-01-31T00:00:00"/>
        <d v="2019-12-31T00:00:00"/>
        <d v="2019-11-29T00:00:00"/>
        <d v="2019-10-31T00:00:00"/>
        <d v="2019-09-30T00:00:00"/>
        <d v="2019-08-30T00:00:00"/>
        <d v="2019-07-31T00:00:00"/>
        <d v="2019-06-28T00:00:00"/>
        <d v="2019-05-31T00:00:00"/>
        <d v="2019-04-30T00:00:00"/>
        <d v="2019-03-29T00:00:00"/>
        <d v="2019-02-28T00:00:00"/>
        <d v="2019-01-31T00:00:00"/>
        <d v="2018-12-31T00:00:00"/>
        <d v="2018-11-30T00:00:00"/>
        <d v="2018-10-31T00:00:00"/>
        <d v="2018-09-28T00:00:00"/>
        <d v="2018-08-31T00:00:00"/>
        <d v="2018-07-31T00:00:00"/>
        <d v="2018-06-29T00:00:00"/>
        <d v="2018-05-31T00:00:00"/>
        <d v="2018-04-30T00:00:00"/>
        <d v="2018-03-29T00:00:00"/>
        <d v="2018-02-28T00:00:00"/>
        <d v="2018-01-31T00:00:00"/>
        <d v="2017-12-29T00:00:00"/>
        <d v="2017-11-30T00:00:00"/>
        <d v="2017-10-31T00:00:00"/>
        <d v="2017-09-29T00:00:00"/>
        <d v="2017-08-31T00:00:00"/>
        <d v="2017-07-31T00:00:00"/>
        <d v="2017-06-30T00:00:00"/>
        <d v="2017-05-31T00:00:00"/>
        <d v="2017-04-28T00:00:00"/>
        <d v="2017-03-31T00:00:00"/>
        <d v="2017-02-28T00:00:00"/>
        <d v="2017-01-31T00:00:00"/>
        <d v="2016-12-30T00:00:00"/>
        <d v="2016-11-30T00:00:00"/>
        <d v="2016-10-31T00:00:00"/>
        <d v="2016-09-30T00:00:00"/>
        <d v="2016-08-31T00:00:00"/>
        <d v="2016-07-29T00:00:00"/>
        <d v="2016-06-30T00:00:00"/>
        <d v="2016-05-31T00:00:00"/>
        <d v="2016-04-29T00:00:00"/>
        <d v="2016-03-31T00:00:00"/>
        <d v="2016-02-29T00:00:00"/>
        <d v="2016-01-29T00:00:00"/>
        <d v="2015-12-31T00:00:00"/>
        <d v="2015-11-30T00:00:00"/>
        <d v="2015-10-30T00:00:00"/>
        <d v="2015-09-30T00:00:00"/>
        <d v="2015-08-31T00:00:00"/>
        <d v="2015-07-31T00:00:00"/>
        <d v="2015-06-30T00:00:00"/>
        <d v="2015-05-29T00:00:00"/>
        <d v="2015-04-30T00:00:00"/>
        <d v="2015-03-31T00:00:00"/>
        <d v="2015-02-27T00:00:00"/>
        <d v="2015-01-30T00:00:00"/>
        <d v="2014-12-31T00:00:00"/>
        <d v="2014-11-28T00:00:00"/>
        <d v="2014-10-31T00:00:00"/>
        <d v="2014-09-30T00:00:00"/>
        <d v="2014-08-29T00:00:00"/>
        <d v="2014-07-31T00:00:00"/>
        <d v="2014-06-30T00:00:00"/>
        <d v="2014-05-30T00:00:00"/>
        <d v="2014-04-30T00:00:00"/>
        <d v="2014-03-31T00:00:00"/>
        <d v="2014-02-28T00:00:00"/>
        <d v="2014-01-31T00:00:00"/>
        <d v="2013-12-31T00:00:00"/>
        <d v="2013-11-29T00:00:00"/>
        <d v="2013-10-31T00:00:00"/>
        <d v="2013-09-30T00:00:00"/>
        <d v="2013-08-30T00:00:00"/>
        <d v="2013-07-31T00:00:00"/>
        <d v="2013-06-28T00:00:00"/>
        <d v="2013-05-31T00:00:00"/>
        <d v="2013-04-30T00:00:00"/>
        <d v="2013-03-28T00:00:00"/>
        <d v="2013-02-28T00:00:00"/>
        <d v="2013-01-31T00:00:00"/>
        <d v="2012-12-31T00:00:00"/>
        <d v="2012-11-30T00:00:00"/>
        <d v="2012-10-31T00:00:00"/>
        <d v="2012-09-28T00:00:00"/>
        <d v="2012-08-31T00:00:00"/>
        <d v="2012-07-31T00:00:00"/>
        <d v="2012-06-29T00:00:00"/>
        <d v="2012-05-31T00:00:00"/>
        <d v="2012-04-30T00:00:00"/>
        <d v="2012-03-30T00:00:00"/>
        <d v="2012-02-29T00:00:00"/>
        <d v="2012-01-31T00:00:00"/>
        <d v="2011-12-30T00:00:00"/>
        <d v="2011-11-30T00:00:00"/>
        <d v="2011-10-31T00:00:00"/>
        <d v="2011-09-30T00:00:00"/>
        <d v="2011-08-31T00:00:00"/>
        <d v="2011-07-29T00:00:00"/>
        <d v="2011-06-30T00:00:00"/>
        <d v="2011-05-31T00:00:00"/>
        <d v="2011-04-29T00:00:00"/>
        <d v="2011-03-31T00:00:00"/>
        <d v="2011-02-28T00:00:00"/>
        <d v="2011-01-31T00:00:00"/>
        <d v="2010-12-31T00:00:00"/>
        <d v="2010-11-30T00:00:00"/>
        <d v="2010-10-29T00:00:00"/>
        <d v="2010-09-30T00:00:00"/>
        <d v="2010-08-31T00:00:00"/>
        <d v="2010-07-30T00:00:00"/>
        <d v="2010-06-30T00:00:00"/>
        <d v="2010-05-28T00:00:00"/>
        <d v="2010-04-30T00:00:00"/>
        <d v="2010-03-31T00:00:00"/>
        <d v="2010-02-26T00:00:00"/>
        <d v="2010-01-29T00:00:00"/>
        <d v="2009-12-31T00:00:00"/>
        <d v="2009-11-30T00:00:00"/>
        <d v="2009-10-30T00:00:00"/>
        <d v="2009-09-30T00:00:00"/>
        <d v="2009-08-31T00:00:00"/>
        <d v="2009-07-31T00:00:00"/>
        <d v="2009-06-30T00:00:00"/>
        <d v="2009-05-29T00:00:00"/>
        <d v="2009-04-30T00:00:00"/>
        <d v="2009-03-31T00:00:00"/>
        <d v="2009-02-27T00:00:00"/>
        <d v="2009-01-30T00:00:00"/>
        <d v="2008-12-31T00:00:00"/>
        <d v="2008-11-28T00:00:00"/>
        <d v="2008-10-31T00:00:00"/>
        <d v="2008-09-30T00:00:00"/>
        <d v="2008-08-29T00:00:00"/>
        <d v="2008-07-31T00:00:00"/>
        <d v="2008-06-30T00:00:00"/>
        <d v="2008-05-30T00:00:00"/>
        <d v="2008-04-30T00:00:00"/>
        <d v="2008-03-31T00:00:00"/>
        <d v="2008-02-29T00:00:00"/>
        <d v="2008-01-31T00:00:00"/>
        <d v="2007-12-31T00:00:00"/>
        <d v="2007-11-30T00:00:00"/>
        <d v="2007-10-31T00:00:00"/>
        <d v="2007-09-28T00:00:00"/>
        <d v="2007-08-31T00:00:00"/>
        <d v="2007-07-31T00:00:00"/>
        <d v="2007-06-29T00:00:00"/>
        <d v="2007-05-31T00:00:00"/>
        <d v="2007-04-30T00:00:00"/>
        <d v="2007-03-30T00:00:00"/>
        <d v="2007-02-28T00:00:00"/>
        <d v="2007-01-31T00:00:00"/>
        <d v="2006-12-29T00:00:00"/>
        <d v="2006-11-30T00:00:00"/>
        <d v="2006-10-31T00:00:00"/>
        <d v="2006-09-29T00:00:00"/>
        <d v="2006-08-31T00:00:00"/>
        <d v="2006-07-31T00:00:00"/>
        <d v="2006-06-30T00:00:00"/>
        <d v="2006-05-31T00:00:00"/>
        <d v="2006-04-28T00:00:00"/>
        <d v="2006-03-31T00:00:00"/>
        <d v="2006-02-28T00:00:00"/>
        <d v="2006-01-31T00:00:00"/>
        <d v="2005-12-30T00:00:00"/>
        <d v="2005-11-30T00:00:00"/>
        <d v="2005-10-31T00:00:00"/>
        <d v="2005-09-30T00:00:00"/>
        <d v="2005-08-31T00:00:00"/>
        <d v="2005-07-29T00:00:00"/>
        <d v="2005-06-30T00:00:00"/>
        <d v="2005-05-31T00:00:00"/>
        <d v="2005-04-29T00:00:00"/>
        <d v="2005-03-31T00:00:00"/>
        <d v="2005-02-28T00:00:00"/>
        <d v="2005-01-31T00:00:00"/>
        <d v="2004-12-31T00:00:00"/>
        <d v="2004-11-30T00:00:00"/>
        <d v="2004-10-29T00:00:00"/>
        <d v="2004-09-30T00:00:00"/>
        <d v="2004-08-31T00:00:00"/>
        <d v="2004-07-30T00:00:00"/>
        <d v="2004-06-30T00:00:00"/>
        <d v="2004-05-28T00:00:00"/>
        <d v="2004-04-30T00:00:00"/>
        <d v="2004-03-31T00:00:00"/>
        <d v="2004-02-27T00:00:00"/>
        <d v="2004-01-30T00:00:00"/>
        <d v="2003-12-31T00:00:00"/>
        <d v="2003-11-28T00:00:00"/>
        <d v="2003-10-31T00:00:00"/>
        <d v="2003-09-30T00:00:00"/>
        <d v="2003-08-29T00:00:00"/>
        <d v="2003-07-31T00:00:00"/>
        <d v="2003-06-30T00:00:00"/>
        <d v="2003-05-30T00:00:00"/>
        <d v="2003-04-30T00:00:00"/>
        <d v="2003-03-31T00:00:00"/>
        <d v="2003-02-28T00:00:00"/>
        <d v="2003-01-31T00:00:00"/>
        <d v="2002-12-31T00:00:00"/>
        <d v="2002-11-29T00:00:00"/>
        <d v="2002-10-31T00:00:00"/>
        <d v="2002-09-30T00:00:00"/>
        <d v="2002-08-30T00:00:00"/>
        <d v="2002-07-31T00:00:00"/>
        <d v="2002-06-28T00:00:00"/>
        <d v="2002-05-31T00:00:00"/>
        <d v="2002-04-30T00:00:00"/>
        <d v="2002-03-28T00:00:00"/>
        <d v="2002-02-28T00:00:00"/>
        <d v="2002-01-31T00:00:00"/>
        <d v="2001-12-31T00:00:00"/>
        <d v="2001-11-30T00:00:00"/>
        <d v="2001-10-31T00:00:00"/>
        <d v="2001-09-28T00:00:00"/>
        <d v="2001-08-31T00:00:00"/>
        <d v="2001-07-31T00:00:00"/>
        <d v="2001-06-29T00:00:00"/>
        <d v="2001-05-31T00:00:00"/>
        <d v="2001-04-30T00:00:00"/>
        <d v="2001-03-30T00:00:00"/>
        <d v="2001-02-28T00:00:00"/>
        <d v="2001-01-31T00:00:00"/>
        <d v="2000-12-29T00:00:00"/>
        <d v="2000-11-30T00:00:00"/>
        <d v="2000-10-31T00:00:00"/>
        <d v="2000-09-29T00:00:00"/>
        <d v="2000-08-31T00:00:00"/>
        <d v="2000-07-31T00:00:00"/>
        <d v="2000-06-30T00:00:00"/>
        <d v="2000-05-31T00:00:00"/>
        <d v="2000-04-28T00:00:00"/>
        <d v="2000-03-31T00:00:00"/>
        <d v="2000-02-29T00:00:00"/>
        <d v="2000-01-31T00:00:00"/>
        <d v="1999-12-31T00:00:00"/>
        <d v="1999-11-30T00:00:00"/>
        <d v="1999-10-29T00:00:00"/>
        <d v="1999-09-30T00:00:00"/>
        <d v="1999-08-31T00:00:00"/>
        <d v="1999-07-30T00:00:00"/>
        <d v="1999-06-30T00:00:00"/>
        <d v="1999-05-28T00:00:00"/>
        <d v="1999-04-30T00:00:00"/>
        <d v="1999-03-31T00:00:00"/>
        <d v="1999-02-26T00:00:00"/>
        <d v="1999-01-29T00:00:00"/>
        <d v="1998-12-31T00:00:00"/>
        <d v="1998-11-30T00:00:00"/>
        <d v="1998-10-30T00:00:00"/>
        <d v="1998-09-30T00:00:00"/>
        <d v="1998-08-31T00:00:00"/>
        <d v="1998-07-31T00:00:00"/>
        <d v="1998-06-30T00:00:00"/>
        <d v="1998-05-29T00:00:00"/>
        <d v="1998-04-30T00:00:00"/>
        <d v="1998-03-31T00:00:00"/>
        <d v="1998-02-27T00:00:00"/>
        <d v="1998-01-30T00:00:00"/>
        <d v="1997-12-31T00:00:00"/>
        <d v="1997-11-28T00:00:00"/>
        <d v="1997-10-31T00:00:00"/>
        <d v="1997-09-30T00:00:00"/>
        <d v="1997-08-29T00:00:00"/>
        <d v="1997-07-31T00:00:00"/>
        <d v="1997-06-30T00:00:00"/>
        <d v="1997-05-30T00:00:00"/>
        <d v="1997-04-30T00:00:00"/>
        <d v="1997-03-31T00:00:00"/>
        <d v="1997-02-28T00:00:00"/>
        <d v="1997-01-31T00:00:00"/>
        <d v="1996-12-31T00:00:00"/>
        <d v="1996-11-29T00:00:00"/>
        <d v="1996-10-31T00:00:00"/>
        <d v="1996-09-30T00:00:00"/>
        <d v="1996-08-30T00:00:00"/>
        <d v="1996-07-31T00:00:00"/>
        <d v="1996-06-28T00:00:00"/>
        <d v="1996-05-31T00:00:00"/>
        <d v="1996-04-30T00:00:00"/>
        <d v="1996-03-29T00:00:00"/>
        <d v="1996-02-29T00:00:00"/>
        <d v="1996-01-31T00:00:00"/>
        <d v="1995-12-29T00:00:00"/>
        <d v="1995-11-30T00:00:00"/>
        <d v="1995-10-31T00:00:00"/>
        <d v="1995-09-29T00:00:00"/>
        <d v="1995-08-31T00:00:00"/>
        <d v="1995-07-31T00:00:00"/>
        <d v="1995-06-30T00:00:00"/>
        <d v="1995-05-31T00:00:00"/>
        <d v="1995-04-28T00:00:00"/>
        <d v="1995-03-31T00:00:00"/>
        <d v="1995-02-28T00:00:00"/>
        <d v="1995-01-31T00:00:00"/>
        <d v="1994-12-30T00:00:00"/>
        <d v="1994-11-30T00:00:00"/>
        <d v="1994-10-31T00:00:00"/>
        <d v="1994-09-30T00:00:00"/>
        <d v="1994-08-31T00:00:00"/>
        <d v="1994-07-29T00:00:00"/>
        <d v="1994-06-30T00:00:00"/>
        <d v="1994-05-31T00:00:00"/>
        <d v="1994-04-29T00:00:00"/>
        <d v="1994-03-31T00:00:00"/>
        <d v="1994-02-28T00:00:00"/>
        <d v="1994-01-31T00:00:00"/>
        <d v="1993-12-31T00:00:00"/>
        <d v="1993-11-30T00:00:00"/>
        <d v="1993-10-29T00:00:00"/>
        <d v="1993-09-30T00:00:00"/>
        <d v="1993-08-31T00:00:00"/>
        <d v="1993-07-30T00:00:00"/>
        <d v="1993-06-30T00:00:00"/>
        <d v="1993-05-28T00:00:00"/>
        <d v="1993-04-30T00:00:00"/>
        <d v="1993-03-31T00:00:00"/>
        <d v="1993-02-26T00:00:00"/>
        <d v="1993-01-29T00:00:00"/>
        <d v="1992-12-31T00:00:00"/>
        <d v="1992-11-30T00:00:00"/>
        <d v="1992-10-30T00:00:00"/>
        <d v="1992-09-30T00:00:00"/>
        <d v="1992-08-31T00:00:00"/>
        <d v="1992-07-31T00:00:00"/>
        <d v="1992-06-30T00:00:00"/>
        <d v="1992-05-29T00:00:00"/>
        <d v="1992-04-30T00:00:00"/>
        <d v="1992-03-31T00:00:00"/>
        <d v="1992-02-28T00:00:00"/>
        <d v="1992-01-31T00:00:00"/>
        <d v="1991-12-31T00:00:00"/>
        <d v="1991-11-29T00:00:00"/>
        <d v="1991-10-31T00:00:00"/>
        <d v="1991-09-30T00:00:00"/>
        <d v="1991-08-30T00:00:00"/>
        <d v="1991-07-31T00:00:00"/>
        <d v="1991-06-28T00:00:00"/>
        <d v="1991-05-31T00:00:00"/>
        <d v="1991-04-30T00:00:00"/>
        <d v="1991-03-28T00:00:00"/>
        <d v="1991-02-28T00:00:00"/>
        <d v="1991-01-31T00:00:00"/>
        <d v="1990-12-31T00:00:00"/>
        <d v="1990-11-30T00:00:00"/>
        <d v="1990-10-31T00:00:00"/>
        <d v="1990-09-28T00:00:00"/>
        <d v="1990-08-31T00:00:00"/>
        <d v="1990-07-31T00:00:00"/>
        <d v="1990-06-29T00:00:00"/>
        <d v="1990-05-31T00:00:00"/>
        <d v="1990-04-30T00:00:00"/>
        <d v="1990-03-30T00:00:00"/>
        <d v="1990-02-28T00:00:00"/>
        <d v="1990-01-31T00:00:00"/>
      </sharedItems>
      <fieldGroup par="6" base="0">
        <rangePr groupBy="months" startDate="1990-01-31T00:00:00" endDate="2022-09-17T00:00:00"/>
        <groupItems count="14">
          <s v="&lt;1/31/199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7/2022"/>
        </groupItems>
      </fieldGroup>
    </cacheField>
    <cacheField name="Returns" numFmtId="164">
      <sharedItems containsSemiMixedTypes="0" containsString="0" containsNumber="1" minValue="-0.16942452376742001" maxValue="0.12684403825663801"/>
    </cacheField>
    <cacheField name="VIX.Adjusted" numFmtId="0">
      <sharedItems containsSemiMixedTypes="0" containsString="0" containsNumber="1" minValue="9.51" maxValue="59.889999000000003"/>
    </cacheField>
    <cacheField name="vix_decile" numFmtId="0">
      <sharedItems containsSemiMixedTypes="0" containsString="0" containsNumber="1" containsInteger="1" minValue="1" maxValue="4"/>
    </cacheField>
    <cacheField name="Color" numFmtId="0">
      <sharedItems count="2">
        <s v="Red"/>
        <s v="Green"/>
      </sharedItems>
    </cacheField>
    <cacheField name="Quarters" numFmtId="0" databaseField="0">
      <fieldGroup base="0">
        <rangePr groupBy="quarters" startDate="1990-01-31T00:00:00" endDate="2022-09-17T00:00:00"/>
        <groupItems count="6">
          <s v="&lt;1/31/1990"/>
          <s v="Qtr1"/>
          <s v="Qtr2"/>
          <s v="Qtr3"/>
          <s v="Qtr4"/>
          <s v="&gt;9/17/2022"/>
        </groupItems>
      </fieldGroup>
    </cacheField>
    <cacheField name="Years" numFmtId="0" databaseField="0">
      <fieldGroup base="0">
        <rangePr groupBy="years" startDate="1990-01-31T00:00:00" endDate="2022-09-17T00:00:00"/>
        <groupItems count="35">
          <s v="&lt;1/31/1990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9/1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36788078706" createdVersion="8" refreshedVersion="8" minRefreshableVersion="3" recordCount="393" xr:uid="{DB933250-8707-4EF1-A41D-5DABDEC86A87}">
  <cacheSource type="worksheet">
    <worksheetSource ref="A1:G395" sheet="Monthly vix buckets 10"/>
  </cacheSource>
  <cacheFields count="9">
    <cacheField name="Date" numFmtId="14">
      <sharedItems containsSemiMixedTypes="0" containsNonDate="0" containsDate="1" containsString="0" minDate="1990-01-31T00:00:00" maxDate="2022-10-01T00:00:00" count="393">
        <d v="2022-09-30T00:00:00"/>
        <d v="2022-08-31T00:00:00"/>
        <d v="2022-07-29T00:00:00"/>
        <d v="2022-06-30T00:00:00"/>
        <d v="2022-05-31T00:00:00"/>
        <d v="2022-04-29T00:00:00"/>
        <d v="2022-03-31T00:00:00"/>
        <d v="2022-02-28T00:00:00"/>
        <d v="2022-01-31T00:00:00"/>
        <d v="2021-12-31T00:00:00"/>
        <d v="2021-11-30T00:00:00"/>
        <d v="2021-10-29T00:00:00"/>
        <d v="2021-09-30T00:00:00"/>
        <d v="2021-08-31T00:00:00"/>
        <d v="2021-07-30T00:00:00"/>
        <d v="2021-06-30T00:00:00"/>
        <d v="2021-05-28T00:00:00"/>
        <d v="2021-04-30T00:00:00"/>
        <d v="2021-03-31T00:00:00"/>
        <d v="2021-02-26T00:00:00"/>
        <d v="2021-01-29T00:00:00"/>
        <d v="2020-12-31T00:00:00"/>
        <d v="2020-11-30T00:00:00"/>
        <d v="2020-10-30T00:00:00"/>
        <d v="2020-09-30T00:00:00"/>
        <d v="2020-08-31T00:00:00"/>
        <d v="2020-07-31T00:00:00"/>
        <d v="2020-06-30T00:00:00"/>
        <d v="2020-05-29T00:00:00"/>
        <d v="2020-04-30T00:00:00"/>
        <d v="2020-03-31T00:00:00"/>
        <d v="2020-02-28T00:00:00"/>
        <d v="2020-01-31T00:00:00"/>
        <d v="2019-12-31T00:00:00"/>
        <d v="2019-11-29T00:00:00"/>
        <d v="2019-10-31T00:00:00"/>
        <d v="2019-09-30T00:00:00"/>
        <d v="2019-08-30T00:00:00"/>
        <d v="2019-07-31T00:00:00"/>
        <d v="2019-06-28T00:00:00"/>
        <d v="2019-05-31T00:00:00"/>
        <d v="2019-04-30T00:00:00"/>
        <d v="2019-03-29T00:00:00"/>
        <d v="2019-02-28T00:00:00"/>
        <d v="2019-01-31T00:00:00"/>
        <d v="2018-12-31T00:00:00"/>
        <d v="2018-11-30T00:00:00"/>
        <d v="2018-10-31T00:00:00"/>
        <d v="2018-09-28T00:00:00"/>
        <d v="2018-08-31T00:00:00"/>
        <d v="2018-07-31T00:00:00"/>
        <d v="2018-06-29T00:00:00"/>
        <d v="2018-05-31T00:00:00"/>
        <d v="2018-04-30T00:00:00"/>
        <d v="2018-03-29T00:00:00"/>
        <d v="2018-02-28T00:00:00"/>
        <d v="2018-01-31T00:00:00"/>
        <d v="2017-12-29T00:00:00"/>
        <d v="2017-11-30T00:00:00"/>
        <d v="2017-10-31T00:00:00"/>
        <d v="2017-09-29T00:00:00"/>
        <d v="2017-08-31T00:00:00"/>
        <d v="2017-07-31T00:00:00"/>
        <d v="2017-06-30T00:00:00"/>
        <d v="2017-05-31T00:00:00"/>
        <d v="2017-04-28T00:00:00"/>
        <d v="2017-03-31T00:00:00"/>
        <d v="2017-02-28T00:00:00"/>
        <d v="2017-01-31T00:00:00"/>
        <d v="2016-12-30T00:00:00"/>
        <d v="2016-11-30T00:00:00"/>
        <d v="2016-10-31T00:00:00"/>
        <d v="2016-09-30T00:00:00"/>
        <d v="2016-08-31T00:00:00"/>
        <d v="2016-07-29T00:00:00"/>
        <d v="2016-06-30T00:00:00"/>
        <d v="2016-05-31T00:00:00"/>
        <d v="2016-04-29T00:00:00"/>
        <d v="2016-03-31T00:00:00"/>
        <d v="2016-02-29T00:00:00"/>
        <d v="2016-01-29T00:00:00"/>
        <d v="2015-12-31T00:00:00"/>
        <d v="2015-11-30T00:00:00"/>
        <d v="2015-10-30T00:00:00"/>
        <d v="2015-09-30T00:00:00"/>
        <d v="2015-08-31T00:00:00"/>
        <d v="2015-07-31T00:00:00"/>
        <d v="2015-06-30T00:00:00"/>
        <d v="2015-05-29T00:00:00"/>
        <d v="2015-04-30T00:00:00"/>
        <d v="2015-03-31T00:00:00"/>
        <d v="2015-02-27T00:00:00"/>
        <d v="2015-01-30T00:00:00"/>
        <d v="2014-12-31T00:00:00"/>
        <d v="2014-11-28T00:00:00"/>
        <d v="2014-10-31T00:00:00"/>
        <d v="2014-09-30T00:00:00"/>
        <d v="2014-08-29T00:00:00"/>
        <d v="2014-07-31T00:00:00"/>
        <d v="2014-06-30T00:00:00"/>
        <d v="2014-05-30T00:00:00"/>
        <d v="2014-04-30T00:00:00"/>
        <d v="2014-03-31T00:00:00"/>
        <d v="2014-02-28T00:00:00"/>
        <d v="2014-01-31T00:00:00"/>
        <d v="2013-12-31T00:00:00"/>
        <d v="2013-11-29T00:00:00"/>
        <d v="2013-10-31T00:00:00"/>
        <d v="2013-09-30T00:00:00"/>
        <d v="2013-08-30T00:00:00"/>
        <d v="2013-07-31T00:00:00"/>
        <d v="2013-06-28T00:00:00"/>
        <d v="2013-05-31T00:00:00"/>
        <d v="2013-04-30T00:00:00"/>
        <d v="2013-03-28T00:00:00"/>
        <d v="2013-02-28T00:00:00"/>
        <d v="2013-01-31T00:00:00"/>
        <d v="2012-12-31T00:00:00"/>
        <d v="2012-11-30T00:00:00"/>
        <d v="2012-10-31T00:00:00"/>
        <d v="2012-09-28T00:00:00"/>
        <d v="2012-08-31T00:00:00"/>
        <d v="2012-07-31T00:00:00"/>
        <d v="2012-06-29T00:00:00"/>
        <d v="2012-05-31T00:00:00"/>
        <d v="2012-04-30T00:00:00"/>
        <d v="2012-03-30T00:00:00"/>
        <d v="2012-02-29T00:00:00"/>
        <d v="2012-01-31T00:00:00"/>
        <d v="2011-12-30T00:00:00"/>
        <d v="2011-11-30T00:00:00"/>
        <d v="2011-10-31T00:00:00"/>
        <d v="2011-09-30T00:00:00"/>
        <d v="2011-08-31T00:00:00"/>
        <d v="2011-07-29T00:00:00"/>
        <d v="2011-06-30T00:00:00"/>
        <d v="2011-05-31T00:00:00"/>
        <d v="2011-04-29T00:00:00"/>
        <d v="2011-03-31T00:00:00"/>
        <d v="2011-02-28T00:00:00"/>
        <d v="2011-01-31T00:00:00"/>
        <d v="2010-12-31T00:00:00"/>
        <d v="2010-11-30T00:00:00"/>
        <d v="2010-10-29T00:00:00"/>
        <d v="2010-09-30T00:00:00"/>
        <d v="2010-08-31T00:00:00"/>
        <d v="2010-07-30T00:00:00"/>
        <d v="2010-06-30T00:00:00"/>
        <d v="2010-05-28T00:00:00"/>
        <d v="2010-04-30T00:00:00"/>
        <d v="2010-03-31T00:00:00"/>
        <d v="2010-02-26T00:00:00"/>
        <d v="2010-01-29T00:00:00"/>
        <d v="2009-12-31T00:00:00"/>
        <d v="2009-11-30T00:00:00"/>
        <d v="2009-10-30T00:00:00"/>
        <d v="2009-09-30T00:00:00"/>
        <d v="2009-08-31T00:00:00"/>
        <d v="2009-07-31T00:00:00"/>
        <d v="2009-06-30T00:00:00"/>
        <d v="2009-05-29T00:00:00"/>
        <d v="2009-04-30T00:00:00"/>
        <d v="2009-03-31T00:00:00"/>
        <d v="2009-02-27T00:00:00"/>
        <d v="2009-01-30T00:00:00"/>
        <d v="2008-12-31T00:00:00"/>
        <d v="2008-11-28T00:00:00"/>
        <d v="2008-10-31T00:00:00"/>
        <d v="2008-09-30T00:00:00"/>
        <d v="2008-08-29T00:00:00"/>
        <d v="2008-07-31T00:00:00"/>
        <d v="2008-06-30T00:00:00"/>
        <d v="2008-05-30T00:00:00"/>
        <d v="2008-04-30T00:00:00"/>
        <d v="2008-03-31T00:00:00"/>
        <d v="2008-02-29T00:00:00"/>
        <d v="2008-01-31T00:00:00"/>
        <d v="2007-12-31T00:00:00"/>
        <d v="2007-11-30T00:00:00"/>
        <d v="2007-10-31T00:00:00"/>
        <d v="2007-09-28T00:00:00"/>
        <d v="2007-08-31T00:00:00"/>
        <d v="2007-07-31T00:00:00"/>
        <d v="2007-06-29T00:00:00"/>
        <d v="2007-05-31T00:00:00"/>
        <d v="2007-04-30T00:00:00"/>
        <d v="2007-03-30T00:00:00"/>
        <d v="2007-02-28T00:00:00"/>
        <d v="2007-01-31T00:00:00"/>
        <d v="2006-12-29T00:00:00"/>
        <d v="2006-11-30T00:00:00"/>
        <d v="2006-10-31T00:00:00"/>
        <d v="2006-09-29T00:00:00"/>
        <d v="2006-08-31T00:00:00"/>
        <d v="2006-07-31T00:00:00"/>
        <d v="2006-06-30T00:00:00"/>
        <d v="2006-05-31T00:00:00"/>
        <d v="2006-04-28T00:00:00"/>
        <d v="2006-03-31T00:00:00"/>
        <d v="2006-02-28T00:00:00"/>
        <d v="2006-01-31T00:00:00"/>
        <d v="2005-12-30T00:00:00"/>
        <d v="2005-11-30T00:00:00"/>
        <d v="2005-10-31T00:00:00"/>
        <d v="2005-09-30T00:00:00"/>
        <d v="2005-08-31T00:00:00"/>
        <d v="2005-07-29T00:00:00"/>
        <d v="2005-06-30T00:00:00"/>
        <d v="2005-05-31T00:00:00"/>
        <d v="2005-04-29T00:00:00"/>
        <d v="2005-03-31T00:00:00"/>
        <d v="2005-02-28T00:00:00"/>
        <d v="2005-01-31T00:00:00"/>
        <d v="2004-12-31T00:00:00"/>
        <d v="2004-11-30T00:00:00"/>
        <d v="2004-10-29T00:00:00"/>
        <d v="2004-09-30T00:00:00"/>
        <d v="2004-08-31T00:00:00"/>
        <d v="2004-07-30T00:00:00"/>
        <d v="2004-06-30T00:00:00"/>
        <d v="2004-05-28T00:00:00"/>
        <d v="2004-04-30T00:00:00"/>
        <d v="2004-03-31T00:00:00"/>
        <d v="2004-02-27T00:00:00"/>
        <d v="2004-01-30T00:00:00"/>
        <d v="2003-12-31T00:00:00"/>
        <d v="2003-11-28T00:00:00"/>
        <d v="2003-10-31T00:00:00"/>
        <d v="2003-09-30T00:00:00"/>
        <d v="2003-08-29T00:00:00"/>
        <d v="2003-07-31T00:00:00"/>
        <d v="2003-06-30T00:00:00"/>
        <d v="2003-05-30T00:00:00"/>
        <d v="2003-04-30T00:00:00"/>
        <d v="2003-03-31T00:00:00"/>
        <d v="2003-02-28T00:00:00"/>
        <d v="2003-01-31T00:00:00"/>
        <d v="2002-12-31T00:00:00"/>
        <d v="2002-11-29T00:00:00"/>
        <d v="2002-10-31T00:00:00"/>
        <d v="2002-09-30T00:00:00"/>
        <d v="2002-08-30T00:00:00"/>
        <d v="2002-07-31T00:00:00"/>
        <d v="2002-06-28T00:00:00"/>
        <d v="2002-05-31T00:00:00"/>
        <d v="2002-04-30T00:00:00"/>
        <d v="2002-03-28T00:00:00"/>
        <d v="2002-02-28T00:00:00"/>
        <d v="2002-01-31T00:00:00"/>
        <d v="2001-12-31T00:00:00"/>
        <d v="2001-11-30T00:00:00"/>
        <d v="2001-10-31T00:00:00"/>
        <d v="2001-09-28T00:00:00"/>
        <d v="2001-08-31T00:00:00"/>
        <d v="2001-07-31T00:00:00"/>
        <d v="2001-06-29T00:00:00"/>
        <d v="2001-05-31T00:00:00"/>
        <d v="2001-04-30T00:00:00"/>
        <d v="2001-03-30T00:00:00"/>
        <d v="2001-02-28T00:00:00"/>
        <d v="2001-01-31T00:00:00"/>
        <d v="2000-12-29T00:00:00"/>
        <d v="2000-11-30T00:00:00"/>
        <d v="2000-10-31T00:00:00"/>
        <d v="2000-09-29T00:00:00"/>
        <d v="2000-08-31T00:00:00"/>
        <d v="2000-07-31T00:00:00"/>
        <d v="2000-06-30T00:00:00"/>
        <d v="2000-05-31T00:00:00"/>
        <d v="2000-04-28T00:00:00"/>
        <d v="2000-03-31T00:00:00"/>
        <d v="2000-02-29T00:00:00"/>
        <d v="2000-01-31T00:00:00"/>
        <d v="1999-12-31T00:00:00"/>
        <d v="1999-11-30T00:00:00"/>
        <d v="1999-10-29T00:00:00"/>
        <d v="1999-09-30T00:00:00"/>
        <d v="1999-08-31T00:00:00"/>
        <d v="1999-07-30T00:00:00"/>
        <d v="1999-06-30T00:00:00"/>
        <d v="1999-05-28T00:00:00"/>
        <d v="1999-04-30T00:00:00"/>
        <d v="1999-03-31T00:00:00"/>
        <d v="1999-02-26T00:00:00"/>
        <d v="1999-01-29T00:00:00"/>
        <d v="1998-12-31T00:00:00"/>
        <d v="1998-11-30T00:00:00"/>
        <d v="1998-10-30T00:00:00"/>
        <d v="1998-09-30T00:00:00"/>
        <d v="1998-08-31T00:00:00"/>
        <d v="1998-07-31T00:00:00"/>
        <d v="1998-06-30T00:00:00"/>
        <d v="1998-05-29T00:00:00"/>
        <d v="1998-04-30T00:00:00"/>
        <d v="1998-03-31T00:00:00"/>
        <d v="1998-02-27T00:00:00"/>
        <d v="1998-01-30T00:00:00"/>
        <d v="1997-12-31T00:00:00"/>
        <d v="1997-11-28T00:00:00"/>
        <d v="1997-10-31T00:00:00"/>
        <d v="1997-09-30T00:00:00"/>
        <d v="1997-08-29T00:00:00"/>
        <d v="1997-07-31T00:00:00"/>
        <d v="1997-06-30T00:00:00"/>
        <d v="1997-05-30T00:00:00"/>
        <d v="1997-04-30T00:00:00"/>
        <d v="1997-03-31T00:00:00"/>
        <d v="1997-02-28T00:00:00"/>
        <d v="1997-01-31T00:00:00"/>
        <d v="1996-12-31T00:00:00"/>
        <d v="1996-11-29T00:00:00"/>
        <d v="1996-10-31T00:00:00"/>
        <d v="1996-09-30T00:00:00"/>
        <d v="1996-08-30T00:00:00"/>
        <d v="1996-07-31T00:00:00"/>
        <d v="1996-06-28T00:00:00"/>
        <d v="1996-05-31T00:00:00"/>
        <d v="1996-04-30T00:00:00"/>
        <d v="1996-03-29T00:00:00"/>
        <d v="1996-02-29T00:00:00"/>
        <d v="1996-01-31T00:00:00"/>
        <d v="1995-12-29T00:00:00"/>
        <d v="1995-11-30T00:00:00"/>
        <d v="1995-10-31T00:00:00"/>
        <d v="1995-09-29T00:00:00"/>
        <d v="1995-08-31T00:00:00"/>
        <d v="1995-07-31T00:00:00"/>
        <d v="1995-06-30T00:00:00"/>
        <d v="1995-05-31T00:00:00"/>
        <d v="1995-04-28T00:00:00"/>
        <d v="1995-03-31T00:00:00"/>
        <d v="1995-02-28T00:00:00"/>
        <d v="1995-01-31T00:00:00"/>
        <d v="1994-12-30T00:00:00"/>
        <d v="1994-11-30T00:00:00"/>
        <d v="1994-10-31T00:00:00"/>
        <d v="1994-09-30T00:00:00"/>
        <d v="1994-08-31T00:00:00"/>
        <d v="1994-07-29T00:00:00"/>
        <d v="1994-06-30T00:00:00"/>
        <d v="1994-05-31T00:00:00"/>
        <d v="1994-04-29T00:00:00"/>
        <d v="1994-03-31T00:00:00"/>
        <d v="1994-02-28T00:00:00"/>
        <d v="1994-01-31T00:00:00"/>
        <d v="1993-12-31T00:00:00"/>
        <d v="1993-11-30T00:00:00"/>
        <d v="1993-10-29T00:00:00"/>
        <d v="1993-09-30T00:00:00"/>
        <d v="1993-08-31T00:00:00"/>
        <d v="1993-07-30T00:00:00"/>
        <d v="1993-06-30T00:00:00"/>
        <d v="1993-05-28T00:00:00"/>
        <d v="1993-04-30T00:00:00"/>
        <d v="1993-03-31T00:00:00"/>
        <d v="1993-02-26T00:00:00"/>
        <d v="1993-01-29T00:00:00"/>
        <d v="1992-12-31T00:00:00"/>
        <d v="1992-11-30T00:00:00"/>
        <d v="1992-10-30T00:00:00"/>
        <d v="1992-09-30T00:00:00"/>
        <d v="1992-08-31T00:00:00"/>
        <d v="1992-07-31T00:00:00"/>
        <d v="1992-06-30T00:00:00"/>
        <d v="1992-05-29T00:00:00"/>
        <d v="1992-04-30T00:00:00"/>
        <d v="1992-03-31T00:00:00"/>
        <d v="1992-02-28T00:00:00"/>
        <d v="1992-01-31T00:00:00"/>
        <d v="1991-12-31T00:00:00"/>
        <d v="1991-11-29T00:00:00"/>
        <d v="1991-10-31T00:00:00"/>
        <d v="1991-09-30T00:00:00"/>
        <d v="1991-08-30T00:00:00"/>
        <d v="1991-07-31T00:00:00"/>
        <d v="1991-06-28T00:00:00"/>
        <d v="1991-05-31T00:00:00"/>
        <d v="1991-04-30T00:00:00"/>
        <d v="1991-03-28T00:00:00"/>
        <d v="1991-02-28T00:00:00"/>
        <d v="1991-01-31T00:00:00"/>
        <d v="1990-12-31T00:00:00"/>
        <d v="1990-11-30T00:00:00"/>
        <d v="1990-10-31T00:00:00"/>
        <d v="1990-09-28T00:00:00"/>
        <d v="1990-08-31T00:00:00"/>
        <d v="1990-07-31T00:00:00"/>
        <d v="1990-06-29T00:00:00"/>
        <d v="1990-05-31T00:00:00"/>
        <d v="1990-04-30T00:00:00"/>
        <d v="1990-03-30T00:00:00"/>
        <d v="1990-02-28T00:00:00"/>
        <d v="1990-01-31T00:00:00"/>
      </sharedItems>
      <fieldGroup par="8" base="0">
        <rangePr groupBy="months" startDate="1990-01-31T00:00:00" endDate="2022-10-01T00:00:00"/>
        <groupItems count="14">
          <s v="&lt;1/31/199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2"/>
        </groupItems>
      </fieldGroup>
    </cacheField>
    <cacheField name="Returns" numFmtId="164">
      <sharedItems containsSemiMixedTypes="0" containsString="0" containsNumber="1" minValue="-0.16942452376742001" maxValue="0.12684403825663801"/>
    </cacheField>
    <cacheField name="Color" numFmtId="0">
      <sharedItems/>
    </cacheField>
    <cacheField name="VIX" numFmtId="0">
      <sharedItems containsSemiMixedTypes="0" containsString="0" containsNumber="1" minValue="9.51" maxValue="59.889999000000003"/>
    </cacheField>
    <cacheField name="VIX buckets" numFmtId="0">
      <sharedItems containsSemiMixedTypes="0" containsString="0" containsNumber="1" containsInteger="1" minValue="1" maxValue="10" count="10">
        <n v="9"/>
        <n v="7"/>
        <n v="10"/>
        <n v="5"/>
        <n v="8"/>
        <n v="6"/>
        <n v="4"/>
        <n v="3"/>
        <n v="2"/>
        <n v="1"/>
      </sharedItems>
    </cacheField>
    <cacheField name="Positive" numFmtId="0">
      <sharedItems containsSemiMixedTypes="0" containsString="0" containsNumber="1" containsInteger="1" minValue="0" maxValue="1"/>
    </cacheField>
    <cacheField name="Month" numFmtId="0">
      <sharedItems containsSemiMixedTypes="0" containsString="0" containsNumber="1" containsInteger="1" minValue="1" maxValue="12" count="12">
        <n v="9"/>
        <n v="8"/>
        <n v="7"/>
        <n v="6"/>
        <n v="5"/>
        <n v="4"/>
        <n v="3"/>
        <n v="2"/>
        <n v="1"/>
        <n v="12"/>
        <n v="11"/>
        <n v="10"/>
      </sharedItems>
    </cacheField>
    <cacheField name="Quarters" numFmtId="0" databaseField="0">
      <fieldGroup base="0">
        <rangePr groupBy="quarters" startDate="1990-01-31T00:00:00" endDate="2022-10-01T00:00:00"/>
        <groupItems count="6">
          <s v="&lt;1/31/1990"/>
          <s v="Qtr1"/>
          <s v="Qtr2"/>
          <s v="Qtr3"/>
          <s v="Qtr4"/>
          <s v="&gt;10/1/2022"/>
        </groupItems>
      </fieldGroup>
    </cacheField>
    <cacheField name="Years" numFmtId="0" databaseField="0">
      <fieldGroup base="0">
        <rangePr groupBy="years" startDate="1990-01-31T00:00:00" endDate="2022-10-01T00:00:00"/>
        <groupItems count="35">
          <s v="&lt;1/31/1990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0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54668171299" createdVersion="8" refreshedVersion="8" minRefreshableVersion="3" recordCount="394" xr:uid="{E9CEA5B3-D9F9-46A1-BCF4-9297A6FACF3E}">
  <cacheSource type="worksheet">
    <worksheetSource ref="A1:G395" sheet="Monthly vix buckets 5"/>
  </cacheSource>
  <cacheFields count="9">
    <cacheField name="Date" numFmtId="14">
      <sharedItems containsSemiMixedTypes="0" containsNonDate="0" containsDate="1" containsString="0" minDate="1990-01-31T00:00:00" maxDate="2022-10-15T00:00:00" count="394">
        <d v="2022-10-14T00:00:00"/>
        <d v="2022-09-30T00:00:00"/>
        <d v="2022-08-31T00:00:00"/>
        <d v="2022-07-29T00:00:00"/>
        <d v="2022-06-30T00:00:00"/>
        <d v="2022-05-31T00:00:00"/>
        <d v="2022-04-29T00:00:00"/>
        <d v="2022-03-31T00:00:00"/>
        <d v="2022-02-28T00:00:00"/>
        <d v="2022-01-31T00:00:00"/>
        <d v="2021-12-31T00:00:00"/>
        <d v="2021-11-30T00:00:00"/>
        <d v="2021-10-29T00:00:00"/>
        <d v="2021-09-30T00:00:00"/>
        <d v="2021-08-31T00:00:00"/>
        <d v="2021-07-30T00:00:00"/>
        <d v="2021-06-30T00:00:00"/>
        <d v="2021-05-28T00:00:00"/>
        <d v="2021-04-30T00:00:00"/>
        <d v="2021-03-31T00:00:00"/>
        <d v="2021-02-26T00:00:00"/>
        <d v="2021-01-29T00:00:00"/>
        <d v="2020-12-31T00:00:00"/>
        <d v="2020-11-30T00:00:00"/>
        <d v="2020-10-30T00:00:00"/>
        <d v="2020-09-30T00:00:00"/>
        <d v="2020-08-31T00:00:00"/>
        <d v="2020-07-31T00:00:00"/>
        <d v="2020-06-30T00:00:00"/>
        <d v="2020-05-29T00:00:00"/>
        <d v="2020-04-30T00:00:00"/>
        <d v="2020-03-31T00:00:00"/>
        <d v="2020-02-28T00:00:00"/>
        <d v="2020-01-31T00:00:00"/>
        <d v="2019-12-31T00:00:00"/>
        <d v="2019-11-29T00:00:00"/>
        <d v="2019-10-31T00:00:00"/>
        <d v="2019-09-30T00:00:00"/>
        <d v="2019-08-30T00:00:00"/>
        <d v="2019-07-31T00:00:00"/>
        <d v="2019-06-28T00:00:00"/>
        <d v="2019-05-31T00:00:00"/>
        <d v="2019-04-30T00:00:00"/>
        <d v="2019-03-29T00:00:00"/>
        <d v="2019-02-28T00:00:00"/>
        <d v="2019-01-31T00:00:00"/>
        <d v="2018-12-31T00:00:00"/>
        <d v="2018-11-30T00:00:00"/>
        <d v="2018-10-31T00:00:00"/>
        <d v="2018-09-28T00:00:00"/>
        <d v="2018-08-31T00:00:00"/>
        <d v="2018-07-31T00:00:00"/>
        <d v="2018-06-29T00:00:00"/>
        <d v="2018-05-31T00:00:00"/>
        <d v="2018-04-30T00:00:00"/>
        <d v="2018-03-29T00:00:00"/>
        <d v="2018-02-28T00:00:00"/>
        <d v="2018-01-31T00:00:00"/>
        <d v="2017-12-29T00:00:00"/>
        <d v="2017-11-30T00:00:00"/>
        <d v="2017-10-31T00:00:00"/>
        <d v="2017-09-29T00:00:00"/>
        <d v="2017-08-31T00:00:00"/>
        <d v="2017-07-31T00:00:00"/>
        <d v="2017-06-30T00:00:00"/>
        <d v="2017-05-31T00:00:00"/>
        <d v="2017-04-28T00:00:00"/>
        <d v="2017-03-31T00:00:00"/>
        <d v="2017-02-28T00:00:00"/>
        <d v="2017-01-31T00:00:00"/>
        <d v="2016-12-30T00:00:00"/>
        <d v="2016-11-30T00:00:00"/>
        <d v="2016-10-31T00:00:00"/>
        <d v="2016-09-30T00:00:00"/>
        <d v="2016-08-31T00:00:00"/>
        <d v="2016-07-29T00:00:00"/>
        <d v="2016-06-30T00:00:00"/>
        <d v="2016-05-31T00:00:00"/>
        <d v="2016-04-29T00:00:00"/>
        <d v="2016-03-31T00:00:00"/>
        <d v="2016-02-29T00:00:00"/>
        <d v="2016-01-29T00:00:00"/>
        <d v="2015-12-31T00:00:00"/>
        <d v="2015-11-30T00:00:00"/>
        <d v="2015-10-30T00:00:00"/>
        <d v="2015-09-30T00:00:00"/>
        <d v="2015-08-31T00:00:00"/>
        <d v="2015-07-31T00:00:00"/>
        <d v="2015-06-30T00:00:00"/>
        <d v="2015-05-29T00:00:00"/>
        <d v="2015-04-30T00:00:00"/>
        <d v="2015-03-31T00:00:00"/>
        <d v="2015-02-27T00:00:00"/>
        <d v="2015-01-30T00:00:00"/>
        <d v="2014-12-31T00:00:00"/>
        <d v="2014-11-28T00:00:00"/>
        <d v="2014-10-31T00:00:00"/>
        <d v="2014-09-30T00:00:00"/>
        <d v="2014-08-29T00:00:00"/>
        <d v="2014-07-31T00:00:00"/>
        <d v="2014-06-30T00:00:00"/>
        <d v="2014-05-30T00:00:00"/>
        <d v="2014-04-30T00:00:00"/>
        <d v="2014-03-31T00:00:00"/>
        <d v="2014-02-28T00:00:00"/>
        <d v="2014-01-31T00:00:00"/>
        <d v="2013-12-31T00:00:00"/>
        <d v="2013-11-29T00:00:00"/>
        <d v="2013-10-31T00:00:00"/>
        <d v="2013-09-30T00:00:00"/>
        <d v="2013-08-30T00:00:00"/>
        <d v="2013-07-31T00:00:00"/>
        <d v="2013-06-28T00:00:00"/>
        <d v="2013-05-31T00:00:00"/>
        <d v="2013-04-30T00:00:00"/>
        <d v="2013-03-28T00:00:00"/>
        <d v="2013-02-28T00:00:00"/>
        <d v="2013-01-31T00:00:00"/>
        <d v="2012-12-31T00:00:00"/>
        <d v="2012-11-30T00:00:00"/>
        <d v="2012-10-31T00:00:00"/>
        <d v="2012-09-28T00:00:00"/>
        <d v="2012-08-31T00:00:00"/>
        <d v="2012-07-31T00:00:00"/>
        <d v="2012-06-29T00:00:00"/>
        <d v="2012-05-31T00:00:00"/>
        <d v="2012-04-30T00:00:00"/>
        <d v="2012-03-30T00:00:00"/>
        <d v="2012-02-29T00:00:00"/>
        <d v="2012-01-31T00:00:00"/>
        <d v="2011-12-30T00:00:00"/>
        <d v="2011-11-30T00:00:00"/>
        <d v="2011-10-31T00:00:00"/>
        <d v="2011-09-30T00:00:00"/>
        <d v="2011-08-31T00:00:00"/>
        <d v="2011-07-29T00:00:00"/>
        <d v="2011-06-30T00:00:00"/>
        <d v="2011-05-31T00:00:00"/>
        <d v="2011-04-29T00:00:00"/>
        <d v="2011-03-31T00:00:00"/>
        <d v="2011-02-28T00:00:00"/>
        <d v="2011-01-31T00:00:00"/>
        <d v="2010-12-31T00:00:00"/>
        <d v="2010-11-30T00:00:00"/>
        <d v="2010-10-29T00:00:00"/>
        <d v="2010-09-30T00:00:00"/>
        <d v="2010-08-31T00:00:00"/>
        <d v="2010-07-30T00:00:00"/>
        <d v="2010-06-30T00:00:00"/>
        <d v="2010-05-28T00:00:00"/>
        <d v="2010-04-30T00:00:00"/>
        <d v="2010-03-31T00:00:00"/>
        <d v="2010-02-26T00:00:00"/>
        <d v="2010-01-29T00:00:00"/>
        <d v="2009-12-31T00:00:00"/>
        <d v="2009-11-30T00:00:00"/>
        <d v="2009-10-30T00:00:00"/>
        <d v="2009-09-30T00:00:00"/>
        <d v="2009-08-31T00:00:00"/>
        <d v="2009-07-31T00:00:00"/>
        <d v="2009-06-30T00:00:00"/>
        <d v="2009-05-29T00:00:00"/>
        <d v="2009-04-30T00:00:00"/>
        <d v="2009-03-31T00:00:00"/>
        <d v="2009-02-27T00:00:00"/>
        <d v="2009-01-30T00:00:00"/>
        <d v="2008-12-31T00:00:00"/>
        <d v="2008-11-28T00:00:00"/>
        <d v="2008-10-31T00:00:00"/>
        <d v="2008-09-30T00:00:00"/>
        <d v="2008-08-29T00:00:00"/>
        <d v="2008-07-31T00:00:00"/>
        <d v="2008-06-30T00:00:00"/>
        <d v="2008-05-30T00:00:00"/>
        <d v="2008-04-30T00:00:00"/>
        <d v="2008-03-31T00:00:00"/>
        <d v="2008-02-29T00:00:00"/>
        <d v="2008-01-31T00:00:00"/>
        <d v="2007-12-31T00:00:00"/>
        <d v="2007-11-30T00:00:00"/>
        <d v="2007-10-31T00:00:00"/>
        <d v="2007-09-28T00:00:00"/>
        <d v="2007-08-31T00:00:00"/>
        <d v="2007-07-31T00:00:00"/>
        <d v="2007-06-29T00:00:00"/>
        <d v="2007-05-31T00:00:00"/>
        <d v="2007-04-30T00:00:00"/>
        <d v="2007-03-30T00:00:00"/>
        <d v="2007-02-28T00:00:00"/>
        <d v="2007-01-31T00:00:00"/>
        <d v="2006-12-29T00:00:00"/>
        <d v="2006-11-30T00:00:00"/>
        <d v="2006-10-31T00:00:00"/>
        <d v="2006-09-29T00:00:00"/>
        <d v="2006-08-31T00:00:00"/>
        <d v="2006-07-31T00:00:00"/>
        <d v="2006-06-30T00:00:00"/>
        <d v="2006-05-31T00:00:00"/>
        <d v="2006-04-28T00:00:00"/>
        <d v="2006-03-31T00:00:00"/>
        <d v="2006-02-28T00:00:00"/>
        <d v="2006-01-31T00:00:00"/>
        <d v="2005-12-30T00:00:00"/>
        <d v="2005-11-30T00:00:00"/>
        <d v="2005-10-31T00:00:00"/>
        <d v="2005-09-30T00:00:00"/>
        <d v="2005-08-31T00:00:00"/>
        <d v="2005-07-29T00:00:00"/>
        <d v="2005-06-30T00:00:00"/>
        <d v="2005-05-31T00:00:00"/>
        <d v="2005-04-29T00:00:00"/>
        <d v="2005-03-31T00:00:00"/>
        <d v="2005-02-28T00:00:00"/>
        <d v="2005-01-31T00:00:00"/>
        <d v="2004-12-31T00:00:00"/>
        <d v="2004-11-30T00:00:00"/>
        <d v="2004-10-29T00:00:00"/>
        <d v="2004-09-30T00:00:00"/>
        <d v="2004-08-31T00:00:00"/>
        <d v="2004-07-30T00:00:00"/>
        <d v="2004-06-30T00:00:00"/>
        <d v="2004-05-28T00:00:00"/>
        <d v="2004-04-30T00:00:00"/>
        <d v="2004-03-31T00:00:00"/>
        <d v="2004-02-27T00:00:00"/>
        <d v="2004-01-30T00:00:00"/>
        <d v="2003-12-31T00:00:00"/>
        <d v="2003-11-28T00:00:00"/>
        <d v="2003-10-31T00:00:00"/>
        <d v="2003-09-30T00:00:00"/>
        <d v="2003-08-29T00:00:00"/>
        <d v="2003-07-31T00:00:00"/>
        <d v="2003-06-30T00:00:00"/>
        <d v="2003-05-30T00:00:00"/>
        <d v="2003-04-30T00:00:00"/>
        <d v="2003-03-31T00:00:00"/>
        <d v="2003-02-28T00:00:00"/>
        <d v="2003-01-31T00:00:00"/>
        <d v="2002-12-31T00:00:00"/>
        <d v="2002-11-29T00:00:00"/>
        <d v="2002-10-31T00:00:00"/>
        <d v="2002-09-30T00:00:00"/>
        <d v="2002-08-30T00:00:00"/>
        <d v="2002-07-31T00:00:00"/>
        <d v="2002-06-28T00:00:00"/>
        <d v="2002-05-31T00:00:00"/>
        <d v="2002-04-30T00:00:00"/>
        <d v="2002-03-28T00:00:00"/>
        <d v="2002-02-28T00:00:00"/>
        <d v="2002-01-31T00:00:00"/>
        <d v="2001-12-31T00:00:00"/>
        <d v="2001-11-30T00:00:00"/>
        <d v="2001-10-31T00:00:00"/>
        <d v="2001-09-28T00:00:00"/>
        <d v="2001-08-31T00:00:00"/>
        <d v="2001-07-31T00:00:00"/>
        <d v="2001-06-29T00:00:00"/>
        <d v="2001-05-31T00:00:00"/>
        <d v="2001-04-30T00:00:00"/>
        <d v="2001-03-30T00:00:00"/>
        <d v="2001-02-28T00:00:00"/>
        <d v="2001-01-31T00:00:00"/>
        <d v="2000-12-29T00:00:00"/>
        <d v="2000-11-30T00:00:00"/>
        <d v="2000-10-31T00:00:00"/>
        <d v="2000-09-29T00:00:00"/>
        <d v="2000-08-31T00:00:00"/>
        <d v="2000-07-31T00:00:00"/>
        <d v="2000-06-30T00:00:00"/>
        <d v="2000-05-31T00:00:00"/>
        <d v="2000-04-28T00:00:00"/>
        <d v="2000-03-31T00:00:00"/>
        <d v="2000-02-29T00:00:00"/>
        <d v="2000-01-31T00:00:00"/>
        <d v="1999-12-31T00:00:00"/>
        <d v="1999-11-30T00:00:00"/>
        <d v="1999-10-29T00:00:00"/>
        <d v="1999-09-30T00:00:00"/>
        <d v="1999-08-31T00:00:00"/>
        <d v="1999-07-30T00:00:00"/>
        <d v="1999-06-30T00:00:00"/>
        <d v="1999-05-28T00:00:00"/>
        <d v="1999-04-30T00:00:00"/>
        <d v="1999-03-31T00:00:00"/>
        <d v="1999-02-26T00:00:00"/>
        <d v="1999-01-29T00:00:00"/>
        <d v="1998-12-31T00:00:00"/>
        <d v="1998-11-30T00:00:00"/>
        <d v="1998-10-30T00:00:00"/>
        <d v="1998-09-30T00:00:00"/>
        <d v="1998-08-31T00:00:00"/>
        <d v="1998-07-31T00:00:00"/>
        <d v="1998-06-30T00:00:00"/>
        <d v="1998-05-29T00:00:00"/>
        <d v="1998-04-30T00:00:00"/>
        <d v="1998-03-31T00:00:00"/>
        <d v="1998-02-27T00:00:00"/>
        <d v="1998-01-30T00:00:00"/>
        <d v="1997-12-31T00:00:00"/>
        <d v="1997-11-28T00:00:00"/>
        <d v="1997-10-31T00:00:00"/>
        <d v="1997-09-30T00:00:00"/>
        <d v="1997-08-29T00:00:00"/>
        <d v="1997-07-31T00:00:00"/>
        <d v="1997-06-30T00:00:00"/>
        <d v="1997-05-30T00:00:00"/>
        <d v="1997-04-30T00:00:00"/>
        <d v="1997-03-31T00:00:00"/>
        <d v="1997-02-28T00:00:00"/>
        <d v="1997-01-31T00:00:00"/>
        <d v="1996-12-31T00:00:00"/>
        <d v="1996-11-29T00:00:00"/>
        <d v="1996-10-31T00:00:00"/>
        <d v="1996-09-30T00:00:00"/>
        <d v="1996-08-30T00:00:00"/>
        <d v="1996-07-31T00:00:00"/>
        <d v="1996-06-28T00:00:00"/>
        <d v="1996-05-31T00:00:00"/>
        <d v="1996-04-30T00:00:00"/>
        <d v="1996-03-29T00:00:00"/>
        <d v="1996-02-29T00:00:00"/>
        <d v="1996-01-31T00:00:00"/>
        <d v="1995-12-29T00:00:00"/>
        <d v="1995-11-30T00:00:00"/>
        <d v="1995-10-31T00:00:00"/>
        <d v="1995-09-29T00:00:00"/>
        <d v="1995-08-31T00:00:00"/>
        <d v="1995-07-31T00:00:00"/>
        <d v="1995-06-30T00:00:00"/>
        <d v="1995-05-31T00:00:00"/>
        <d v="1995-04-28T00:00:00"/>
        <d v="1995-03-31T00:00:00"/>
        <d v="1995-02-28T00:00:00"/>
        <d v="1995-01-31T00:00:00"/>
        <d v="1994-12-30T00:00:00"/>
        <d v="1994-11-30T00:00:00"/>
        <d v="1994-10-31T00:00:00"/>
        <d v="1994-09-30T00:00:00"/>
        <d v="1994-08-31T00:00:00"/>
        <d v="1994-07-29T00:00:00"/>
        <d v="1994-06-30T00:00:00"/>
        <d v="1994-05-31T00:00:00"/>
        <d v="1994-04-29T00:00:00"/>
        <d v="1994-03-31T00:00:00"/>
        <d v="1994-02-28T00:00:00"/>
        <d v="1994-01-31T00:00:00"/>
        <d v="1993-12-31T00:00:00"/>
        <d v="1993-11-30T00:00:00"/>
        <d v="1993-10-29T00:00:00"/>
        <d v="1993-09-30T00:00:00"/>
        <d v="1993-08-31T00:00:00"/>
        <d v="1993-07-30T00:00:00"/>
        <d v="1993-06-30T00:00:00"/>
        <d v="1993-05-28T00:00:00"/>
        <d v="1993-04-30T00:00:00"/>
        <d v="1993-03-31T00:00:00"/>
        <d v="1993-02-26T00:00:00"/>
        <d v="1993-01-29T00:00:00"/>
        <d v="1992-12-31T00:00:00"/>
        <d v="1992-11-30T00:00:00"/>
        <d v="1992-10-30T00:00:00"/>
        <d v="1992-09-30T00:00:00"/>
        <d v="1992-08-31T00:00:00"/>
        <d v="1992-07-31T00:00:00"/>
        <d v="1992-06-30T00:00:00"/>
        <d v="1992-05-29T00:00:00"/>
        <d v="1992-04-30T00:00:00"/>
        <d v="1992-03-31T00:00:00"/>
        <d v="1992-02-28T00:00:00"/>
        <d v="1992-01-31T00:00:00"/>
        <d v="1991-12-31T00:00:00"/>
        <d v="1991-11-29T00:00:00"/>
        <d v="1991-10-31T00:00:00"/>
        <d v="1991-09-30T00:00:00"/>
        <d v="1991-08-30T00:00:00"/>
        <d v="1991-07-31T00:00:00"/>
        <d v="1991-06-28T00:00:00"/>
        <d v="1991-05-31T00:00:00"/>
        <d v="1991-04-30T00:00:00"/>
        <d v="1991-03-28T00:00:00"/>
        <d v="1991-02-28T00:00:00"/>
        <d v="1991-01-31T00:00:00"/>
        <d v="1990-12-31T00:00:00"/>
        <d v="1990-11-30T00:00:00"/>
        <d v="1990-10-31T00:00:00"/>
        <d v="1990-09-28T00:00:00"/>
        <d v="1990-08-31T00:00:00"/>
        <d v="1990-07-31T00:00:00"/>
        <d v="1990-06-29T00:00:00"/>
        <d v="1990-05-31T00:00:00"/>
        <d v="1990-04-30T00:00:00"/>
        <d v="1990-03-30T00:00:00"/>
        <d v="1990-02-28T00:00:00"/>
        <d v="1990-01-31T00:00:00"/>
      </sharedItems>
      <fieldGroup par="8" base="0">
        <rangePr groupBy="months" startDate="1990-01-31T00:00:00" endDate="2022-10-15T00:00:00"/>
        <groupItems count="14">
          <s v="&lt;1/31/199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2"/>
        </groupItems>
      </fieldGroup>
    </cacheField>
    <cacheField name="Returns" numFmtId="164">
      <sharedItems containsSemiMixedTypes="0" containsString="0" containsNumber="1" minValue="-0.16942452376742001" maxValue="0.12684403825663801"/>
    </cacheField>
    <cacheField name="Color" numFmtId="0">
      <sharedItems/>
    </cacheField>
    <cacheField name="VIX" numFmtId="0">
      <sharedItems containsSemiMixedTypes="0" containsString="0" containsNumber="1" minValue="9.51" maxValue="59.889999000000003"/>
    </cacheField>
    <cacheField name="VIX buckets" numFmtId="0">
      <sharedItems containsSemiMixedTypes="0" containsString="0" containsNumber="1" containsInteger="1" minValue="1" maxValue="5" count="5">
        <n v="5"/>
        <n v="4"/>
        <n v="3"/>
        <n v="2"/>
        <n v="1"/>
      </sharedItems>
    </cacheField>
    <cacheField name="Positive" numFmtId="0">
      <sharedItems containsSemiMixedTypes="0" containsString="0" containsNumber="1" containsInteger="1" minValue="0" maxValue="1"/>
    </cacheField>
    <cacheField name="Month" numFmtId="0">
      <sharedItems containsSemiMixedTypes="0" containsString="0" containsNumber="1" containsInteger="1" minValue="1" maxValue="12" count="12">
        <n v="10"/>
        <n v="9"/>
        <n v="8"/>
        <n v="7"/>
        <n v="6"/>
        <n v="5"/>
        <n v="4"/>
        <n v="3"/>
        <n v="2"/>
        <n v="1"/>
        <n v="12"/>
        <n v="11"/>
      </sharedItems>
    </cacheField>
    <cacheField name="Quarters" numFmtId="0" databaseField="0">
      <fieldGroup base="0">
        <rangePr groupBy="quarters" startDate="1990-01-31T00:00:00" endDate="2022-10-15T00:00:00"/>
        <groupItems count="6">
          <s v="&lt;1/31/1990"/>
          <s v="Qtr1"/>
          <s v="Qtr2"/>
          <s v="Qtr3"/>
          <s v="Qtr4"/>
          <s v="&gt;10/15/2022"/>
        </groupItems>
      </fieldGroup>
    </cacheField>
    <cacheField name="Years" numFmtId="0" databaseField="0">
      <fieldGroup base="0">
        <rangePr groupBy="years" startDate="1990-01-31T00:00:00" endDate="2022-10-15T00:00:00"/>
        <groupItems count="35">
          <s v="&lt;1/31/1990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0/15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dmo" refreshedDate="44849.759548148148" createdVersion="8" refreshedVersion="8" minRefreshableVersion="3" recordCount="394" xr:uid="{FE4A3873-8651-4F58-A4E7-A8376F732215}">
  <cacheSource type="worksheet">
    <worksheetSource ref="A1:E395" sheet="Recession"/>
  </cacheSource>
  <cacheFields count="7">
    <cacheField name="Date" numFmtId="14">
      <sharedItems containsSemiMixedTypes="0" containsNonDate="0" containsDate="1" containsString="0" minDate="1990-01-31T00:00:00" maxDate="2022-10-15T00:00:00" count="394">
        <d v="2022-10-14T00:00:00"/>
        <d v="2022-09-30T00:00:00"/>
        <d v="2022-08-31T00:00:00"/>
        <d v="2022-07-29T00:00:00"/>
        <d v="2022-06-30T00:00:00"/>
        <d v="2022-05-31T00:00:00"/>
        <d v="2022-04-29T00:00:00"/>
        <d v="2022-03-31T00:00:00"/>
        <d v="2022-02-28T00:00:00"/>
        <d v="2022-01-31T00:00:00"/>
        <d v="2021-12-31T00:00:00"/>
        <d v="2021-11-30T00:00:00"/>
        <d v="2021-10-29T00:00:00"/>
        <d v="2021-09-30T00:00:00"/>
        <d v="2021-08-31T00:00:00"/>
        <d v="2021-07-30T00:00:00"/>
        <d v="2021-06-30T00:00:00"/>
        <d v="2021-05-28T00:00:00"/>
        <d v="2021-04-30T00:00:00"/>
        <d v="2021-03-31T00:00:00"/>
        <d v="2021-02-26T00:00:00"/>
        <d v="2021-01-29T00:00:00"/>
        <d v="2020-12-31T00:00:00"/>
        <d v="2020-11-30T00:00:00"/>
        <d v="2020-10-30T00:00:00"/>
        <d v="2020-09-30T00:00:00"/>
        <d v="2020-08-31T00:00:00"/>
        <d v="2020-07-31T00:00:00"/>
        <d v="2020-06-30T00:00:00"/>
        <d v="2020-05-29T00:00:00"/>
        <d v="2020-04-30T00:00:00"/>
        <d v="2020-03-31T00:00:00"/>
        <d v="2020-02-28T00:00:00"/>
        <d v="2020-01-31T00:00:00"/>
        <d v="2019-12-31T00:00:00"/>
        <d v="2019-11-29T00:00:00"/>
        <d v="2019-10-31T00:00:00"/>
        <d v="2019-09-30T00:00:00"/>
        <d v="2019-08-30T00:00:00"/>
        <d v="2019-07-31T00:00:00"/>
        <d v="2019-06-28T00:00:00"/>
        <d v="2019-05-31T00:00:00"/>
        <d v="2019-04-30T00:00:00"/>
        <d v="2019-03-29T00:00:00"/>
        <d v="2019-02-28T00:00:00"/>
        <d v="2019-01-31T00:00:00"/>
        <d v="2018-12-31T00:00:00"/>
        <d v="2018-11-30T00:00:00"/>
        <d v="2018-10-31T00:00:00"/>
        <d v="2018-09-28T00:00:00"/>
        <d v="2018-08-31T00:00:00"/>
        <d v="2018-07-31T00:00:00"/>
        <d v="2018-06-29T00:00:00"/>
        <d v="2018-05-31T00:00:00"/>
        <d v="2018-04-30T00:00:00"/>
        <d v="2018-03-29T00:00:00"/>
        <d v="2018-02-28T00:00:00"/>
        <d v="2018-01-31T00:00:00"/>
        <d v="2017-12-29T00:00:00"/>
        <d v="2017-11-30T00:00:00"/>
        <d v="2017-10-31T00:00:00"/>
        <d v="2017-09-29T00:00:00"/>
        <d v="2017-08-31T00:00:00"/>
        <d v="2017-07-31T00:00:00"/>
        <d v="2017-06-30T00:00:00"/>
        <d v="2017-05-31T00:00:00"/>
        <d v="2017-04-28T00:00:00"/>
        <d v="2017-03-31T00:00:00"/>
        <d v="2017-02-28T00:00:00"/>
        <d v="2017-01-31T00:00:00"/>
        <d v="2016-12-30T00:00:00"/>
        <d v="2016-11-30T00:00:00"/>
        <d v="2016-10-31T00:00:00"/>
        <d v="2016-09-30T00:00:00"/>
        <d v="2016-08-31T00:00:00"/>
        <d v="2016-07-29T00:00:00"/>
        <d v="2016-06-30T00:00:00"/>
        <d v="2016-05-31T00:00:00"/>
        <d v="2016-04-29T00:00:00"/>
        <d v="2016-03-31T00:00:00"/>
        <d v="2016-02-29T00:00:00"/>
        <d v="2016-01-29T00:00:00"/>
        <d v="2015-12-31T00:00:00"/>
        <d v="2015-11-30T00:00:00"/>
        <d v="2015-10-30T00:00:00"/>
        <d v="2015-09-30T00:00:00"/>
        <d v="2015-08-31T00:00:00"/>
        <d v="2015-07-31T00:00:00"/>
        <d v="2015-06-30T00:00:00"/>
        <d v="2015-05-29T00:00:00"/>
        <d v="2015-04-30T00:00:00"/>
        <d v="2015-03-31T00:00:00"/>
        <d v="2015-02-27T00:00:00"/>
        <d v="2015-01-30T00:00:00"/>
        <d v="2014-12-31T00:00:00"/>
        <d v="2014-11-28T00:00:00"/>
        <d v="2014-10-31T00:00:00"/>
        <d v="2014-09-30T00:00:00"/>
        <d v="2014-08-29T00:00:00"/>
        <d v="2014-07-31T00:00:00"/>
        <d v="2014-06-30T00:00:00"/>
        <d v="2014-05-30T00:00:00"/>
        <d v="2014-04-30T00:00:00"/>
        <d v="2014-03-31T00:00:00"/>
        <d v="2014-02-28T00:00:00"/>
        <d v="2014-01-31T00:00:00"/>
        <d v="2013-12-31T00:00:00"/>
        <d v="2013-11-29T00:00:00"/>
        <d v="2013-10-31T00:00:00"/>
        <d v="2013-09-30T00:00:00"/>
        <d v="2013-08-30T00:00:00"/>
        <d v="2013-07-31T00:00:00"/>
        <d v="2013-06-28T00:00:00"/>
        <d v="2013-05-31T00:00:00"/>
        <d v="2013-04-30T00:00:00"/>
        <d v="2013-03-28T00:00:00"/>
        <d v="2013-02-28T00:00:00"/>
        <d v="2013-01-31T00:00:00"/>
        <d v="2012-12-31T00:00:00"/>
        <d v="2012-11-30T00:00:00"/>
        <d v="2012-10-31T00:00:00"/>
        <d v="2012-09-28T00:00:00"/>
        <d v="2012-08-31T00:00:00"/>
        <d v="2012-07-31T00:00:00"/>
        <d v="2012-06-29T00:00:00"/>
        <d v="2012-05-31T00:00:00"/>
        <d v="2012-04-30T00:00:00"/>
        <d v="2012-03-30T00:00:00"/>
        <d v="2012-02-29T00:00:00"/>
        <d v="2012-01-31T00:00:00"/>
        <d v="2011-12-30T00:00:00"/>
        <d v="2011-11-30T00:00:00"/>
        <d v="2011-10-31T00:00:00"/>
        <d v="2011-09-30T00:00:00"/>
        <d v="2011-08-31T00:00:00"/>
        <d v="2011-07-29T00:00:00"/>
        <d v="2011-06-30T00:00:00"/>
        <d v="2011-05-31T00:00:00"/>
        <d v="2011-04-29T00:00:00"/>
        <d v="2011-03-31T00:00:00"/>
        <d v="2011-02-28T00:00:00"/>
        <d v="2011-01-31T00:00:00"/>
        <d v="2010-12-31T00:00:00"/>
        <d v="2010-11-30T00:00:00"/>
        <d v="2010-10-29T00:00:00"/>
        <d v="2010-09-30T00:00:00"/>
        <d v="2010-08-31T00:00:00"/>
        <d v="2010-07-30T00:00:00"/>
        <d v="2010-06-30T00:00:00"/>
        <d v="2010-05-28T00:00:00"/>
        <d v="2010-04-30T00:00:00"/>
        <d v="2010-03-31T00:00:00"/>
        <d v="2010-02-26T00:00:00"/>
        <d v="2010-01-29T00:00:00"/>
        <d v="2009-12-31T00:00:00"/>
        <d v="2009-11-30T00:00:00"/>
        <d v="2009-10-30T00:00:00"/>
        <d v="2009-09-30T00:00:00"/>
        <d v="2009-08-31T00:00:00"/>
        <d v="2009-07-31T00:00:00"/>
        <d v="2009-06-30T00:00:00"/>
        <d v="2009-05-29T00:00:00"/>
        <d v="2009-04-30T00:00:00"/>
        <d v="2009-03-31T00:00:00"/>
        <d v="2009-02-27T00:00:00"/>
        <d v="2009-01-30T00:00:00"/>
        <d v="2008-12-31T00:00:00"/>
        <d v="2008-11-28T00:00:00"/>
        <d v="2008-10-31T00:00:00"/>
        <d v="2008-09-30T00:00:00"/>
        <d v="2008-08-29T00:00:00"/>
        <d v="2008-07-31T00:00:00"/>
        <d v="2008-06-30T00:00:00"/>
        <d v="2008-05-30T00:00:00"/>
        <d v="2008-04-30T00:00:00"/>
        <d v="2008-03-31T00:00:00"/>
        <d v="2008-02-29T00:00:00"/>
        <d v="2008-01-31T00:00:00"/>
        <d v="2007-12-31T00:00:00"/>
        <d v="2007-11-30T00:00:00"/>
        <d v="2007-10-31T00:00:00"/>
        <d v="2007-09-28T00:00:00"/>
        <d v="2007-08-31T00:00:00"/>
        <d v="2007-07-31T00:00:00"/>
        <d v="2007-06-29T00:00:00"/>
        <d v="2007-05-31T00:00:00"/>
        <d v="2007-04-30T00:00:00"/>
        <d v="2007-03-30T00:00:00"/>
        <d v="2007-02-28T00:00:00"/>
        <d v="2007-01-31T00:00:00"/>
        <d v="2006-12-29T00:00:00"/>
        <d v="2006-11-30T00:00:00"/>
        <d v="2006-10-31T00:00:00"/>
        <d v="2006-09-29T00:00:00"/>
        <d v="2006-08-31T00:00:00"/>
        <d v="2006-07-31T00:00:00"/>
        <d v="2006-06-30T00:00:00"/>
        <d v="2006-05-31T00:00:00"/>
        <d v="2006-04-28T00:00:00"/>
        <d v="2006-03-31T00:00:00"/>
        <d v="2006-02-28T00:00:00"/>
        <d v="2006-01-31T00:00:00"/>
        <d v="2005-12-30T00:00:00"/>
        <d v="2005-11-30T00:00:00"/>
        <d v="2005-10-31T00:00:00"/>
        <d v="2005-09-30T00:00:00"/>
        <d v="2005-08-31T00:00:00"/>
        <d v="2005-07-29T00:00:00"/>
        <d v="2005-06-30T00:00:00"/>
        <d v="2005-05-31T00:00:00"/>
        <d v="2005-04-29T00:00:00"/>
        <d v="2005-03-31T00:00:00"/>
        <d v="2005-02-28T00:00:00"/>
        <d v="2005-01-31T00:00:00"/>
        <d v="2004-12-31T00:00:00"/>
        <d v="2004-11-30T00:00:00"/>
        <d v="2004-10-29T00:00:00"/>
        <d v="2004-09-30T00:00:00"/>
        <d v="2004-08-31T00:00:00"/>
        <d v="2004-07-30T00:00:00"/>
        <d v="2004-06-30T00:00:00"/>
        <d v="2004-05-28T00:00:00"/>
        <d v="2004-04-30T00:00:00"/>
        <d v="2004-03-31T00:00:00"/>
        <d v="2004-02-27T00:00:00"/>
        <d v="2004-01-30T00:00:00"/>
        <d v="2003-12-31T00:00:00"/>
        <d v="2003-11-28T00:00:00"/>
        <d v="2003-10-31T00:00:00"/>
        <d v="2003-09-30T00:00:00"/>
        <d v="2003-08-29T00:00:00"/>
        <d v="2003-07-31T00:00:00"/>
        <d v="2003-06-30T00:00:00"/>
        <d v="2003-05-30T00:00:00"/>
        <d v="2003-04-30T00:00:00"/>
        <d v="2003-03-31T00:00:00"/>
        <d v="2003-02-28T00:00:00"/>
        <d v="2003-01-31T00:00:00"/>
        <d v="2002-12-31T00:00:00"/>
        <d v="2002-11-29T00:00:00"/>
        <d v="2002-10-31T00:00:00"/>
        <d v="2002-09-30T00:00:00"/>
        <d v="2002-08-30T00:00:00"/>
        <d v="2002-07-31T00:00:00"/>
        <d v="2002-06-28T00:00:00"/>
        <d v="2002-05-31T00:00:00"/>
        <d v="2002-04-30T00:00:00"/>
        <d v="2002-03-28T00:00:00"/>
        <d v="2002-02-28T00:00:00"/>
        <d v="2002-01-31T00:00:00"/>
        <d v="2001-12-31T00:00:00"/>
        <d v="2001-11-30T00:00:00"/>
        <d v="2001-10-31T00:00:00"/>
        <d v="2001-09-28T00:00:00"/>
        <d v="2001-08-31T00:00:00"/>
        <d v="2001-07-31T00:00:00"/>
        <d v="2001-06-29T00:00:00"/>
        <d v="2001-05-31T00:00:00"/>
        <d v="2001-04-30T00:00:00"/>
        <d v="2001-03-30T00:00:00"/>
        <d v="2001-02-28T00:00:00"/>
        <d v="2001-01-31T00:00:00"/>
        <d v="2000-12-29T00:00:00"/>
        <d v="2000-11-30T00:00:00"/>
        <d v="2000-10-31T00:00:00"/>
        <d v="2000-09-29T00:00:00"/>
        <d v="2000-08-31T00:00:00"/>
        <d v="2000-07-31T00:00:00"/>
        <d v="2000-06-30T00:00:00"/>
        <d v="2000-05-31T00:00:00"/>
        <d v="2000-04-28T00:00:00"/>
        <d v="2000-03-31T00:00:00"/>
        <d v="2000-02-29T00:00:00"/>
        <d v="2000-01-31T00:00:00"/>
        <d v="1999-12-31T00:00:00"/>
        <d v="1999-11-30T00:00:00"/>
        <d v="1999-10-29T00:00:00"/>
        <d v="1999-09-30T00:00:00"/>
        <d v="1999-08-31T00:00:00"/>
        <d v="1999-07-30T00:00:00"/>
        <d v="1999-06-30T00:00:00"/>
        <d v="1999-05-28T00:00:00"/>
        <d v="1999-04-30T00:00:00"/>
        <d v="1999-03-31T00:00:00"/>
        <d v="1999-02-26T00:00:00"/>
        <d v="1999-01-29T00:00:00"/>
        <d v="1998-12-31T00:00:00"/>
        <d v="1998-11-30T00:00:00"/>
        <d v="1998-10-30T00:00:00"/>
        <d v="1998-09-30T00:00:00"/>
        <d v="1998-08-31T00:00:00"/>
        <d v="1998-07-31T00:00:00"/>
        <d v="1998-06-30T00:00:00"/>
        <d v="1998-05-29T00:00:00"/>
        <d v="1998-04-30T00:00:00"/>
        <d v="1998-03-31T00:00:00"/>
        <d v="1998-02-27T00:00:00"/>
        <d v="1998-01-30T00:00:00"/>
        <d v="1997-12-31T00:00:00"/>
        <d v="1997-11-28T00:00:00"/>
        <d v="1997-10-31T00:00:00"/>
        <d v="1997-09-30T00:00:00"/>
        <d v="1997-08-29T00:00:00"/>
        <d v="1997-07-31T00:00:00"/>
        <d v="1997-06-30T00:00:00"/>
        <d v="1997-05-30T00:00:00"/>
        <d v="1997-04-30T00:00:00"/>
        <d v="1997-03-31T00:00:00"/>
        <d v="1997-02-28T00:00:00"/>
        <d v="1997-01-31T00:00:00"/>
        <d v="1996-12-31T00:00:00"/>
        <d v="1996-11-29T00:00:00"/>
        <d v="1996-10-31T00:00:00"/>
        <d v="1996-09-30T00:00:00"/>
        <d v="1996-08-30T00:00:00"/>
        <d v="1996-07-31T00:00:00"/>
        <d v="1996-06-28T00:00:00"/>
        <d v="1996-05-31T00:00:00"/>
        <d v="1996-04-30T00:00:00"/>
        <d v="1996-03-29T00:00:00"/>
        <d v="1996-02-29T00:00:00"/>
        <d v="1996-01-31T00:00:00"/>
        <d v="1995-12-29T00:00:00"/>
        <d v="1995-11-30T00:00:00"/>
        <d v="1995-10-31T00:00:00"/>
        <d v="1995-09-29T00:00:00"/>
        <d v="1995-08-31T00:00:00"/>
        <d v="1995-07-31T00:00:00"/>
        <d v="1995-06-30T00:00:00"/>
        <d v="1995-05-31T00:00:00"/>
        <d v="1995-04-28T00:00:00"/>
        <d v="1995-03-31T00:00:00"/>
        <d v="1995-02-28T00:00:00"/>
        <d v="1995-01-31T00:00:00"/>
        <d v="1994-12-30T00:00:00"/>
        <d v="1994-11-30T00:00:00"/>
        <d v="1994-10-31T00:00:00"/>
        <d v="1994-09-30T00:00:00"/>
        <d v="1994-08-31T00:00:00"/>
        <d v="1994-07-29T00:00:00"/>
        <d v="1994-06-30T00:00:00"/>
        <d v="1994-05-31T00:00:00"/>
        <d v="1994-04-29T00:00:00"/>
        <d v="1994-03-31T00:00:00"/>
        <d v="1994-02-28T00:00:00"/>
        <d v="1994-01-31T00:00:00"/>
        <d v="1993-12-31T00:00:00"/>
        <d v="1993-11-30T00:00:00"/>
        <d v="1993-10-29T00:00:00"/>
        <d v="1993-09-30T00:00:00"/>
        <d v="1993-08-31T00:00:00"/>
        <d v="1993-07-30T00:00:00"/>
        <d v="1993-06-30T00:00:00"/>
        <d v="1993-05-28T00:00:00"/>
        <d v="1993-04-30T00:00:00"/>
        <d v="1993-03-31T00:00:00"/>
        <d v="1993-02-26T00:00:00"/>
        <d v="1993-01-29T00:00:00"/>
        <d v="1992-12-31T00:00:00"/>
        <d v="1992-11-30T00:00:00"/>
        <d v="1992-10-30T00:00:00"/>
        <d v="1992-09-30T00:00:00"/>
        <d v="1992-08-31T00:00:00"/>
        <d v="1992-07-31T00:00:00"/>
        <d v="1992-06-30T00:00:00"/>
        <d v="1992-05-29T00:00:00"/>
        <d v="1992-04-30T00:00:00"/>
        <d v="1992-03-31T00:00:00"/>
        <d v="1992-02-28T00:00:00"/>
        <d v="1992-01-31T00:00:00"/>
        <d v="1991-12-31T00:00:00"/>
        <d v="1991-11-29T00:00:00"/>
        <d v="1991-10-31T00:00:00"/>
        <d v="1991-09-30T00:00:00"/>
        <d v="1991-08-30T00:00:00"/>
        <d v="1991-07-31T00:00:00"/>
        <d v="1991-06-28T00:00:00"/>
        <d v="1991-05-31T00:00:00"/>
        <d v="1991-04-30T00:00:00"/>
        <d v="1991-03-28T00:00:00"/>
        <d v="1991-02-28T00:00:00"/>
        <d v="1991-01-31T00:00:00"/>
        <d v="1990-12-31T00:00:00"/>
        <d v="1990-11-30T00:00:00"/>
        <d v="1990-10-31T00:00:00"/>
        <d v="1990-09-28T00:00:00"/>
        <d v="1990-08-31T00:00:00"/>
        <d v="1990-07-31T00:00:00"/>
        <d v="1990-06-29T00:00:00"/>
        <d v="1990-05-31T00:00:00"/>
        <d v="1990-04-30T00:00:00"/>
        <d v="1990-03-30T00:00:00"/>
        <d v="1990-02-28T00:00:00"/>
        <d v="1990-01-31T00:00:00"/>
      </sharedItems>
      <fieldGroup par="6" base="0">
        <rangePr groupBy="months" startDate="1990-01-31T00:00:00" endDate="2022-10-15T00:00:00"/>
        <groupItems count="14">
          <s v="&lt;1/31/199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2"/>
        </groupItems>
      </fieldGroup>
    </cacheField>
    <cacheField name="Returns" numFmtId="164">
      <sharedItems containsSemiMixedTypes="0" containsString="0" containsNumber="1" minValue="-0.16942452376742001" maxValue="0.12684403825663801"/>
    </cacheField>
    <cacheField name="VIX.Adjusted" numFmtId="0">
      <sharedItems containsSemiMixedTypes="0" containsString="0" containsNumber="1" minValue="9.51" maxValue="59.889999000000003"/>
    </cacheField>
    <cacheField name="vix_decile" numFmtId="0">
      <sharedItems containsSemiMixedTypes="0" containsString="0" containsNumber="1" containsInteger="1" minValue="1" maxValue="5"/>
    </cacheField>
    <cacheField name="Color" numFmtId="0">
      <sharedItems count="2">
        <s v="Red"/>
        <s v="Green"/>
      </sharedItems>
    </cacheField>
    <cacheField name="Quarters" numFmtId="0" databaseField="0">
      <fieldGroup base="0">
        <rangePr groupBy="quarters" startDate="1990-01-31T00:00:00" endDate="2022-10-15T00:00:00"/>
        <groupItems count="6">
          <s v="&lt;1/31/1990"/>
          <s v="Qtr1"/>
          <s v="Qtr2"/>
          <s v="Qtr3"/>
          <s v="Qtr4"/>
          <s v="&gt;10/15/2022"/>
        </groupItems>
      </fieldGroup>
    </cacheField>
    <cacheField name="Years" numFmtId="0" databaseField="0">
      <fieldGroup base="0">
        <rangePr groupBy="years" startDate="1990-01-31T00:00:00" endDate="2022-10-15T00:00:00"/>
        <groupItems count="35">
          <s v="&lt;1/31/1990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0/15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7">
  <r>
    <x v="0"/>
    <n v="-9.339567E-2"/>
    <s v="Red"/>
    <n v="0"/>
    <x v="0"/>
  </r>
  <r>
    <x v="1"/>
    <n v="-4.2440128258508597E-2"/>
    <s v="Red"/>
    <n v="0"/>
    <x v="1"/>
  </r>
  <r>
    <x v="2"/>
    <n v="9.1116391659653406E-2"/>
    <s v="Green"/>
    <n v="1"/>
    <x v="2"/>
  </r>
  <r>
    <x v="3"/>
    <n v="-8.3919999812243101E-2"/>
    <s v="Red"/>
    <n v="0"/>
    <x v="3"/>
  </r>
  <r>
    <x v="4"/>
    <n v="5.3177568506868103E-5"/>
    <s v="Green"/>
    <n v="1"/>
    <x v="4"/>
  </r>
  <r>
    <x v="5"/>
    <n v="-8.7956711705729301E-2"/>
    <s v="Red"/>
    <n v="0"/>
    <x v="5"/>
  </r>
  <r>
    <x v="6"/>
    <n v="3.5773288410591901E-2"/>
    <s v="Green"/>
    <n v="1"/>
    <x v="6"/>
  </r>
  <r>
    <x v="7"/>
    <n v="-3.1360492102910101E-2"/>
    <s v="Red"/>
    <n v="0"/>
    <x v="7"/>
  </r>
  <r>
    <x v="8"/>
    <n v="-5.2585165005310602E-2"/>
    <s v="Red"/>
    <n v="0"/>
    <x v="8"/>
  </r>
  <r>
    <x v="9"/>
    <n v="4.3612913509962797E-2"/>
    <s v="Green"/>
    <n v="1"/>
    <x v="9"/>
  </r>
  <r>
    <x v="10"/>
    <n v="-8.3337062251199693E-3"/>
    <s v="Red"/>
    <n v="0"/>
    <x v="10"/>
  </r>
  <r>
    <x v="11"/>
    <n v="6.9143836459647501E-2"/>
    <s v="Green"/>
    <n v="1"/>
    <x v="11"/>
  </r>
  <r>
    <x v="12"/>
    <n v="-4.75691688617867E-2"/>
    <s v="Red"/>
    <n v="0"/>
    <x v="0"/>
  </r>
  <r>
    <x v="13"/>
    <n v="2.8990416217415299E-2"/>
    <s v="Green"/>
    <n v="1"/>
    <x v="1"/>
  </r>
  <r>
    <x v="14"/>
    <n v="2.2748054915648699E-2"/>
    <s v="Green"/>
    <n v="1"/>
    <x v="2"/>
  </r>
  <r>
    <x v="15"/>
    <n v="2.2214009634219802E-2"/>
    <s v="Green"/>
    <n v="1"/>
    <x v="3"/>
  </r>
  <r>
    <x v="16"/>
    <n v="5.4864885732810497E-3"/>
    <s v="Green"/>
    <n v="1"/>
    <x v="4"/>
  </r>
  <r>
    <x v="17"/>
    <n v="5.2425321267266303E-2"/>
    <s v="Green"/>
    <n v="1"/>
    <x v="5"/>
  </r>
  <r>
    <x v="18"/>
    <n v="4.24386327378838E-2"/>
    <s v="Green"/>
    <n v="1"/>
    <x v="6"/>
  </r>
  <r>
    <x v="19"/>
    <n v="2.60914513496475E-2"/>
    <s v="Green"/>
    <n v="1"/>
    <x v="7"/>
  </r>
  <r>
    <x v="20"/>
    <n v="-1.11366607232312E-2"/>
    <s v="Red"/>
    <n v="0"/>
    <x v="8"/>
  </r>
  <r>
    <x v="21"/>
    <n v="3.7121458940645703E-2"/>
    <s v="Green"/>
    <n v="1"/>
    <x v="9"/>
  </r>
  <r>
    <x v="22"/>
    <n v="0.10754563548003"/>
    <s v="Green"/>
    <n v="1"/>
    <x v="10"/>
  </r>
  <r>
    <x v="23"/>
    <n v="-2.7665786202795101E-2"/>
    <s v="Red"/>
    <n v="0"/>
    <x v="11"/>
  </r>
  <r>
    <x v="24"/>
    <n v="-3.9227970289931399E-2"/>
    <s v="Red"/>
    <n v="0"/>
    <x v="0"/>
  </r>
  <r>
    <x v="25"/>
    <n v="7.0064667087246499E-2"/>
    <s v="Green"/>
    <n v="1"/>
    <x v="1"/>
  </r>
  <r>
    <x v="26"/>
    <n v="5.5101321441235702E-2"/>
    <s v="Green"/>
    <n v="1"/>
    <x v="2"/>
  </r>
  <r>
    <x v="27"/>
    <n v="1.8388396357494698E-2"/>
    <s v="Green"/>
    <n v="1"/>
    <x v="3"/>
  </r>
  <r>
    <x v="28"/>
    <n v="4.52818196760656E-2"/>
    <s v="Green"/>
    <n v="1"/>
    <x v="4"/>
  </r>
  <r>
    <x v="29"/>
    <n v="0.12684403825663801"/>
    <s v="Green"/>
    <n v="1"/>
    <x v="5"/>
  </r>
  <r>
    <x v="30"/>
    <n v="-0.12511928245982301"/>
    <s v="Red"/>
    <n v="0"/>
    <x v="6"/>
  </r>
  <r>
    <x v="31"/>
    <n v="-8.4110483679465706E-2"/>
    <s v="Red"/>
    <n v="0"/>
    <x v="7"/>
  </r>
  <r>
    <x v="32"/>
    <n v="-1.6280925822201901E-3"/>
    <s v="Red"/>
    <n v="0"/>
    <x v="8"/>
  </r>
  <r>
    <x v="33"/>
    <n v="2.85898189647169E-2"/>
    <s v="Green"/>
    <n v="1"/>
    <x v="9"/>
  </r>
  <r>
    <x v="34"/>
    <n v="3.4047037421886202E-2"/>
    <s v="Green"/>
    <n v="1"/>
    <x v="10"/>
  </r>
  <r>
    <x v="35"/>
    <n v="2.0431770730503101E-2"/>
    <s v="Green"/>
    <n v="1"/>
    <x v="11"/>
  </r>
  <r>
    <x v="36"/>
    <n v="1.71811778292086E-2"/>
    <s v="Green"/>
    <n v="1"/>
    <x v="0"/>
  </r>
  <r>
    <x v="37"/>
    <n v="-1.8091627281326701E-2"/>
    <s v="Red"/>
    <n v="0"/>
    <x v="1"/>
  </r>
  <r>
    <x v="38"/>
    <n v="1.31281521499778E-2"/>
    <s v="Green"/>
    <n v="1"/>
    <x v="2"/>
  </r>
  <r>
    <x v="39"/>
    <n v="6.8930163925612103E-2"/>
    <s v="Green"/>
    <n v="1"/>
    <x v="3"/>
  </r>
  <r>
    <x v="40"/>
    <n v="-6.5777731189286898E-2"/>
    <s v="Red"/>
    <n v="0"/>
    <x v="4"/>
  </r>
  <r>
    <x v="41"/>
    <n v="3.9313498395682697E-2"/>
    <s v="Green"/>
    <n v="1"/>
    <x v="5"/>
  </r>
  <r>
    <x v="42"/>
    <n v="1.7924256211817102E-2"/>
    <s v="Green"/>
    <n v="1"/>
    <x v="6"/>
  </r>
  <r>
    <x v="43"/>
    <n v="2.9728889126352302E-2"/>
    <s v="Green"/>
    <n v="1"/>
    <x v="7"/>
  </r>
  <r>
    <x v="44"/>
    <n v="7.8684401655036804E-2"/>
    <s v="Green"/>
    <n v="1"/>
    <x v="8"/>
  </r>
  <r>
    <x v="45"/>
    <n v="-9.1776894596563893E-2"/>
    <s v="Red"/>
    <n v="0"/>
    <x v="9"/>
  </r>
  <r>
    <x v="46"/>
    <n v="1.7859356788849E-2"/>
    <s v="Green"/>
    <n v="1"/>
    <x v="10"/>
  </r>
  <r>
    <x v="47"/>
    <n v="-6.9403356024429499E-2"/>
    <s v="Red"/>
    <n v="0"/>
    <x v="11"/>
  </r>
  <r>
    <x v="48"/>
    <n v="4.29428710266144E-3"/>
    <s v="Green"/>
    <n v="1"/>
    <x v="0"/>
  </r>
  <r>
    <x v="49"/>
    <n v="3.0263211466054599E-2"/>
    <s v="Green"/>
    <n v="1"/>
    <x v="1"/>
  </r>
  <r>
    <x v="50"/>
    <n v="3.6021556221367303E-2"/>
    <s v="Green"/>
    <n v="1"/>
    <x v="2"/>
  </r>
  <r>
    <x v="51"/>
    <n v="4.8424360241865498E-3"/>
    <s v="Green"/>
    <n v="1"/>
    <x v="3"/>
  </r>
  <r>
    <x v="52"/>
    <n v="2.1608341965291902E-2"/>
    <s v="Green"/>
    <n v="1"/>
    <x v="4"/>
  </r>
  <r>
    <x v="53"/>
    <n v="2.7187751316435399E-3"/>
    <s v="Green"/>
    <n v="1"/>
    <x v="5"/>
  </r>
  <r>
    <x v="54"/>
    <n v="-2.6884498624825101E-2"/>
    <s v="Red"/>
    <n v="0"/>
    <x v="6"/>
  </r>
  <r>
    <x v="55"/>
    <n v="-3.8947372061896898E-2"/>
    <s v="Red"/>
    <n v="0"/>
    <x v="7"/>
  </r>
  <r>
    <x v="56"/>
    <n v="5.6178704444133101E-2"/>
    <s v="Green"/>
    <n v="1"/>
    <x v="8"/>
  </r>
  <r>
    <x v="57"/>
    <n v="9.8316304826040497E-3"/>
    <s v="Green"/>
    <n v="1"/>
    <x v="9"/>
  </r>
  <r>
    <x v="58"/>
    <n v="2.8082627664458602E-2"/>
    <s v="Green"/>
    <n v="1"/>
    <x v="10"/>
  </r>
  <r>
    <x v="59"/>
    <n v="2.21881353303497E-2"/>
    <s v="Green"/>
    <n v="1"/>
    <x v="11"/>
  </r>
  <r>
    <x v="60"/>
    <n v="1.9302978533243701E-2"/>
    <s v="Green"/>
    <n v="1"/>
    <x v="0"/>
  </r>
  <r>
    <x v="61"/>
    <n v="5.4643281108557296E-4"/>
    <s v="Green"/>
    <n v="1"/>
    <x v="1"/>
  </r>
  <r>
    <x v="62"/>
    <n v="1.9348826118030599E-2"/>
    <s v="Green"/>
    <n v="1"/>
    <x v="2"/>
  </r>
  <r>
    <x v="63"/>
    <n v="4.8137750908554501E-3"/>
    <s v="Green"/>
    <n v="1"/>
    <x v="3"/>
  </r>
  <r>
    <x v="64"/>
    <n v="1.1576251391341301E-2"/>
    <s v="Green"/>
    <n v="1"/>
    <x v="4"/>
  </r>
  <r>
    <x v="65"/>
    <n v="9.0912085493182193E-3"/>
    <s v="Green"/>
    <n v="1"/>
    <x v="5"/>
  </r>
  <r>
    <x v="66"/>
    <n v="-3.891971880845E-4"/>
    <s v="Red"/>
    <n v="0"/>
    <x v="6"/>
  </r>
  <r>
    <x v="67"/>
    <n v="3.7198160337279101E-2"/>
    <s v="Green"/>
    <n v="1"/>
    <x v="7"/>
  </r>
  <r>
    <x v="68"/>
    <n v="1.7884358171464498E-2"/>
    <s v="Green"/>
    <n v="1"/>
    <x v="8"/>
  </r>
  <r>
    <x v="69"/>
    <n v="1.82007621968951E-2"/>
    <s v="Green"/>
    <n v="1"/>
    <x v="9"/>
  </r>
  <r>
    <x v="70"/>
    <n v="3.4174522187570402E-2"/>
    <s v="Green"/>
    <n v="1"/>
    <x v="10"/>
  </r>
  <r>
    <x v="71"/>
    <n v="-1.94256792795575E-2"/>
    <s v="Red"/>
    <n v="0"/>
    <x v="11"/>
  </r>
  <r>
    <x v="72"/>
    <n v="-1.23445084432539E-3"/>
    <s v="Red"/>
    <n v="0"/>
    <x v="0"/>
  </r>
  <r>
    <x v="73"/>
    <n v="-1.2192431360480401E-3"/>
    <s v="Red"/>
    <n v="0"/>
    <x v="1"/>
  </r>
  <r>
    <x v="74"/>
    <n v="3.5609801125254401E-2"/>
    <s v="Green"/>
    <n v="1"/>
    <x v="2"/>
  </r>
  <r>
    <x v="75"/>
    <n v="9.1092112097812495E-4"/>
    <s v="Green"/>
    <n v="1"/>
    <x v="3"/>
  </r>
  <r>
    <x v="76"/>
    <n v="1.53246023575726E-2"/>
    <s v="Green"/>
    <n v="1"/>
    <x v="4"/>
  </r>
  <r>
    <x v="77"/>
    <n v="2.6993984808731902E-3"/>
    <s v="Green"/>
    <n v="1"/>
    <x v="5"/>
  </r>
  <r>
    <x v="78"/>
    <n v="6.5991114577365104E-2"/>
    <s v="Green"/>
    <n v="1"/>
    <x v="6"/>
  </r>
  <r>
    <x v="79"/>
    <n v="-4.12836043029907E-3"/>
    <s v="Red"/>
    <n v="0"/>
    <x v="7"/>
  </r>
  <r>
    <x v="80"/>
    <n v="-5.0735321972946397E-2"/>
    <s v="Red"/>
    <n v="0"/>
    <x v="8"/>
  </r>
  <r>
    <x v="81"/>
    <n v="-1.7530185176314401E-2"/>
    <s v="Red"/>
    <n v="0"/>
    <x v="9"/>
  </r>
  <r>
    <x v="82"/>
    <n v="5.0486926072412796E-4"/>
    <s v="Green"/>
    <n v="1"/>
    <x v="10"/>
  </r>
  <r>
    <x v="83"/>
    <n v="8.2983117760394104E-2"/>
    <s v="Green"/>
    <n v="1"/>
    <x v="11"/>
  </r>
  <r>
    <x v="84"/>
    <n v="-2.6442831573227101E-2"/>
    <s v="Red"/>
    <n v="0"/>
    <x v="0"/>
  </r>
  <r>
    <x v="85"/>
    <n v="-6.2580818167202804E-2"/>
    <s v="Red"/>
    <n v="0"/>
    <x v="1"/>
  </r>
  <r>
    <x v="86"/>
    <n v="1.9742029696721501E-2"/>
    <s v="Green"/>
    <n v="1"/>
    <x v="2"/>
  </r>
  <r>
    <x v="87"/>
    <n v="-2.10116723759005E-2"/>
    <s v="Red"/>
    <n v="0"/>
    <x v="3"/>
  </r>
  <r>
    <x v="88"/>
    <n v="1.04913823933168E-2"/>
    <s v="Green"/>
    <n v="1"/>
    <x v="4"/>
  </r>
  <r>
    <x v="89"/>
    <n v="8.5208197301247495E-3"/>
    <s v="Green"/>
    <n v="1"/>
    <x v="5"/>
  </r>
  <r>
    <x v="90"/>
    <n v="-1.7396106913756301E-2"/>
    <s v="Red"/>
    <n v="0"/>
    <x v="6"/>
  </r>
  <r>
    <x v="91"/>
    <n v="5.4892511014553898E-2"/>
    <s v="Green"/>
    <n v="1"/>
    <x v="7"/>
  </r>
  <r>
    <x v="92"/>
    <n v="-3.1040805790470201E-2"/>
    <s v="Red"/>
    <n v="0"/>
    <x v="8"/>
  </r>
  <r>
    <x v="93"/>
    <n v="-4.1885878779204201E-3"/>
    <s v="Red"/>
    <n v="0"/>
    <x v="9"/>
  </r>
  <r>
    <x v="94"/>
    <n v="2.4533588760364801E-2"/>
    <s v="Green"/>
    <n v="1"/>
    <x v="10"/>
  </r>
  <r>
    <x v="95"/>
    <n v="2.32014607867723E-2"/>
    <s v="Green"/>
    <n v="1"/>
    <x v="11"/>
  </r>
  <r>
    <x v="96"/>
    <n v="-1.5513837223063799E-2"/>
    <s v="Red"/>
    <n v="0"/>
    <x v="0"/>
  </r>
  <r>
    <x v="97"/>
    <n v="3.7655295489735098E-2"/>
    <s v="Green"/>
    <n v="1"/>
    <x v="1"/>
  </r>
  <r>
    <x v="98"/>
    <n v="-1.50798305819199E-2"/>
    <s v="Red"/>
    <n v="0"/>
    <x v="2"/>
  </r>
  <r>
    <x v="99"/>
    <n v="1.90583316589206E-2"/>
    <s v="Green"/>
    <n v="1"/>
    <x v="3"/>
  </r>
  <r>
    <x v="100"/>
    <n v="2.1030280012995999E-2"/>
    <s v="Green"/>
    <n v="1"/>
    <x v="4"/>
  </r>
  <r>
    <x v="101"/>
    <n v="6.2007889650528298E-3"/>
    <s v="Green"/>
    <n v="1"/>
    <x v="5"/>
  </r>
  <r>
    <x v="102"/>
    <n v="6.93216560793575E-3"/>
    <s v="Green"/>
    <n v="1"/>
    <x v="6"/>
  </r>
  <r>
    <x v="103"/>
    <n v="4.3117029976595299E-2"/>
    <s v="Green"/>
    <n v="1"/>
    <x v="7"/>
  </r>
  <r>
    <x v="104"/>
    <n v="-3.5582905675162597E-2"/>
    <s v="Red"/>
    <n v="0"/>
    <x v="8"/>
  </r>
  <r>
    <x v="105"/>
    <n v="2.35627915504928E-2"/>
    <s v="Green"/>
    <n v="1"/>
    <x v="9"/>
  </r>
  <r>
    <x v="106"/>
    <n v="2.80494716351865E-2"/>
    <s v="Green"/>
    <n v="1"/>
    <x v="10"/>
  </r>
  <r>
    <x v="107"/>
    <n v="4.45957526180061E-2"/>
    <s v="Green"/>
    <n v="1"/>
    <x v="11"/>
  </r>
  <r>
    <x v="108"/>
    <n v="2.9749523177239098E-2"/>
    <s v="Green"/>
    <n v="1"/>
    <x v="0"/>
  </r>
  <r>
    <x v="109"/>
    <n v="-3.1298019033866899E-2"/>
    <s v="Red"/>
    <n v="0"/>
    <x v="1"/>
  </r>
  <r>
    <x v="110"/>
    <n v="4.9462079815224998E-2"/>
    <s v="Green"/>
    <n v="1"/>
    <x v="2"/>
  </r>
  <r>
    <x v="111"/>
    <n v="-1.4999301636062799E-2"/>
    <s v="Red"/>
    <n v="0"/>
    <x v="3"/>
  </r>
  <r>
    <x v="112"/>
    <n v="2.07628117210461E-2"/>
    <s v="Green"/>
    <n v="1"/>
    <x v="4"/>
  </r>
  <r>
    <x v="113"/>
    <n v="1.80857678592523E-2"/>
    <s v="Green"/>
    <n v="1"/>
    <x v="5"/>
  </r>
  <r>
    <x v="114"/>
    <n v="3.5987723516956102E-2"/>
    <s v="Green"/>
    <n v="1"/>
    <x v="6"/>
  </r>
  <r>
    <x v="115"/>
    <n v="1.10606491952592E-2"/>
    <s v="Green"/>
    <n v="1"/>
    <x v="7"/>
  </r>
  <r>
    <x v="116"/>
    <n v="5.0428096519578497E-2"/>
    <s v="Green"/>
    <n v="1"/>
    <x v="8"/>
  </r>
  <r>
    <x v="117"/>
    <n v="7.0682304638645102E-3"/>
    <s v="Green"/>
    <n v="1"/>
    <x v="9"/>
  </r>
  <r>
    <x v="118"/>
    <n v="2.8467170173434001E-3"/>
    <s v="Green"/>
    <n v="1"/>
    <x v="10"/>
  </r>
  <r>
    <x v="119"/>
    <n v="-1.9789409878227401E-2"/>
    <s v="Red"/>
    <n v="0"/>
    <x v="11"/>
  </r>
  <r>
    <x v="120"/>
    <n v="2.4236153696477001E-2"/>
    <s v="Green"/>
    <n v="1"/>
    <x v="0"/>
  </r>
  <r>
    <x v="121"/>
    <n v="1.9763369680148201E-2"/>
    <s v="Green"/>
    <n v="1"/>
    <x v="1"/>
  </r>
  <r>
    <x v="122"/>
    <n v="1.25975741261544E-2"/>
    <s v="Green"/>
    <n v="1"/>
    <x v="2"/>
  </r>
  <r>
    <x v="123"/>
    <n v="3.95549821345915E-2"/>
    <s v="Green"/>
    <n v="1"/>
    <x v="3"/>
  </r>
  <r>
    <x v="124"/>
    <n v="-6.2650725633177598E-2"/>
    <s v="Red"/>
    <n v="0"/>
    <x v="4"/>
  </r>
  <r>
    <x v="125"/>
    <n v="-7.4974527092703802E-3"/>
    <s v="Red"/>
    <n v="0"/>
    <x v="5"/>
  </r>
  <r>
    <x v="126"/>
    <n v="3.1332314530530599E-2"/>
    <s v="Green"/>
    <n v="1"/>
    <x v="6"/>
  </r>
  <r>
    <x v="127"/>
    <n v="4.0589464130841697E-2"/>
    <s v="Green"/>
    <n v="1"/>
    <x v="7"/>
  </r>
  <r>
    <x v="128"/>
    <n v="4.3583062218506302E-2"/>
    <s v="Green"/>
    <n v="1"/>
    <x v="8"/>
  </r>
  <r>
    <x v="129"/>
    <n v="8.5327639481440603E-3"/>
    <s v="Green"/>
    <n v="1"/>
    <x v="9"/>
  </r>
  <r>
    <x v="130"/>
    <n v="-5.0587151935872496E-3"/>
    <s v="Red"/>
    <n v="0"/>
    <x v="10"/>
  </r>
  <r>
    <x v="131"/>
    <n v="0.10772303853581"/>
    <s v="Green"/>
    <n v="1"/>
    <x v="11"/>
  </r>
  <r>
    <x v="132"/>
    <n v="-7.1761988303760099E-2"/>
    <s v="Red"/>
    <n v="0"/>
    <x v="0"/>
  </r>
  <r>
    <x v="133"/>
    <n v="-5.6791107463597598E-2"/>
    <s v="Red"/>
    <n v="0"/>
    <x v="1"/>
  </r>
  <r>
    <x v="134"/>
    <n v="-2.1474425791951999E-2"/>
    <s v="Red"/>
    <n v="0"/>
    <x v="2"/>
  </r>
  <r>
    <x v="135"/>
    <n v="-1.8257461265697099E-2"/>
    <s v="Red"/>
    <n v="0"/>
    <x v="3"/>
  </r>
  <r>
    <x v="136"/>
    <n v="-1.3500952766930601E-2"/>
    <s v="Red"/>
    <n v="0"/>
    <x v="4"/>
  </r>
  <r>
    <x v="137"/>
    <n v="2.8495380443795099E-2"/>
    <s v="Green"/>
    <n v="1"/>
    <x v="5"/>
  </r>
  <r>
    <x v="138"/>
    <n v="-1.0473132038185699E-3"/>
    <s v="Red"/>
    <n v="0"/>
    <x v="6"/>
  </r>
  <r>
    <x v="139"/>
    <n v="3.1956564052952198E-2"/>
    <s v="Green"/>
    <n v="1"/>
    <x v="7"/>
  </r>
  <r>
    <x v="140"/>
    <n v="2.2645573980086799E-2"/>
    <s v="Green"/>
    <n v="1"/>
    <x v="8"/>
  </r>
  <r>
    <x v="141"/>
    <n v="6.5300040489854702E-2"/>
    <s v="Green"/>
    <n v="1"/>
    <x v="9"/>
  </r>
  <r>
    <x v="142"/>
    <n v="-2.29024979894321E-3"/>
    <s v="Red"/>
    <n v="0"/>
    <x v="10"/>
  </r>
  <r>
    <x v="143"/>
    <n v="3.68559943970765E-2"/>
    <s v="Green"/>
    <n v="1"/>
    <x v="11"/>
  </r>
  <r>
    <x v="144"/>
    <n v="8.7551102944020104E-2"/>
    <s v="Green"/>
    <n v="1"/>
    <x v="0"/>
  </r>
  <r>
    <x v="145"/>
    <n v="-4.7449184040287203E-2"/>
    <s v="Red"/>
    <n v="0"/>
    <x v="1"/>
  </r>
  <r>
    <x v="146"/>
    <n v="6.8777849911552294E-2"/>
    <s v="Green"/>
    <n v="1"/>
    <x v="2"/>
  </r>
  <r>
    <x v="147"/>
    <n v="-5.3882442026415102E-2"/>
    <s v="Red"/>
    <n v="0"/>
    <x v="3"/>
  </r>
  <r>
    <x v="148"/>
    <n v="-8.1975841910334496E-2"/>
    <s v="Red"/>
    <n v="0"/>
    <x v="4"/>
  </r>
  <r>
    <x v="149"/>
    <n v="1.47592298837911E-2"/>
    <s v="Green"/>
    <n v="1"/>
    <x v="5"/>
  </r>
  <r>
    <x v="150"/>
    <n v="5.8796426031891801E-2"/>
    <s v="Green"/>
    <n v="1"/>
    <x v="6"/>
  </r>
  <r>
    <x v="151"/>
    <n v="2.8513688940531301E-2"/>
    <s v="Green"/>
    <n v="1"/>
    <x v="7"/>
  </r>
  <r>
    <x v="152"/>
    <n v="-3.6974246154947397E-2"/>
    <s v="Red"/>
    <n v="0"/>
    <x v="8"/>
  </r>
  <r>
    <x v="153"/>
    <n v="1.7770571188400398E-2"/>
    <s v="Green"/>
    <n v="1"/>
    <x v="9"/>
  </r>
  <r>
    <x v="154"/>
    <n v="5.7364061981373601E-2"/>
    <s v="Green"/>
    <n v="1"/>
    <x v="10"/>
  </r>
  <r>
    <x v="155"/>
    <n v="-1.9762000860415501E-2"/>
    <s v="Red"/>
    <n v="0"/>
    <x v="11"/>
  </r>
  <r>
    <x v="156"/>
    <n v="3.5723345788458698E-2"/>
    <s v="Green"/>
    <n v="1"/>
    <x v="0"/>
  </r>
  <r>
    <x v="157"/>
    <n v="3.3560189240494899E-2"/>
    <s v="Green"/>
    <n v="1"/>
    <x v="1"/>
  </r>
  <r>
    <x v="158"/>
    <n v="7.4141727016716605E-2"/>
    <s v="Green"/>
    <n v="1"/>
    <x v="2"/>
  </r>
  <r>
    <x v="159"/>
    <n v="1.9582653030303401E-4"/>
    <s v="Green"/>
    <n v="1"/>
    <x v="3"/>
  </r>
  <r>
    <x v="160"/>
    <n v="5.3081446255385502E-2"/>
    <s v="Green"/>
    <n v="1"/>
    <x v="4"/>
  </r>
  <r>
    <x v="161"/>
    <n v="9.3925079862164695E-2"/>
    <s v="Green"/>
    <n v="1"/>
    <x v="5"/>
  </r>
  <r>
    <x v="162"/>
    <n v="8.5404461622494696E-2"/>
    <s v="Green"/>
    <n v="1"/>
    <x v="6"/>
  </r>
  <r>
    <x v="163"/>
    <n v="-0.109931197571492"/>
    <s v="Red"/>
    <n v="0"/>
    <x v="7"/>
  </r>
  <r>
    <x v="164"/>
    <n v="-8.5657342928314395E-2"/>
    <s v="Red"/>
    <n v="0"/>
    <x v="8"/>
  </r>
  <r>
    <x v="165"/>
    <n v="7.8215768970539799E-3"/>
    <s v="Green"/>
    <n v="1"/>
    <x v="9"/>
  </r>
  <r>
    <x v="166"/>
    <n v="-7.4849042580645203E-2"/>
    <s v="Red"/>
    <n v="0"/>
    <x v="10"/>
  </r>
  <r>
    <x v="167"/>
    <n v="-0.16942452376742001"/>
    <s v="Red"/>
    <n v="0"/>
    <x v="11"/>
  </r>
  <r>
    <x v="168"/>
    <n v="-9.0791433779084593E-2"/>
    <s v="Red"/>
    <n v="0"/>
    <x v="0"/>
  </r>
  <r>
    <x v="169"/>
    <n v="1.2190464532379999E-2"/>
    <s v="Green"/>
    <n v="1"/>
    <x v="1"/>
  </r>
  <r>
    <x v="170"/>
    <n v="-9.8593710937500099E-3"/>
    <s v="Red"/>
    <n v="0"/>
    <x v="2"/>
  </r>
  <r>
    <x v="171"/>
    <n v="-8.5962384902803599E-2"/>
    <s v="Red"/>
    <n v="0"/>
    <x v="3"/>
  </r>
  <r>
    <x v="172"/>
    <n v="1.06741816575771E-2"/>
    <s v="Green"/>
    <n v="1"/>
    <x v="4"/>
  </r>
  <r>
    <x v="173"/>
    <n v="4.7546697913198897E-2"/>
    <s v="Green"/>
    <n v="1"/>
    <x v="5"/>
  </r>
  <r>
    <x v="174"/>
    <n v="-5.95962361452984E-3"/>
    <s v="Red"/>
    <n v="0"/>
    <x v="6"/>
  </r>
  <r>
    <x v="175"/>
    <n v="-3.4761192772624502E-2"/>
    <s v="Red"/>
    <n v="0"/>
    <x v="7"/>
  </r>
  <r>
    <x v="176"/>
    <n v="-6.1163431935936402E-2"/>
    <s v="Red"/>
    <n v="0"/>
    <x v="8"/>
  </r>
  <r>
    <x v="177"/>
    <n v="-8.6285090339686104E-3"/>
    <s v="Red"/>
    <n v="0"/>
    <x v="9"/>
  </r>
  <r>
    <x v="178"/>
    <n v="-4.4043417224814398E-2"/>
    <s v="Red"/>
    <n v="0"/>
    <x v="10"/>
  </r>
  <r>
    <x v="179"/>
    <n v="1.48223383003112E-2"/>
    <s v="Green"/>
    <n v="1"/>
    <x v="11"/>
  </r>
  <r>
    <x v="180"/>
    <n v="3.5794008343299502E-2"/>
    <s v="Green"/>
    <n v="1"/>
    <x v="0"/>
  </r>
  <r>
    <x v="181"/>
    <n v="1.2863571531556799E-2"/>
    <s v="Green"/>
    <n v="1"/>
    <x v="1"/>
  </r>
  <r>
    <x v="182"/>
    <n v="-3.1981878316802499E-2"/>
    <s v="Red"/>
    <n v="0"/>
    <x v="2"/>
  </r>
  <r>
    <x v="183"/>
    <n v="-1.7816322202167601E-2"/>
    <s v="Red"/>
    <n v="0"/>
    <x v="3"/>
  </r>
  <r>
    <x v="184"/>
    <n v="3.2549228709934902E-2"/>
    <s v="Green"/>
    <n v="1"/>
    <x v="4"/>
  </r>
  <r>
    <x v="185"/>
    <n v="4.3290690602424201E-2"/>
    <s v="Green"/>
    <n v="1"/>
    <x v="5"/>
  </r>
  <r>
    <x v="186"/>
    <n v="9.9799828968305491E-3"/>
    <s v="Green"/>
    <n v="1"/>
    <x v="6"/>
  </r>
  <r>
    <x v="187"/>
    <n v="-2.1846176033528199E-2"/>
    <s v="Red"/>
    <n v="0"/>
    <x v="7"/>
  </r>
  <r>
    <x v="188"/>
    <n v="1.4059042735039801E-2"/>
    <s v="Green"/>
    <n v="1"/>
    <x v="8"/>
  </r>
  <r>
    <x v="189"/>
    <n v="1.26157828526599E-2"/>
    <s v="Green"/>
    <n v="1"/>
    <x v="9"/>
  </r>
  <r>
    <x v="190"/>
    <n v="1.64666567278202E-2"/>
    <s v="Green"/>
    <n v="1"/>
    <x v="10"/>
  </r>
  <r>
    <x v="191"/>
    <n v="3.1508002961554198E-2"/>
    <s v="Green"/>
    <n v="1"/>
    <x v="11"/>
  </r>
  <r>
    <x v="192"/>
    <n v="2.45662985125095E-2"/>
    <s v="Green"/>
    <n v="1"/>
    <x v="0"/>
  </r>
  <r>
    <x v="193"/>
    <n v="2.12741930323481E-2"/>
    <s v="Green"/>
    <n v="1"/>
    <x v="1"/>
  </r>
  <r>
    <x v="194"/>
    <n v="5.0858787979908299E-3"/>
    <s v="Green"/>
    <n v="1"/>
    <x v="2"/>
  </r>
  <r>
    <x v="195"/>
    <n v="8.6596227782509403E-5"/>
    <s v="Green"/>
    <n v="1"/>
    <x v="3"/>
  </r>
  <r>
    <x v="196"/>
    <n v="-3.0916916141150899E-2"/>
    <s v="Red"/>
    <n v="0"/>
    <x v="4"/>
  </r>
  <r>
    <x v="197"/>
    <n v="1.21556527379414E-2"/>
    <s v="Green"/>
    <n v="1"/>
    <x v="5"/>
  </r>
  <r>
    <x v="198"/>
    <n v="1.10958104592496E-2"/>
    <s v="Green"/>
    <n v="1"/>
    <x v="6"/>
  </r>
  <r>
    <x v="199"/>
    <n v="4.53157630725398E-4"/>
    <s v="Green"/>
    <n v="1"/>
    <x v="7"/>
  </r>
  <r>
    <x v="200"/>
    <n v="2.5466771348641601E-2"/>
    <s v="Green"/>
    <n v="1"/>
    <x v="8"/>
  </r>
  <r>
    <x v="201"/>
    <n v="-9.5234899241847205E-4"/>
    <s v="Red"/>
    <n v="0"/>
    <x v="9"/>
  </r>
  <r>
    <x v="202"/>
    <n v="3.5186095929726498E-2"/>
    <s v="Green"/>
    <n v="1"/>
    <x v="10"/>
  </r>
  <r>
    <x v="203"/>
    <n v="-1.7740780066319399E-2"/>
    <s v="Red"/>
    <n v="0"/>
    <x v="11"/>
  </r>
  <r>
    <x v="204"/>
    <n v="6.9490246947603298E-3"/>
    <s v="Green"/>
    <n v="1"/>
    <x v="0"/>
  </r>
  <r>
    <x v="205"/>
    <n v="-1.12221048744966E-2"/>
    <s v="Red"/>
    <n v="0"/>
    <x v="1"/>
  </r>
  <r>
    <x v="206"/>
    <n v="3.5968287193812301E-2"/>
    <s v="Green"/>
    <n v="1"/>
    <x v="2"/>
  </r>
  <r>
    <x v="207"/>
    <n v="-1.42714225765839E-4"/>
    <s v="Red"/>
    <n v="0"/>
    <x v="3"/>
  </r>
  <r>
    <x v="208"/>
    <n v="2.9952046262565798E-2"/>
    <s v="Green"/>
    <n v="1"/>
    <x v="4"/>
  </r>
  <r>
    <x v="209"/>
    <n v="-2.0108581881679299E-2"/>
    <s v="Red"/>
    <n v="0"/>
    <x v="5"/>
  </r>
  <r>
    <x v="210"/>
    <n v="-1.9117655748441001E-2"/>
    <s v="Red"/>
    <n v="0"/>
    <x v="6"/>
  </r>
  <r>
    <x v="211"/>
    <n v="1.8903346078316601E-2"/>
    <s v="Green"/>
    <n v="1"/>
    <x v="7"/>
  </r>
  <r>
    <x v="212"/>
    <n v="-2.5290467099494601E-2"/>
    <s v="Red"/>
    <n v="0"/>
    <x v="8"/>
  </r>
  <r>
    <x v="213"/>
    <n v="3.24582131440454E-2"/>
    <s v="Green"/>
    <n v="1"/>
    <x v="9"/>
  </r>
  <r>
    <x v="214"/>
    <n v="3.8594936198152401E-2"/>
    <s v="Green"/>
    <n v="1"/>
    <x v="10"/>
  </r>
  <r>
    <x v="215"/>
    <n v="1.4014243586487E-2"/>
    <s v="Green"/>
    <n v="1"/>
    <x v="11"/>
  </r>
  <r>
    <x v="216"/>
    <n v="9.3638756915515008E-3"/>
    <s v="Green"/>
    <n v="1"/>
    <x v="0"/>
  </r>
  <r>
    <x v="217"/>
    <n v="2.28734984055223E-3"/>
    <s v="Green"/>
    <n v="1"/>
    <x v="1"/>
  </r>
  <r>
    <x v="218"/>
    <n v="-3.4290519411905002E-2"/>
    <s v="Red"/>
    <n v="0"/>
    <x v="2"/>
  </r>
  <r>
    <x v="219"/>
    <n v="1.7988998669195701E-2"/>
    <s v="Green"/>
    <n v="1"/>
    <x v="3"/>
  </r>
  <r>
    <x v="220"/>
    <n v="1.2083450201310301E-2"/>
    <s v="Green"/>
    <n v="1"/>
    <x v="4"/>
  </r>
  <r>
    <x v="221"/>
    <n v="-1.6790751862298701E-2"/>
    <s v="Red"/>
    <n v="0"/>
    <x v="5"/>
  </r>
  <r>
    <x v="222"/>
    <n v="-1.6358919214261199E-2"/>
    <s v="Red"/>
    <n v="0"/>
    <x v="6"/>
  </r>
  <r>
    <x v="223"/>
    <n v="1.22089732735895E-2"/>
    <s v="Green"/>
    <n v="1"/>
    <x v="7"/>
  </r>
  <r>
    <x v="224"/>
    <n v="1.7276387006114599E-2"/>
    <s v="Green"/>
    <n v="1"/>
    <x v="8"/>
  </r>
  <r>
    <x v="225"/>
    <n v="5.0765541001239298E-2"/>
    <s v="Green"/>
    <n v="1"/>
    <x v="9"/>
  </r>
  <r>
    <x v="226"/>
    <n v="7.1285038478854403E-3"/>
    <s v="Green"/>
    <n v="1"/>
    <x v="10"/>
  </r>
  <r>
    <x v="227"/>
    <n v="5.4961486384010702E-2"/>
    <s v="Green"/>
    <n v="1"/>
    <x v="11"/>
  </r>
  <r>
    <x v="228"/>
    <n v="-1.1944364520745199E-2"/>
    <s v="Red"/>
    <n v="0"/>
    <x v="0"/>
  </r>
  <r>
    <x v="229"/>
    <n v="1.7873203376464399E-2"/>
    <s v="Green"/>
    <n v="1"/>
    <x v="1"/>
  </r>
  <r>
    <x v="230"/>
    <n v="1.62237024114931E-2"/>
    <s v="Green"/>
    <n v="1"/>
    <x v="2"/>
  </r>
  <r>
    <x v="231"/>
    <n v="1.13222145251615E-2"/>
    <s v="Green"/>
    <n v="1"/>
    <x v="3"/>
  </r>
  <r>
    <x v="232"/>
    <n v="5.0898709664177998E-2"/>
    <s v="Green"/>
    <n v="1"/>
    <x v="4"/>
  </r>
  <r>
    <x v="233"/>
    <n v="8.1044106872726104E-2"/>
    <s v="Green"/>
    <n v="1"/>
    <x v="5"/>
  </r>
  <r>
    <x v="234"/>
    <n v="8.3575685661514392E-3"/>
    <s v="Green"/>
    <n v="1"/>
    <x v="6"/>
  </r>
  <r>
    <x v="235"/>
    <n v="-1.7003608502929399E-2"/>
    <s v="Red"/>
    <n v="0"/>
    <x v="7"/>
  </r>
  <r>
    <x v="236"/>
    <n v="-2.74146925599522E-2"/>
    <s v="Red"/>
    <n v="0"/>
    <x v="8"/>
  </r>
  <r>
    <x v="237"/>
    <n v="-6.0332572674290597E-2"/>
    <s v="Red"/>
    <n v="0"/>
    <x v="9"/>
  </r>
  <r>
    <x v="238"/>
    <n v="5.7069620923617899E-2"/>
    <s v="Green"/>
    <n v="1"/>
    <x v="10"/>
  </r>
  <r>
    <x v="239"/>
    <n v="8.6448801016809906E-2"/>
    <s v="Green"/>
    <n v="1"/>
    <x v="11"/>
  </r>
  <r>
    <x v="240"/>
    <n v="-0.110024318261519"/>
    <s v="Red"/>
    <n v="0"/>
    <x v="0"/>
  </r>
  <r>
    <x v="241"/>
    <n v="4.8814330800193203E-3"/>
    <s v="Green"/>
    <n v="1"/>
    <x v="1"/>
  </r>
  <r>
    <x v="242"/>
    <n v="-7.9004274966125304E-2"/>
    <s v="Red"/>
    <n v="0"/>
    <x v="2"/>
  </r>
  <r>
    <x v="243"/>
    <n v="-7.2455354417573697E-2"/>
    <s v="Red"/>
    <n v="0"/>
    <x v="3"/>
  </r>
  <r>
    <x v="244"/>
    <n v="-9.0814810760454501E-3"/>
    <s v="Red"/>
    <n v="0"/>
    <x v="4"/>
  </r>
  <r>
    <x v="245"/>
    <n v="-6.1417626159139899E-2"/>
    <s v="Red"/>
    <n v="0"/>
    <x v="5"/>
  </r>
  <r>
    <x v="246"/>
    <n v="3.67388936188391E-2"/>
    <s v="Green"/>
    <n v="1"/>
    <x v="6"/>
  </r>
  <r>
    <x v="247"/>
    <n v="-2.0766211305560299E-2"/>
    <s v="Red"/>
    <n v="0"/>
    <x v="7"/>
  </r>
  <r>
    <x v="248"/>
    <n v="-1.55738325597943E-2"/>
    <s v="Red"/>
    <n v="0"/>
    <x v="8"/>
  </r>
  <r>
    <x v="249"/>
    <n v="7.5738341929156797E-3"/>
    <s v="Green"/>
    <n v="1"/>
    <x v="9"/>
  </r>
  <r>
    <x v="250"/>
    <n v="7.5175904263053497E-2"/>
    <s v="Green"/>
    <n v="1"/>
    <x v="10"/>
  </r>
  <r>
    <x v="251"/>
    <n v="1.8099111445277798E-2"/>
    <s v="Green"/>
    <n v="1"/>
    <x v="11"/>
  </r>
  <r>
    <x v="252"/>
    <n v="-8.1723406019716199E-2"/>
    <s v="Red"/>
    <n v="0"/>
    <x v="0"/>
  </r>
  <r>
    <x v="253"/>
    <n v="-6.4108406563714707E-2"/>
    <s v="Red"/>
    <n v="0"/>
    <x v="1"/>
  </r>
  <r>
    <x v="254"/>
    <n v="-1.0740150072934201E-2"/>
    <s v="Red"/>
    <n v="0"/>
    <x v="2"/>
  </r>
  <r>
    <x v="255"/>
    <n v="-2.5035389109833502E-2"/>
    <s v="Red"/>
    <n v="0"/>
    <x v="3"/>
  </r>
  <r>
    <x v="256"/>
    <n v="5.0901871196495901E-3"/>
    <s v="Green"/>
    <n v="1"/>
    <x v="4"/>
  </r>
  <r>
    <x v="257"/>
    <n v="7.6814361759009797E-2"/>
    <s v="Green"/>
    <n v="1"/>
    <x v="5"/>
  </r>
  <r>
    <x v="258"/>
    <n v="-6.4204710540895493E-2"/>
    <s v="Red"/>
    <n v="0"/>
    <x v="6"/>
  </r>
  <r>
    <x v="259"/>
    <n v="-9.2290735848999994E-2"/>
    <s v="Red"/>
    <n v="0"/>
    <x v="7"/>
  </r>
  <r>
    <x v="260"/>
    <n v="3.4636577086329501E-2"/>
    <s v="Green"/>
    <n v="1"/>
    <x v="8"/>
  </r>
  <r>
    <x v="261"/>
    <n v="4.0534455291978402E-3"/>
    <s v="Green"/>
    <n v="1"/>
    <x v="9"/>
  </r>
  <r>
    <x v="262"/>
    <n v="-8.0068609961069903E-2"/>
    <s v="Red"/>
    <n v="0"/>
    <x v="10"/>
  </r>
  <r>
    <x v="263"/>
    <n v="-4.9494858723608797E-3"/>
    <s v="Red"/>
    <n v="0"/>
    <x v="11"/>
  </r>
  <r>
    <x v="264"/>
    <n v="-5.3482974745611297E-2"/>
    <s v="Red"/>
    <n v="0"/>
    <x v="0"/>
  </r>
  <r>
    <x v="265"/>
    <n v="6.0699105184235998E-2"/>
    <s v="Green"/>
    <n v="1"/>
    <x v="1"/>
  </r>
  <r>
    <x v="266"/>
    <n v="-1.6341276221772699E-2"/>
    <s v="Red"/>
    <n v="0"/>
    <x v="2"/>
  </r>
  <r>
    <x v="267"/>
    <n v="2.3933549608901299E-2"/>
    <s v="Green"/>
    <n v="1"/>
    <x v="3"/>
  </r>
  <r>
    <x v="268"/>
    <n v="-2.1915050512993601E-2"/>
    <s v="Red"/>
    <n v="0"/>
    <x v="4"/>
  </r>
  <r>
    <x v="269"/>
    <n v="-3.0795755551931401E-2"/>
    <s v="Red"/>
    <n v="0"/>
    <x v="5"/>
  </r>
  <r>
    <x v="270"/>
    <n v="9.6719828269732397E-2"/>
    <s v="Green"/>
    <n v="1"/>
    <x v="6"/>
  </r>
  <r>
    <x v="271"/>
    <n v="-2.0108083261058299E-2"/>
    <s v="Red"/>
    <n v="0"/>
    <x v="7"/>
  </r>
  <r>
    <x v="272"/>
    <n v="-5.0903548749361899E-2"/>
    <s v="Red"/>
    <n v="0"/>
    <x v="8"/>
  </r>
  <r>
    <x v="273"/>
    <n v="5.7843894876779399E-2"/>
    <s v="Green"/>
    <n v="1"/>
    <x v="9"/>
  </r>
  <r>
    <x v="274"/>
    <n v="1.9061858621249601E-2"/>
    <s v="Green"/>
    <n v="1"/>
    <x v="10"/>
  </r>
  <r>
    <x v="275"/>
    <n v="6.2539541625965298E-2"/>
    <s v="Green"/>
    <n v="1"/>
    <x v="11"/>
  </r>
  <r>
    <x v="276"/>
    <n v="-2.85517922684916E-2"/>
    <s v="Red"/>
    <n v="0"/>
    <x v="0"/>
  </r>
  <r>
    <x v="277"/>
    <n v="-6.2540920445004504E-3"/>
    <s v="Red"/>
    <n v="0"/>
    <x v="1"/>
  </r>
  <r>
    <x v="278"/>
    <n v="-3.2046092218893797E-2"/>
    <s v="Red"/>
    <n v="0"/>
    <x v="2"/>
  </r>
  <r>
    <x v="279"/>
    <n v="5.4438331016794198E-2"/>
    <s v="Green"/>
    <n v="1"/>
    <x v="3"/>
  </r>
  <r>
    <x v="280"/>
    <n v="-2.4970480872686801E-2"/>
    <s v="Red"/>
    <n v="0"/>
    <x v="4"/>
  </r>
  <r>
    <x v="281"/>
    <n v="3.7944027915545402E-2"/>
    <s v="Green"/>
    <n v="1"/>
    <x v="5"/>
  </r>
  <r>
    <x v="282"/>
    <n v="3.8794215360158799E-2"/>
    <s v="Green"/>
    <n v="1"/>
    <x v="6"/>
  </r>
  <r>
    <x v="283"/>
    <n v="-3.2282562686194102E-2"/>
    <s v="Red"/>
    <n v="0"/>
    <x v="7"/>
  </r>
  <r>
    <x v="284"/>
    <n v="4.1009441536725297E-2"/>
    <s v="Green"/>
    <n v="1"/>
    <x v="8"/>
  </r>
  <r>
    <x v="285"/>
    <n v="5.63752865757359E-2"/>
    <s v="Green"/>
    <n v="1"/>
    <x v="9"/>
  </r>
  <r>
    <x v="286"/>
    <n v="5.91259963396253E-2"/>
    <s v="Green"/>
    <n v="1"/>
    <x v="10"/>
  </r>
  <r>
    <x v="287"/>
    <n v="8.0294228372442406E-2"/>
    <s v="Green"/>
    <n v="1"/>
    <x v="11"/>
  </r>
  <r>
    <x v="288"/>
    <n v="6.2395515617718902E-2"/>
    <s v="Green"/>
    <n v="1"/>
    <x v="0"/>
  </r>
  <r>
    <x v="289"/>
    <n v="-0.14579671855670701"/>
    <s v="Red"/>
    <n v="0"/>
    <x v="1"/>
  </r>
  <r>
    <x v="290"/>
    <n v="-1.1615327025789501E-2"/>
    <s v="Red"/>
    <n v="0"/>
    <x v="2"/>
  </r>
  <r>
    <x v="291"/>
    <n v="3.9438241075214098E-2"/>
    <s v="Green"/>
    <n v="1"/>
    <x v="3"/>
  </r>
  <r>
    <x v="292"/>
    <n v="-1.8826223521475099E-2"/>
    <s v="Red"/>
    <n v="0"/>
    <x v="4"/>
  </r>
  <r>
    <x v="293"/>
    <n v="9.0764692534604004E-3"/>
    <s v="Green"/>
    <n v="1"/>
    <x v="5"/>
  </r>
  <r>
    <x v="294"/>
    <n v="4.9945714161429497E-2"/>
    <s v="Green"/>
    <n v="1"/>
    <x v="6"/>
  </r>
  <r>
    <x v="295"/>
    <n v="7.0449193043797195E-2"/>
    <s v="Green"/>
    <n v="1"/>
    <x v="7"/>
  </r>
  <r>
    <x v="296"/>
    <n v="1.01501767989975E-2"/>
    <s v="Green"/>
    <n v="1"/>
    <x v="8"/>
  </r>
  <r>
    <x v="297"/>
    <n v="1.5731597888257998E-2"/>
    <s v="Green"/>
    <n v="1"/>
    <x v="9"/>
  </r>
  <r>
    <x v="298"/>
    <n v="4.4586854893763801E-2"/>
    <s v="Green"/>
    <n v="1"/>
    <x v="10"/>
  </r>
  <r>
    <x v="299"/>
    <n v="-3.4477697196337802E-2"/>
    <s v="Red"/>
    <n v="0"/>
    <x v="11"/>
  </r>
  <r>
    <x v="300"/>
    <n v="5.3153589937912499E-2"/>
    <s v="Green"/>
    <n v="1"/>
    <x v="0"/>
  </r>
  <r>
    <x v="301"/>
    <n v="-5.7465631833399297E-2"/>
    <s v="Red"/>
    <n v="0"/>
    <x v="1"/>
  </r>
  <r>
    <x v="302"/>
    <n v="7.8145809507889102E-2"/>
    <s v="Green"/>
    <n v="1"/>
    <x v="2"/>
  </r>
  <r>
    <x v="303"/>
    <n v="4.3452615574897498E-2"/>
    <s v="Green"/>
    <n v="1"/>
    <x v="3"/>
  </r>
  <r>
    <x v="304"/>
    <n v="5.8576884241924997E-2"/>
    <s v="Green"/>
    <n v="1"/>
    <x v="4"/>
  </r>
  <r>
    <x v="305"/>
    <n v="5.8405579422057E-2"/>
    <s v="Green"/>
    <n v="1"/>
    <x v="5"/>
  </r>
  <r>
    <x v="306"/>
    <n v="-4.2614010396426399E-2"/>
    <s v="Red"/>
    <n v="0"/>
    <x v="6"/>
  </r>
  <r>
    <x v="307"/>
    <n v="5.9275900071804602E-3"/>
    <s v="Green"/>
    <n v="1"/>
    <x v="7"/>
  </r>
  <r>
    <x v="308"/>
    <n v="6.1317039194819199E-2"/>
    <s v="Green"/>
    <n v="1"/>
    <x v="8"/>
  </r>
  <r>
    <x v="309"/>
    <n v="-2.1505415404998202E-2"/>
    <s v="Red"/>
    <n v="0"/>
    <x v="9"/>
  </r>
  <r>
    <x v="310"/>
    <n v="7.3376151732636993E-2"/>
    <s v="Green"/>
    <n v="1"/>
    <x v="10"/>
  </r>
  <r>
    <x v="311"/>
    <n v="2.61010032390308E-2"/>
    <s v="Green"/>
    <n v="1"/>
    <x v="11"/>
  </r>
  <r>
    <x v="312"/>
    <n v="5.4203327569492199E-2"/>
    <s v="Green"/>
    <n v="1"/>
    <x v="0"/>
  </r>
  <r>
    <x v="313"/>
    <n v="1.8813935110919298E-2"/>
    <s v="Green"/>
    <n v="1"/>
    <x v="1"/>
  </r>
  <r>
    <x v="314"/>
    <n v="-4.5748017194667499E-2"/>
    <s v="Red"/>
    <n v="0"/>
    <x v="2"/>
  </r>
  <r>
    <x v="315"/>
    <n v="2.2567103229369501E-3"/>
    <s v="Green"/>
    <n v="1"/>
    <x v="3"/>
  </r>
  <r>
    <x v="316"/>
    <n v="2.2853405672084999E-2"/>
    <s v="Green"/>
    <n v="1"/>
    <x v="4"/>
  </r>
  <r>
    <x v="317"/>
    <n v="1.34314221533696E-2"/>
    <s v="Green"/>
    <n v="1"/>
    <x v="5"/>
  </r>
  <r>
    <x v="318"/>
    <n v="7.9165670805803091E-3"/>
    <s v="Green"/>
    <n v="1"/>
    <x v="6"/>
  </r>
  <r>
    <x v="319"/>
    <n v="6.9337015523502901E-3"/>
    <s v="Green"/>
    <n v="1"/>
    <x v="7"/>
  </r>
  <r>
    <x v="320"/>
    <n v="3.2617387086717201E-2"/>
    <s v="Green"/>
    <n v="1"/>
    <x v="8"/>
  </r>
  <r>
    <x v="321"/>
    <n v="1.7443874138492799E-2"/>
    <s v="Green"/>
    <n v="1"/>
    <x v="9"/>
  </r>
  <r>
    <x v="322"/>
    <n v="4.1049002579535802E-2"/>
    <s v="Green"/>
    <n v="1"/>
    <x v="10"/>
  </r>
  <r>
    <x v="323"/>
    <n v="-4.9793349436904099E-3"/>
    <s v="Red"/>
    <n v="0"/>
    <x v="11"/>
  </r>
  <r>
    <x v="324"/>
    <n v="4.0097472413171298E-2"/>
    <s v="Green"/>
    <n v="1"/>
    <x v="0"/>
  </r>
  <r>
    <x v="325"/>
    <n v="-3.2023805401637501E-4"/>
    <s v="Red"/>
    <n v="0"/>
    <x v="1"/>
  </r>
  <r>
    <x v="326"/>
    <n v="3.1776040385497903E-2"/>
    <s v="Green"/>
    <n v="1"/>
    <x v="2"/>
  </r>
  <r>
    <x v="327"/>
    <n v="2.1278544224437399E-2"/>
    <s v="Green"/>
    <n v="1"/>
    <x v="3"/>
  </r>
  <r>
    <x v="328"/>
    <n v="3.6311711839953402E-2"/>
    <s v="Green"/>
    <n v="1"/>
    <x v="4"/>
  </r>
  <r>
    <x v="329"/>
    <n v="2.7960358793799302E-2"/>
    <s v="Green"/>
    <n v="1"/>
    <x v="5"/>
  </r>
  <r>
    <x v="330"/>
    <n v="2.7329193438646801E-2"/>
    <s v="Green"/>
    <n v="1"/>
    <x v="6"/>
  </r>
  <r>
    <x v="331"/>
    <n v="3.6074149761991602E-2"/>
    <s v="Green"/>
    <n v="1"/>
    <x v="7"/>
  </r>
  <r>
    <x v="332"/>
    <n v="2.4277710860833E-2"/>
    <s v="Green"/>
    <n v="1"/>
    <x v="8"/>
  </r>
  <r>
    <x v="333"/>
    <n v="1.22991182864991E-2"/>
    <s v="Green"/>
    <n v="1"/>
    <x v="9"/>
  </r>
  <r>
    <x v="334"/>
    <n v="-3.9504612602884202E-2"/>
    <s v="Red"/>
    <n v="0"/>
    <x v="10"/>
  </r>
  <r>
    <x v="335"/>
    <n v="2.0833816402291601E-2"/>
    <s v="Green"/>
    <n v="1"/>
    <x v="11"/>
  </r>
  <r>
    <x v="336"/>
    <n v="-2.68775353188823E-2"/>
    <s v="Red"/>
    <n v="0"/>
    <x v="0"/>
  </r>
  <r>
    <x v="337"/>
    <n v="3.7598698607805597E-2"/>
    <s v="Green"/>
    <n v="1"/>
    <x v="1"/>
  </r>
  <r>
    <x v="338"/>
    <n v="3.1489907818193802E-2"/>
    <s v="Green"/>
    <n v="1"/>
    <x v="2"/>
  </r>
  <r>
    <x v="339"/>
    <n v="-2.67908236582695E-2"/>
    <s v="Red"/>
    <n v="0"/>
    <x v="3"/>
  </r>
  <r>
    <x v="340"/>
    <n v="1.23971434441716E-2"/>
    <s v="Green"/>
    <n v="1"/>
    <x v="4"/>
  </r>
  <r>
    <x v="341"/>
    <n v="1.1530643889981601E-2"/>
    <s v="Green"/>
    <n v="1"/>
    <x v="5"/>
  </r>
  <r>
    <x v="342"/>
    <n v="-4.5746511353774701E-2"/>
    <s v="Red"/>
    <n v="0"/>
    <x v="6"/>
  </r>
  <r>
    <x v="343"/>
    <n v="-3.00449958486637E-2"/>
    <s v="Red"/>
    <n v="0"/>
    <x v="7"/>
  </r>
  <r>
    <x v="344"/>
    <n v="3.2500745224549397E-2"/>
    <s v="Green"/>
    <n v="1"/>
    <x v="8"/>
  </r>
  <r>
    <x v="345"/>
    <n v="1.0091173280450901E-2"/>
    <s v="Green"/>
    <n v="1"/>
    <x v="9"/>
  </r>
  <r>
    <x v="346"/>
    <n v="-1.2910626013377001E-2"/>
    <s v="Red"/>
    <n v="0"/>
    <x v="10"/>
  </r>
  <r>
    <x v="347"/>
    <n v="1.9392922963742801E-2"/>
    <s v="Green"/>
    <n v="1"/>
    <x v="11"/>
  </r>
  <r>
    <x v="348"/>
    <n v="-9.9879304080935406E-3"/>
    <s v="Red"/>
    <n v="0"/>
    <x v="0"/>
  </r>
  <r>
    <x v="349"/>
    <n v="3.4431956860375902E-2"/>
    <s v="Green"/>
    <n v="1"/>
    <x v="1"/>
  </r>
  <r>
    <x v="350"/>
    <n v="-5.3270459355138104E-3"/>
    <s v="Red"/>
    <n v="0"/>
    <x v="2"/>
  </r>
  <r>
    <x v="351"/>
    <n v="7.55230010638819E-4"/>
    <s v="Green"/>
    <n v="1"/>
    <x v="3"/>
  </r>
  <r>
    <x v="352"/>
    <n v="2.2717462810525099E-2"/>
    <s v="Green"/>
    <n v="1"/>
    <x v="4"/>
  </r>
  <r>
    <x v="353"/>
    <n v="-2.54168102144962E-2"/>
    <s v="Red"/>
    <n v="0"/>
    <x v="5"/>
  </r>
  <r>
    <x v="354"/>
    <n v="1.8697297817929399E-2"/>
    <s v="Green"/>
    <n v="1"/>
    <x v="6"/>
  </r>
  <r>
    <x v="355"/>
    <n v="1.0483627354217699E-2"/>
    <s v="Green"/>
    <n v="1"/>
    <x v="7"/>
  </r>
  <r>
    <x v="356"/>
    <n v="7.0459894503542798E-3"/>
    <s v="Green"/>
    <n v="1"/>
    <x v="8"/>
  </r>
  <r>
    <x v="357"/>
    <n v="1.01077661744602E-2"/>
    <s v="Green"/>
    <n v="1"/>
    <x v="9"/>
  </r>
  <r>
    <x v="358"/>
    <n v="3.02618066586238E-2"/>
    <s v="Green"/>
    <n v="1"/>
    <x v="10"/>
  </r>
  <r>
    <x v="359"/>
    <n v="2.1062829709799199E-3"/>
    <s v="Green"/>
    <n v="1"/>
    <x v="11"/>
  </r>
  <r>
    <x v="360"/>
    <n v="9.1055938195434595E-3"/>
    <s v="Green"/>
    <n v="1"/>
    <x v="0"/>
  </r>
  <r>
    <x v="361"/>
    <n v="-2.3997530034600301E-2"/>
    <s v="Red"/>
    <n v="0"/>
    <x v="1"/>
  </r>
  <r>
    <x v="362"/>
    <n v="3.9373684053008097E-2"/>
    <s v="Green"/>
    <n v="1"/>
    <x v="2"/>
  </r>
  <r>
    <x v="363"/>
    <n v="-1.7358832059340301E-2"/>
    <s v="Red"/>
    <n v="0"/>
    <x v="3"/>
  </r>
  <r>
    <x v="364"/>
    <n v="9.6395707538854403E-4"/>
    <s v="Green"/>
    <n v="1"/>
    <x v="4"/>
  </r>
  <r>
    <x v="365"/>
    <n v="2.78927145686407E-2"/>
    <s v="Green"/>
    <n v="1"/>
    <x v="5"/>
  </r>
  <r>
    <x v="366"/>
    <n v="-2.1831862704186199E-2"/>
    <s v="Red"/>
    <n v="0"/>
    <x v="6"/>
  </r>
  <r>
    <x v="367"/>
    <n v="9.5895420754186205E-3"/>
    <s v="Green"/>
    <n v="1"/>
    <x v="7"/>
  </r>
  <r>
    <x v="368"/>
    <n v="-1.9923750460799899E-2"/>
    <s v="Red"/>
    <n v="0"/>
    <x v="8"/>
  </r>
  <r>
    <x v="369"/>
    <n v="0.1115878548276"/>
    <s v="Green"/>
    <n v="1"/>
    <x v="9"/>
  </r>
  <r>
    <x v="370"/>
    <n v="-4.3903708684304897E-2"/>
    <s v="Red"/>
    <n v="0"/>
    <x v="10"/>
  </r>
  <r>
    <x v="371"/>
    <n v="1.1834237037883701E-2"/>
    <s v="Green"/>
    <n v="1"/>
    <x v="11"/>
  </r>
  <r>
    <x v="372"/>
    <n v="-1.9143737536368399E-2"/>
    <s v="Red"/>
    <n v="0"/>
    <x v="0"/>
  </r>
  <r>
    <x v="373"/>
    <n v="1.96487842997797E-2"/>
    <s v="Green"/>
    <n v="1"/>
    <x v="1"/>
  </r>
  <r>
    <x v="374"/>
    <n v="4.4859343195825498E-2"/>
    <s v="Green"/>
    <n v="1"/>
    <x v="2"/>
  </r>
  <r>
    <x v="375"/>
    <n v="-4.7892629152718302E-2"/>
    <s v="Red"/>
    <n v="0"/>
    <x v="3"/>
  </r>
  <r>
    <x v="376"/>
    <n v="3.8604974568177998E-2"/>
    <s v="Green"/>
    <n v="1"/>
    <x v="4"/>
  </r>
  <r>
    <x v="377"/>
    <n v="3.1979905037093898E-4"/>
    <s v="Green"/>
    <n v="1"/>
    <x v="5"/>
  </r>
  <r>
    <x v="378"/>
    <n v="2.22028328236583E-2"/>
    <s v="Green"/>
    <n v="1"/>
    <x v="6"/>
  </r>
  <r>
    <x v="379"/>
    <n v="6.7281174863978596E-2"/>
    <s v="Green"/>
    <n v="1"/>
    <x v="7"/>
  </r>
  <r>
    <x v="380"/>
    <n v="4.1517751676101597E-2"/>
    <s v="Green"/>
    <n v="1"/>
    <x v="8"/>
  </r>
  <r>
    <x v="381"/>
    <n v="2.4827757355757599E-2"/>
    <s v="Green"/>
    <n v="1"/>
    <x v="9"/>
  </r>
  <r>
    <x v="382"/>
    <n v="5.9934213815789401E-2"/>
    <s v="Green"/>
    <n v="1"/>
    <x v="10"/>
  </r>
  <r>
    <x v="383"/>
    <n v="-6.6982129729734599E-3"/>
    <s v="Red"/>
    <n v="0"/>
    <x v="11"/>
  </r>
  <r>
    <x v="384"/>
    <n v="-5.1184307112997998E-2"/>
    <s v="Red"/>
    <n v="0"/>
    <x v="0"/>
  </r>
  <r>
    <x v="385"/>
    <n v="-9.43141838154853E-2"/>
    <s v="Red"/>
    <n v="0"/>
    <x v="1"/>
  </r>
  <r>
    <x v="386"/>
    <n v="-5.2231580846174904E-3"/>
    <s v="Red"/>
    <n v="0"/>
    <x v="2"/>
  </r>
  <r>
    <x v="387"/>
    <n v="-8.8863657565815303E-3"/>
    <s v="Red"/>
    <n v="0"/>
    <x v="3"/>
  </r>
  <r>
    <x v="388"/>
    <n v="9.1989190156802597E-2"/>
    <s v="Green"/>
    <n v="1"/>
    <x v="4"/>
  </r>
  <r>
    <x v="389"/>
    <n v="-2.6887138748678398E-2"/>
    <s v="Red"/>
    <n v="0"/>
    <x v="5"/>
  </r>
  <r>
    <x v="390"/>
    <n v="2.4254983989199001E-2"/>
    <s v="Green"/>
    <n v="1"/>
    <x v="6"/>
  </r>
  <r>
    <x v="391"/>
    <n v="8.5390425155207304E-3"/>
    <s v="Green"/>
    <n v="1"/>
    <x v="7"/>
  </r>
  <r>
    <x v="392"/>
    <n v="-6.8817225277032601E-2"/>
    <s v="Red"/>
    <n v="0"/>
    <x v="8"/>
  </r>
  <r>
    <x v="393"/>
    <n v="2.1416816133900299E-2"/>
    <s v="Green"/>
    <n v="1"/>
    <x v="9"/>
  </r>
  <r>
    <x v="394"/>
    <n v="1.65413246213417E-2"/>
    <s v="Green"/>
    <n v="1"/>
    <x v="10"/>
  </r>
  <r>
    <x v="395"/>
    <n v="-2.5175452244172201E-2"/>
    <s v="Red"/>
    <n v="0"/>
    <x v="11"/>
  </r>
  <r>
    <x v="396"/>
    <n v="-6.5443673964080702E-3"/>
    <s v="Red"/>
    <n v="0"/>
    <x v="0"/>
  </r>
  <r>
    <x v="397"/>
    <n v="1.5516716371120299E-2"/>
    <s v="Green"/>
    <n v="1"/>
    <x v="1"/>
  </r>
  <r>
    <x v="398"/>
    <n v="8.8370259223621503E-2"/>
    <s v="Green"/>
    <n v="1"/>
    <x v="2"/>
  </r>
  <r>
    <x v="399"/>
    <n v="-7.9245541219584697E-3"/>
    <s v="Red"/>
    <n v="0"/>
    <x v="3"/>
  </r>
  <r>
    <x v="400"/>
    <n v="3.5137493453486698E-2"/>
    <s v="Green"/>
    <n v="1"/>
    <x v="4"/>
  </r>
  <r>
    <x v="401"/>
    <n v="5.0089938788108898E-2"/>
    <s v="Green"/>
    <n v="1"/>
    <x v="5"/>
  </r>
  <r>
    <x v="402"/>
    <n v="2.0805962445785E-2"/>
    <s v="Green"/>
    <n v="1"/>
    <x v="6"/>
  </r>
  <r>
    <x v="403"/>
    <n v="-2.8944148892513202E-2"/>
    <s v="Red"/>
    <n v="0"/>
    <x v="7"/>
  </r>
  <r>
    <x v="404"/>
    <n v="7.1114791620643797E-2"/>
    <s v="Green"/>
    <n v="1"/>
    <x v="8"/>
  </r>
  <r>
    <x v="405"/>
    <n v="1.46875733421599E-2"/>
    <s v="Green"/>
    <n v="1"/>
    <x v="9"/>
  </r>
  <r>
    <x v="406"/>
    <n v="-1.88908806721481E-2"/>
    <s v="Red"/>
    <n v="0"/>
    <x v="10"/>
  </r>
  <r>
    <x v="407"/>
    <n v="2.5964462124019601E-2"/>
    <s v="Green"/>
    <n v="1"/>
    <x v="11"/>
  </r>
  <r>
    <x v="408"/>
    <n v="3.9729334035724498E-2"/>
    <s v="Green"/>
    <n v="1"/>
    <x v="0"/>
  </r>
  <r>
    <x v="409"/>
    <n v="-3.8600104494526701E-2"/>
    <s v="Red"/>
    <n v="0"/>
    <x v="1"/>
  </r>
  <r>
    <x v="410"/>
    <n v="-5.4113747714807899E-3"/>
    <s v="Red"/>
    <n v="0"/>
    <x v="2"/>
  </r>
  <r>
    <x v="411"/>
    <n v="4.3256010935977897E-2"/>
    <s v="Green"/>
    <n v="1"/>
    <x v="3"/>
  </r>
  <r>
    <x v="412"/>
    <n v="3.1761261289926499E-3"/>
    <s v="Green"/>
    <n v="1"/>
    <x v="4"/>
  </r>
  <r>
    <x v="413"/>
    <n v="9.4247435537442303E-3"/>
    <s v="Green"/>
    <n v="1"/>
    <x v="5"/>
  </r>
  <r>
    <x v="414"/>
    <n v="-3.33432595272838E-2"/>
    <s v="Red"/>
    <n v="0"/>
    <x v="6"/>
  </r>
  <r>
    <x v="415"/>
    <n v="4.1817402681285899E-2"/>
    <s v="Green"/>
    <n v="1"/>
    <x v="7"/>
  </r>
  <r>
    <x v="416"/>
    <n v="4.0432268573479903E-2"/>
    <s v="Green"/>
    <n v="1"/>
    <x v="8"/>
  </r>
  <r>
    <x v="417"/>
    <n v="7.2861479728248302E-2"/>
    <s v="Green"/>
    <n v="1"/>
    <x v="9"/>
  </r>
  <r>
    <x v="418"/>
    <n v="-8.5348864519806403E-2"/>
    <s v="Red"/>
    <n v="0"/>
    <x v="10"/>
  </r>
  <r>
    <x v="419"/>
    <n v="-0.21763041614888401"/>
    <s v="Red"/>
    <n v="0"/>
    <x v="11"/>
  </r>
  <r>
    <x v="420"/>
    <n v="-2.4166165221328001E-2"/>
    <s v="Red"/>
    <n v="0"/>
    <x v="0"/>
  </r>
  <r>
    <x v="421"/>
    <n v="3.4958839704276198E-2"/>
    <s v="Green"/>
    <n v="1"/>
    <x v="1"/>
  </r>
  <r>
    <x v="422"/>
    <n v="4.8223697368421102E-2"/>
    <s v="Green"/>
    <n v="1"/>
    <x v="2"/>
  </r>
  <r>
    <x v="423"/>
    <n v="4.7914490563643698E-2"/>
    <s v="Green"/>
    <n v="1"/>
    <x v="3"/>
  </r>
  <r>
    <x v="424"/>
    <n v="6.0341971511754799E-3"/>
    <s v="Green"/>
    <n v="1"/>
    <x v="4"/>
  </r>
  <r>
    <x v="425"/>
    <n v="-1.1450212076097E-2"/>
    <s v="Red"/>
    <n v="0"/>
    <x v="5"/>
  </r>
  <r>
    <x v="426"/>
    <n v="2.6389865177064199E-2"/>
    <s v="Green"/>
    <n v="1"/>
    <x v="6"/>
  </r>
  <r>
    <x v="427"/>
    <n v="3.6923618943399898E-2"/>
    <s v="Green"/>
    <n v="1"/>
    <x v="7"/>
  </r>
  <r>
    <x v="428"/>
    <n v="0.13176689624451399"/>
    <s v="Green"/>
    <n v="1"/>
    <x v="8"/>
  </r>
  <r>
    <x v="429"/>
    <n v="-2.8288271293281899E-2"/>
    <s v="Red"/>
    <n v="0"/>
    <x v="9"/>
  </r>
  <r>
    <x v="430"/>
    <n v="2.1477191105454301E-2"/>
    <s v="Green"/>
    <n v="1"/>
    <x v="10"/>
  </r>
  <r>
    <x v="431"/>
    <n v="5.4729330005596898E-2"/>
    <s v="Green"/>
    <n v="1"/>
    <x v="11"/>
  </r>
  <r>
    <x v="432"/>
    <n v="-8.5438605930772196E-2"/>
    <s v="Red"/>
    <n v="0"/>
    <x v="0"/>
  </r>
  <r>
    <x v="433"/>
    <n v="7.1192606962404897E-2"/>
    <s v="Green"/>
    <n v="1"/>
    <x v="1"/>
  </r>
  <r>
    <x v="434"/>
    <n v="-5.8682830628015298E-2"/>
    <s v="Red"/>
    <n v="0"/>
    <x v="2"/>
  </r>
  <r>
    <x v="435"/>
    <n v="1.41095205795143E-2"/>
    <s v="Green"/>
    <n v="1"/>
    <x v="3"/>
  </r>
  <r>
    <x v="436"/>
    <n v="5.0229287530073198E-2"/>
    <s v="Green"/>
    <n v="1"/>
    <x v="4"/>
  </r>
  <r>
    <x v="437"/>
    <n v="-1.41481376512718E-2"/>
    <s v="Red"/>
    <n v="0"/>
    <x v="5"/>
  </r>
  <r>
    <x v="438"/>
    <n v="5.27939190269162E-2"/>
    <s v="Green"/>
    <n v="1"/>
    <x v="6"/>
  </r>
  <r>
    <x v="439"/>
    <n v="7.1489276945364305E-2"/>
    <s v="Green"/>
    <n v="1"/>
    <x v="7"/>
  </r>
  <r>
    <x v="440"/>
    <n v="2.3665278415681001E-3"/>
    <s v="Green"/>
    <n v="1"/>
    <x v="8"/>
  </r>
  <r>
    <x v="441"/>
    <n v="4.5061092595944902E-2"/>
    <s v="Green"/>
    <n v="1"/>
    <x v="9"/>
  </r>
  <r>
    <x v="442"/>
    <n v="6.5061587528020701E-2"/>
    <s v="Green"/>
    <n v="1"/>
    <x v="10"/>
  </r>
  <r>
    <x v="443"/>
    <n v="4.25088143397538E-2"/>
    <s v="Green"/>
    <n v="1"/>
    <x v="11"/>
  </r>
  <r>
    <x v="444"/>
    <n v="-3.47240779641605E-2"/>
    <s v="Red"/>
    <n v="0"/>
    <x v="0"/>
  </r>
  <r>
    <x v="445"/>
    <n v="-1.19945161533052E-2"/>
    <s v="Red"/>
    <n v="0"/>
    <x v="1"/>
  </r>
  <r>
    <x v="446"/>
    <n v="-4.8475786860283599E-3"/>
    <s v="Red"/>
    <n v="0"/>
    <x v="2"/>
  </r>
  <r>
    <x v="447"/>
    <n v="1.2134017217609899E-2"/>
    <s v="Green"/>
    <n v="1"/>
    <x v="3"/>
  </r>
  <r>
    <x v="448"/>
    <n v="5.4051053171872802E-2"/>
    <s v="Green"/>
    <n v="1"/>
    <x v="4"/>
  </r>
  <r>
    <x v="449"/>
    <n v="-4.59427643984767E-3"/>
    <s v="Red"/>
    <n v="0"/>
    <x v="5"/>
  </r>
  <r>
    <x v="450"/>
    <n v="-2.8700133573800199E-3"/>
    <s v="Red"/>
    <n v="0"/>
    <x v="6"/>
  </r>
  <r>
    <x v="451"/>
    <n v="8.6287811437737397E-3"/>
    <s v="Green"/>
    <n v="1"/>
    <x v="7"/>
  </r>
  <r>
    <x v="452"/>
    <n v="7.4085144879061801E-2"/>
    <s v="Green"/>
    <n v="1"/>
    <x v="8"/>
  </r>
  <r>
    <x v="453"/>
    <n v="2.2374391461371899E-2"/>
    <s v="Green"/>
    <n v="1"/>
    <x v="9"/>
  </r>
  <r>
    <x v="454"/>
    <n v="-1.51122527572342E-2"/>
    <s v="Red"/>
    <n v="0"/>
    <x v="10"/>
  </r>
  <r>
    <x v="455"/>
    <n v="-6.0264898485318201E-5"/>
    <s v="Red"/>
    <n v="0"/>
    <x v="11"/>
  </r>
  <r>
    <x v="456"/>
    <n v="-3.4796437746430499E-3"/>
    <s v="Red"/>
    <n v="0"/>
    <x v="0"/>
  </r>
  <r>
    <x v="457"/>
    <n v="0.10633206275502299"/>
    <s v="Green"/>
    <n v="1"/>
    <x v="1"/>
  </r>
  <r>
    <x v="458"/>
    <n v="-1.6451162783380002E-2"/>
    <s v="Red"/>
    <n v="0"/>
    <x v="2"/>
  </r>
  <r>
    <x v="459"/>
    <n v="1.7469212537976501E-2"/>
    <s v="Green"/>
    <n v="1"/>
    <x v="3"/>
  </r>
  <r>
    <x v="460"/>
    <n v="-5.9356449996442601E-2"/>
    <s v="Red"/>
    <n v="0"/>
    <x v="4"/>
  </r>
  <r>
    <x v="461"/>
    <n v="5.4655738048687797E-3"/>
    <s v="Green"/>
    <n v="1"/>
    <x v="5"/>
  </r>
  <r>
    <x v="462"/>
    <n v="1.34979945689289E-2"/>
    <s v="Green"/>
    <n v="1"/>
    <x v="6"/>
  </r>
  <r>
    <x v="463"/>
    <n v="-3.8859346701931301E-2"/>
    <s v="Red"/>
    <n v="0"/>
    <x v="7"/>
  </r>
  <r>
    <x v="464"/>
    <n v="-9.2159647396578004E-3"/>
    <s v="Red"/>
    <n v="0"/>
    <x v="8"/>
  </r>
  <r>
    <x v="465"/>
    <n v="-8.8341409435387392E-3"/>
    <s v="Red"/>
    <n v="0"/>
    <x v="9"/>
  </r>
  <r>
    <x v="466"/>
    <n v="1.7425808301574801E-2"/>
    <s v="Green"/>
    <n v="1"/>
    <x v="10"/>
  </r>
  <r>
    <x v="467"/>
    <n v="-1.5174347526823499E-2"/>
    <s v="Red"/>
    <n v="0"/>
    <x v="11"/>
  </r>
  <r>
    <x v="468"/>
    <n v="1.01582302977457E-2"/>
    <s v="Green"/>
    <n v="1"/>
    <x v="0"/>
  </r>
  <r>
    <x v="469"/>
    <n v="1.1318873170753901E-2"/>
    <s v="Green"/>
    <n v="1"/>
    <x v="1"/>
  </r>
  <r>
    <x v="470"/>
    <n v="-3.0303036448956201E-2"/>
    <s v="Red"/>
    <n v="0"/>
    <x v="2"/>
  </r>
  <r>
    <x v="471"/>
    <n v="3.2329577143479102E-2"/>
    <s v="Green"/>
    <n v="1"/>
    <x v="3"/>
  </r>
  <r>
    <x v="472"/>
    <n v="-1.24064592035834E-2"/>
    <s v="Red"/>
    <n v="0"/>
    <x v="4"/>
  </r>
  <r>
    <x v="473"/>
    <n v="7.4986829727328605E-2"/>
    <s v="Green"/>
    <n v="1"/>
    <x v="5"/>
  </r>
  <r>
    <x v="474"/>
    <n v="3.30947525745608E-2"/>
    <s v="Green"/>
    <n v="1"/>
    <x v="6"/>
  </r>
  <r>
    <x v="475"/>
    <n v="1.8995147577526302E-2"/>
    <s v="Green"/>
    <n v="1"/>
    <x v="7"/>
  </r>
  <r>
    <x v="476"/>
    <n v="3.3134272135482798E-2"/>
    <s v="Green"/>
    <n v="1"/>
    <x v="8"/>
  </r>
  <r>
    <x v="477"/>
    <n v="1.5231357938579E-2"/>
    <s v="Green"/>
    <n v="1"/>
    <x v="9"/>
  </r>
  <r>
    <x v="478"/>
    <n v="3.5970669787835301E-2"/>
    <s v="Green"/>
    <n v="1"/>
    <x v="10"/>
  </r>
  <r>
    <x v="479"/>
    <n v="0.110446796386759"/>
    <s v="Green"/>
    <n v="1"/>
    <x v="11"/>
  </r>
  <r>
    <x v="480"/>
    <n v="7.6143919736526601E-3"/>
    <s v="Green"/>
    <n v="1"/>
    <x v="0"/>
  </r>
  <r>
    <x v="481"/>
    <n v="0.115977275785873"/>
    <s v="Green"/>
    <n v="1"/>
    <x v="1"/>
  </r>
  <r>
    <x v="482"/>
    <n v="-2.2990648453693599E-2"/>
    <s v="Red"/>
    <n v="0"/>
    <x v="2"/>
  </r>
  <r>
    <x v="483"/>
    <n v="-2.02895607871709E-2"/>
    <s v="Red"/>
    <n v="0"/>
    <x v="3"/>
  </r>
  <r>
    <x v="484"/>
    <n v="-3.9161842336622503E-2"/>
    <s v="Red"/>
    <n v="0"/>
    <x v="4"/>
  </r>
  <r>
    <x v="485"/>
    <n v="4.0014317970831902E-2"/>
    <s v="Green"/>
    <n v="1"/>
    <x v="5"/>
  </r>
  <r>
    <x v="486"/>
    <n v="-1.0167111571327801E-2"/>
    <s v="Red"/>
    <n v="0"/>
    <x v="6"/>
  </r>
  <r>
    <x v="487"/>
    <n v="-6.0548180057339203E-2"/>
    <s v="Red"/>
    <n v="0"/>
    <x v="7"/>
  </r>
  <r>
    <x v="488"/>
    <n v="-1.7543867379587099E-2"/>
    <s v="Red"/>
    <n v="0"/>
    <x v="8"/>
  </r>
  <r>
    <x v="489"/>
    <n v="-3.00751488733699E-2"/>
    <s v="Red"/>
    <n v="0"/>
    <x v="9"/>
  </r>
  <r>
    <x v="490"/>
    <n v="3.6590360460992302E-2"/>
    <s v="Green"/>
    <n v="1"/>
    <x v="10"/>
  </r>
  <r>
    <x v="491"/>
    <n v="4.9147865381304903E-2"/>
    <s v="Green"/>
    <n v="1"/>
    <x v="11"/>
  </r>
  <r>
    <x v="492"/>
    <n v="-5.3831752961708897E-2"/>
    <s v="Red"/>
    <n v="0"/>
    <x v="0"/>
  </r>
  <r>
    <x v="493"/>
    <n v="-6.2098969784585498E-2"/>
    <s v="Red"/>
    <n v="0"/>
    <x v="1"/>
  </r>
  <r>
    <x v="494"/>
    <n v="-2.2102658679073999E-3"/>
    <s v="Red"/>
    <n v="0"/>
    <x v="2"/>
  </r>
  <r>
    <x v="495"/>
    <n v="-1.04079420893868E-2"/>
    <s v="Red"/>
    <n v="0"/>
    <x v="3"/>
  </r>
  <r>
    <x v="496"/>
    <n v="-1.6565168534976599E-3"/>
    <s v="Red"/>
    <n v="0"/>
    <x v="4"/>
  </r>
  <r>
    <x v="497"/>
    <n v="-2.3455897058823401E-2"/>
    <s v="Red"/>
    <n v="0"/>
    <x v="5"/>
  </r>
  <r>
    <x v="498"/>
    <n v="3.60325729859809E-2"/>
    <s v="Green"/>
    <n v="1"/>
    <x v="6"/>
  </r>
  <r>
    <x v="499"/>
    <n v="1.32767345439582E-2"/>
    <s v="Green"/>
    <n v="1"/>
    <x v="7"/>
  </r>
  <r>
    <x v="500"/>
    <n v="-4.5742429498469003E-2"/>
    <s v="Red"/>
    <n v="0"/>
    <x v="8"/>
  </r>
  <r>
    <x v="501"/>
    <n v="-3.3874244694726899E-2"/>
    <s v="Red"/>
    <n v="0"/>
    <x v="9"/>
  </r>
  <r>
    <x v="502"/>
    <n v="0.102377052621189"/>
    <s v="Green"/>
    <n v="1"/>
    <x v="10"/>
  </r>
  <r>
    <x v="503"/>
    <n v="1.6021058632401199E-2"/>
    <s v="Green"/>
    <n v="1"/>
    <x v="11"/>
  </r>
  <r>
    <x v="504"/>
    <n v="2.5167527990705801E-2"/>
    <s v="Green"/>
    <n v="1"/>
    <x v="0"/>
  </r>
  <r>
    <x v="505"/>
    <n v="5.8354484398035504E-3"/>
    <s v="Green"/>
    <n v="1"/>
    <x v="1"/>
  </r>
  <r>
    <x v="506"/>
    <n v="6.5038516544791994E-2"/>
    <s v="Green"/>
    <n v="1"/>
    <x v="2"/>
  </r>
  <r>
    <x v="507"/>
    <n v="2.69687167739792E-2"/>
    <s v="Green"/>
    <n v="1"/>
    <x v="3"/>
  </r>
  <r>
    <x v="508"/>
    <n v="4.6570674131426501E-2"/>
    <s v="Green"/>
    <n v="1"/>
    <x v="4"/>
  </r>
  <r>
    <x v="509"/>
    <n v="4.1140221026162001E-2"/>
    <s v="Green"/>
    <n v="1"/>
    <x v="5"/>
  </r>
  <r>
    <x v="510"/>
    <n v="-0.101794893478976"/>
    <s v="Red"/>
    <n v="0"/>
    <x v="6"/>
  </r>
  <r>
    <x v="511"/>
    <n v="-4.3798176461170603E-3"/>
    <s v="Red"/>
    <n v="0"/>
    <x v="7"/>
  </r>
  <r>
    <x v="512"/>
    <n v="5.7624623723834902E-2"/>
    <s v="Green"/>
    <n v="1"/>
    <x v="8"/>
  </r>
  <r>
    <x v="513"/>
    <n v="1.6767124462429499E-2"/>
    <s v="Green"/>
    <n v="1"/>
    <x v="9"/>
  </r>
  <r>
    <x v="514"/>
    <n v="4.2624278137890499E-2"/>
    <s v="Green"/>
    <n v="1"/>
    <x v="10"/>
  </r>
  <r>
    <x v="515"/>
    <n v="-6.8605927552140497E-2"/>
    <s v="Red"/>
    <n v="0"/>
    <x v="11"/>
  </r>
  <r>
    <x v="516"/>
    <n v="0"/>
    <s v="Red"/>
    <n v="0"/>
    <x v="0"/>
  </r>
  <r>
    <x v="517"/>
    <n v="5.3077758464073997E-2"/>
    <s v="Green"/>
    <n v="1"/>
    <x v="1"/>
  </r>
  <r>
    <x v="518"/>
    <n v="8.7454471384531603E-3"/>
    <s v="Green"/>
    <n v="1"/>
    <x v="2"/>
  </r>
  <r>
    <x v="519"/>
    <n v="3.8655651218093598E-2"/>
    <s v="Green"/>
    <n v="1"/>
    <x v="3"/>
  </r>
  <r>
    <x v="520"/>
    <n v="-2.63364774698021E-2"/>
    <s v="Red"/>
    <n v="0"/>
    <x v="4"/>
  </r>
  <r>
    <x v="521"/>
    <n v="1.67345217731873E-3"/>
    <s v="Green"/>
    <n v="1"/>
    <x v="5"/>
  </r>
  <r>
    <x v="522"/>
    <n v="5.5151610460652402E-2"/>
    <s v="Green"/>
    <n v="1"/>
    <x v="6"/>
  </r>
  <r>
    <x v="523"/>
    <n v="-3.6525577904533299E-2"/>
    <s v="Red"/>
    <n v="0"/>
    <x v="7"/>
  </r>
  <r>
    <x v="524"/>
    <n v="3.9746113414357499E-2"/>
    <s v="Green"/>
    <n v="1"/>
    <x v="8"/>
  </r>
  <r>
    <x v="525"/>
    <n v="1.48891662583686E-2"/>
    <s v="Green"/>
    <n v="1"/>
    <x v="9"/>
  </r>
  <r>
    <x v="526"/>
    <n v="1.66397741998974E-2"/>
    <s v="Green"/>
    <n v="1"/>
    <x v="10"/>
  </r>
  <r>
    <x v="527"/>
    <n v="-9.1574009249327001E-2"/>
    <s v="Red"/>
    <n v="0"/>
    <x v="11"/>
  </r>
  <r>
    <x v="528"/>
    <n v="-7.2611094272329001E-3"/>
    <s v="Red"/>
    <n v="0"/>
    <x v="0"/>
  </r>
  <r>
    <x v="529"/>
    <n v="2.5923728645212502E-2"/>
    <s v="Green"/>
    <n v="1"/>
    <x v="1"/>
  </r>
  <r>
    <x v="530"/>
    <n v="5.3909777597715799E-2"/>
    <s v="Green"/>
    <n v="1"/>
    <x v="2"/>
  </r>
  <r>
    <x v="531"/>
    <n v="-1.7585345898505699E-2"/>
    <s v="Red"/>
    <n v="0"/>
    <x v="3"/>
  </r>
  <r>
    <x v="532"/>
    <n v="4.2341835333228302E-3"/>
    <s v="Green"/>
    <n v="1"/>
    <x v="4"/>
  </r>
  <r>
    <x v="533"/>
    <n v="8.5416467721292105E-2"/>
    <s v="Green"/>
    <n v="1"/>
    <x v="5"/>
  </r>
  <r>
    <x v="534"/>
    <n v="2.49310429120972E-2"/>
    <s v="Green"/>
    <n v="1"/>
    <x v="6"/>
  </r>
  <r>
    <x v="535"/>
    <n v="-2.4761893557423E-2"/>
    <s v="Red"/>
    <n v="0"/>
    <x v="7"/>
  </r>
  <r>
    <x v="536"/>
    <n v="-6.1514175846775501E-2"/>
    <s v="Red"/>
    <n v="0"/>
    <x v="8"/>
  </r>
  <r>
    <x v="537"/>
    <n v="2.84715801229241E-3"/>
    <s v="Green"/>
    <n v="1"/>
    <x v="9"/>
  </r>
  <r>
    <x v="538"/>
    <n v="2.6965628198641001E-2"/>
    <s v="Green"/>
    <n v="1"/>
    <x v="10"/>
  </r>
  <r>
    <x v="539"/>
    <n v="-4.3406226493382702E-2"/>
    <s v="Red"/>
    <n v="0"/>
    <x v="11"/>
  </r>
  <r>
    <x v="540"/>
    <n v="-2.4800868806474901E-3"/>
    <s v="Red"/>
    <n v="0"/>
    <x v="0"/>
  </r>
  <r>
    <x v="541"/>
    <n v="-2.1041993344299199E-2"/>
    <s v="Red"/>
    <n v="0"/>
    <x v="1"/>
  </r>
  <r>
    <x v="542"/>
    <n v="-1.62221830347676E-2"/>
    <s v="Red"/>
    <n v="0"/>
    <x v="2"/>
  </r>
  <r>
    <x v="543"/>
    <n v="4.5359965292551999E-2"/>
    <s v="Green"/>
    <n v="1"/>
    <x v="3"/>
  </r>
  <r>
    <x v="544"/>
    <n v="-2.3567644787329499E-2"/>
    <s v="Red"/>
    <n v="0"/>
    <x v="4"/>
  </r>
  <r>
    <x v="545"/>
    <n v="2.0325137580279299E-4"/>
    <s v="Green"/>
    <n v="1"/>
    <x v="5"/>
  </r>
  <r>
    <x v="546"/>
    <n v="-1.402526547786E-2"/>
    <s v="Red"/>
    <n v="0"/>
    <x v="6"/>
  </r>
  <r>
    <x v="547"/>
    <n v="-2.1660286402629601E-2"/>
    <s v="Red"/>
    <n v="0"/>
    <x v="7"/>
  </r>
  <r>
    <x v="548"/>
    <n v="-5.0530430397640297E-2"/>
    <s v="Red"/>
    <n v="0"/>
    <x v="8"/>
  </r>
  <r>
    <x v="549"/>
    <n v="5.2497562242851403E-2"/>
    <s v="Green"/>
    <n v="1"/>
    <x v="9"/>
  </r>
  <r>
    <x v="550"/>
    <n v="-7.7745771083658202E-3"/>
    <s v="Red"/>
    <n v="0"/>
    <x v="10"/>
  </r>
  <r>
    <x v="551"/>
    <n v="-2.2234854090362102E-2"/>
    <s v="Red"/>
    <n v="0"/>
    <x v="11"/>
  </r>
  <r>
    <x v="552"/>
    <n v="2.2641083562682698E-2"/>
    <s v="Green"/>
    <n v="1"/>
    <x v="0"/>
  </r>
  <r>
    <x v="553"/>
    <n v="-5.1237237988452904E-3"/>
    <s v="Red"/>
    <n v="0"/>
    <x v="1"/>
  </r>
  <r>
    <x v="554"/>
    <n v="-8.0552072118834604E-3"/>
    <s v="Red"/>
    <n v="0"/>
    <x v="2"/>
  </r>
  <r>
    <x v="555"/>
    <n v="4.0926322619285298E-2"/>
    <s v="Green"/>
    <n v="1"/>
    <x v="3"/>
  </r>
  <r>
    <x v="556"/>
    <n v="-1.4364413758012701E-2"/>
    <s v="Red"/>
    <n v="0"/>
    <x v="4"/>
  </r>
  <r>
    <x v="557"/>
    <n v="-1.0995407540977199E-2"/>
    <s v="Red"/>
    <n v="0"/>
    <x v="5"/>
  </r>
  <r>
    <x v="558"/>
    <n v="3.0688978344087799E-2"/>
    <s v="Green"/>
    <n v="1"/>
    <x v="6"/>
  </r>
  <r>
    <x v="559"/>
    <n v="-1.14019630041448E-2"/>
    <s v="Red"/>
    <n v="0"/>
    <x v="7"/>
  </r>
  <r>
    <x v="560"/>
    <n v="0.118305785157871"/>
    <s v="Green"/>
    <n v="1"/>
    <x v="8"/>
  </r>
  <r>
    <x v="561"/>
    <n v="-1.15080668896989E-2"/>
    <s v="Red"/>
    <n v="0"/>
    <x v="9"/>
  </r>
  <r>
    <x v="562"/>
    <n v="2.47079624358943E-2"/>
    <s v="Green"/>
    <n v="1"/>
    <x v="10"/>
  </r>
  <r>
    <x v="563"/>
    <n v="6.16429929065343E-2"/>
    <s v="Green"/>
    <n v="1"/>
    <x v="11"/>
  </r>
  <r>
    <x v="564"/>
    <n v="-3.4645420165012299E-2"/>
    <s v="Red"/>
    <n v="0"/>
    <x v="0"/>
  </r>
  <r>
    <x v="565"/>
    <n v="-2.10704563380282E-2"/>
    <s v="Red"/>
    <n v="0"/>
    <x v="1"/>
  </r>
  <r>
    <x v="566"/>
    <n v="-6.7654184942658194E-2"/>
    <s v="Red"/>
    <n v="0"/>
    <x v="2"/>
  </r>
  <r>
    <x v="567"/>
    <n v="4.43225442825552E-2"/>
    <s v="Green"/>
    <n v="1"/>
    <x v="3"/>
  </r>
  <r>
    <x v="568"/>
    <n v="4.4100788862515797E-2"/>
    <s v="Green"/>
    <n v="1"/>
    <x v="4"/>
  </r>
  <r>
    <x v="569"/>
    <n v="4.7264898665248398E-2"/>
    <s v="Green"/>
    <n v="1"/>
    <x v="5"/>
  </r>
  <r>
    <x v="570"/>
    <n v="2.1693897374379E-2"/>
    <s v="Green"/>
    <n v="1"/>
    <x v="6"/>
  </r>
  <r>
    <x v="571"/>
    <n v="5.9885591326880101E-2"/>
    <s v="Green"/>
    <n v="1"/>
    <x v="7"/>
  </r>
  <r>
    <x v="572"/>
    <n v="0.122812211867334"/>
    <s v="Green"/>
    <n v="1"/>
    <x v="8"/>
  </r>
  <r>
    <x v="573"/>
    <n v="-2.0151536084728701E-2"/>
    <s v="Red"/>
    <n v="0"/>
    <x v="9"/>
  </r>
  <r>
    <x v="574"/>
    <n v="-5.3179985028958501E-2"/>
    <s v="Red"/>
    <n v="0"/>
    <x v="10"/>
  </r>
  <r>
    <x v="575"/>
    <n v="0.163046912762875"/>
    <s v="Green"/>
    <n v="1"/>
    <x v="11"/>
  </r>
  <r>
    <x v="576"/>
    <n v="-0.119334729886771"/>
    <s v="Red"/>
    <n v="0"/>
    <x v="0"/>
  </r>
  <r>
    <x v="577"/>
    <n v="-9.0278605227048295E-2"/>
    <s v="Red"/>
    <n v="0"/>
    <x v="1"/>
  </r>
  <r>
    <x v="578"/>
    <n v="-7.7790720930232607E-2"/>
    <s v="Red"/>
    <n v="0"/>
    <x v="2"/>
  </r>
  <r>
    <x v="579"/>
    <n v="-1.46654332569367E-2"/>
    <s v="Red"/>
    <n v="0"/>
    <x v="3"/>
  </r>
  <r>
    <x v="580"/>
    <n v="-3.3551091430651901E-2"/>
    <s v="Red"/>
    <n v="0"/>
    <x v="4"/>
  </r>
  <r>
    <x v="581"/>
    <n v="-3.9050913841745701E-2"/>
    <s v="Red"/>
    <n v="0"/>
    <x v="5"/>
  </r>
  <r>
    <x v="582"/>
    <n v="-2.3279962343795799E-2"/>
    <s v="Red"/>
    <n v="0"/>
    <x v="6"/>
  </r>
  <r>
    <x v="583"/>
    <n v="-3.62430361395871E-3"/>
    <s v="Red"/>
    <n v="0"/>
    <x v="7"/>
  </r>
  <r>
    <x v="584"/>
    <n v="-1.0046160634152E-2"/>
    <s v="Red"/>
    <n v="0"/>
    <x v="8"/>
  </r>
  <r>
    <x v="585"/>
    <n v="1.6569445775004701E-2"/>
    <s v="Green"/>
    <n v="1"/>
    <x v="9"/>
  </r>
  <r>
    <x v="586"/>
    <n v="-0.113860946404461"/>
    <s v="Red"/>
    <n v="0"/>
    <x v="10"/>
  </r>
  <r>
    <x v="587"/>
    <n v="-1.29114636170802E-3"/>
    <s v="Red"/>
    <n v="0"/>
    <x v="11"/>
  </r>
  <r>
    <x v="588"/>
    <n v="4.0095923261390901E-2"/>
    <s v="Green"/>
    <n v="1"/>
    <x v="0"/>
  </r>
  <r>
    <x v="589"/>
    <n v="-3.6684540411342302E-2"/>
    <s v="Red"/>
    <n v="0"/>
    <x v="1"/>
  </r>
  <r>
    <x v="590"/>
    <n v="3.7981957836524798E-2"/>
    <s v="Green"/>
    <n v="1"/>
    <x v="2"/>
  </r>
  <r>
    <x v="591"/>
    <n v="-6.5745118601575597E-3"/>
    <s v="Red"/>
    <n v="0"/>
    <x v="3"/>
  </r>
  <r>
    <x v="592"/>
    <n v="-1.8883836413164001E-2"/>
    <s v="Red"/>
    <n v="0"/>
    <x v="4"/>
  </r>
  <r>
    <x v="593"/>
    <n v="-4.0799821757527499E-2"/>
    <s v="Red"/>
    <n v="0"/>
    <x v="5"/>
  </r>
  <r>
    <x v="594"/>
    <n v="-1.43269161891124E-3"/>
    <s v="Red"/>
    <n v="0"/>
    <x v="6"/>
  </r>
  <r>
    <x v="595"/>
    <n v="-3.7490295936312097E-2"/>
    <s v="Red"/>
    <n v="0"/>
    <x v="7"/>
  </r>
  <r>
    <x v="596"/>
    <n v="-1.71114269264355E-2"/>
    <s v="Red"/>
    <n v="0"/>
    <x v="8"/>
  </r>
  <r>
    <x v="597"/>
    <n v="1.18282765377264E-2"/>
    <s v="Green"/>
    <n v="1"/>
    <x v="9"/>
  </r>
  <r>
    <x v="598"/>
    <n v="4.5617457508201301E-2"/>
    <s v="Green"/>
    <n v="1"/>
    <x v="10"/>
  </r>
  <r>
    <x v="599"/>
    <n v="9.3170418095780399E-3"/>
    <s v="Green"/>
    <n v="1"/>
    <x v="11"/>
  </r>
  <r>
    <x v="600"/>
    <n v="-4.8608607385313097E-3"/>
    <s v="Red"/>
    <n v="0"/>
    <x v="0"/>
  </r>
  <r>
    <x v="601"/>
    <n v="3.4453832148745998E-2"/>
    <s v="Green"/>
    <n v="1"/>
    <x v="1"/>
  </r>
  <r>
    <x v="602"/>
    <n v="2.3333955789937E-3"/>
    <s v="Green"/>
    <n v="1"/>
    <x v="2"/>
  </r>
  <r>
    <x v="603"/>
    <n v="-2.1820505996717799E-2"/>
    <s v="Red"/>
    <n v="0"/>
    <x v="3"/>
  </r>
  <r>
    <x v="604"/>
    <n v="1.7275016574254998E-2"/>
    <s v="Green"/>
    <n v="1"/>
    <x v="4"/>
  </r>
  <r>
    <x v="605"/>
    <n v="4.3843378092633901E-3"/>
    <s v="Green"/>
    <n v="1"/>
    <x v="5"/>
  </r>
  <r>
    <x v="606"/>
    <n v="5.9115792436896797E-3"/>
    <s v="Green"/>
    <n v="1"/>
    <x v="6"/>
  </r>
  <r>
    <x v="607"/>
    <n v="2.5303039728630902E-2"/>
    <s v="Green"/>
    <n v="1"/>
    <x v="7"/>
  </r>
  <r>
    <x v="608"/>
    <n v="1.8121325031690699E-2"/>
    <s v="Green"/>
    <n v="1"/>
    <x v="8"/>
  </r>
  <r>
    <x v="609"/>
    <n v="8.6179361340128893E-2"/>
    <s v="Green"/>
    <n v="1"/>
    <x v="9"/>
  </r>
  <r>
    <x v="610"/>
    <n v="-2.5470125475852701E-3"/>
    <s v="Red"/>
    <n v="0"/>
    <x v="10"/>
  </r>
  <r>
    <x v="611"/>
    <n v="-4.1793707211458503E-2"/>
    <s v="Red"/>
    <n v="0"/>
    <x v="11"/>
  </r>
  <r>
    <x v="612"/>
    <n v="-6.9676159443362602E-3"/>
    <s v="Red"/>
    <n v="0"/>
    <x v="0"/>
  </r>
  <r>
    <x v="613"/>
    <n v="3.6095385308738702E-2"/>
    <s v="Green"/>
    <n v="1"/>
    <x v="1"/>
  </r>
  <r>
    <x v="614"/>
    <n v="-3.1610892551496302E-2"/>
    <s v="Red"/>
    <n v="0"/>
    <x v="2"/>
  </r>
  <r>
    <x v="615"/>
    <n v="-9.3345380708985699E-3"/>
    <s v="Red"/>
    <n v="0"/>
    <x v="3"/>
  </r>
  <r>
    <x v="616"/>
    <n v="-4.1558442757819399E-2"/>
    <s v="Red"/>
    <n v="0"/>
    <x v="4"/>
  </r>
  <r>
    <x v="617"/>
    <n v="3.6287499477370103E-2"/>
    <s v="Green"/>
    <n v="1"/>
    <x v="5"/>
  </r>
  <r>
    <x v="618"/>
    <n v="3.67958449612402E-2"/>
    <s v="Green"/>
    <n v="1"/>
    <x v="6"/>
  </r>
  <r>
    <x v="619"/>
    <n v="9.0738738759032992E-3"/>
    <s v="Green"/>
    <n v="1"/>
    <x v="7"/>
  </r>
  <r>
    <x v="620"/>
    <n v="4.0477427227836801E-2"/>
    <s v="Green"/>
    <n v="1"/>
    <x v="8"/>
  </r>
  <r>
    <x v="621"/>
    <n v="5.6766114338283803E-2"/>
    <s v="Green"/>
    <n v="1"/>
    <x v="9"/>
  </r>
  <r>
    <x v="622"/>
    <n v="4.74474114114114E-2"/>
    <s v="Green"/>
    <n v="1"/>
    <x v="10"/>
  </r>
  <r>
    <x v="623"/>
    <n v="-1.24555511581654E-2"/>
    <s v="Red"/>
    <n v="0"/>
    <x v="11"/>
  </r>
  <r>
    <x v="624"/>
    <n v="3.4102135700520203E-2"/>
    <s v="Green"/>
    <n v="1"/>
    <x v="0"/>
  </r>
  <r>
    <x v="625"/>
    <n v="4.44586017504702E-2"/>
    <s v="Green"/>
    <n v="1"/>
    <x v="1"/>
  </r>
  <r>
    <x v="626"/>
    <n v="7.3294855977793505E-2"/>
    <s v="Green"/>
    <n v="1"/>
    <x v="2"/>
  </r>
  <r>
    <x v="627"/>
    <n v="-5.0032682559137301E-2"/>
    <s v="Red"/>
    <n v="0"/>
    <x v="3"/>
  </r>
  <r>
    <x v="628"/>
    <n v="-6.0966562596904902E-2"/>
    <s v="Red"/>
    <n v="0"/>
    <x v="4"/>
  </r>
  <r>
    <x v="629"/>
    <n v="-9.0483100205838496E-2"/>
    <s v="Red"/>
    <n v="0"/>
    <x v="5"/>
  </r>
  <r>
    <x v="630"/>
    <n v="1.4524804469273601E-3"/>
    <s v="Green"/>
    <n v="1"/>
    <x v="6"/>
  </r>
  <r>
    <x v="631"/>
    <n v="5.2693521031293301E-2"/>
    <s v="Green"/>
    <n v="1"/>
    <x v="7"/>
  </r>
  <r>
    <x v="632"/>
    <n v="-7.6471878698063697E-2"/>
    <s v="Red"/>
    <n v="0"/>
    <x v="8"/>
  </r>
  <r>
    <x v="633"/>
    <n v="-1.8654728038689401E-2"/>
    <s v="Red"/>
    <n v="0"/>
    <x v="9"/>
  </r>
  <r>
    <x v="634"/>
    <n v="-3.4081599029604698E-2"/>
    <s v="Red"/>
    <n v="0"/>
    <x v="10"/>
  </r>
  <r>
    <x v="635"/>
    <n v="4.2955325076610998E-2"/>
    <s v="Green"/>
    <n v="1"/>
    <x v="11"/>
  </r>
  <r>
    <x v="636"/>
    <n v="-2.5023546748538499E-2"/>
    <s v="Red"/>
    <n v="0"/>
    <x v="0"/>
  </r>
  <r>
    <x v="637"/>
    <n v="4.0074049001980902E-2"/>
    <s v="Green"/>
    <n v="1"/>
    <x v="1"/>
  </r>
  <r>
    <x v="638"/>
    <n v="-6.0178047898659798E-2"/>
    <s v="Red"/>
    <n v="0"/>
    <x v="2"/>
  </r>
  <r>
    <x v="639"/>
    <n v="-5.5577035139928802E-2"/>
    <s v="Red"/>
    <n v="0"/>
    <x v="3"/>
  </r>
  <r>
    <x v="640"/>
    <n v="-2.21817914517941E-3"/>
    <s v="Red"/>
    <n v="0"/>
    <x v="4"/>
  </r>
  <r>
    <x v="641"/>
    <n v="2.1475716255034701E-2"/>
    <s v="Green"/>
    <n v="1"/>
    <x v="5"/>
  </r>
  <r>
    <x v="642"/>
    <n v="3.4444156764826997E-2"/>
    <s v="Green"/>
    <n v="1"/>
    <x v="6"/>
  </r>
  <r>
    <x v="643"/>
    <n v="-4.7374088974389099E-2"/>
    <s v="Red"/>
    <n v="0"/>
    <x v="7"/>
  </r>
  <r>
    <x v="644"/>
    <n v="-8.1840842655104308E-3"/>
    <s v="Red"/>
    <n v="0"/>
    <x v="8"/>
  </r>
  <r>
    <x v="645"/>
    <n v="-4.16167008872372E-2"/>
    <s v="Red"/>
    <n v="0"/>
    <x v="9"/>
  </r>
  <r>
    <x v="646"/>
    <n v="4.7964401974106799E-2"/>
    <s v="Green"/>
    <n v="1"/>
    <x v="10"/>
  </r>
  <r>
    <x v="647"/>
    <n v="7.2076167762269404E-3"/>
    <s v="Green"/>
    <n v="1"/>
    <x v="11"/>
  </r>
  <r>
    <x v="648"/>
    <n v="3.8539317837959601E-2"/>
    <s v="Green"/>
    <n v="1"/>
    <x v="0"/>
  </r>
  <r>
    <x v="649"/>
    <n v="1.1459003713095901E-2"/>
    <s v="Green"/>
    <n v="1"/>
    <x v="1"/>
  </r>
  <r>
    <x v="650"/>
    <n v="-1.8477645742565801E-2"/>
    <s v="Red"/>
    <n v="0"/>
    <x v="2"/>
  </r>
  <r>
    <x v="651"/>
    <n v="9.1204094041343903E-3"/>
    <s v="Green"/>
    <n v="1"/>
    <x v="3"/>
  </r>
  <r>
    <x v="652"/>
    <n v="1.2517966473609501E-2"/>
    <s v="Green"/>
    <n v="1"/>
    <x v="4"/>
  </r>
  <r>
    <x v="653"/>
    <n v="8.0487829727976495E-2"/>
    <s v="Green"/>
    <n v="1"/>
    <x v="5"/>
  </r>
  <r>
    <x v="654"/>
    <n v="9.4001341830782792E-3"/>
    <s v="Green"/>
    <n v="1"/>
    <x v="6"/>
  </r>
  <r>
    <x v="655"/>
    <n v="-3.12228649441211E-2"/>
    <s v="Red"/>
    <n v="0"/>
    <x v="7"/>
  </r>
  <r>
    <x v="656"/>
    <n v="-4.3847858983644003E-2"/>
    <s v="Red"/>
    <n v="0"/>
    <x v="8"/>
  </r>
  <r>
    <x v="657"/>
    <n v="2.6276606382978698E-2"/>
    <s v="Green"/>
    <n v="1"/>
    <x v="9"/>
  </r>
  <r>
    <x v="658"/>
    <n v="7.5026471328194502E-3"/>
    <s v="Green"/>
    <n v="1"/>
    <x v="10"/>
  </r>
  <r>
    <x v="659"/>
    <n v="-3.5260014840864502E-2"/>
    <s v="Red"/>
    <n v="0"/>
    <x v="11"/>
  </r>
  <r>
    <x v="660"/>
    <n v="3.2785134908000203E-2"/>
    <s v="Green"/>
    <n v="1"/>
    <x v="0"/>
  </r>
  <r>
    <x v="661"/>
    <n v="-1.17150501319261E-2"/>
    <s v="Red"/>
    <n v="0"/>
    <x v="1"/>
  </r>
  <r>
    <x v="662"/>
    <n v="4.5344230420832202E-2"/>
    <s v="Green"/>
    <n v="1"/>
    <x v="2"/>
  </r>
  <r>
    <x v="663"/>
    <n v="1.7512314380056002E-2"/>
    <s v="Green"/>
    <n v="1"/>
    <x v="3"/>
  </r>
  <r>
    <x v="664"/>
    <n v="-5.24412285407675E-2"/>
    <s v="Red"/>
    <n v="0"/>
    <x v="4"/>
  </r>
  <r>
    <x v="665"/>
    <n v="4.2239524686458599E-2"/>
    <s v="Green"/>
    <n v="1"/>
    <x v="5"/>
  </r>
  <r>
    <x v="666"/>
    <n v="3.9409979712030203E-2"/>
    <s v="Green"/>
    <n v="1"/>
    <x v="6"/>
  </r>
  <r>
    <x v="667"/>
    <n v="1.9627987303683101E-3"/>
    <s v="Green"/>
    <n v="1"/>
    <x v="7"/>
  </r>
  <r>
    <x v="668"/>
    <n v="7.8177503344267305E-2"/>
    <s v="Green"/>
    <n v="1"/>
    <x v="8"/>
  </r>
  <r>
    <x v="669"/>
    <n v="-1.49154760067927E-3"/>
    <s v="Red"/>
    <n v="0"/>
    <x v="9"/>
  </r>
  <r>
    <x v="670"/>
    <n v="3.1172070991474202E-3"/>
    <s v="Green"/>
    <n v="1"/>
    <x v="10"/>
  </r>
  <r>
    <x v="671"/>
    <n v="4.7544397793740902E-2"/>
    <s v="Green"/>
    <n v="1"/>
    <x v="11"/>
  </r>
  <r>
    <x v="672"/>
    <n v="-7.0038912322670796E-3"/>
    <s v="Red"/>
    <n v="0"/>
    <x v="0"/>
  </r>
  <r>
    <x v="673"/>
    <n v="-7.7751198032325303E-2"/>
    <s v="Red"/>
    <n v="0"/>
    <x v="1"/>
  </r>
  <r>
    <x v="674"/>
    <n v="-1.3452915115716699E-2"/>
    <s v="Red"/>
    <n v="0"/>
    <x v="2"/>
  </r>
  <r>
    <x v="675"/>
    <n v="-1.61383844005011E-2"/>
    <s v="Red"/>
    <n v="0"/>
    <x v="3"/>
  </r>
  <r>
    <x v="676"/>
    <n v="-5.4140139559414303E-2"/>
    <s v="Red"/>
    <n v="0"/>
    <x v="4"/>
  </r>
  <r>
    <x v="677"/>
    <n v="2.0508740765143599E-2"/>
    <s v="Green"/>
    <n v="1"/>
    <x v="5"/>
  </r>
  <r>
    <x v="678"/>
    <n v="-2.1815369197375901E-2"/>
    <s v="Red"/>
    <n v="0"/>
    <x v="6"/>
  </r>
  <r>
    <x v="679"/>
    <n v="-1.7872481197431699E-2"/>
    <s v="Red"/>
    <n v="0"/>
    <x v="7"/>
  </r>
  <r>
    <x v="680"/>
    <n v="4.8685167153521601E-3"/>
    <s v="Green"/>
    <n v="1"/>
    <x v="8"/>
  </r>
  <r>
    <x v="681"/>
    <n v="8.9509768698725605E-3"/>
    <s v="Green"/>
    <n v="1"/>
    <x v="9"/>
  </r>
  <r>
    <x v="682"/>
    <n v="-8.7643044528090703E-3"/>
    <s v="Red"/>
    <n v="0"/>
    <x v="10"/>
  </r>
  <r>
    <x v="683"/>
    <n v="2.7345476070981499E-2"/>
    <s v="Green"/>
    <n v="1"/>
    <x v="11"/>
  </r>
  <r>
    <x v="684"/>
    <n v="3.2006436434700802E-2"/>
    <s v="Green"/>
    <n v="1"/>
    <x v="0"/>
  </r>
  <r>
    <x v="685"/>
    <n v="2.2521970674486799E-2"/>
    <s v="Green"/>
    <n v="1"/>
    <x v="1"/>
  </r>
  <r>
    <x v="686"/>
    <n v="1.3433154537571899E-2"/>
    <s v="Green"/>
    <n v="1"/>
    <x v="2"/>
  </r>
  <r>
    <x v="687"/>
    <n v="-4.8631475879472599E-2"/>
    <s v="Red"/>
    <n v="0"/>
    <x v="3"/>
  </r>
  <r>
    <x v="688"/>
    <n v="-7.7432722731086701E-3"/>
    <s v="Red"/>
    <n v="0"/>
    <x v="4"/>
  </r>
  <r>
    <x v="689"/>
    <n v="3.4238589403965201E-2"/>
    <s v="Green"/>
    <n v="1"/>
    <x v="5"/>
  </r>
  <r>
    <x v="690"/>
    <n v="-1.45258606885509E-2"/>
    <s v="Red"/>
    <n v="0"/>
    <x v="6"/>
  </r>
  <r>
    <x v="691"/>
    <n v="-1.48467340074621E-3"/>
    <s v="Red"/>
    <n v="0"/>
    <x v="7"/>
  </r>
  <r>
    <x v="692"/>
    <n v="3.3156318584070602E-2"/>
    <s v="Green"/>
    <n v="1"/>
    <x v="8"/>
  </r>
  <r>
    <x v="693"/>
    <n v="3.9090500807639197E-3"/>
    <s v="Green"/>
    <n v="1"/>
    <x v="9"/>
  </r>
  <r>
    <x v="694"/>
    <n v="-5.1850458969472397E-3"/>
    <s v="Red"/>
    <n v="0"/>
    <x v="10"/>
  </r>
  <r>
    <x v="695"/>
    <n v="8.0779401282964295E-3"/>
    <s v="Green"/>
    <n v="1"/>
    <x v="11"/>
  </r>
  <r>
    <x v="696"/>
    <n v="2.8718048913160401E-2"/>
    <s v="Green"/>
    <n v="1"/>
    <x v="0"/>
  </r>
  <r>
    <x v="697"/>
    <n v="-1.6229838903582799E-2"/>
    <s v="Red"/>
    <n v="0"/>
    <x v="1"/>
  </r>
  <r>
    <x v="698"/>
    <n v="1.8239661690790498E-2"/>
    <s v="Green"/>
    <n v="1"/>
    <x v="2"/>
  </r>
  <r>
    <x v="699"/>
    <n v="1.6424025764936401E-2"/>
    <s v="Green"/>
    <n v="1"/>
    <x v="3"/>
  </r>
  <r>
    <x v="700"/>
    <n v="1.1452353529478401E-2"/>
    <s v="Green"/>
    <n v="1"/>
    <x v="4"/>
  </r>
  <r>
    <x v="701"/>
    <n v="6.0774370950580402E-3"/>
    <s v="Green"/>
    <n v="1"/>
    <x v="5"/>
  </r>
  <r>
    <x v="702"/>
    <n v="1.5167094530831799E-2"/>
    <s v="Green"/>
    <n v="1"/>
    <x v="6"/>
  </r>
  <r>
    <x v="703"/>
    <n v="9.8650310245971297E-3"/>
    <s v="Green"/>
    <n v="1"/>
    <x v="7"/>
  </r>
  <r>
    <x v="704"/>
    <n v="2.69262074217358E-2"/>
    <s v="Green"/>
    <n v="1"/>
    <x v="8"/>
  </r>
  <r>
    <x v="705"/>
    <n v="2.4443451135732101E-2"/>
    <s v="Green"/>
    <n v="1"/>
    <x v="9"/>
  </r>
  <r>
    <x v="706"/>
    <n v="-1.05391025391406E-2"/>
    <s v="Red"/>
    <n v="0"/>
    <x v="10"/>
  </r>
  <r>
    <x v="707"/>
    <n v="3.2217644304783001E-2"/>
    <s v="Green"/>
    <n v="1"/>
    <x v="11"/>
  </r>
  <r>
    <x v="708"/>
    <n v="-1.1034524137931E-2"/>
    <s v="Red"/>
    <n v="0"/>
    <x v="0"/>
  </r>
  <r>
    <x v="709"/>
    <n v="4.8748779780794602E-2"/>
    <s v="Green"/>
    <n v="1"/>
    <x v="1"/>
  </r>
  <r>
    <x v="710"/>
    <n v="-3.4597951509385298E-3"/>
    <s v="Red"/>
    <n v="0"/>
    <x v="2"/>
  </r>
  <r>
    <x v="711"/>
    <n v="-2.01977392571581E-2"/>
    <s v="Red"/>
    <n v="0"/>
    <x v="3"/>
  </r>
  <r>
    <x v="712"/>
    <n v="1.4326646948711601E-2"/>
    <s v="Green"/>
    <n v="1"/>
    <x v="4"/>
  </r>
  <r>
    <x v="713"/>
    <n v="4.8520399579390402E-2"/>
    <s v="Green"/>
    <n v="1"/>
    <x v="5"/>
  </r>
  <r>
    <x v="714"/>
    <n v="3.5464286273692698E-2"/>
    <s v="Green"/>
    <n v="1"/>
    <x v="6"/>
  </r>
  <r>
    <x v="715"/>
    <n v="-2.88519046307508E-2"/>
    <s v="Red"/>
    <n v="0"/>
    <x v="7"/>
  </r>
  <r>
    <x v="716"/>
    <n v="4.9128353379662502E-2"/>
    <s v="Green"/>
    <n v="1"/>
    <x v="8"/>
  </r>
  <r>
    <x v="717"/>
    <n v="1.3491808978214099E-2"/>
    <s v="Green"/>
    <n v="1"/>
    <x v="9"/>
  </r>
  <r>
    <x v="718"/>
    <n v="0.101556935598018"/>
    <s v="Green"/>
    <n v="1"/>
    <x v="10"/>
  </r>
  <r>
    <x v="719"/>
    <n v="4.4428647591967501E-3"/>
    <s v="Green"/>
    <n v="1"/>
    <x v="11"/>
  </r>
  <r>
    <x v="720"/>
    <n v="-4.8207020436519303E-2"/>
    <s v="Red"/>
    <n v="0"/>
    <x v="0"/>
  </r>
  <r>
    <x v="721"/>
    <n v="1.52842005838916E-2"/>
    <s v="Green"/>
    <n v="1"/>
    <x v="1"/>
  </r>
  <r>
    <x v="722"/>
    <n v="6.3561643835616397E-2"/>
    <s v="Green"/>
    <n v="1"/>
    <x v="2"/>
  </r>
  <r>
    <x v="723"/>
    <n v="-8.1838016403856795E-2"/>
    <s v="Red"/>
    <n v="0"/>
    <x v="3"/>
  </r>
  <r>
    <x v="724"/>
    <n v="-8.5990146719501795E-2"/>
    <s v="Red"/>
    <n v="0"/>
    <x v="4"/>
  </r>
  <r>
    <x v="725"/>
    <n v="-6.1969875112730097E-2"/>
    <s v="Red"/>
    <n v="0"/>
    <x v="5"/>
  </r>
  <r>
    <x v="726"/>
    <n v="-5.8604346177877397E-3"/>
    <s v="Red"/>
    <n v="0"/>
    <x v="6"/>
  </r>
  <r>
    <x v="727"/>
    <n v="1.6269655216133199E-2"/>
    <s v="Green"/>
    <n v="1"/>
    <x v="7"/>
  </r>
  <r>
    <x v="728"/>
    <n v="-3.78757077061199E-2"/>
    <s v="Red"/>
    <n v="0"/>
    <x v="8"/>
  </r>
  <r>
    <x v="729"/>
    <n v="3.2249439147504799E-3"/>
    <s v="Green"/>
    <n v="1"/>
    <x v="9"/>
  </r>
  <r>
    <x v="730"/>
    <n v="3.9347083677626599E-2"/>
    <s v="Green"/>
    <n v="1"/>
    <x v="10"/>
  </r>
  <r>
    <x v="731"/>
    <n v="2.8323091788261999E-2"/>
    <s v="Green"/>
    <n v="1"/>
    <x v="11"/>
  </r>
  <r>
    <x v="732"/>
    <n v="-1.96855736741589E-2"/>
    <s v="Red"/>
    <n v="0"/>
    <x v="0"/>
  </r>
  <r>
    <x v="733"/>
    <n v="1.9622497914244998E-2"/>
    <s v="Green"/>
    <n v="1"/>
    <x v="1"/>
  </r>
  <r>
    <x v="734"/>
    <n v="3.2797076621241802E-2"/>
    <s v="Green"/>
    <n v="1"/>
    <x v="2"/>
  </r>
  <r>
    <x v="735"/>
    <n v="-2.8846139688886299E-2"/>
    <s v="Red"/>
    <n v="0"/>
    <x v="3"/>
  </r>
  <r>
    <x v="736"/>
    <n v="1.9139489178976898E-2"/>
    <s v="Green"/>
    <n v="1"/>
    <x v="4"/>
  </r>
  <r>
    <x v="737"/>
    <n v="3.8426069425947498E-3"/>
    <s v="Green"/>
    <n v="1"/>
    <x v="5"/>
  </r>
  <r>
    <x v="738"/>
    <n v="2.55359241099609E-2"/>
    <s v="Green"/>
    <n v="1"/>
    <x v="6"/>
  </r>
  <r>
    <x v="739"/>
    <n v="2.6869537501934999E-2"/>
    <s v="Green"/>
    <n v="1"/>
    <x v="7"/>
  </r>
  <r>
    <x v="740"/>
    <n v="6.3156047785991196E-2"/>
    <s v="Green"/>
    <n v="1"/>
    <x v="8"/>
  </r>
  <r>
    <x v="741"/>
    <n v="4.6272955594653303E-2"/>
    <s v="Green"/>
    <n v="1"/>
    <x v="9"/>
  </r>
  <r>
    <x v="742"/>
    <n v="4.0269751643936098E-2"/>
    <s v="Green"/>
    <n v="1"/>
    <x v="10"/>
  </r>
  <r>
    <x v="743"/>
    <n v="-2.4290171898355699E-3"/>
    <s v="Red"/>
    <n v="0"/>
    <x v="11"/>
  </r>
  <r>
    <x v="744"/>
    <n v="-6.0393241931061097E-2"/>
    <s v="Red"/>
    <n v="0"/>
    <x v="0"/>
  </r>
  <r>
    <x v="745"/>
    <n v="2.6121438519958198E-2"/>
    <s v="Green"/>
    <n v="1"/>
    <x v="1"/>
  </r>
  <r>
    <x v="746"/>
    <n v="-2.4771610146577899E-2"/>
    <s v="Red"/>
    <n v="0"/>
    <x v="2"/>
  </r>
  <r>
    <x v="747"/>
    <n v="1.9523481299534899E-2"/>
    <s v="Green"/>
    <n v="1"/>
    <x v="3"/>
  </r>
  <r>
    <x v="748"/>
    <n v="2.6853099629448301E-2"/>
    <s v="Green"/>
    <n v="1"/>
    <x v="4"/>
  </r>
  <r>
    <x v="749"/>
    <n v="-1.7528026743765902E-2"/>
    <s v="Red"/>
    <n v="0"/>
    <x v="5"/>
  </r>
  <r>
    <x v="750"/>
    <n v="-1.38987707394649E-2"/>
    <s v="Red"/>
    <n v="0"/>
    <x v="6"/>
  </r>
  <r>
    <x v="751"/>
    <n v="9.1709762781699792E-3"/>
    <s v="Green"/>
    <n v="1"/>
    <x v="7"/>
  </r>
  <r>
    <x v="752"/>
    <n v="-7.14643191094394E-2"/>
    <s v="Red"/>
    <n v="0"/>
    <x v="8"/>
  </r>
  <r>
    <x v="753"/>
    <n v="2.7625257852183598E-2"/>
    <s v="Green"/>
    <n v="1"/>
    <x v="9"/>
  </r>
  <r>
    <x v="754"/>
    <n v="1.3212778164116701E-2"/>
    <s v="Green"/>
    <n v="1"/>
    <x v="10"/>
  </r>
  <r>
    <x v="755"/>
    <n v="1.12517403085137E-2"/>
    <s v="Green"/>
    <n v="1"/>
    <x v="11"/>
  </r>
  <r>
    <x v="756"/>
    <n v="-4.5637535088507902E-2"/>
    <s v="Red"/>
    <n v="0"/>
    <x v="0"/>
  </r>
  <r>
    <x v="757"/>
    <n v="-1.5038837053010699E-2"/>
    <s v="Red"/>
    <n v="0"/>
    <x v="1"/>
  </r>
  <r>
    <x v="758"/>
    <n v="3.4889635113910702E-2"/>
    <s v="Green"/>
    <n v="1"/>
    <x v="2"/>
  </r>
  <r>
    <x v="759"/>
    <n v="-3.57871506475793E-3"/>
    <s v="Red"/>
    <n v="0"/>
    <x v="3"/>
  </r>
  <r>
    <x v="760"/>
    <n v="1.8926897030734399E-2"/>
    <s v="Green"/>
    <n v="1"/>
    <x v="4"/>
  </r>
  <r>
    <x v="761"/>
    <n v="3.8780682517689097E-2"/>
    <s v="Green"/>
    <n v="1"/>
    <x v="5"/>
  </r>
  <r>
    <x v="762"/>
    <n v="5.4140046922945796E-4"/>
    <s v="Green"/>
    <n v="1"/>
    <x v="6"/>
  </r>
  <r>
    <x v="763"/>
    <n v="-7.21388625403385E-4"/>
    <s v="Red"/>
    <n v="0"/>
    <x v="7"/>
  </r>
  <r>
    <x v="764"/>
    <n v="4.3470748840259699E-3"/>
    <s v="Green"/>
    <n v="1"/>
    <x v="8"/>
  </r>
  <r>
    <x v="765"/>
    <n v="5.2019798018292797E-2"/>
    <s v="Green"/>
    <n v="1"/>
    <x v="9"/>
  </r>
  <r>
    <x v="766"/>
    <n v="2.24040123746732E-2"/>
    <s v="Green"/>
    <n v="1"/>
    <x v="10"/>
  </r>
  <r>
    <x v="767"/>
    <n v="2.53695760014068E-2"/>
    <s v="Green"/>
    <n v="1"/>
    <x v="11"/>
  </r>
  <r>
    <x v="768"/>
    <n v="4.83769842931938E-2"/>
    <s v="Green"/>
    <n v="1"/>
    <x v="0"/>
  </r>
  <r>
    <x v="769"/>
    <n v="1.1866942400231799E-2"/>
    <s v="Green"/>
    <n v="1"/>
    <x v="1"/>
  </r>
  <r>
    <x v="770"/>
    <n v="4.3103380057321901E-2"/>
    <s v="Green"/>
    <n v="1"/>
    <x v="2"/>
  </r>
  <r>
    <x v="771"/>
    <n v="2.6083057382626298E-2"/>
    <s v="Green"/>
    <n v="1"/>
    <x v="3"/>
  </r>
  <r>
    <x v="772"/>
    <n v="1.49631909521915E-2"/>
    <s v="Green"/>
    <n v="1"/>
    <x v="4"/>
  </r>
  <r>
    <x v="773"/>
    <n v="3.1829003887363601E-2"/>
    <s v="Green"/>
    <n v="1"/>
    <x v="5"/>
  </r>
  <r>
    <x v="774"/>
    <n v="3.08520568070518E-2"/>
    <s v="Green"/>
    <n v="1"/>
    <x v="6"/>
  </r>
  <r>
    <x v="775"/>
    <n v="-2.0623524685287099E-2"/>
    <s v="Red"/>
    <n v="0"/>
    <x v="7"/>
  </r>
  <r>
    <x v="776"/>
    <n v="4.2760663027724001E-2"/>
    <s v="Green"/>
    <n v="1"/>
    <x v="8"/>
  </r>
  <r>
    <x v="777"/>
    <n v="-4.1466897376153201E-2"/>
    <s v="Red"/>
    <n v="0"/>
    <x v="9"/>
  </r>
  <r>
    <x v="778"/>
    <n v="1.6074037601703901E-2"/>
    <s v="Green"/>
    <n v="1"/>
    <x v="10"/>
  </r>
  <r>
    <x v="779"/>
    <n v="-3.2060279682238603E-2"/>
    <s v="Red"/>
    <n v="0"/>
    <x v="11"/>
  </r>
  <r>
    <x v="780"/>
    <n v="-6.19195696169932E-2"/>
    <s v="Red"/>
    <n v="0"/>
    <x v="0"/>
  </r>
  <r>
    <x v="781"/>
    <n v="-5.6146921310790902E-2"/>
    <s v="Red"/>
    <n v="0"/>
    <x v="1"/>
  </r>
  <r>
    <x v="782"/>
    <n v="1.13996413637247E-2"/>
    <s v="Green"/>
    <n v="1"/>
    <x v="2"/>
  </r>
  <r>
    <x v="783"/>
    <n v="-1.2650432215897101E-3"/>
    <s v="Red"/>
    <n v="0"/>
    <x v="3"/>
  </r>
  <r>
    <x v="784"/>
    <n v="3.6947921427725301E-2"/>
    <s v="Green"/>
    <n v="1"/>
    <x v="4"/>
  </r>
  <r>
    <x v="785"/>
    <n v="3.69530936986378E-2"/>
    <s v="Green"/>
    <n v="1"/>
    <x v="5"/>
  </r>
  <r>
    <x v="786"/>
    <n v="1.9648706410018601E-2"/>
    <s v="Green"/>
    <n v="1"/>
    <x v="6"/>
  </r>
  <r>
    <x v="787"/>
    <n v="-3.2647651327199302E-2"/>
    <s v="Red"/>
    <n v="0"/>
    <x v="7"/>
  </r>
  <r>
    <x v="788"/>
    <n v="-4.17826673144489E-2"/>
    <s v="Red"/>
    <n v="0"/>
    <x v="8"/>
  </r>
  <r>
    <x v="789"/>
    <n v="3.5270539695184497E-2"/>
    <s v="Green"/>
    <n v="1"/>
    <x v="9"/>
  </r>
  <r>
    <x v="790"/>
    <n v="-1.09697230816269E-2"/>
    <s v="Red"/>
    <n v="0"/>
    <x v="10"/>
  </r>
  <r>
    <x v="791"/>
    <n v="5.0717532556452402E-3"/>
    <s v="Green"/>
    <n v="1"/>
    <x v="11"/>
  </r>
  <r>
    <x v="792"/>
    <n v="-4.54641147322297E-2"/>
    <s v="Red"/>
    <n v="0"/>
    <x v="0"/>
  </r>
  <r>
    <x v="793"/>
    <n v="-3.8064406520842399E-2"/>
    <s v="Red"/>
    <n v="0"/>
    <x v="1"/>
  </r>
  <r>
    <x v="794"/>
    <n v="5.1522204566271997E-2"/>
    <s v="Green"/>
    <n v="1"/>
    <x v="2"/>
  </r>
  <r>
    <x v="795"/>
    <n v="3.9159291169042397E-2"/>
    <s v="Green"/>
    <n v="1"/>
    <x v="3"/>
  </r>
  <r>
    <x v="796"/>
    <n v="-6.5729638988639094E-2"/>
    <s v="Red"/>
    <n v="0"/>
    <x v="4"/>
  </r>
  <r>
    <x v="797"/>
    <n v="-2.0626856435642699E-3"/>
    <s v="Red"/>
    <n v="0"/>
    <x v="5"/>
  </r>
  <r>
    <x v="798"/>
    <n v="6.9254521393912402E-2"/>
    <s v="Green"/>
    <n v="1"/>
    <x v="6"/>
  </r>
  <r>
    <x v="799"/>
    <n v="3.4687357371063501E-2"/>
    <s v="Green"/>
    <n v="1"/>
    <x v="7"/>
  </r>
  <r>
    <x v="800"/>
    <n v="-3.6499560246261997E-2"/>
    <s v="Red"/>
    <n v="0"/>
    <x v="8"/>
  </r>
  <r>
    <x v="801"/>
    <n v="-6.5915186372911304E-4"/>
    <s v="Red"/>
    <n v="0"/>
    <x v="9"/>
  </r>
  <r>
    <x v="802"/>
    <n v="7.4870051960321093E-2"/>
    <s v="Green"/>
    <n v="1"/>
    <x v="10"/>
  </r>
  <r>
    <x v="803"/>
    <n v="-3.04556460020904E-2"/>
    <s v="Red"/>
    <n v="0"/>
    <x v="11"/>
  </r>
  <r>
    <x v="804"/>
    <n v="1.1347799907364601E-2"/>
    <s v="Green"/>
    <n v="1"/>
    <x v="0"/>
  </r>
  <r>
    <x v="805"/>
    <n v="-7.8125000000001093E-3"/>
    <s v="Red"/>
    <n v="0"/>
    <x v="1"/>
  </r>
  <r>
    <x v="806"/>
    <n v="6.0687327825672301E-2"/>
    <s v="Green"/>
    <n v="1"/>
    <x v="2"/>
  </r>
  <r>
    <x v="807"/>
    <n v="8.2300158269585894E-2"/>
    <s v="Green"/>
    <n v="1"/>
    <x v="3"/>
  </r>
  <r>
    <x v="808"/>
    <n v="-1.3171496658892501E-3"/>
    <s v="Red"/>
    <n v="0"/>
    <x v="4"/>
  </r>
  <r>
    <x v="809"/>
    <n v="3.7725449003529497E-2"/>
    <s v="Green"/>
    <n v="1"/>
    <x v="5"/>
  </r>
  <r>
    <x v="810"/>
    <n v="-4.8965182207029202E-3"/>
    <s v="Red"/>
    <n v="0"/>
    <x v="6"/>
  </r>
  <r>
    <x v="811"/>
    <n v="3.54892155203612E-3"/>
    <s v="Green"/>
    <n v="1"/>
    <x v="7"/>
  </r>
  <r>
    <x v="812"/>
    <n v="1.8065619788771602E-2"/>
    <s v="Green"/>
    <n v="1"/>
    <x v="8"/>
  </r>
  <r>
    <x v="813"/>
    <n v="5.0817695629807397E-2"/>
    <s v="Green"/>
    <n v="1"/>
    <x v="9"/>
  </r>
  <r>
    <x v="814"/>
    <n v="8.0808143939394006E-2"/>
    <s v="Green"/>
    <n v="1"/>
    <x v="10"/>
  </r>
  <r>
    <x v="815"/>
    <n v="-1.9498637589023898E-2"/>
    <s v="Red"/>
    <n v="0"/>
    <x v="11"/>
  </r>
  <r>
    <x v="816"/>
    <n v="8.3137814280925398E-2"/>
    <s v="Green"/>
    <n v="1"/>
    <x v="0"/>
  </r>
  <r>
    <x v="817"/>
    <n v="-3.4002559391274702E-2"/>
    <s v="Red"/>
    <n v="0"/>
    <x v="1"/>
  </r>
  <r>
    <x v="818"/>
    <n v="5.7172203258206301E-2"/>
    <s v="Green"/>
    <n v="1"/>
    <x v="2"/>
  </r>
  <r>
    <x v="819"/>
    <n v="6.8509761270663105E-4"/>
    <s v="Green"/>
    <n v="1"/>
    <x v="3"/>
  </r>
  <r>
    <x v="820"/>
    <n v="3.2908740268931203E-2"/>
    <s v="Green"/>
    <n v="1"/>
    <x v="4"/>
  </r>
  <r>
    <x v="821"/>
    <n v="4.8997733890210303E-2"/>
    <s v="Green"/>
    <n v="1"/>
    <x v="5"/>
  </r>
  <r>
    <x v="822"/>
    <n v="3.0210363288719001E-2"/>
    <s v="Green"/>
    <n v="1"/>
    <x v="6"/>
  </r>
  <r>
    <x v="823"/>
    <n v="2.68404907975461E-3"/>
    <s v="Green"/>
    <n v="1"/>
    <x v="7"/>
  </r>
  <r>
    <x v="824"/>
    <n v="5.1189079048330297E-2"/>
    <s v="Green"/>
    <n v="1"/>
    <x v="8"/>
  </r>
  <r>
    <x v="825"/>
    <n v="2.0193457189015E-3"/>
    <s v="Green"/>
    <n v="1"/>
    <x v="9"/>
  </r>
  <r>
    <x v="826"/>
    <n v="8.9649140601095693E-3"/>
    <s v="Green"/>
    <n v="1"/>
    <x v="10"/>
  </r>
  <r>
    <x v="827"/>
    <n v="5.0963640256959299E-2"/>
    <s v="Green"/>
    <n v="1"/>
    <x v="11"/>
  </r>
  <r>
    <x v="828"/>
    <n v="1.28644939965694E-3"/>
    <s v="Green"/>
    <n v="1"/>
    <x v="0"/>
  </r>
  <r>
    <x v="829"/>
    <n v="-5.7777777777777803E-2"/>
    <s v="Red"/>
    <n v="0"/>
    <x v="1"/>
  </r>
  <r>
    <x v="830"/>
    <n v="2.5269305106433399E-2"/>
    <s v="Green"/>
    <n v="1"/>
    <x v="2"/>
  </r>
  <r>
    <x v="831"/>
    <n v="-1.6299999335778401E-2"/>
    <s v="Red"/>
    <n v="0"/>
    <x v="3"/>
  </r>
  <r>
    <x v="832"/>
    <n v="-3.2493906072545999E-3"/>
    <s v="Red"/>
    <n v="0"/>
    <x v="4"/>
  </r>
  <r>
    <x v="833"/>
    <n v="-2.6492683808118499E-2"/>
    <s v="Red"/>
    <n v="0"/>
    <x v="5"/>
  </r>
  <r>
    <x v="834"/>
    <n v="-2.35520849420848E-2"/>
    <s v="Red"/>
    <n v="0"/>
    <x v="6"/>
  </r>
  <r>
    <x v="835"/>
    <n v="-1.81955655115833E-2"/>
    <s v="Red"/>
    <n v="0"/>
    <x v="7"/>
  </r>
  <r>
    <x v="836"/>
    <n v="-7.1509597290176901E-3"/>
    <s v="Red"/>
    <n v="0"/>
    <x v="8"/>
  </r>
  <r>
    <x v="837"/>
    <n v="3.5463756819953202E-2"/>
    <s v="Green"/>
    <n v="1"/>
    <x v="9"/>
  </r>
  <r>
    <x v="838"/>
    <n v="4.64926590538337E-2"/>
    <s v="Green"/>
    <n v="1"/>
    <x v="10"/>
  </r>
  <r>
    <x v="839"/>
    <n v="-8.1503664160409396E-4"/>
    <s v="Red"/>
    <n v="0"/>
    <x v="11"/>
  </r>
  <r>
    <x v="840"/>
    <n v="-1.9576507408049899E-2"/>
    <s v="Red"/>
    <n v="0"/>
    <x v="0"/>
  </r>
  <r>
    <x v="841"/>
    <n v="-1.4566889763779499E-2"/>
    <s v="Red"/>
    <n v="0"/>
    <x v="1"/>
  </r>
  <r>
    <x v="842"/>
    <n v="1.7628245898567499E-2"/>
    <s v="Green"/>
    <n v="1"/>
    <x v="2"/>
  </r>
  <r>
    <x v="843"/>
    <n v="4.6102177447519897E-2"/>
    <s v="Green"/>
    <n v="1"/>
    <x v="3"/>
  </r>
  <r>
    <x v="844"/>
    <n v="2.3156132075471601E-2"/>
    <s v="Green"/>
    <n v="1"/>
    <x v="4"/>
  </r>
  <r>
    <x v="845"/>
    <n v="-4.3085800447853803E-2"/>
    <s v="Red"/>
    <n v="0"/>
    <x v="5"/>
  </r>
  <r>
    <x v="846"/>
    <n v="4.7721453138434899E-2"/>
    <s v="Green"/>
    <n v="1"/>
    <x v="6"/>
  </r>
  <r>
    <x v="847"/>
    <n v="-3.6453978312095098E-2"/>
    <s v="Red"/>
    <n v="0"/>
    <x v="7"/>
  </r>
  <r>
    <x v="848"/>
    <n v="1.5565797223390901E-2"/>
    <s v="Green"/>
    <n v="1"/>
    <x v="8"/>
  </r>
  <r>
    <x v="849"/>
    <n v="3.8898646805010803E-2"/>
    <s v="Green"/>
    <n v="1"/>
    <x v="9"/>
  </r>
  <r>
    <x v="850"/>
    <n v="-2.6156058144896099E-3"/>
    <s v="Red"/>
    <n v="0"/>
    <x v="10"/>
  </r>
  <r>
    <x v="851"/>
    <n v="-1.37574806534825E-2"/>
    <s v="Red"/>
    <n v="0"/>
    <x v="11"/>
  </r>
  <r>
    <x v="852"/>
    <n v="-8.5914944763087998E-4"/>
    <s v="Red"/>
    <n v="0"/>
    <x v="0"/>
  </r>
  <r>
    <x v="853"/>
    <n v="3.92857589285713E-2"/>
    <s v="Green"/>
    <n v="1"/>
    <x v="1"/>
  </r>
  <r>
    <x v="854"/>
    <n v="6.8702341064042799E-2"/>
    <s v="Green"/>
    <n v="1"/>
    <x v="2"/>
  </r>
  <r>
    <x v="855"/>
    <n v="-2.6022351301115201E-2"/>
    <s v="Red"/>
    <n v="0"/>
    <x v="3"/>
  </r>
  <r>
    <x v="856"/>
    <n v="-4.05706642888988E-2"/>
    <s v="Red"/>
    <n v="0"/>
    <x v="4"/>
  </r>
  <r>
    <x v="857"/>
    <n v="4.4227188081936701E-2"/>
    <s v="Green"/>
    <n v="1"/>
    <x v="5"/>
  </r>
  <r>
    <x v="858"/>
    <n v="-1.46788538843511E-2"/>
    <s v="Red"/>
    <n v="0"/>
    <x v="6"/>
  </r>
  <r>
    <x v="859"/>
    <n v="6.4634810710988396E-3"/>
    <s v="Green"/>
    <n v="1"/>
    <x v="7"/>
  </r>
  <r>
    <x v="860"/>
    <n v="6.0205580029368599E-2"/>
    <s v="Green"/>
    <n v="1"/>
    <x v="8"/>
  </r>
  <r>
    <x v="861"/>
    <n v="4.7155304971809198E-2"/>
    <s v="Green"/>
    <n v="1"/>
    <x v="9"/>
  </r>
  <r>
    <x v="862"/>
    <n v="-1.02411669103331E-3"/>
    <s v="Red"/>
    <n v="0"/>
    <x v="10"/>
  </r>
  <r>
    <x v="863"/>
    <n v="4.11311032837469E-3"/>
    <s v="Green"/>
    <n v="1"/>
    <x v="11"/>
  </r>
  <r>
    <x v="864"/>
    <n v="5.5917535287730601E-2"/>
    <s v="Green"/>
    <n v="1"/>
    <x v="0"/>
  </r>
  <r>
    <x v="865"/>
    <n v="3.2511210762332002E-2"/>
    <s v="Green"/>
    <n v="1"/>
    <x v="1"/>
  </r>
  <r>
    <x v="866"/>
    <n v="8.4793098654998306E-3"/>
    <s v="Green"/>
    <n v="1"/>
    <x v="2"/>
  </r>
  <r>
    <x v="867"/>
    <n v="-5.8040465493053001E-2"/>
    <s v="Red"/>
    <n v="0"/>
    <x v="3"/>
  </r>
  <r>
    <x v="868"/>
    <n v="4.5657129490931397E-2"/>
    <s v="Green"/>
    <n v="1"/>
    <x v="4"/>
  </r>
  <r>
    <x v="869"/>
    <n v="3.8750605046234503E-2"/>
    <s v="Green"/>
    <n v="1"/>
    <x v="5"/>
  </r>
  <r>
    <x v="870"/>
    <n v="4.0651570304968097E-3"/>
    <s v="Green"/>
    <n v="1"/>
    <x v="6"/>
  </r>
  <r>
    <x v="871"/>
    <n v="9.9706750715939894E-3"/>
    <s v="Green"/>
    <n v="1"/>
    <x v="7"/>
  </r>
  <r>
    <x v="872"/>
    <n v="1.54852879401257E-2"/>
    <s v="Green"/>
    <n v="1"/>
    <x v="8"/>
  </r>
  <r>
    <x v="873"/>
    <n v="4.5454672817849998E-2"/>
    <s v="Green"/>
    <n v="1"/>
    <x v="9"/>
  </r>
  <r>
    <x v="874"/>
    <n v="1.24675802701013E-3"/>
    <s v="Green"/>
    <n v="1"/>
    <x v="10"/>
  </r>
  <r>
    <x v="875"/>
    <n v="2.95250962772786E-2"/>
    <s v="Green"/>
    <n v="1"/>
    <x v="11"/>
  </r>
  <r>
    <x v="876"/>
    <n v="2.36530880420498E-2"/>
    <s v="Green"/>
    <n v="1"/>
    <x v="0"/>
  </r>
  <r>
    <x v="877"/>
    <n v="1.1968085106382999E-2"/>
    <s v="Green"/>
    <n v="1"/>
    <x v="1"/>
  </r>
  <r>
    <x v="878"/>
    <n v="6.21468926553672E-2"/>
    <s v="Green"/>
    <n v="1"/>
    <x v="2"/>
  </r>
  <r>
    <x v="879"/>
    <n v="-2.11416490486249E-3"/>
    <s v="Red"/>
    <n v="0"/>
    <x v="3"/>
  </r>
  <r>
    <x v="880"/>
    <n v="-3.5350101971448097E-2"/>
    <s v="Red"/>
    <n v="0"/>
    <x v="4"/>
  </r>
  <r>
    <x v="881"/>
    <n v="-2.3240371845949501E-2"/>
    <s v="Red"/>
    <n v="0"/>
    <x v="5"/>
  </r>
  <r>
    <x v="882"/>
    <n v="3.0095759233926201E-2"/>
    <s v="Green"/>
    <n v="1"/>
    <x v="6"/>
  </r>
  <r>
    <x v="883"/>
    <n v="-3.9421813403416703E-2"/>
    <s v="Red"/>
    <n v="0"/>
    <x v="7"/>
  </r>
  <r>
    <x v="884"/>
    <n v="1.3157894736843801E-3"/>
    <s v="Green"/>
    <n v="1"/>
    <x v="8"/>
  </r>
  <r>
    <x v="885"/>
    <n v="3.0508474576271101E-2"/>
    <s v="Green"/>
    <n v="1"/>
    <x v="9"/>
  </r>
  <r>
    <x v="886"/>
    <n v="-0.10606060606060599"/>
    <s v="Red"/>
    <n v="0"/>
    <x v="10"/>
  </r>
  <r>
    <x v="887"/>
    <n v="6.5203357004519E-2"/>
    <s v="Green"/>
    <n v="1"/>
    <x v="11"/>
  </r>
  <r>
    <x v="888"/>
    <n v="-3.0056355666875399E-2"/>
    <s v="Red"/>
    <n v="0"/>
    <x v="0"/>
  </r>
  <r>
    <x v="889"/>
    <n v="7.57097791798111E-3"/>
    <s v="Green"/>
    <n v="1"/>
    <x v="1"/>
  </r>
  <r>
    <x v="890"/>
    <n v="-5.3166069295101502E-2"/>
    <s v="Red"/>
    <n v="0"/>
    <x v="2"/>
  </r>
  <r>
    <x v="891"/>
    <n v="2.9957457761686799E-3"/>
    <s v="Green"/>
    <n v="1"/>
    <x v="3"/>
  </r>
  <r>
    <x v="892"/>
    <n v="7.8165439276485699E-2"/>
    <s v="Green"/>
    <n v="1"/>
    <x v="4"/>
  </r>
  <r>
    <x v="893"/>
    <n v="2.6525198938992099E-2"/>
    <s v="Green"/>
    <n v="1"/>
    <x v="5"/>
  </r>
  <r>
    <x v="894"/>
    <n v="8.2555635319454507E-2"/>
    <s v="Green"/>
    <n v="1"/>
    <x v="6"/>
  </r>
  <r>
    <x v="895"/>
    <n v="-5.1089918256130698E-2"/>
    <s v="Red"/>
    <n v="0"/>
    <x v="7"/>
  </r>
  <r>
    <x v="896"/>
    <n v="-4.05228758169935E-2"/>
    <s v="Red"/>
    <n v="0"/>
    <x v="8"/>
  </r>
  <r>
    <x v="897"/>
    <n v="2.1361815754339201E-2"/>
    <s v="Green"/>
    <n v="1"/>
    <x v="9"/>
  </r>
  <r>
    <x v="898"/>
    <n v="-2.9163966299416599E-2"/>
    <s v="Red"/>
    <n v="0"/>
    <x v="10"/>
  </r>
  <r>
    <x v="899"/>
    <n v="2.11780277961615E-2"/>
    <s v="Green"/>
    <n v="1"/>
    <x v="11"/>
  </r>
  <r>
    <x v="900"/>
    <n v="-1.37075718015667E-2"/>
    <s v="Red"/>
    <n v="0"/>
    <x v="0"/>
  </r>
  <r>
    <x v="901"/>
    <n v="-2.79187817258882E-2"/>
    <s v="Red"/>
    <n v="0"/>
    <x v="1"/>
  </r>
  <r>
    <x v="902"/>
    <n v="3.6160420775805301E-2"/>
    <s v="Green"/>
    <n v="1"/>
    <x v="2"/>
  </r>
  <r>
    <x v="903"/>
    <n v="5.25951557093427E-2"/>
    <s v="Green"/>
    <n v="1"/>
    <x v="3"/>
  </r>
  <r>
    <x v="904"/>
    <n v="-8.9163237311385996E-3"/>
    <s v="Red"/>
    <n v="0"/>
    <x v="4"/>
  </r>
  <r>
    <x v="905"/>
    <n v="-3.8892551087672998E-2"/>
    <s v="Red"/>
    <n v="0"/>
    <x v="5"/>
  </r>
  <r>
    <x v="906"/>
    <n v="-1.6850291639663E-2"/>
    <s v="Red"/>
    <n v="0"/>
    <x v="6"/>
  </r>
  <r>
    <x v="907"/>
    <n v="-1.4687100893997501E-2"/>
    <s v="Red"/>
    <n v="0"/>
    <x v="7"/>
  </r>
  <r>
    <x v="908"/>
    <n v="2.3529411764705799E-2"/>
    <s v="Green"/>
    <n v="1"/>
    <x v="8"/>
  </r>
  <r>
    <x v="909"/>
    <n v="4.2234332425068202E-2"/>
    <s v="Green"/>
    <n v="1"/>
    <x v="9"/>
  </r>
  <r>
    <x v="910"/>
    <n v="-1.07816711590296E-2"/>
    <s v="Red"/>
    <n v="0"/>
    <x v="10"/>
  </r>
  <r>
    <x v="911"/>
    <n v="-8.0213903743315794E-3"/>
    <s v="Red"/>
    <n v="0"/>
    <x v="11"/>
  </r>
  <r>
    <x v="912"/>
    <n v="-0.101501501501501"/>
    <s v="Red"/>
    <n v="0"/>
    <x v="0"/>
  </r>
  <r>
    <x v="913"/>
    <n v="-7.2939814751660101E-2"/>
    <s v="Red"/>
    <n v="0"/>
    <x v="1"/>
  </r>
  <r>
    <x v="914"/>
    <n v="-2.55019533369506E-2"/>
    <s v="Red"/>
    <n v="0"/>
    <x v="2"/>
  </r>
  <r>
    <x v="915"/>
    <n v="-3.9103232533889497E-2"/>
    <s v="Red"/>
    <n v="0"/>
    <x v="3"/>
  </r>
  <r>
    <x v="916"/>
    <n v="2.2388059701492501E-2"/>
    <s v="Green"/>
    <n v="1"/>
    <x v="4"/>
  </r>
  <r>
    <x v="917"/>
    <n v="3.9911250559243397E-2"/>
    <s v="Green"/>
    <n v="1"/>
    <x v="5"/>
  </r>
  <r>
    <x v="918"/>
    <n v="4.3981478936257097E-2"/>
    <s v="Green"/>
    <n v="1"/>
    <x v="6"/>
  </r>
  <r>
    <x v="919"/>
    <n v="-6.9466828217555204E-2"/>
    <s v="Red"/>
    <n v="0"/>
    <x v="7"/>
  </r>
  <r>
    <x v="920"/>
    <n v="6.9700399210806493E-2"/>
    <s v="Green"/>
    <n v="1"/>
    <x v="8"/>
  </r>
  <r>
    <x v="921"/>
    <n v="9.8894700471512404E-3"/>
    <s v="Green"/>
    <n v="1"/>
    <x v="9"/>
  </r>
  <r>
    <x v="922"/>
    <n v="3.2432492492492603E-2"/>
    <s v="Green"/>
    <n v="1"/>
    <x v="10"/>
  </r>
  <r>
    <x v="923"/>
    <n v="3.7383242204563197E-2"/>
    <s v="Green"/>
    <n v="1"/>
    <x v="11"/>
  </r>
  <r>
    <x v="924"/>
    <n v="3.4816183107672503E-2"/>
    <s v="Green"/>
    <n v="1"/>
    <x v="0"/>
  </r>
  <r>
    <x v="925"/>
    <n v="5.7980900409276802E-2"/>
    <s v="Green"/>
    <n v="1"/>
    <x v="1"/>
  </r>
  <r>
    <x v="926"/>
    <n v="-1.41223940820443E-2"/>
    <s v="Red"/>
    <n v="0"/>
    <x v="2"/>
  </r>
  <r>
    <x v="927"/>
    <n v="-9.3271152564956498E-3"/>
    <s v="Red"/>
    <n v="0"/>
    <x v="3"/>
  </r>
  <r>
    <x v="928"/>
    <n v="1.1455525606468999E-2"/>
    <s v="Green"/>
    <n v="1"/>
    <x v="4"/>
  </r>
  <r>
    <x v="929"/>
    <n v="9.0374724467303394E-2"/>
    <s v="Green"/>
    <n v="1"/>
    <x v="5"/>
  </r>
  <r>
    <x v="930"/>
    <n v="-4.8251748251748397E-2"/>
    <s v="Red"/>
    <n v="0"/>
    <x v="6"/>
  </r>
  <r>
    <x v="931"/>
    <n v="6.1618411284335699E-2"/>
    <s v="Green"/>
    <n v="1"/>
    <x v="7"/>
  </r>
  <r>
    <x v="932"/>
    <n v="1.43072289156627E-2"/>
    <s v="Green"/>
    <n v="1"/>
    <x v="8"/>
  </r>
  <r>
    <x v="933"/>
    <n v="3.5074045206547E-2"/>
    <s v="Green"/>
    <n v="1"/>
    <x v="9"/>
  </r>
  <r>
    <x v="934"/>
    <n v="3.9123630672925902E-3"/>
    <s v="Green"/>
    <n v="1"/>
    <x v="10"/>
  </r>
  <r>
    <x v="935"/>
    <n v="3.13971742543173E-3"/>
    <s v="Green"/>
    <n v="1"/>
    <x v="11"/>
  </r>
  <r>
    <x v="936"/>
    <n v="-6.2402496099843701E-3"/>
    <s v="Red"/>
    <n v="0"/>
    <x v="0"/>
  </r>
  <r>
    <x v="937"/>
    <n v="8.6546026750589106E-3"/>
    <s v="Green"/>
    <n v="1"/>
    <x v="1"/>
  </r>
  <r>
    <x v="938"/>
    <n v="-2.0801232665639401E-2"/>
    <s v="Red"/>
    <n v="0"/>
    <x v="2"/>
  </r>
  <r>
    <x v="939"/>
    <n v="5.1012145748987797E-2"/>
    <s v="Green"/>
    <n v="1"/>
    <x v="3"/>
  </r>
  <r>
    <x v="940"/>
    <n v="4.0438079191238402E-2"/>
    <s v="Green"/>
    <n v="1"/>
    <x v="4"/>
  </r>
  <r>
    <x v="941"/>
    <n v="-1.2479201331114799E-2"/>
    <s v="Red"/>
    <n v="0"/>
    <x v="5"/>
  </r>
  <r>
    <x v="942"/>
    <n v="1.6920473773265599E-2"/>
    <s v="Green"/>
    <n v="1"/>
    <x v="6"/>
  </r>
  <r>
    <x v="943"/>
    <n v="-2.53164556962016E-3"/>
    <s v="Red"/>
    <n v="0"/>
    <x v="7"/>
  </r>
  <r>
    <x v="944"/>
    <n v="1.54241645244215E-2"/>
    <s v="Green"/>
    <n v="1"/>
    <x v="8"/>
  </r>
  <r>
    <x v="945"/>
    <n v="5.8983666061705999E-2"/>
    <s v="Green"/>
    <n v="1"/>
    <x v="9"/>
  </r>
  <r>
    <x v="946"/>
    <n v="-7.4727120067170499E-2"/>
    <s v="Red"/>
    <n v="0"/>
    <x v="10"/>
  </r>
  <r>
    <x v="947"/>
    <n v="-1.4072847682119201E-2"/>
    <s v="Red"/>
    <n v="0"/>
    <x v="11"/>
  </r>
  <r>
    <x v="948"/>
    <n v="2.3728813559321899E-2"/>
    <s v="Green"/>
    <n v="1"/>
    <x v="0"/>
  </r>
  <r>
    <x v="949"/>
    <n v="-4.2194092827003704E-3"/>
    <s v="Red"/>
    <n v="0"/>
    <x v="1"/>
  </r>
  <r>
    <x v="950"/>
    <n v="-4.0485829959514198E-2"/>
    <s v="Red"/>
    <n v="0"/>
    <x v="2"/>
  </r>
  <r>
    <x v="951"/>
    <n v="2.4896265560165901E-2"/>
    <s v="Green"/>
    <n v="1"/>
    <x v="3"/>
  </r>
  <r>
    <x v="952"/>
    <n v="3.9689387402933603E-2"/>
    <s v="Green"/>
    <n v="1"/>
    <x v="4"/>
  </r>
  <r>
    <x v="953"/>
    <n v="8.6355785837643995E-4"/>
    <s v="Green"/>
    <n v="1"/>
    <x v="5"/>
  </r>
  <r>
    <x v="954"/>
    <n v="5.5606198723792098E-2"/>
    <s v="Green"/>
    <n v="1"/>
    <x v="6"/>
  </r>
  <r>
    <x v="955"/>
    <n v="5.0766283524904303E-2"/>
    <s v="Green"/>
    <n v="1"/>
    <x v="7"/>
  </r>
  <r>
    <x v="956"/>
    <n v="6.8577277379734E-2"/>
    <s v="Green"/>
    <n v="1"/>
    <x v="8"/>
  </r>
  <r>
    <x v="957"/>
    <n v="5.16684607104414E-2"/>
    <s v="Green"/>
    <n v="1"/>
    <x v="9"/>
  </r>
  <r>
    <x v="958"/>
    <n v="-7.4786324786325596E-3"/>
    <s v="Red"/>
    <n v="0"/>
    <x v="10"/>
  </r>
  <r>
    <x v="959"/>
    <n v="5.7627118644067797E-2"/>
    <s v="Green"/>
    <n v="1"/>
    <x v="11"/>
  </r>
  <r>
    <x v="960"/>
    <n v="2.6682134570765698E-2"/>
    <s v="Green"/>
    <n v="1"/>
    <x v="0"/>
  </r>
  <r>
    <x v="961"/>
    <n v="7.00934579439227E-3"/>
    <s v="Green"/>
    <n v="1"/>
    <x v="1"/>
  </r>
  <r>
    <x v="962"/>
    <n v="3.1325301204819397E-2"/>
    <s v="Green"/>
    <n v="1"/>
    <x v="2"/>
  </r>
  <r>
    <x v="963"/>
    <n v="1.84049079754602E-2"/>
    <s v="Green"/>
    <n v="1"/>
    <x v="3"/>
  </r>
  <r>
    <x v="964"/>
    <n v="6.3968668407310594E-2"/>
    <s v="Green"/>
    <n v="1"/>
    <x v="4"/>
  </r>
  <r>
    <x v="965"/>
    <n v="-4.3695380774032497E-2"/>
    <s v="Red"/>
    <n v="0"/>
    <x v="5"/>
  </r>
  <r>
    <x v="966"/>
    <n v="-6.7520372526193306E-2"/>
    <s v="Red"/>
    <n v="0"/>
    <x v="6"/>
  </r>
  <r>
    <x v="967"/>
    <n v="-2.9378531073446301E-2"/>
    <s v="Red"/>
    <n v="0"/>
    <x v="7"/>
  </r>
  <r>
    <x v="968"/>
    <n v="1.8411967779056401E-2"/>
    <s v="Green"/>
    <n v="1"/>
    <x v="8"/>
  </r>
  <r>
    <x v="969"/>
    <n v="-4.71491228070176E-2"/>
    <s v="Red"/>
    <n v="0"/>
    <x v="9"/>
  </r>
  <r>
    <x v="970"/>
    <n v="-0.04"/>
    <s v="Red"/>
    <n v="0"/>
    <x v="10"/>
  </r>
  <r>
    <x v="971"/>
    <n v="-6.8627450980392093E-2"/>
    <s v="Red"/>
    <n v="0"/>
    <x v="11"/>
  </r>
  <r>
    <x v="972"/>
    <n v="-7.7821011673151501E-3"/>
    <s v="Red"/>
    <n v="0"/>
    <x v="0"/>
  </r>
  <r>
    <x v="973"/>
    <n v="-1.05871029836382E-2"/>
    <s v="Red"/>
    <n v="0"/>
    <x v="1"/>
  </r>
  <r>
    <x v="974"/>
    <n v="5.4822335025380697E-2"/>
    <s v="Green"/>
    <n v="1"/>
    <x v="2"/>
  </r>
  <r>
    <x v="975"/>
    <n v="5.01066098081022E-2"/>
    <s v="Green"/>
    <n v="1"/>
    <x v="3"/>
  </r>
  <r>
    <x v="976"/>
    <n v="7.5187969924812598E-3"/>
    <s v="Green"/>
    <n v="1"/>
    <x v="4"/>
  </r>
  <r>
    <x v="977"/>
    <n v="-6.5261044176706903E-2"/>
    <s v="Red"/>
    <n v="0"/>
    <x v="5"/>
  </r>
  <r>
    <x v="978"/>
    <n v="4.0322580645162399E-3"/>
    <s v="Green"/>
    <n v="1"/>
    <x v="6"/>
  </r>
  <r>
    <x v="979"/>
    <n v="-1.48957298907647E-2"/>
    <s v="Red"/>
    <n v="0"/>
    <x v="7"/>
  </r>
  <r>
    <x v="980"/>
    <n v="-4.82041587901701E-2"/>
    <s v="Red"/>
    <n v="0"/>
    <x v="8"/>
  </r>
  <r>
    <x v="981"/>
    <n v="9.4607379375588596E-4"/>
    <s v="Green"/>
    <n v="1"/>
    <x v="9"/>
  </r>
  <r>
    <x v="982"/>
    <n v="-4.6028880866426002E-2"/>
    <s v="Red"/>
    <n v="0"/>
    <x v="10"/>
  </r>
  <r>
    <x v="983"/>
    <n v="3.9399624765478397E-2"/>
    <s v="Green"/>
    <n v="1"/>
    <x v="11"/>
  </r>
  <r>
    <x v="984"/>
    <n v="1.5238095238095301E-2"/>
    <s v="Green"/>
    <n v="1"/>
    <x v="0"/>
  </r>
  <r>
    <x v="985"/>
    <n v="2.04081632653061E-2"/>
    <s v="Green"/>
    <n v="1"/>
    <x v="1"/>
  </r>
  <r>
    <x v="986"/>
    <n v="3.1062124248497001E-2"/>
    <s v="Green"/>
    <n v="1"/>
    <x v="2"/>
  </r>
  <r>
    <x v="987"/>
    <n v="7.6591154261057295E-2"/>
    <s v="Green"/>
    <n v="1"/>
    <x v="3"/>
  </r>
  <r>
    <x v="988"/>
    <n v="-0.239540607054963"/>
    <s v="Red"/>
    <n v="0"/>
    <x v="4"/>
  </r>
  <r>
    <x v="989"/>
    <n v="8.2101806239731601E-4"/>
    <s v="Green"/>
    <n v="1"/>
    <x v="5"/>
  </r>
  <r>
    <x v="990"/>
    <n v="4.1220115416322799E-3"/>
    <s v="Green"/>
    <n v="1"/>
    <x v="6"/>
  </r>
  <r>
    <x v="991"/>
    <n v="6.6390041493775698E-3"/>
    <s v="Green"/>
    <n v="1"/>
    <x v="7"/>
  </r>
  <r>
    <x v="992"/>
    <n v="-3.2905296950240803E-2"/>
    <s v="Red"/>
    <n v="0"/>
    <x v="8"/>
  </r>
  <r>
    <x v="993"/>
    <n v="2.13114754098362E-2"/>
    <s v="Green"/>
    <n v="1"/>
    <x v="9"/>
  </r>
  <r>
    <x v="994"/>
    <n v="-4.9103663289166002E-2"/>
    <s v="Red"/>
    <n v="0"/>
    <x v="10"/>
  </r>
  <r>
    <x v="995"/>
    <n v="3.1274433150900701E-3"/>
    <s v="Green"/>
    <n v="1"/>
    <x v="11"/>
  </r>
  <r>
    <x v="996"/>
    <n v="0.144007155635063"/>
    <s v="Green"/>
    <n v="1"/>
    <x v="0"/>
  </r>
  <r>
    <x v="997"/>
    <n v="-7.1428571428571397E-2"/>
    <s v="Red"/>
    <n v="0"/>
    <x v="1"/>
  </r>
  <r>
    <x v="998"/>
    <n v="0.10865561694291"/>
    <s v="Green"/>
    <n v="1"/>
    <x v="2"/>
  </r>
  <r>
    <x v="999"/>
    <n v="-6.3793103448275906E-2"/>
    <s v="Red"/>
    <n v="0"/>
    <x v="3"/>
  </r>
  <r>
    <x v="1000"/>
    <n v="6.1299176578225097E-2"/>
    <s v="Green"/>
    <n v="1"/>
    <x v="4"/>
  </r>
  <r>
    <x v="1001"/>
    <n v="-4.5537340619308296E-3"/>
    <s v="Red"/>
    <n v="0"/>
    <x v="5"/>
  </r>
  <r>
    <x v="1002"/>
    <n v="-0.13543307086614201"/>
    <s v="Red"/>
    <n v="0"/>
    <x v="6"/>
  </r>
  <r>
    <x v="1003"/>
    <n v="3.2520325203252001E-2"/>
    <s v="Green"/>
    <n v="1"/>
    <x v="7"/>
  </r>
  <r>
    <x v="1004"/>
    <n v="-6.3926940639269403E-2"/>
    <s v="Red"/>
    <n v="0"/>
    <x v="8"/>
  </r>
  <r>
    <x v="1005"/>
    <n v="3.2207384131971703E-2"/>
    <s v="Green"/>
    <n v="1"/>
    <x v="9"/>
  </r>
  <r>
    <x v="1006"/>
    <n v="-3.3409263477600502E-2"/>
    <s v="Red"/>
    <n v="0"/>
    <x v="10"/>
  </r>
  <r>
    <x v="1007"/>
    <n v="7.5980392156862697E-2"/>
    <s v="Green"/>
    <n v="1"/>
    <x v="11"/>
  </r>
  <r>
    <x v="1008"/>
    <n v="1.49253731343284E-2"/>
    <s v="Green"/>
    <n v="1"/>
    <x v="0"/>
  </r>
  <r>
    <x v="1009"/>
    <n v="-2.18978102189781E-2"/>
    <s v="Red"/>
    <n v="0"/>
    <x v="1"/>
  </r>
  <r>
    <x v="1010"/>
    <n v="6.6608996539792201E-2"/>
    <s v="Green"/>
    <n v="1"/>
    <x v="2"/>
  </r>
  <r>
    <x v="1011"/>
    <n v="0.24703344120819901"/>
    <s v="Green"/>
    <n v="1"/>
    <x v="3"/>
  </r>
  <r>
    <x v="1012"/>
    <n v="-5.2147239263803699E-2"/>
    <s v="Red"/>
    <n v="0"/>
    <x v="4"/>
  </r>
  <r>
    <x v="1013"/>
    <n v="0.150588235294117"/>
    <s v="Green"/>
    <n v="1"/>
    <x v="5"/>
  </r>
  <r>
    <x v="1014"/>
    <n v="-0.25044091710758398"/>
    <s v="Red"/>
    <n v="0"/>
    <x v="6"/>
  </r>
  <r>
    <x v="1015"/>
    <n v="6.0804490177736301E-2"/>
    <s v="Green"/>
    <n v="1"/>
    <x v="7"/>
  </r>
  <r>
    <x v="1016"/>
    <n v="1.32701421800947E-2"/>
    <s v="Green"/>
    <n v="1"/>
    <x v="8"/>
  </r>
  <r>
    <x v="1017"/>
    <n v="-5.04050405040503E-2"/>
    <s v="Red"/>
    <n v="0"/>
    <x v="9"/>
  </r>
  <r>
    <x v="1018"/>
    <n v="-0.100404858299595"/>
    <s v="Red"/>
    <n v="0"/>
    <x v="10"/>
  </r>
  <r>
    <x v="1019"/>
    <n v="-0.102470930232558"/>
    <s v="Red"/>
    <n v="0"/>
    <x v="11"/>
  </r>
  <r>
    <x v="1020"/>
    <n v="-0.14214469188624099"/>
    <s v="Red"/>
    <n v="0"/>
    <x v="0"/>
  </r>
  <r>
    <x v="1021"/>
    <n v="-4.3530053667262897E-2"/>
    <s v="Red"/>
    <n v="0"/>
    <x v="1"/>
  </r>
  <r>
    <x v="1022"/>
    <n v="8.8961038961038894E-2"/>
    <s v="Green"/>
    <n v="1"/>
    <x v="2"/>
  </r>
  <r>
    <x v="1023"/>
    <n v="-5.28905289052891E-2"/>
    <s v="Red"/>
    <n v="0"/>
    <x v="3"/>
  </r>
  <r>
    <x v="1024"/>
    <n v="-1.0346926354230001E-2"/>
    <s v="Red"/>
    <n v="0"/>
    <x v="4"/>
  </r>
  <r>
    <x v="1025"/>
    <n v="-8.3147321428571494E-2"/>
    <s v="Red"/>
    <n v="0"/>
    <x v="5"/>
  </r>
  <r>
    <x v="1026"/>
    <n v="-7.7518830427398804E-3"/>
    <s v="Red"/>
    <n v="0"/>
    <x v="6"/>
  </r>
  <r>
    <x v="1027"/>
    <n v="1.6319583567810901E-2"/>
    <s v="Green"/>
    <n v="1"/>
    <x v="7"/>
  </r>
  <r>
    <x v="1028"/>
    <n v="3.4342258440046597E-2"/>
    <s v="Green"/>
    <n v="1"/>
    <x v="8"/>
  </r>
  <r>
    <x v="1029"/>
    <n v="-5.7870945725060404E-3"/>
    <s v="Red"/>
    <n v="0"/>
    <x v="9"/>
  </r>
  <r>
    <x v="1030"/>
    <n v="2.9019733023794001E-3"/>
    <s v="Green"/>
    <n v="1"/>
    <x v="10"/>
  </r>
  <r>
    <x v="1031"/>
    <n v="7.6202373516551999E-2"/>
    <s v="Green"/>
    <n v="1"/>
    <x v="11"/>
  </r>
  <r>
    <x v="1032"/>
    <n v="1.25078173858673E-3"/>
    <s v="Green"/>
    <n v="1"/>
    <x v="0"/>
  </r>
  <r>
    <x v="1033"/>
    <n v="8.8328075709780407E-3"/>
    <s v="Green"/>
    <n v="1"/>
    <x v="1"/>
  </r>
  <r>
    <x v="1034"/>
    <n v="6.8059299191374698E-2"/>
    <s v="Green"/>
    <n v="1"/>
    <x v="2"/>
  </r>
  <r>
    <x v="1035"/>
    <n v="3.0555555555555398E-2"/>
    <s v="Green"/>
    <n v="1"/>
    <x v="3"/>
  </r>
  <r>
    <x v="1036"/>
    <n v="4.5751633986928199E-2"/>
    <s v="Green"/>
    <n v="1"/>
    <x v="4"/>
  </r>
  <r>
    <x v="1037"/>
    <n v="-7.7077747989276094E-2"/>
    <s v="Red"/>
    <n v="0"/>
    <x v="5"/>
  </r>
  <r>
    <x v="1038"/>
    <n v="2.1917808219177999E-2"/>
    <s v="Green"/>
    <n v="1"/>
    <x v="6"/>
  </r>
  <r>
    <x v="1039"/>
    <n v="2.0265548567435201E-2"/>
    <s v="Green"/>
    <n v="1"/>
    <x v="7"/>
  </r>
  <r>
    <x v="1040"/>
    <n v="6.5524944154877293E-2"/>
    <s v="Green"/>
    <n v="1"/>
    <x v="8"/>
  </r>
  <r>
    <x v="1041"/>
    <n v="3.7867078825347698E-2"/>
    <s v="Green"/>
    <n v="1"/>
    <x v="9"/>
  </r>
  <r>
    <x v="1042"/>
    <n v="3.8523274478330601E-2"/>
    <s v="Green"/>
    <n v="1"/>
    <x v="10"/>
  </r>
  <r>
    <x v="1043"/>
    <n v="7.5064710957722297E-2"/>
    <s v="Green"/>
    <n v="1"/>
    <x v="11"/>
  </r>
  <r>
    <x v="1044"/>
    <n v="3.1138790035587099E-2"/>
    <s v="Green"/>
    <n v="1"/>
    <x v="0"/>
  </r>
  <r>
    <x v="1045"/>
    <n v="1.4440433212996401E-2"/>
    <s v="Green"/>
    <n v="1"/>
    <x v="1"/>
  </r>
  <r>
    <x v="1046"/>
    <n v="8.203125E-2"/>
    <s v="Green"/>
    <n v="1"/>
    <x v="2"/>
  </r>
  <r>
    <x v="1047"/>
    <n v="6.8893528183716204E-2"/>
    <s v="Green"/>
    <n v="1"/>
    <x v="3"/>
  </r>
  <r>
    <x v="1048"/>
    <n v="3.2327586206896602E-2"/>
    <s v="Green"/>
    <n v="1"/>
    <x v="4"/>
  </r>
  <r>
    <x v="1049"/>
    <n v="9.82248520710058E-2"/>
    <s v="Green"/>
    <n v="1"/>
    <x v="5"/>
  </r>
  <r>
    <x v="1050"/>
    <n v="-3.3180778032036701E-2"/>
    <s v="Red"/>
    <n v="0"/>
    <x v="6"/>
  </r>
  <r>
    <x v="1051"/>
    <n v="-3.9560439560439503E-2"/>
    <s v="Red"/>
    <n v="0"/>
    <x v="7"/>
  </r>
  <r>
    <x v="1052"/>
    <n v="-4.2105263157894798E-2"/>
    <s v="Red"/>
    <n v="0"/>
    <x v="8"/>
  </r>
  <r>
    <x v="1053"/>
    <n v="-4.1928721174003796E-3"/>
    <s v="Red"/>
    <n v="0"/>
    <x v="9"/>
  </r>
  <r>
    <x v="1054"/>
    <n v="8.2860385925084906E-2"/>
    <s v="Green"/>
    <n v="1"/>
    <x v="10"/>
  </r>
  <r>
    <x v="1055"/>
    <n v="-2.97356828193832E-2"/>
    <s v="Red"/>
    <n v="0"/>
    <x v="11"/>
  </r>
  <r>
    <x v="1056"/>
    <n v="-7.6502732240437696E-3"/>
    <s v="Red"/>
    <n v="0"/>
    <x v="0"/>
  </r>
  <r>
    <x v="1057"/>
    <n v="5.4147465437787999E-2"/>
    <s v="Green"/>
    <n v="1"/>
    <x v="1"/>
  </r>
  <r>
    <x v="1058"/>
    <n v="-0.115188583078491"/>
    <s v="Red"/>
    <n v="0"/>
    <x v="2"/>
  </r>
  <r>
    <x v="1059"/>
    <n v="2.0811654526534901E-2"/>
    <s v="Green"/>
    <n v="1"/>
    <x v="3"/>
  </r>
  <r>
    <x v="1060"/>
    <n v="-8.1261950286806994E-2"/>
    <s v="Red"/>
    <n v="0"/>
    <x v="4"/>
  </r>
  <r>
    <x v="1061"/>
    <n v="-1.5065913370997899E-2"/>
    <s v="Red"/>
    <n v="0"/>
    <x v="5"/>
  </r>
  <r>
    <x v="1062"/>
    <n v="-1.3011152416357001E-2"/>
    <s v="Red"/>
    <n v="0"/>
    <x v="6"/>
  </r>
  <r>
    <x v="1063"/>
    <n v="-3.6705461056400997E-2"/>
    <s v="Red"/>
    <n v="0"/>
    <x v="7"/>
  </r>
  <r>
    <x v="1064"/>
    <n v="0.12036108324974901"/>
    <s v="Green"/>
    <n v="1"/>
    <x v="8"/>
  </r>
  <r>
    <x v="1065"/>
    <n v="9.1093117408906892E-3"/>
    <s v="Green"/>
    <n v="1"/>
    <x v="9"/>
  </r>
  <r>
    <x v="1066"/>
    <n v="0.10267857142857099"/>
    <s v="Green"/>
    <n v="1"/>
    <x v="10"/>
  </r>
  <r>
    <x v="1067"/>
    <n v="-7.8189300411522597E-2"/>
    <s v="Red"/>
    <n v="0"/>
    <x v="11"/>
  </r>
  <r>
    <x v="1068"/>
    <n v="-0.123534715960325"/>
    <s v="Red"/>
    <n v="0"/>
    <x v="0"/>
  </r>
  <r>
    <x v="1069"/>
    <n v="0.114572864321608"/>
    <s v="Green"/>
    <n v="1"/>
    <x v="1"/>
  </r>
  <r>
    <x v="1070"/>
    <n v="-8.7992667277726894E-2"/>
    <s v="Red"/>
    <n v="0"/>
    <x v="2"/>
  </r>
  <r>
    <x v="1071"/>
    <n v="0.13174273858921201"/>
    <s v="Green"/>
    <n v="1"/>
    <x v="3"/>
  </r>
  <r>
    <x v="1072"/>
    <n v="0.23116219667943799"/>
    <s v="Green"/>
    <n v="1"/>
    <x v="4"/>
  </r>
  <r>
    <x v="1073"/>
    <n v="0.33846153846153898"/>
    <s v="Green"/>
    <n v="1"/>
    <x v="5"/>
  </r>
  <r>
    <x v="1074"/>
    <n v="3.3568904593639599E-2"/>
    <s v="Green"/>
    <n v="1"/>
    <x v="6"/>
  </r>
  <r>
    <x v="1075"/>
    <n v="-0.18443804034582101"/>
    <s v="Red"/>
    <n v="0"/>
    <x v="7"/>
  </r>
  <r>
    <x v="1076"/>
    <n v="2.8901734104047599E-3"/>
    <s v="Green"/>
    <n v="1"/>
    <x v="8"/>
  </r>
  <r>
    <x v="1077"/>
    <n v="5.6488549618320699E-2"/>
    <s v="Green"/>
    <n v="1"/>
    <x v="9"/>
  </r>
  <r>
    <x v="1078"/>
    <n v="-5.8908045977011499E-2"/>
    <s v="Red"/>
    <n v="0"/>
    <x v="10"/>
  </r>
  <r>
    <x v="1079"/>
    <n v="-0.13861386138613899"/>
    <s v="Red"/>
    <n v="0"/>
    <x v="11"/>
  </r>
  <r>
    <x v="1080"/>
    <n v="-3.6948748510131198E-2"/>
    <s v="Red"/>
    <n v="0"/>
    <x v="0"/>
  </r>
  <r>
    <x v="1081"/>
    <n v="0.391376451077944"/>
    <s v="Green"/>
    <n v="1"/>
    <x v="1"/>
  </r>
  <r>
    <x v="1082"/>
    <n v="0.36117381489841999"/>
    <s v="Green"/>
    <n v="1"/>
    <x v="2"/>
  </r>
  <r>
    <x v="1083"/>
    <n v="-8.9485458612975598E-3"/>
    <s v="Red"/>
    <n v="0"/>
    <x v="3"/>
  </r>
  <r>
    <x v="1084"/>
    <n v="-0.23327615780446001"/>
    <s v="Red"/>
    <n v="0"/>
    <x v="4"/>
  </r>
  <r>
    <x v="1085"/>
    <n v="-0.20246238030095801"/>
    <s v="Red"/>
    <n v="0"/>
    <x v="5"/>
  </r>
  <r>
    <x v="1086"/>
    <n v="-0.118214716525935"/>
    <s v="Red"/>
    <n v="0"/>
    <x v="6"/>
  </r>
  <r>
    <x v="1087"/>
    <n v="4.4080604534005002E-2"/>
    <s v="Green"/>
    <n v="1"/>
    <x v="7"/>
  </r>
  <r>
    <x v="1088"/>
    <n v="-2.2167487684728902E-2"/>
    <s v="Red"/>
    <n v="0"/>
    <x v="8"/>
  </r>
  <r>
    <x v="1089"/>
    <n v="-0.14526315789473701"/>
    <s v="Red"/>
    <n v="0"/>
    <x v="9"/>
  </r>
  <r>
    <x v="1090"/>
    <n v="-8.9165867689357595E-2"/>
    <s v="Red"/>
    <n v="0"/>
    <x v="10"/>
  </r>
  <r>
    <x v="1091"/>
    <n v="7.4150360453141106E-2"/>
    <s v="Green"/>
    <n v="1"/>
    <x v="11"/>
  </r>
  <r>
    <x v="1092"/>
    <n v="-0.29942279942279898"/>
    <s v="Red"/>
    <n v="0"/>
    <x v="0"/>
  </r>
  <r>
    <x v="1093"/>
    <n v="9.4683175528040807E-3"/>
    <s v="Green"/>
    <n v="1"/>
    <x v="1"/>
  </r>
  <r>
    <x v="1094"/>
    <n v="-7.4173971679028894E-2"/>
    <s v="Red"/>
    <n v="0"/>
    <x v="2"/>
  </r>
  <r>
    <x v="1095"/>
    <n v="0.13901689708141299"/>
    <s v="Green"/>
    <n v="1"/>
    <x v="3"/>
  </r>
  <r>
    <x v="1096"/>
    <n v="-0.13717693836978101"/>
    <s v="Red"/>
    <n v="0"/>
    <x v="4"/>
  </r>
  <r>
    <x v="1097"/>
    <n v="-9.5865842069152593E-2"/>
    <s v="Red"/>
    <n v="0"/>
    <x v="5"/>
  </r>
  <r>
    <x v="1098"/>
    <n v="-7.4320572694366399E-2"/>
    <s v="Red"/>
    <n v="0"/>
    <x v="6"/>
  </r>
  <r>
    <x v="1099"/>
    <n v="0.113650394462607"/>
    <s v="Green"/>
    <n v="1"/>
    <x v="7"/>
  </r>
  <r>
    <x v="1100"/>
    <n v="5.5410756192959501E-2"/>
    <s v="Green"/>
    <n v="1"/>
    <x v="8"/>
  </r>
  <r>
    <x v="1101"/>
    <n v="-6.3492006318193406E-2"/>
    <s v="Red"/>
    <n v="0"/>
    <x v="9"/>
  </r>
  <r>
    <x v="1102"/>
    <n v="-3.3057967351949803E-2"/>
    <s v="Red"/>
    <n v="0"/>
    <x v="10"/>
  </r>
  <r>
    <x v="1103"/>
    <n v="-8.8757342657342697E-2"/>
    <s v="Red"/>
    <n v="0"/>
    <x v="11"/>
  </r>
  <r>
    <x v="1104"/>
    <n v="-0.130088950393591"/>
    <s v="Red"/>
    <n v="0"/>
    <x v="0"/>
  </r>
  <r>
    <x v="1105"/>
    <n v="7.5437061548187002E-3"/>
    <s v="Green"/>
    <n v="1"/>
    <x v="1"/>
  </r>
  <r>
    <x v="1106"/>
    <n v="3.6656893287238201E-2"/>
    <s v="Green"/>
    <n v="1"/>
    <x v="2"/>
  </r>
  <r>
    <x v="1107"/>
    <n v="-0.16455700285830899"/>
    <s v="Red"/>
    <n v="0"/>
    <x v="3"/>
  </r>
  <r>
    <x v="1108"/>
    <n v="-1.6465863453815299E-2"/>
    <s v="Red"/>
    <n v="0"/>
    <x v="4"/>
  </r>
  <r>
    <x v="1109"/>
    <n v="3.1055900621118002E-2"/>
    <s v="Green"/>
    <n v="1"/>
    <x v="5"/>
  </r>
  <r>
    <x v="1110"/>
    <n v="3.7371089460004801E-2"/>
    <s v="Green"/>
    <n v="1"/>
    <x v="6"/>
  </r>
  <r>
    <x v="1111"/>
    <n v="2.1500657239988698E-2"/>
    <s v="Green"/>
    <n v="1"/>
    <x v="7"/>
  </r>
  <r>
    <x v="1112"/>
    <n v="6.2470859558467998E-2"/>
    <s v="Green"/>
    <n v="1"/>
    <x v="8"/>
  </r>
  <r>
    <x v="1113"/>
    <n v="2.5334655831740001E-2"/>
    <s v="Green"/>
    <n v="1"/>
    <x v="9"/>
  </r>
  <r>
    <x v="1114"/>
    <n v="-0.133747412008281"/>
    <s v="Red"/>
    <n v="0"/>
    <x v="10"/>
  </r>
  <r>
    <x v="1115"/>
    <n v="-0.19927055702917801"/>
    <s v="Red"/>
    <n v="0"/>
    <x v="11"/>
  </r>
  <r>
    <x v="1116"/>
    <n v="-4.88804493497461E-2"/>
    <s v="Red"/>
    <n v="0"/>
    <x v="0"/>
  </r>
  <r>
    <x v="1117"/>
    <n v="9.7991693143756595E-2"/>
    <s v="Green"/>
    <n v="1"/>
    <x v="1"/>
  </r>
  <r>
    <x v="1118"/>
    <n v="5.36300255381248E-2"/>
    <s v="Green"/>
    <n v="1"/>
    <x v="2"/>
  </r>
  <r>
    <x v="1119"/>
    <n v="0.103906564639549"/>
    <s v="Green"/>
    <n v="1"/>
    <x v="3"/>
  </r>
  <r>
    <x v="1120"/>
    <n v="-4.2791093184614798E-2"/>
    <s v="Red"/>
    <n v="0"/>
    <x v="4"/>
  </r>
  <r>
    <x v="1121"/>
    <n v="1.6059537169622599E-2"/>
    <s v="Green"/>
    <n v="1"/>
    <x v="5"/>
  </r>
  <r>
    <x v="1122"/>
    <n v="-2.3446268073467101E-3"/>
    <s v="Red"/>
    <n v="0"/>
    <x v="6"/>
  </r>
  <r>
    <x v="1123"/>
    <n v="-5.8275058275058002E-3"/>
    <s v="Red"/>
    <n v="0"/>
    <x v="7"/>
  </r>
  <r>
    <x v="1124"/>
    <n v="5.7084188911704199E-2"/>
    <s v="Green"/>
    <n v="1"/>
    <x v="8"/>
  </r>
  <r>
    <x v="1125"/>
    <n v="2.8829899965821001E-3"/>
    <s v="Green"/>
    <n v="1"/>
    <x v="9"/>
  </r>
  <r>
    <x v="1126"/>
    <n v="0.119926245387454"/>
    <s v="Green"/>
    <n v="1"/>
    <x v="10"/>
  </r>
  <r>
    <x v="1127"/>
    <n v="2.5544040943426698E-2"/>
    <s v="Green"/>
    <n v="1"/>
    <x v="11"/>
  </r>
  <r>
    <x v="1128"/>
    <n v="1.2937134023137E-2"/>
    <s v="Green"/>
    <n v="1"/>
    <x v="0"/>
  </r>
  <r>
    <x v="1129"/>
    <n v="7.4112249099330896E-2"/>
    <s v="Green"/>
    <n v="1"/>
    <x v="1"/>
  </r>
  <r>
    <x v="1130"/>
    <n v="1.5151568189737201E-2"/>
    <s v="Green"/>
    <n v="1"/>
    <x v="2"/>
  </r>
  <r>
    <x v="1131"/>
    <n v="-4.3000050000000102E-2"/>
    <s v="Red"/>
    <n v="0"/>
    <x v="3"/>
  </r>
  <r>
    <x v="1132"/>
    <n v="1.26582278481013E-2"/>
    <s v="Green"/>
    <n v="1"/>
    <x v="4"/>
  </r>
  <r>
    <x v="1133"/>
    <n v="2.4377540229380702E-2"/>
    <s v="Green"/>
    <n v="1"/>
    <x v="5"/>
  </r>
  <r>
    <x v="1134"/>
    <n v="0.117033661645423"/>
    <s v="Green"/>
    <n v="1"/>
    <x v="6"/>
  </r>
  <r>
    <x v="1135"/>
    <n v="-1.7643710870802399E-2"/>
    <s v="Red"/>
    <n v="0"/>
    <x v="7"/>
  </r>
  <r>
    <x v="1136"/>
    <n v="-5.0962627406568898E-3"/>
    <s v="Red"/>
    <n v="0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7">
  <r>
    <x v="0"/>
    <n v="-9.339567E-2"/>
    <x v="0"/>
  </r>
  <r>
    <x v="1"/>
    <n v="-4.2440128258508597E-2"/>
    <x v="0"/>
  </r>
  <r>
    <x v="2"/>
    <n v="9.1116391659653406E-2"/>
    <x v="1"/>
  </r>
  <r>
    <x v="3"/>
    <n v="-8.3919999812243101E-2"/>
    <x v="0"/>
  </r>
  <r>
    <x v="4"/>
    <n v="5.3177568506868103E-5"/>
    <x v="1"/>
  </r>
  <r>
    <x v="5"/>
    <n v="-8.7956711705729301E-2"/>
    <x v="0"/>
  </r>
  <r>
    <x v="6"/>
    <n v="3.5773288410591901E-2"/>
    <x v="1"/>
  </r>
  <r>
    <x v="7"/>
    <n v="-3.1360492102910101E-2"/>
    <x v="0"/>
  </r>
  <r>
    <x v="8"/>
    <n v="-5.2585165005310602E-2"/>
    <x v="0"/>
  </r>
  <r>
    <x v="9"/>
    <n v="4.3612913509962797E-2"/>
    <x v="1"/>
  </r>
  <r>
    <x v="10"/>
    <n v="-8.3337062251199693E-3"/>
    <x v="0"/>
  </r>
  <r>
    <x v="11"/>
    <n v="6.9143836459647501E-2"/>
    <x v="1"/>
  </r>
  <r>
    <x v="12"/>
    <n v="-4.75691688617867E-2"/>
    <x v="0"/>
  </r>
  <r>
    <x v="13"/>
    <n v="2.8990416217415299E-2"/>
    <x v="1"/>
  </r>
  <r>
    <x v="14"/>
    <n v="2.2748054915648699E-2"/>
    <x v="1"/>
  </r>
  <r>
    <x v="15"/>
    <n v="2.2214009634219802E-2"/>
    <x v="1"/>
  </r>
  <r>
    <x v="16"/>
    <n v="5.4864885732810497E-3"/>
    <x v="1"/>
  </r>
  <r>
    <x v="17"/>
    <n v="5.2425321267266303E-2"/>
    <x v="1"/>
  </r>
  <r>
    <x v="18"/>
    <n v="4.24386327378838E-2"/>
    <x v="1"/>
  </r>
  <r>
    <x v="19"/>
    <n v="2.60914513496475E-2"/>
    <x v="1"/>
  </r>
  <r>
    <x v="20"/>
    <n v="-1.11366607232312E-2"/>
    <x v="0"/>
  </r>
  <r>
    <x v="21"/>
    <n v="3.7121458940645703E-2"/>
    <x v="1"/>
  </r>
  <r>
    <x v="22"/>
    <n v="0.10754563548003"/>
    <x v="1"/>
  </r>
  <r>
    <x v="23"/>
    <n v="-2.7665786202795101E-2"/>
    <x v="0"/>
  </r>
  <r>
    <x v="24"/>
    <n v="-3.9227970289931399E-2"/>
    <x v="0"/>
  </r>
  <r>
    <x v="25"/>
    <n v="7.0064667087246499E-2"/>
    <x v="1"/>
  </r>
  <r>
    <x v="26"/>
    <n v="5.5101321441235702E-2"/>
    <x v="1"/>
  </r>
  <r>
    <x v="27"/>
    <n v="1.8388396357494698E-2"/>
    <x v="1"/>
  </r>
  <r>
    <x v="28"/>
    <n v="4.52818196760656E-2"/>
    <x v="1"/>
  </r>
  <r>
    <x v="29"/>
    <n v="0.12684403825663801"/>
    <x v="1"/>
  </r>
  <r>
    <x v="30"/>
    <n v="-0.12511928245982301"/>
    <x v="0"/>
  </r>
  <r>
    <x v="31"/>
    <n v="-8.4110483679465706E-2"/>
    <x v="0"/>
  </r>
  <r>
    <x v="32"/>
    <n v="-1.6280925822201901E-3"/>
    <x v="0"/>
  </r>
  <r>
    <x v="33"/>
    <n v="2.85898189647169E-2"/>
    <x v="1"/>
  </r>
  <r>
    <x v="34"/>
    <n v="3.4047037421886202E-2"/>
    <x v="1"/>
  </r>
  <r>
    <x v="35"/>
    <n v="2.0431770730503101E-2"/>
    <x v="1"/>
  </r>
  <r>
    <x v="36"/>
    <n v="1.71811778292086E-2"/>
    <x v="1"/>
  </r>
  <r>
    <x v="37"/>
    <n v="-1.8091627281326701E-2"/>
    <x v="0"/>
  </r>
  <r>
    <x v="38"/>
    <n v="1.31281521499778E-2"/>
    <x v="1"/>
  </r>
  <r>
    <x v="39"/>
    <n v="6.8930163925612103E-2"/>
    <x v="1"/>
  </r>
  <r>
    <x v="40"/>
    <n v="-6.5777731189286898E-2"/>
    <x v="0"/>
  </r>
  <r>
    <x v="41"/>
    <n v="3.9313498395682697E-2"/>
    <x v="1"/>
  </r>
  <r>
    <x v="42"/>
    <n v="1.7924256211817102E-2"/>
    <x v="1"/>
  </r>
  <r>
    <x v="43"/>
    <n v="2.9728889126352302E-2"/>
    <x v="1"/>
  </r>
  <r>
    <x v="44"/>
    <n v="7.8684401655036804E-2"/>
    <x v="1"/>
  </r>
  <r>
    <x v="45"/>
    <n v="-9.1776894596563893E-2"/>
    <x v="0"/>
  </r>
  <r>
    <x v="46"/>
    <n v="1.7859356788849E-2"/>
    <x v="1"/>
  </r>
  <r>
    <x v="47"/>
    <n v="-6.9403356024429499E-2"/>
    <x v="0"/>
  </r>
  <r>
    <x v="48"/>
    <n v="4.29428710266144E-3"/>
    <x v="1"/>
  </r>
  <r>
    <x v="49"/>
    <n v="3.0263211466054599E-2"/>
    <x v="1"/>
  </r>
  <r>
    <x v="50"/>
    <n v="3.6021556221367303E-2"/>
    <x v="1"/>
  </r>
  <r>
    <x v="51"/>
    <n v="4.8424360241865498E-3"/>
    <x v="1"/>
  </r>
  <r>
    <x v="52"/>
    <n v="2.1608341965291902E-2"/>
    <x v="1"/>
  </r>
  <r>
    <x v="53"/>
    <n v="2.7187751316435399E-3"/>
    <x v="1"/>
  </r>
  <r>
    <x v="54"/>
    <n v="-2.6884498624825101E-2"/>
    <x v="0"/>
  </r>
  <r>
    <x v="55"/>
    <n v="-3.8947372061896898E-2"/>
    <x v="0"/>
  </r>
  <r>
    <x v="56"/>
    <n v="5.6178704444133101E-2"/>
    <x v="1"/>
  </r>
  <r>
    <x v="57"/>
    <n v="9.8316304826040497E-3"/>
    <x v="1"/>
  </r>
  <r>
    <x v="58"/>
    <n v="2.8082627664458602E-2"/>
    <x v="1"/>
  </r>
  <r>
    <x v="59"/>
    <n v="2.21881353303497E-2"/>
    <x v="1"/>
  </r>
  <r>
    <x v="60"/>
    <n v="1.9302978533243701E-2"/>
    <x v="1"/>
  </r>
  <r>
    <x v="61"/>
    <n v="5.4643281108557296E-4"/>
    <x v="1"/>
  </r>
  <r>
    <x v="62"/>
    <n v="1.9348826118030599E-2"/>
    <x v="1"/>
  </r>
  <r>
    <x v="63"/>
    <n v="4.8137750908554501E-3"/>
    <x v="1"/>
  </r>
  <r>
    <x v="64"/>
    <n v="1.1576251391341301E-2"/>
    <x v="1"/>
  </r>
  <r>
    <x v="65"/>
    <n v="9.0912085493182193E-3"/>
    <x v="1"/>
  </r>
  <r>
    <x v="66"/>
    <n v="-3.891971880845E-4"/>
    <x v="0"/>
  </r>
  <r>
    <x v="67"/>
    <n v="3.7198160337279101E-2"/>
    <x v="1"/>
  </r>
  <r>
    <x v="68"/>
    <n v="1.7884358171464498E-2"/>
    <x v="1"/>
  </r>
  <r>
    <x v="69"/>
    <n v="1.82007621968951E-2"/>
    <x v="1"/>
  </r>
  <r>
    <x v="70"/>
    <n v="3.4174522187570402E-2"/>
    <x v="1"/>
  </r>
  <r>
    <x v="71"/>
    <n v="-1.94256792795575E-2"/>
    <x v="0"/>
  </r>
  <r>
    <x v="72"/>
    <n v="-1.23445084432539E-3"/>
    <x v="0"/>
  </r>
  <r>
    <x v="73"/>
    <n v="-1.2192431360480401E-3"/>
    <x v="0"/>
  </r>
  <r>
    <x v="74"/>
    <n v="3.5609801125254401E-2"/>
    <x v="1"/>
  </r>
  <r>
    <x v="75"/>
    <n v="9.1092112097812495E-4"/>
    <x v="1"/>
  </r>
  <r>
    <x v="76"/>
    <n v="1.53246023575726E-2"/>
    <x v="1"/>
  </r>
  <r>
    <x v="77"/>
    <n v="2.6993984808731902E-3"/>
    <x v="1"/>
  </r>
  <r>
    <x v="78"/>
    <n v="6.5991114577365104E-2"/>
    <x v="1"/>
  </r>
  <r>
    <x v="79"/>
    <n v="-4.12836043029907E-3"/>
    <x v="0"/>
  </r>
  <r>
    <x v="80"/>
    <n v="-5.0735321972946397E-2"/>
    <x v="0"/>
  </r>
  <r>
    <x v="81"/>
    <n v="-1.7530185176314401E-2"/>
    <x v="0"/>
  </r>
  <r>
    <x v="82"/>
    <n v="5.0486926072412796E-4"/>
    <x v="1"/>
  </r>
  <r>
    <x v="83"/>
    <n v="8.2983117760394104E-2"/>
    <x v="1"/>
  </r>
  <r>
    <x v="84"/>
    <n v="-2.6442831573227101E-2"/>
    <x v="0"/>
  </r>
  <r>
    <x v="85"/>
    <n v="-6.2580818167202804E-2"/>
    <x v="0"/>
  </r>
  <r>
    <x v="86"/>
    <n v="1.9742029696721501E-2"/>
    <x v="1"/>
  </r>
  <r>
    <x v="87"/>
    <n v="-2.10116723759005E-2"/>
    <x v="0"/>
  </r>
  <r>
    <x v="88"/>
    <n v="1.04913823933168E-2"/>
    <x v="1"/>
  </r>
  <r>
    <x v="89"/>
    <n v="8.5208197301247495E-3"/>
    <x v="1"/>
  </r>
  <r>
    <x v="90"/>
    <n v="-1.7396106913756301E-2"/>
    <x v="0"/>
  </r>
  <r>
    <x v="91"/>
    <n v="5.4892511014553898E-2"/>
    <x v="1"/>
  </r>
  <r>
    <x v="92"/>
    <n v="-3.1040805790470201E-2"/>
    <x v="0"/>
  </r>
  <r>
    <x v="93"/>
    <n v="-4.1885878779204201E-3"/>
    <x v="0"/>
  </r>
  <r>
    <x v="94"/>
    <n v="2.4533588760364801E-2"/>
    <x v="1"/>
  </r>
  <r>
    <x v="95"/>
    <n v="2.32014607867723E-2"/>
    <x v="1"/>
  </r>
  <r>
    <x v="96"/>
    <n v="-1.5513837223063799E-2"/>
    <x v="0"/>
  </r>
  <r>
    <x v="97"/>
    <n v="3.7655295489735098E-2"/>
    <x v="1"/>
  </r>
  <r>
    <x v="98"/>
    <n v="-1.50798305819199E-2"/>
    <x v="0"/>
  </r>
  <r>
    <x v="99"/>
    <n v="1.90583316589206E-2"/>
    <x v="1"/>
  </r>
  <r>
    <x v="100"/>
    <n v="2.1030280012995999E-2"/>
    <x v="1"/>
  </r>
  <r>
    <x v="101"/>
    <n v="6.2007889650528298E-3"/>
    <x v="1"/>
  </r>
  <r>
    <x v="102"/>
    <n v="6.93216560793575E-3"/>
    <x v="1"/>
  </r>
  <r>
    <x v="103"/>
    <n v="4.3117029976595299E-2"/>
    <x v="1"/>
  </r>
  <r>
    <x v="104"/>
    <n v="-3.5582905675162597E-2"/>
    <x v="0"/>
  </r>
  <r>
    <x v="105"/>
    <n v="2.35627915504928E-2"/>
    <x v="1"/>
  </r>
  <r>
    <x v="106"/>
    <n v="2.80494716351865E-2"/>
    <x v="1"/>
  </r>
  <r>
    <x v="107"/>
    <n v="4.45957526180061E-2"/>
    <x v="1"/>
  </r>
  <r>
    <x v="108"/>
    <n v="2.9749523177239098E-2"/>
    <x v="1"/>
  </r>
  <r>
    <x v="109"/>
    <n v="-3.1298019033866899E-2"/>
    <x v="0"/>
  </r>
  <r>
    <x v="110"/>
    <n v="4.9462079815224998E-2"/>
    <x v="1"/>
  </r>
  <r>
    <x v="111"/>
    <n v="-1.4999301636062799E-2"/>
    <x v="0"/>
  </r>
  <r>
    <x v="112"/>
    <n v="2.07628117210461E-2"/>
    <x v="1"/>
  </r>
  <r>
    <x v="113"/>
    <n v="1.80857678592523E-2"/>
    <x v="1"/>
  </r>
  <r>
    <x v="114"/>
    <n v="3.5987723516956102E-2"/>
    <x v="1"/>
  </r>
  <r>
    <x v="115"/>
    <n v="1.10606491952592E-2"/>
    <x v="1"/>
  </r>
  <r>
    <x v="116"/>
    <n v="5.0428096519578497E-2"/>
    <x v="1"/>
  </r>
  <r>
    <x v="117"/>
    <n v="7.0682304638645102E-3"/>
    <x v="1"/>
  </r>
  <r>
    <x v="118"/>
    <n v="2.8467170173434001E-3"/>
    <x v="1"/>
  </r>
  <r>
    <x v="119"/>
    <n v="-1.9789409878227401E-2"/>
    <x v="0"/>
  </r>
  <r>
    <x v="120"/>
    <n v="2.4236153696477001E-2"/>
    <x v="1"/>
  </r>
  <r>
    <x v="121"/>
    <n v="1.9763369680148201E-2"/>
    <x v="1"/>
  </r>
  <r>
    <x v="122"/>
    <n v="1.25975741261544E-2"/>
    <x v="1"/>
  </r>
  <r>
    <x v="123"/>
    <n v="3.95549821345915E-2"/>
    <x v="1"/>
  </r>
  <r>
    <x v="124"/>
    <n v="-6.2650725633177598E-2"/>
    <x v="0"/>
  </r>
  <r>
    <x v="125"/>
    <n v="-7.4974527092703802E-3"/>
    <x v="0"/>
  </r>
  <r>
    <x v="126"/>
    <n v="3.1332314530530599E-2"/>
    <x v="1"/>
  </r>
  <r>
    <x v="127"/>
    <n v="4.0589464130841697E-2"/>
    <x v="1"/>
  </r>
  <r>
    <x v="128"/>
    <n v="4.3583062218506302E-2"/>
    <x v="1"/>
  </r>
  <r>
    <x v="129"/>
    <n v="8.5327639481440603E-3"/>
    <x v="1"/>
  </r>
  <r>
    <x v="130"/>
    <n v="-5.0587151935872496E-3"/>
    <x v="0"/>
  </r>
  <r>
    <x v="131"/>
    <n v="0.10772303853581"/>
    <x v="1"/>
  </r>
  <r>
    <x v="132"/>
    <n v="-7.1761988303760099E-2"/>
    <x v="0"/>
  </r>
  <r>
    <x v="133"/>
    <n v="-5.6791107463597598E-2"/>
    <x v="0"/>
  </r>
  <r>
    <x v="134"/>
    <n v="-2.1474425791951999E-2"/>
    <x v="0"/>
  </r>
  <r>
    <x v="135"/>
    <n v="-1.8257461265697099E-2"/>
    <x v="0"/>
  </r>
  <r>
    <x v="136"/>
    <n v="-1.3500952766930601E-2"/>
    <x v="0"/>
  </r>
  <r>
    <x v="137"/>
    <n v="2.8495380443795099E-2"/>
    <x v="1"/>
  </r>
  <r>
    <x v="138"/>
    <n v="-1.0473132038185699E-3"/>
    <x v="0"/>
  </r>
  <r>
    <x v="139"/>
    <n v="3.1956564052952198E-2"/>
    <x v="1"/>
  </r>
  <r>
    <x v="140"/>
    <n v="2.2645573980086799E-2"/>
    <x v="1"/>
  </r>
  <r>
    <x v="141"/>
    <n v="6.5300040489854702E-2"/>
    <x v="1"/>
  </r>
  <r>
    <x v="142"/>
    <n v="-2.29024979894321E-3"/>
    <x v="0"/>
  </r>
  <r>
    <x v="143"/>
    <n v="3.68559943970765E-2"/>
    <x v="1"/>
  </r>
  <r>
    <x v="144"/>
    <n v="8.7551102944020104E-2"/>
    <x v="1"/>
  </r>
  <r>
    <x v="145"/>
    <n v="-4.7449184040287203E-2"/>
    <x v="0"/>
  </r>
  <r>
    <x v="146"/>
    <n v="6.8777849911552294E-2"/>
    <x v="1"/>
  </r>
  <r>
    <x v="147"/>
    <n v="-5.3882442026415102E-2"/>
    <x v="0"/>
  </r>
  <r>
    <x v="148"/>
    <n v="-8.1975841910334496E-2"/>
    <x v="0"/>
  </r>
  <r>
    <x v="149"/>
    <n v="1.47592298837911E-2"/>
    <x v="1"/>
  </r>
  <r>
    <x v="150"/>
    <n v="5.8796426031891801E-2"/>
    <x v="1"/>
  </r>
  <r>
    <x v="151"/>
    <n v="2.8513688940531301E-2"/>
    <x v="1"/>
  </r>
  <r>
    <x v="152"/>
    <n v="-3.6974246154947397E-2"/>
    <x v="0"/>
  </r>
  <r>
    <x v="153"/>
    <n v="1.7770571188400398E-2"/>
    <x v="1"/>
  </r>
  <r>
    <x v="154"/>
    <n v="5.7364061981373601E-2"/>
    <x v="1"/>
  </r>
  <r>
    <x v="155"/>
    <n v="-1.9762000860415501E-2"/>
    <x v="0"/>
  </r>
  <r>
    <x v="156"/>
    <n v="3.5723345788458698E-2"/>
    <x v="1"/>
  </r>
  <r>
    <x v="157"/>
    <n v="3.3560189240494899E-2"/>
    <x v="1"/>
  </r>
  <r>
    <x v="158"/>
    <n v="7.4141727016716605E-2"/>
    <x v="1"/>
  </r>
  <r>
    <x v="159"/>
    <n v="1.9582653030303401E-4"/>
    <x v="1"/>
  </r>
  <r>
    <x v="160"/>
    <n v="5.3081446255385502E-2"/>
    <x v="1"/>
  </r>
  <r>
    <x v="161"/>
    <n v="9.3925079862164695E-2"/>
    <x v="1"/>
  </r>
  <r>
    <x v="162"/>
    <n v="8.5404461622494696E-2"/>
    <x v="1"/>
  </r>
  <r>
    <x v="163"/>
    <n v="-0.109931197571492"/>
    <x v="0"/>
  </r>
  <r>
    <x v="164"/>
    <n v="-8.5657342928314395E-2"/>
    <x v="0"/>
  </r>
  <r>
    <x v="165"/>
    <n v="7.8215768970539799E-3"/>
    <x v="1"/>
  </r>
  <r>
    <x v="166"/>
    <n v="-7.4849042580645203E-2"/>
    <x v="0"/>
  </r>
  <r>
    <x v="167"/>
    <n v="-0.16942452376742001"/>
    <x v="0"/>
  </r>
  <r>
    <x v="168"/>
    <n v="-9.0791433779084593E-2"/>
    <x v="0"/>
  </r>
  <r>
    <x v="169"/>
    <n v="1.2190464532379999E-2"/>
    <x v="1"/>
  </r>
  <r>
    <x v="170"/>
    <n v="-9.8593710937500099E-3"/>
    <x v="0"/>
  </r>
  <r>
    <x v="171"/>
    <n v="-8.5962384902803599E-2"/>
    <x v="0"/>
  </r>
  <r>
    <x v="172"/>
    <n v="1.06741816575771E-2"/>
    <x v="1"/>
  </r>
  <r>
    <x v="173"/>
    <n v="4.7546697913198897E-2"/>
    <x v="1"/>
  </r>
  <r>
    <x v="174"/>
    <n v="-5.95962361452984E-3"/>
    <x v="0"/>
  </r>
  <r>
    <x v="175"/>
    <n v="-3.4761192772624502E-2"/>
    <x v="0"/>
  </r>
  <r>
    <x v="176"/>
    <n v="-6.1163431935936402E-2"/>
    <x v="0"/>
  </r>
  <r>
    <x v="177"/>
    <n v="-8.6285090339686104E-3"/>
    <x v="0"/>
  </r>
  <r>
    <x v="178"/>
    <n v="-4.4043417224814398E-2"/>
    <x v="0"/>
  </r>
  <r>
    <x v="179"/>
    <n v="1.48223383003112E-2"/>
    <x v="1"/>
  </r>
  <r>
    <x v="180"/>
    <n v="3.5794008343299502E-2"/>
    <x v="1"/>
  </r>
  <r>
    <x v="181"/>
    <n v="1.2863571531556799E-2"/>
    <x v="1"/>
  </r>
  <r>
    <x v="182"/>
    <n v="-3.1981878316802499E-2"/>
    <x v="0"/>
  </r>
  <r>
    <x v="183"/>
    <n v="-1.7816322202167601E-2"/>
    <x v="0"/>
  </r>
  <r>
    <x v="184"/>
    <n v="3.2549228709934902E-2"/>
    <x v="1"/>
  </r>
  <r>
    <x v="185"/>
    <n v="4.3290690602424201E-2"/>
    <x v="1"/>
  </r>
  <r>
    <x v="186"/>
    <n v="9.9799828968305491E-3"/>
    <x v="1"/>
  </r>
  <r>
    <x v="187"/>
    <n v="-2.1846176033528199E-2"/>
    <x v="0"/>
  </r>
  <r>
    <x v="188"/>
    <n v="1.4059042735039801E-2"/>
    <x v="1"/>
  </r>
  <r>
    <x v="189"/>
    <n v="1.26157828526599E-2"/>
    <x v="1"/>
  </r>
  <r>
    <x v="190"/>
    <n v="1.64666567278202E-2"/>
    <x v="1"/>
  </r>
  <r>
    <x v="191"/>
    <n v="3.1508002961554198E-2"/>
    <x v="1"/>
  </r>
  <r>
    <x v="192"/>
    <n v="2.45662985125095E-2"/>
    <x v="1"/>
  </r>
  <r>
    <x v="193"/>
    <n v="2.12741930323481E-2"/>
    <x v="1"/>
  </r>
  <r>
    <x v="194"/>
    <n v="5.0858787979908299E-3"/>
    <x v="1"/>
  </r>
  <r>
    <x v="195"/>
    <n v="8.6596227782509403E-5"/>
    <x v="1"/>
  </r>
  <r>
    <x v="196"/>
    <n v="-3.0916916141150899E-2"/>
    <x v="0"/>
  </r>
  <r>
    <x v="197"/>
    <n v="1.21556527379414E-2"/>
    <x v="1"/>
  </r>
  <r>
    <x v="198"/>
    <n v="1.10958104592496E-2"/>
    <x v="1"/>
  </r>
  <r>
    <x v="199"/>
    <n v="4.53157630725398E-4"/>
    <x v="1"/>
  </r>
  <r>
    <x v="200"/>
    <n v="2.5466771348641601E-2"/>
    <x v="1"/>
  </r>
  <r>
    <x v="201"/>
    <n v="-9.5234899241847205E-4"/>
    <x v="0"/>
  </r>
  <r>
    <x v="202"/>
    <n v="3.5186095929726498E-2"/>
    <x v="1"/>
  </r>
  <r>
    <x v="203"/>
    <n v="-1.7740780066319399E-2"/>
    <x v="0"/>
  </r>
  <r>
    <x v="204"/>
    <n v="6.9490246947603298E-3"/>
    <x v="1"/>
  </r>
  <r>
    <x v="205"/>
    <n v="-1.12221048744966E-2"/>
    <x v="0"/>
  </r>
  <r>
    <x v="206"/>
    <n v="3.5968287193812301E-2"/>
    <x v="1"/>
  </r>
  <r>
    <x v="207"/>
    <n v="-1.42714225765839E-4"/>
    <x v="0"/>
  </r>
  <r>
    <x v="208"/>
    <n v="2.9952046262565798E-2"/>
    <x v="1"/>
  </r>
  <r>
    <x v="209"/>
    <n v="-2.0108581881679299E-2"/>
    <x v="0"/>
  </r>
  <r>
    <x v="210"/>
    <n v="-1.9117655748441001E-2"/>
    <x v="0"/>
  </r>
  <r>
    <x v="211"/>
    <n v="1.8903346078316601E-2"/>
    <x v="1"/>
  </r>
  <r>
    <x v="212"/>
    <n v="-2.5290467099494601E-2"/>
    <x v="0"/>
  </r>
  <r>
    <x v="213"/>
    <n v="3.24582131440454E-2"/>
    <x v="1"/>
  </r>
  <r>
    <x v="214"/>
    <n v="3.8594936198152401E-2"/>
    <x v="1"/>
  </r>
  <r>
    <x v="215"/>
    <n v="1.4014243586487E-2"/>
    <x v="1"/>
  </r>
  <r>
    <x v="216"/>
    <n v="9.3638756915515008E-3"/>
    <x v="1"/>
  </r>
  <r>
    <x v="217"/>
    <n v="2.28734984055223E-3"/>
    <x v="1"/>
  </r>
  <r>
    <x v="218"/>
    <n v="-3.4290519411905002E-2"/>
    <x v="0"/>
  </r>
  <r>
    <x v="219"/>
    <n v="1.7988998669195701E-2"/>
    <x v="1"/>
  </r>
  <r>
    <x v="220"/>
    <n v="1.2083450201310301E-2"/>
    <x v="1"/>
  </r>
  <r>
    <x v="221"/>
    <n v="-1.6790751862298701E-2"/>
    <x v="0"/>
  </r>
  <r>
    <x v="222"/>
    <n v="-1.6358919214261199E-2"/>
    <x v="0"/>
  </r>
  <r>
    <x v="223"/>
    <n v="1.22089732735895E-2"/>
    <x v="1"/>
  </r>
  <r>
    <x v="224"/>
    <n v="1.7276387006114599E-2"/>
    <x v="1"/>
  </r>
  <r>
    <x v="225"/>
    <n v="5.0765541001239298E-2"/>
    <x v="1"/>
  </r>
  <r>
    <x v="226"/>
    <n v="7.1285038478854403E-3"/>
    <x v="1"/>
  </r>
  <r>
    <x v="227"/>
    <n v="5.4961486384010702E-2"/>
    <x v="1"/>
  </r>
  <r>
    <x v="228"/>
    <n v="-1.1944364520745199E-2"/>
    <x v="0"/>
  </r>
  <r>
    <x v="229"/>
    <n v="1.7873203376464399E-2"/>
    <x v="1"/>
  </r>
  <r>
    <x v="230"/>
    <n v="1.62237024114931E-2"/>
    <x v="1"/>
  </r>
  <r>
    <x v="231"/>
    <n v="1.13222145251615E-2"/>
    <x v="1"/>
  </r>
  <r>
    <x v="232"/>
    <n v="5.0898709664177998E-2"/>
    <x v="1"/>
  </r>
  <r>
    <x v="233"/>
    <n v="8.1044106872726104E-2"/>
    <x v="1"/>
  </r>
  <r>
    <x v="234"/>
    <n v="8.3575685661514392E-3"/>
    <x v="1"/>
  </r>
  <r>
    <x v="235"/>
    <n v="-1.7003608502929399E-2"/>
    <x v="0"/>
  </r>
  <r>
    <x v="236"/>
    <n v="-2.74146925599522E-2"/>
    <x v="0"/>
  </r>
  <r>
    <x v="237"/>
    <n v="-6.0332572674290597E-2"/>
    <x v="0"/>
  </r>
  <r>
    <x v="238"/>
    <n v="5.7069620923617899E-2"/>
    <x v="1"/>
  </r>
  <r>
    <x v="239"/>
    <n v="8.6448801016809906E-2"/>
    <x v="1"/>
  </r>
  <r>
    <x v="240"/>
    <n v="-0.110024318261519"/>
    <x v="0"/>
  </r>
  <r>
    <x v="241"/>
    <n v="4.8814330800193203E-3"/>
    <x v="1"/>
  </r>
  <r>
    <x v="242"/>
    <n v="-7.9004274966125304E-2"/>
    <x v="0"/>
  </r>
  <r>
    <x v="243"/>
    <n v="-7.2455354417573697E-2"/>
    <x v="0"/>
  </r>
  <r>
    <x v="244"/>
    <n v="-9.0814810760454501E-3"/>
    <x v="0"/>
  </r>
  <r>
    <x v="245"/>
    <n v="-6.1417626159139899E-2"/>
    <x v="0"/>
  </r>
  <r>
    <x v="246"/>
    <n v="3.67388936188391E-2"/>
    <x v="1"/>
  </r>
  <r>
    <x v="247"/>
    <n v="-2.0766211305560299E-2"/>
    <x v="0"/>
  </r>
  <r>
    <x v="248"/>
    <n v="-1.55738325597943E-2"/>
    <x v="0"/>
  </r>
  <r>
    <x v="249"/>
    <n v="7.5738341929156797E-3"/>
    <x v="1"/>
  </r>
  <r>
    <x v="250"/>
    <n v="7.5175904263053497E-2"/>
    <x v="1"/>
  </r>
  <r>
    <x v="251"/>
    <n v="1.8099111445277798E-2"/>
    <x v="1"/>
  </r>
  <r>
    <x v="252"/>
    <n v="-8.1723406019716199E-2"/>
    <x v="0"/>
  </r>
  <r>
    <x v="253"/>
    <n v="-6.4108406563714707E-2"/>
    <x v="0"/>
  </r>
  <r>
    <x v="254"/>
    <n v="-1.0740150072934201E-2"/>
    <x v="0"/>
  </r>
  <r>
    <x v="255"/>
    <n v="-2.5035389109833502E-2"/>
    <x v="0"/>
  </r>
  <r>
    <x v="256"/>
    <n v="5.0901871196495901E-3"/>
    <x v="1"/>
  </r>
  <r>
    <x v="257"/>
    <n v="7.6814361759009797E-2"/>
    <x v="1"/>
  </r>
  <r>
    <x v="258"/>
    <n v="-6.4204710540895493E-2"/>
    <x v="0"/>
  </r>
  <r>
    <x v="259"/>
    <n v="-9.2290735848999994E-2"/>
    <x v="0"/>
  </r>
  <r>
    <x v="260"/>
    <n v="3.4636577086329501E-2"/>
    <x v="1"/>
  </r>
  <r>
    <x v="261"/>
    <n v="4.0534455291978402E-3"/>
    <x v="1"/>
  </r>
  <r>
    <x v="262"/>
    <n v="-8.0068609961069903E-2"/>
    <x v="0"/>
  </r>
  <r>
    <x v="263"/>
    <n v="-4.9494858723608797E-3"/>
    <x v="0"/>
  </r>
  <r>
    <x v="264"/>
    <n v="-5.3482974745611297E-2"/>
    <x v="0"/>
  </r>
  <r>
    <x v="265"/>
    <n v="6.0699105184235998E-2"/>
    <x v="1"/>
  </r>
  <r>
    <x v="266"/>
    <n v="-1.6341276221772699E-2"/>
    <x v="0"/>
  </r>
  <r>
    <x v="267"/>
    <n v="2.3933549608901299E-2"/>
    <x v="1"/>
  </r>
  <r>
    <x v="268"/>
    <n v="-2.1915050512993601E-2"/>
    <x v="0"/>
  </r>
  <r>
    <x v="269"/>
    <n v="-3.0795755551931401E-2"/>
    <x v="0"/>
  </r>
  <r>
    <x v="270"/>
    <n v="9.6719828269732397E-2"/>
    <x v="1"/>
  </r>
  <r>
    <x v="271"/>
    <n v="-2.0108083261058299E-2"/>
    <x v="0"/>
  </r>
  <r>
    <x v="272"/>
    <n v="-5.0903548749361899E-2"/>
    <x v="0"/>
  </r>
  <r>
    <x v="273"/>
    <n v="5.7843894876779399E-2"/>
    <x v="1"/>
  </r>
  <r>
    <x v="274"/>
    <n v="1.9061858621249601E-2"/>
    <x v="1"/>
  </r>
  <r>
    <x v="275"/>
    <n v="6.2539541625965298E-2"/>
    <x v="1"/>
  </r>
  <r>
    <x v="276"/>
    <n v="-2.85517922684916E-2"/>
    <x v="0"/>
  </r>
  <r>
    <x v="277"/>
    <n v="-6.2540920445004504E-3"/>
    <x v="0"/>
  </r>
  <r>
    <x v="278"/>
    <n v="-3.2046092218893797E-2"/>
    <x v="0"/>
  </r>
  <r>
    <x v="279"/>
    <n v="5.4438331016794198E-2"/>
    <x v="1"/>
  </r>
  <r>
    <x v="280"/>
    <n v="-2.4970480872686801E-2"/>
    <x v="0"/>
  </r>
  <r>
    <x v="281"/>
    <n v="3.7944027915545402E-2"/>
    <x v="1"/>
  </r>
  <r>
    <x v="282"/>
    <n v="3.8794215360158799E-2"/>
    <x v="1"/>
  </r>
  <r>
    <x v="283"/>
    <n v="-3.2282562686194102E-2"/>
    <x v="0"/>
  </r>
  <r>
    <x v="284"/>
    <n v="4.1009441536725297E-2"/>
    <x v="1"/>
  </r>
  <r>
    <x v="285"/>
    <n v="5.63752865757359E-2"/>
    <x v="1"/>
  </r>
  <r>
    <x v="286"/>
    <n v="5.91259963396253E-2"/>
    <x v="1"/>
  </r>
  <r>
    <x v="287"/>
    <n v="8.0294228372442406E-2"/>
    <x v="1"/>
  </r>
  <r>
    <x v="288"/>
    <n v="6.2395515617718902E-2"/>
    <x v="1"/>
  </r>
  <r>
    <x v="289"/>
    <n v="-0.14579671855670701"/>
    <x v="0"/>
  </r>
  <r>
    <x v="290"/>
    <n v="-1.1615327025789501E-2"/>
    <x v="0"/>
  </r>
  <r>
    <x v="291"/>
    <n v="3.9438241075214098E-2"/>
    <x v="1"/>
  </r>
  <r>
    <x v="292"/>
    <n v="-1.8826223521475099E-2"/>
    <x v="0"/>
  </r>
  <r>
    <x v="293"/>
    <n v="9.0764692534604004E-3"/>
    <x v="1"/>
  </r>
  <r>
    <x v="294"/>
    <n v="4.9945714161429497E-2"/>
    <x v="1"/>
  </r>
  <r>
    <x v="295"/>
    <n v="7.0449193043797195E-2"/>
    <x v="1"/>
  </r>
  <r>
    <x v="296"/>
    <n v="1.01501767989975E-2"/>
    <x v="1"/>
  </r>
  <r>
    <x v="297"/>
    <n v="1.5731597888257998E-2"/>
    <x v="1"/>
  </r>
  <r>
    <x v="298"/>
    <n v="4.4586854893763801E-2"/>
    <x v="1"/>
  </r>
  <r>
    <x v="299"/>
    <n v="-3.4477697196337802E-2"/>
    <x v="0"/>
  </r>
  <r>
    <x v="300"/>
    <n v="5.3153589937912499E-2"/>
    <x v="1"/>
  </r>
  <r>
    <x v="301"/>
    <n v="-5.7465631833399297E-2"/>
    <x v="0"/>
  </r>
  <r>
    <x v="302"/>
    <n v="7.8145809507889102E-2"/>
    <x v="1"/>
  </r>
  <r>
    <x v="303"/>
    <n v="4.3452615574897498E-2"/>
    <x v="1"/>
  </r>
  <r>
    <x v="304"/>
    <n v="5.8576884241924997E-2"/>
    <x v="1"/>
  </r>
  <r>
    <x v="305"/>
    <n v="5.8405579422057E-2"/>
    <x v="1"/>
  </r>
  <r>
    <x v="306"/>
    <n v="-4.2614010396426399E-2"/>
    <x v="0"/>
  </r>
  <r>
    <x v="307"/>
    <n v="5.9275900071804602E-3"/>
    <x v="1"/>
  </r>
  <r>
    <x v="308"/>
    <n v="6.1317039194819199E-2"/>
    <x v="1"/>
  </r>
  <r>
    <x v="309"/>
    <n v="-2.1505415404998202E-2"/>
    <x v="0"/>
  </r>
  <r>
    <x v="310"/>
    <n v="7.3376151732636993E-2"/>
    <x v="1"/>
  </r>
  <r>
    <x v="311"/>
    <n v="2.61010032390308E-2"/>
    <x v="1"/>
  </r>
  <r>
    <x v="312"/>
    <n v="5.4203327569492199E-2"/>
    <x v="1"/>
  </r>
  <r>
    <x v="313"/>
    <n v="1.8813935110919298E-2"/>
    <x v="1"/>
  </r>
  <r>
    <x v="314"/>
    <n v="-4.5748017194667499E-2"/>
    <x v="0"/>
  </r>
  <r>
    <x v="315"/>
    <n v="2.2567103229369501E-3"/>
    <x v="1"/>
  </r>
  <r>
    <x v="316"/>
    <n v="2.2853405672084999E-2"/>
    <x v="1"/>
  </r>
  <r>
    <x v="317"/>
    <n v="1.34314221533696E-2"/>
    <x v="1"/>
  </r>
  <r>
    <x v="318"/>
    <n v="7.9165670805803091E-3"/>
    <x v="1"/>
  </r>
  <r>
    <x v="319"/>
    <n v="6.9337015523502901E-3"/>
    <x v="1"/>
  </r>
  <r>
    <x v="320"/>
    <n v="3.2617387086717201E-2"/>
    <x v="1"/>
  </r>
  <r>
    <x v="321"/>
    <n v="1.7443874138492799E-2"/>
    <x v="1"/>
  </r>
  <r>
    <x v="322"/>
    <n v="4.1049002579535802E-2"/>
    <x v="1"/>
  </r>
  <r>
    <x v="323"/>
    <n v="-4.9793349436904099E-3"/>
    <x v="0"/>
  </r>
  <r>
    <x v="324"/>
    <n v="4.0097472413171298E-2"/>
    <x v="1"/>
  </r>
  <r>
    <x v="325"/>
    <n v="-3.2023805401637501E-4"/>
    <x v="0"/>
  </r>
  <r>
    <x v="326"/>
    <n v="3.1776040385497903E-2"/>
    <x v="1"/>
  </r>
  <r>
    <x v="327"/>
    <n v="2.1278544224437399E-2"/>
    <x v="1"/>
  </r>
  <r>
    <x v="328"/>
    <n v="3.6311711839953402E-2"/>
    <x v="1"/>
  </r>
  <r>
    <x v="329"/>
    <n v="2.7960358793799302E-2"/>
    <x v="1"/>
  </r>
  <r>
    <x v="330"/>
    <n v="2.7329193438646801E-2"/>
    <x v="1"/>
  </r>
  <r>
    <x v="331"/>
    <n v="3.6074149761991602E-2"/>
    <x v="1"/>
  </r>
  <r>
    <x v="332"/>
    <n v="2.4277710860833E-2"/>
    <x v="1"/>
  </r>
  <r>
    <x v="333"/>
    <n v="1.22991182864991E-2"/>
    <x v="1"/>
  </r>
  <r>
    <x v="334"/>
    <n v="-3.9504612602884202E-2"/>
    <x v="0"/>
  </r>
  <r>
    <x v="335"/>
    <n v="2.0833816402291601E-2"/>
    <x v="1"/>
  </r>
  <r>
    <x v="336"/>
    <n v="-2.68775353188823E-2"/>
    <x v="0"/>
  </r>
  <r>
    <x v="337"/>
    <n v="3.7598698607805597E-2"/>
    <x v="1"/>
  </r>
  <r>
    <x v="338"/>
    <n v="3.1489907818193802E-2"/>
    <x v="1"/>
  </r>
  <r>
    <x v="339"/>
    <n v="-2.67908236582695E-2"/>
    <x v="0"/>
  </r>
  <r>
    <x v="340"/>
    <n v="1.23971434441716E-2"/>
    <x v="1"/>
  </r>
  <r>
    <x v="341"/>
    <n v="1.1530643889981601E-2"/>
    <x v="1"/>
  </r>
  <r>
    <x v="342"/>
    <n v="-4.5746511353774701E-2"/>
    <x v="0"/>
  </r>
  <r>
    <x v="343"/>
    <n v="-3.00449958486637E-2"/>
    <x v="0"/>
  </r>
  <r>
    <x v="344"/>
    <n v="3.2500745224549397E-2"/>
    <x v="1"/>
  </r>
  <r>
    <x v="345"/>
    <n v="1.0091173280450901E-2"/>
    <x v="1"/>
  </r>
  <r>
    <x v="346"/>
    <n v="-1.2910626013377001E-2"/>
    <x v="0"/>
  </r>
  <r>
    <x v="347"/>
    <n v="1.9392922963742801E-2"/>
    <x v="1"/>
  </r>
  <r>
    <x v="348"/>
    <n v="-9.9879304080935406E-3"/>
    <x v="0"/>
  </r>
  <r>
    <x v="349"/>
    <n v="3.4431956860375902E-2"/>
    <x v="1"/>
  </r>
  <r>
    <x v="350"/>
    <n v="-5.3270459355138104E-3"/>
    <x v="0"/>
  </r>
  <r>
    <x v="351"/>
    <n v="7.55230010638819E-4"/>
    <x v="1"/>
  </r>
  <r>
    <x v="352"/>
    <n v="2.2717462810525099E-2"/>
    <x v="1"/>
  </r>
  <r>
    <x v="353"/>
    <n v="-2.54168102144962E-2"/>
    <x v="0"/>
  </r>
  <r>
    <x v="354"/>
    <n v="1.8697297817929399E-2"/>
    <x v="1"/>
  </r>
  <r>
    <x v="355"/>
    <n v="1.0483627354217699E-2"/>
    <x v="1"/>
  </r>
  <r>
    <x v="356"/>
    <n v="7.0459894503542798E-3"/>
    <x v="1"/>
  </r>
  <r>
    <x v="357"/>
    <n v="1.01077661744602E-2"/>
    <x v="1"/>
  </r>
  <r>
    <x v="358"/>
    <n v="3.02618066586238E-2"/>
    <x v="1"/>
  </r>
  <r>
    <x v="359"/>
    <n v="2.1062829709799199E-3"/>
    <x v="1"/>
  </r>
  <r>
    <x v="360"/>
    <n v="9.1055938195434595E-3"/>
    <x v="1"/>
  </r>
  <r>
    <x v="361"/>
    <n v="-2.3997530034600301E-2"/>
    <x v="0"/>
  </r>
  <r>
    <x v="362"/>
    <n v="3.9373684053008097E-2"/>
    <x v="1"/>
  </r>
  <r>
    <x v="363"/>
    <n v="-1.7358832059340301E-2"/>
    <x v="0"/>
  </r>
  <r>
    <x v="364"/>
    <n v="9.6395707538854403E-4"/>
    <x v="1"/>
  </r>
  <r>
    <x v="365"/>
    <n v="2.78927145686407E-2"/>
    <x v="1"/>
  </r>
  <r>
    <x v="366"/>
    <n v="-2.1831862704186199E-2"/>
    <x v="0"/>
  </r>
  <r>
    <x v="367"/>
    <n v="9.5895420754186205E-3"/>
    <x v="1"/>
  </r>
  <r>
    <x v="368"/>
    <n v="-1.9923750460799899E-2"/>
    <x v="0"/>
  </r>
  <r>
    <x v="369"/>
    <n v="0.1115878548276"/>
    <x v="1"/>
  </r>
  <r>
    <x v="370"/>
    <n v="-4.3903708684304897E-2"/>
    <x v="0"/>
  </r>
  <r>
    <x v="371"/>
    <n v="1.1834237037883701E-2"/>
    <x v="1"/>
  </r>
  <r>
    <x v="372"/>
    <n v="-1.9143737536368399E-2"/>
    <x v="0"/>
  </r>
  <r>
    <x v="373"/>
    <n v="1.96487842997797E-2"/>
    <x v="1"/>
  </r>
  <r>
    <x v="374"/>
    <n v="4.4859343195825498E-2"/>
    <x v="1"/>
  </r>
  <r>
    <x v="375"/>
    <n v="-4.7892629152718302E-2"/>
    <x v="0"/>
  </r>
  <r>
    <x v="376"/>
    <n v="3.8604974568177998E-2"/>
    <x v="1"/>
  </r>
  <r>
    <x v="377"/>
    <n v="3.1979905037093898E-4"/>
    <x v="1"/>
  </r>
  <r>
    <x v="378"/>
    <n v="2.22028328236583E-2"/>
    <x v="1"/>
  </r>
  <r>
    <x v="379"/>
    <n v="6.7281174863978596E-2"/>
    <x v="1"/>
  </r>
  <r>
    <x v="380"/>
    <n v="4.1517751676101597E-2"/>
    <x v="1"/>
  </r>
  <r>
    <x v="381"/>
    <n v="2.4827757355757599E-2"/>
    <x v="1"/>
  </r>
  <r>
    <x v="382"/>
    <n v="5.9934213815789401E-2"/>
    <x v="1"/>
  </r>
  <r>
    <x v="383"/>
    <n v="-6.6982129729734599E-3"/>
    <x v="0"/>
  </r>
  <r>
    <x v="384"/>
    <n v="-5.1184307112997998E-2"/>
    <x v="0"/>
  </r>
  <r>
    <x v="385"/>
    <n v="-9.43141838154853E-2"/>
    <x v="0"/>
  </r>
  <r>
    <x v="386"/>
    <n v="-5.2231580846174904E-3"/>
    <x v="0"/>
  </r>
  <r>
    <x v="387"/>
    <n v="-8.8863657565815303E-3"/>
    <x v="0"/>
  </r>
  <r>
    <x v="388"/>
    <n v="9.1989190156802597E-2"/>
    <x v="1"/>
  </r>
  <r>
    <x v="389"/>
    <n v="-2.6887138748678398E-2"/>
    <x v="0"/>
  </r>
  <r>
    <x v="390"/>
    <n v="2.4254983989199001E-2"/>
    <x v="1"/>
  </r>
  <r>
    <x v="391"/>
    <n v="8.5390425155207304E-3"/>
    <x v="1"/>
  </r>
  <r>
    <x v="392"/>
    <n v="-6.8817225277032601E-2"/>
    <x v="0"/>
  </r>
  <r>
    <x v="393"/>
    <n v="2.1416816133900299E-2"/>
    <x v="1"/>
  </r>
  <r>
    <x v="394"/>
    <n v="1.65413246213417E-2"/>
    <x v="1"/>
  </r>
  <r>
    <x v="395"/>
    <n v="-2.5175452244172201E-2"/>
    <x v="0"/>
  </r>
  <r>
    <x v="396"/>
    <n v="-6.5443673964080702E-3"/>
    <x v="0"/>
  </r>
  <r>
    <x v="397"/>
    <n v="1.5516716371120299E-2"/>
    <x v="1"/>
  </r>
  <r>
    <x v="398"/>
    <n v="8.8370259223621503E-2"/>
    <x v="1"/>
  </r>
  <r>
    <x v="399"/>
    <n v="-7.9245541219584697E-3"/>
    <x v="0"/>
  </r>
  <r>
    <x v="400"/>
    <n v="3.5137493453486698E-2"/>
    <x v="1"/>
  </r>
  <r>
    <x v="401"/>
    <n v="5.0089938788108898E-2"/>
    <x v="1"/>
  </r>
  <r>
    <x v="402"/>
    <n v="2.0805962445785E-2"/>
    <x v="1"/>
  </r>
  <r>
    <x v="403"/>
    <n v="-2.8944148892513202E-2"/>
    <x v="0"/>
  </r>
  <r>
    <x v="404"/>
    <n v="7.1114791620643797E-2"/>
    <x v="1"/>
  </r>
  <r>
    <x v="405"/>
    <n v="1.46875733421599E-2"/>
    <x v="1"/>
  </r>
  <r>
    <x v="406"/>
    <n v="-1.88908806721481E-2"/>
    <x v="0"/>
  </r>
  <r>
    <x v="407"/>
    <n v="2.5964462124019601E-2"/>
    <x v="1"/>
  </r>
  <r>
    <x v="408"/>
    <n v="3.9729334035724498E-2"/>
    <x v="1"/>
  </r>
  <r>
    <x v="409"/>
    <n v="-3.8600104494526701E-2"/>
    <x v="0"/>
  </r>
  <r>
    <x v="410"/>
    <n v="-5.4113747714807899E-3"/>
    <x v="0"/>
  </r>
  <r>
    <x v="411"/>
    <n v="4.3256010935977897E-2"/>
    <x v="1"/>
  </r>
  <r>
    <x v="412"/>
    <n v="3.1761261289926499E-3"/>
    <x v="1"/>
  </r>
  <r>
    <x v="413"/>
    <n v="9.4247435537442303E-3"/>
    <x v="1"/>
  </r>
  <r>
    <x v="414"/>
    <n v="-3.33432595272838E-2"/>
    <x v="0"/>
  </r>
  <r>
    <x v="415"/>
    <n v="4.1817402681285899E-2"/>
    <x v="1"/>
  </r>
  <r>
    <x v="416"/>
    <n v="4.0432268573479903E-2"/>
    <x v="1"/>
  </r>
  <r>
    <x v="417"/>
    <n v="7.2861479728248302E-2"/>
    <x v="1"/>
  </r>
  <r>
    <x v="418"/>
    <n v="-8.5348864519806403E-2"/>
    <x v="0"/>
  </r>
  <r>
    <x v="419"/>
    <n v="-0.21763041614888401"/>
    <x v="0"/>
  </r>
  <r>
    <x v="420"/>
    <n v="-2.4166165221328001E-2"/>
    <x v="0"/>
  </r>
  <r>
    <x v="421"/>
    <n v="3.4958839704276198E-2"/>
    <x v="1"/>
  </r>
  <r>
    <x v="422"/>
    <n v="4.8223697368421102E-2"/>
    <x v="1"/>
  </r>
  <r>
    <x v="423"/>
    <n v="4.7914490563643698E-2"/>
    <x v="1"/>
  </r>
  <r>
    <x v="424"/>
    <n v="6.0341971511754799E-3"/>
    <x v="1"/>
  </r>
  <r>
    <x v="425"/>
    <n v="-1.1450212076097E-2"/>
    <x v="0"/>
  </r>
  <r>
    <x v="426"/>
    <n v="2.6389865177064199E-2"/>
    <x v="1"/>
  </r>
  <r>
    <x v="427"/>
    <n v="3.6923618943399898E-2"/>
    <x v="1"/>
  </r>
  <r>
    <x v="428"/>
    <n v="0.13176689624451399"/>
    <x v="1"/>
  </r>
  <r>
    <x v="429"/>
    <n v="-2.8288271293281899E-2"/>
    <x v="0"/>
  </r>
  <r>
    <x v="430"/>
    <n v="2.1477191105454301E-2"/>
    <x v="1"/>
  </r>
  <r>
    <x v="431"/>
    <n v="5.4729330005596898E-2"/>
    <x v="1"/>
  </r>
  <r>
    <x v="432"/>
    <n v="-8.5438605930772196E-2"/>
    <x v="0"/>
  </r>
  <r>
    <x v="433"/>
    <n v="7.1192606962404897E-2"/>
    <x v="1"/>
  </r>
  <r>
    <x v="434"/>
    <n v="-5.8682830628015298E-2"/>
    <x v="0"/>
  </r>
  <r>
    <x v="435"/>
    <n v="1.41095205795143E-2"/>
    <x v="1"/>
  </r>
  <r>
    <x v="436"/>
    <n v="5.0229287530073198E-2"/>
    <x v="1"/>
  </r>
  <r>
    <x v="437"/>
    <n v="-1.41481376512718E-2"/>
    <x v="0"/>
  </r>
  <r>
    <x v="438"/>
    <n v="5.27939190269162E-2"/>
    <x v="1"/>
  </r>
  <r>
    <x v="439"/>
    <n v="7.1489276945364305E-2"/>
    <x v="1"/>
  </r>
  <r>
    <x v="440"/>
    <n v="2.3665278415681001E-3"/>
    <x v="1"/>
  </r>
  <r>
    <x v="441"/>
    <n v="4.5061092595944902E-2"/>
    <x v="1"/>
  </r>
  <r>
    <x v="442"/>
    <n v="6.5061587528020701E-2"/>
    <x v="1"/>
  </r>
  <r>
    <x v="443"/>
    <n v="4.25088143397538E-2"/>
    <x v="1"/>
  </r>
  <r>
    <x v="444"/>
    <n v="-3.47240779641605E-2"/>
    <x v="0"/>
  </r>
  <r>
    <x v="445"/>
    <n v="-1.19945161533052E-2"/>
    <x v="0"/>
  </r>
  <r>
    <x v="446"/>
    <n v="-4.8475786860283599E-3"/>
    <x v="0"/>
  </r>
  <r>
    <x v="447"/>
    <n v="1.2134017217609899E-2"/>
    <x v="1"/>
  </r>
  <r>
    <x v="448"/>
    <n v="5.4051053171872802E-2"/>
    <x v="1"/>
  </r>
  <r>
    <x v="449"/>
    <n v="-4.59427643984767E-3"/>
    <x v="0"/>
  </r>
  <r>
    <x v="450"/>
    <n v="-2.8700133573800199E-3"/>
    <x v="0"/>
  </r>
  <r>
    <x v="451"/>
    <n v="8.6287811437737397E-3"/>
    <x v="1"/>
  </r>
  <r>
    <x v="452"/>
    <n v="7.4085144879061801E-2"/>
    <x v="1"/>
  </r>
  <r>
    <x v="453"/>
    <n v="2.2374391461371899E-2"/>
    <x v="1"/>
  </r>
  <r>
    <x v="454"/>
    <n v="-1.51122527572342E-2"/>
    <x v="0"/>
  </r>
  <r>
    <x v="455"/>
    <n v="-6.0264898485318201E-5"/>
    <x v="0"/>
  </r>
  <r>
    <x v="456"/>
    <n v="-3.4796437746430499E-3"/>
    <x v="0"/>
  </r>
  <r>
    <x v="457"/>
    <n v="0.10633206275502299"/>
    <x v="1"/>
  </r>
  <r>
    <x v="458"/>
    <n v="-1.6451162783380002E-2"/>
    <x v="0"/>
  </r>
  <r>
    <x v="459"/>
    <n v="1.7469212537976501E-2"/>
    <x v="1"/>
  </r>
  <r>
    <x v="460"/>
    <n v="-5.9356449996442601E-2"/>
    <x v="0"/>
  </r>
  <r>
    <x v="461"/>
    <n v="5.4655738048687797E-3"/>
    <x v="1"/>
  </r>
  <r>
    <x v="462"/>
    <n v="1.34979945689289E-2"/>
    <x v="1"/>
  </r>
  <r>
    <x v="463"/>
    <n v="-3.8859346701931301E-2"/>
    <x v="0"/>
  </r>
  <r>
    <x v="464"/>
    <n v="-9.2159647396578004E-3"/>
    <x v="0"/>
  </r>
  <r>
    <x v="465"/>
    <n v="-8.8341409435387392E-3"/>
    <x v="0"/>
  </r>
  <r>
    <x v="466"/>
    <n v="1.7425808301574801E-2"/>
    <x v="1"/>
  </r>
  <r>
    <x v="467"/>
    <n v="-1.5174347526823499E-2"/>
    <x v="0"/>
  </r>
  <r>
    <x v="468"/>
    <n v="1.01582302977457E-2"/>
    <x v="1"/>
  </r>
  <r>
    <x v="469"/>
    <n v="1.1318873170753901E-2"/>
    <x v="1"/>
  </r>
  <r>
    <x v="470"/>
    <n v="-3.0303036448956201E-2"/>
    <x v="0"/>
  </r>
  <r>
    <x v="471"/>
    <n v="3.2329577143479102E-2"/>
    <x v="1"/>
  </r>
  <r>
    <x v="472"/>
    <n v="-1.24064592035834E-2"/>
    <x v="0"/>
  </r>
  <r>
    <x v="473"/>
    <n v="7.4986829727328605E-2"/>
    <x v="1"/>
  </r>
  <r>
    <x v="474"/>
    <n v="3.30947525745608E-2"/>
    <x v="1"/>
  </r>
  <r>
    <x v="475"/>
    <n v="1.8995147577526302E-2"/>
    <x v="1"/>
  </r>
  <r>
    <x v="476"/>
    <n v="3.3134272135482798E-2"/>
    <x v="1"/>
  </r>
  <r>
    <x v="477"/>
    <n v="1.5231357938579E-2"/>
    <x v="1"/>
  </r>
  <r>
    <x v="478"/>
    <n v="3.5970669787835301E-2"/>
    <x v="1"/>
  </r>
  <r>
    <x v="479"/>
    <n v="0.110446796386759"/>
    <x v="1"/>
  </r>
  <r>
    <x v="480"/>
    <n v="7.6143919736526601E-3"/>
    <x v="1"/>
  </r>
  <r>
    <x v="481"/>
    <n v="0.115977275785873"/>
    <x v="1"/>
  </r>
  <r>
    <x v="482"/>
    <n v="-2.2990648453693599E-2"/>
    <x v="0"/>
  </r>
  <r>
    <x v="483"/>
    <n v="-2.02895607871709E-2"/>
    <x v="0"/>
  </r>
  <r>
    <x v="484"/>
    <n v="-3.9161842336622503E-2"/>
    <x v="0"/>
  </r>
  <r>
    <x v="485"/>
    <n v="4.0014317970831902E-2"/>
    <x v="1"/>
  </r>
  <r>
    <x v="486"/>
    <n v="-1.0167111571327801E-2"/>
    <x v="0"/>
  </r>
  <r>
    <x v="487"/>
    <n v="-6.0548180057339203E-2"/>
    <x v="0"/>
  </r>
  <r>
    <x v="488"/>
    <n v="-1.7543867379587099E-2"/>
    <x v="0"/>
  </r>
  <r>
    <x v="489"/>
    <n v="-3.00751488733699E-2"/>
    <x v="0"/>
  </r>
  <r>
    <x v="490"/>
    <n v="3.6590360460992302E-2"/>
    <x v="1"/>
  </r>
  <r>
    <x v="491"/>
    <n v="4.9147865381304903E-2"/>
    <x v="1"/>
  </r>
  <r>
    <x v="492"/>
    <n v="-5.3831752961708897E-2"/>
    <x v="0"/>
  </r>
  <r>
    <x v="493"/>
    <n v="-6.2098969784585498E-2"/>
    <x v="0"/>
  </r>
  <r>
    <x v="494"/>
    <n v="-2.2102658679073999E-3"/>
    <x v="0"/>
  </r>
  <r>
    <x v="495"/>
    <n v="-1.04079420893868E-2"/>
    <x v="0"/>
  </r>
  <r>
    <x v="496"/>
    <n v="-1.6565168534976599E-3"/>
    <x v="0"/>
  </r>
  <r>
    <x v="497"/>
    <n v="-2.3455897058823401E-2"/>
    <x v="0"/>
  </r>
  <r>
    <x v="498"/>
    <n v="3.60325729859809E-2"/>
    <x v="1"/>
  </r>
  <r>
    <x v="499"/>
    <n v="1.32767345439582E-2"/>
    <x v="1"/>
  </r>
  <r>
    <x v="500"/>
    <n v="-4.5742429498469003E-2"/>
    <x v="0"/>
  </r>
  <r>
    <x v="501"/>
    <n v="-3.3874244694726899E-2"/>
    <x v="0"/>
  </r>
  <r>
    <x v="502"/>
    <n v="0.102377052621189"/>
    <x v="1"/>
  </r>
  <r>
    <x v="503"/>
    <n v="1.6021058632401199E-2"/>
    <x v="1"/>
  </r>
  <r>
    <x v="504"/>
    <n v="2.5167527990705801E-2"/>
    <x v="1"/>
  </r>
  <r>
    <x v="505"/>
    <n v="5.8354484398035504E-3"/>
    <x v="1"/>
  </r>
  <r>
    <x v="506"/>
    <n v="6.5038516544791994E-2"/>
    <x v="1"/>
  </r>
  <r>
    <x v="507"/>
    <n v="2.69687167739792E-2"/>
    <x v="1"/>
  </r>
  <r>
    <x v="508"/>
    <n v="4.6570674131426501E-2"/>
    <x v="1"/>
  </r>
  <r>
    <x v="509"/>
    <n v="4.1140221026162001E-2"/>
    <x v="1"/>
  </r>
  <r>
    <x v="510"/>
    <n v="-0.101794893478976"/>
    <x v="0"/>
  </r>
  <r>
    <x v="511"/>
    <n v="-4.3798176461170603E-3"/>
    <x v="0"/>
  </r>
  <r>
    <x v="512"/>
    <n v="5.7624623723834902E-2"/>
    <x v="1"/>
  </r>
  <r>
    <x v="513"/>
    <n v="1.6767124462429499E-2"/>
    <x v="1"/>
  </r>
  <r>
    <x v="514"/>
    <n v="4.2624278137890499E-2"/>
    <x v="1"/>
  </r>
  <r>
    <x v="515"/>
    <n v="-6.8605927552140497E-2"/>
    <x v="0"/>
  </r>
  <r>
    <x v="516"/>
    <n v="0"/>
    <x v="0"/>
  </r>
  <r>
    <x v="517"/>
    <n v="5.3077758464073997E-2"/>
    <x v="1"/>
  </r>
  <r>
    <x v="518"/>
    <n v="8.7454471384531603E-3"/>
    <x v="1"/>
  </r>
  <r>
    <x v="519"/>
    <n v="3.8655651218093598E-2"/>
    <x v="1"/>
  </r>
  <r>
    <x v="520"/>
    <n v="-2.63364774698021E-2"/>
    <x v="0"/>
  </r>
  <r>
    <x v="521"/>
    <n v="1.67345217731873E-3"/>
    <x v="1"/>
  </r>
  <r>
    <x v="522"/>
    <n v="5.5151610460652402E-2"/>
    <x v="1"/>
  </r>
  <r>
    <x v="523"/>
    <n v="-3.6525577904533299E-2"/>
    <x v="0"/>
  </r>
  <r>
    <x v="524"/>
    <n v="3.9746113414357499E-2"/>
    <x v="1"/>
  </r>
  <r>
    <x v="525"/>
    <n v="1.48891662583686E-2"/>
    <x v="1"/>
  </r>
  <r>
    <x v="526"/>
    <n v="1.66397741998974E-2"/>
    <x v="1"/>
  </r>
  <r>
    <x v="527"/>
    <n v="-9.1574009249327001E-2"/>
    <x v="0"/>
  </r>
  <r>
    <x v="528"/>
    <n v="-7.2611094272329001E-3"/>
    <x v="0"/>
  </r>
  <r>
    <x v="529"/>
    <n v="2.5923728645212502E-2"/>
    <x v="1"/>
  </r>
  <r>
    <x v="530"/>
    <n v="5.3909777597715799E-2"/>
    <x v="1"/>
  </r>
  <r>
    <x v="531"/>
    <n v="-1.7585345898505699E-2"/>
    <x v="0"/>
  </r>
  <r>
    <x v="532"/>
    <n v="4.2341835333228302E-3"/>
    <x v="1"/>
  </r>
  <r>
    <x v="533"/>
    <n v="8.5416467721292105E-2"/>
    <x v="1"/>
  </r>
  <r>
    <x v="534"/>
    <n v="2.49310429120972E-2"/>
    <x v="1"/>
  </r>
  <r>
    <x v="535"/>
    <n v="-2.4761893557423E-2"/>
    <x v="0"/>
  </r>
  <r>
    <x v="536"/>
    <n v="-6.1514175846775501E-2"/>
    <x v="0"/>
  </r>
  <r>
    <x v="537"/>
    <n v="2.84715801229241E-3"/>
    <x v="1"/>
  </r>
  <r>
    <x v="538"/>
    <n v="2.6965628198641001E-2"/>
    <x v="1"/>
  </r>
  <r>
    <x v="539"/>
    <n v="-4.3406226493382702E-2"/>
    <x v="0"/>
  </r>
  <r>
    <x v="540"/>
    <n v="-2.4800868806474901E-3"/>
    <x v="0"/>
  </r>
  <r>
    <x v="541"/>
    <n v="-2.1041993344299199E-2"/>
    <x v="0"/>
  </r>
  <r>
    <x v="542"/>
    <n v="-1.62221830347676E-2"/>
    <x v="0"/>
  </r>
  <r>
    <x v="543"/>
    <n v="4.5359965292551999E-2"/>
    <x v="1"/>
  </r>
  <r>
    <x v="544"/>
    <n v="-2.3567644787329499E-2"/>
    <x v="0"/>
  </r>
  <r>
    <x v="545"/>
    <n v="2.0325137580279299E-4"/>
    <x v="1"/>
  </r>
  <r>
    <x v="546"/>
    <n v="-1.402526547786E-2"/>
    <x v="0"/>
  </r>
  <r>
    <x v="547"/>
    <n v="-2.1660286402629601E-2"/>
    <x v="0"/>
  </r>
  <r>
    <x v="548"/>
    <n v="-5.0530430397640297E-2"/>
    <x v="0"/>
  </r>
  <r>
    <x v="549"/>
    <n v="5.2497562242851403E-2"/>
    <x v="1"/>
  </r>
  <r>
    <x v="550"/>
    <n v="-7.7745771083658202E-3"/>
    <x v="0"/>
  </r>
  <r>
    <x v="551"/>
    <n v="-2.2234854090362102E-2"/>
    <x v="0"/>
  </r>
  <r>
    <x v="552"/>
    <n v="2.2641083562682698E-2"/>
    <x v="1"/>
  </r>
  <r>
    <x v="553"/>
    <n v="-5.1237237988452904E-3"/>
    <x v="0"/>
  </r>
  <r>
    <x v="554"/>
    <n v="-8.0552072118834604E-3"/>
    <x v="0"/>
  </r>
  <r>
    <x v="555"/>
    <n v="4.0926322619285298E-2"/>
    <x v="1"/>
  </r>
  <r>
    <x v="556"/>
    <n v="-1.4364413758012701E-2"/>
    <x v="0"/>
  </r>
  <r>
    <x v="557"/>
    <n v="-1.0995407540977199E-2"/>
    <x v="0"/>
  </r>
  <r>
    <x v="558"/>
    <n v="3.0688978344087799E-2"/>
    <x v="1"/>
  </r>
  <r>
    <x v="559"/>
    <n v="-1.14019630041448E-2"/>
    <x v="0"/>
  </r>
  <r>
    <x v="560"/>
    <n v="0.118305785157871"/>
    <x v="1"/>
  </r>
  <r>
    <x v="561"/>
    <n v="-1.15080668896989E-2"/>
    <x v="0"/>
  </r>
  <r>
    <x v="562"/>
    <n v="2.47079624358943E-2"/>
    <x v="1"/>
  </r>
  <r>
    <x v="563"/>
    <n v="6.16429929065343E-2"/>
    <x v="1"/>
  </r>
  <r>
    <x v="564"/>
    <n v="-3.4645420165012299E-2"/>
    <x v="0"/>
  </r>
  <r>
    <x v="565"/>
    <n v="-2.10704563380282E-2"/>
    <x v="0"/>
  </r>
  <r>
    <x v="566"/>
    <n v="-6.7654184942658194E-2"/>
    <x v="0"/>
  </r>
  <r>
    <x v="567"/>
    <n v="4.43225442825552E-2"/>
    <x v="1"/>
  </r>
  <r>
    <x v="568"/>
    <n v="4.4100788862515797E-2"/>
    <x v="1"/>
  </r>
  <r>
    <x v="569"/>
    <n v="4.7264898665248398E-2"/>
    <x v="1"/>
  </r>
  <r>
    <x v="570"/>
    <n v="2.1693897374379E-2"/>
    <x v="1"/>
  </r>
  <r>
    <x v="571"/>
    <n v="5.9885591326880101E-2"/>
    <x v="1"/>
  </r>
  <r>
    <x v="572"/>
    <n v="0.122812211867334"/>
    <x v="1"/>
  </r>
  <r>
    <x v="573"/>
    <n v="-2.0151536084728701E-2"/>
    <x v="0"/>
  </r>
  <r>
    <x v="574"/>
    <n v="-5.3179985028958501E-2"/>
    <x v="0"/>
  </r>
  <r>
    <x v="575"/>
    <n v="0.163046912762875"/>
    <x v="1"/>
  </r>
  <r>
    <x v="576"/>
    <n v="-0.119334729886771"/>
    <x v="0"/>
  </r>
  <r>
    <x v="577"/>
    <n v="-9.0278605227048295E-2"/>
    <x v="0"/>
  </r>
  <r>
    <x v="578"/>
    <n v="-7.7790720930232607E-2"/>
    <x v="0"/>
  </r>
  <r>
    <x v="579"/>
    <n v="-1.46654332569367E-2"/>
    <x v="0"/>
  </r>
  <r>
    <x v="580"/>
    <n v="-3.3551091430651901E-2"/>
    <x v="0"/>
  </r>
  <r>
    <x v="581"/>
    <n v="-3.9050913841745701E-2"/>
    <x v="0"/>
  </r>
  <r>
    <x v="582"/>
    <n v="-2.3279962343795799E-2"/>
    <x v="0"/>
  </r>
  <r>
    <x v="583"/>
    <n v="-3.62430361395871E-3"/>
    <x v="0"/>
  </r>
  <r>
    <x v="584"/>
    <n v="-1.0046160634152E-2"/>
    <x v="0"/>
  </r>
  <r>
    <x v="585"/>
    <n v="1.6569445775004701E-2"/>
    <x v="1"/>
  </r>
  <r>
    <x v="586"/>
    <n v="-0.113860946404461"/>
    <x v="0"/>
  </r>
  <r>
    <x v="587"/>
    <n v="-1.29114636170802E-3"/>
    <x v="0"/>
  </r>
  <r>
    <x v="588"/>
    <n v="4.0095923261390901E-2"/>
    <x v="1"/>
  </r>
  <r>
    <x v="589"/>
    <n v="-3.6684540411342302E-2"/>
    <x v="0"/>
  </r>
  <r>
    <x v="590"/>
    <n v="3.7981957836524798E-2"/>
    <x v="1"/>
  </r>
  <r>
    <x v="591"/>
    <n v="-6.5745118601575597E-3"/>
    <x v="0"/>
  </r>
  <r>
    <x v="592"/>
    <n v="-1.8883836413164001E-2"/>
    <x v="0"/>
  </r>
  <r>
    <x v="593"/>
    <n v="-4.0799821757527499E-2"/>
    <x v="0"/>
  </r>
  <r>
    <x v="594"/>
    <n v="-1.43269161891124E-3"/>
    <x v="0"/>
  </r>
  <r>
    <x v="595"/>
    <n v="-3.7490295936312097E-2"/>
    <x v="0"/>
  </r>
  <r>
    <x v="596"/>
    <n v="-1.71114269264355E-2"/>
    <x v="0"/>
  </r>
  <r>
    <x v="597"/>
    <n v="1.18282765377264E-2"/>
    <x v="1"/>
  </r>
  <r>
    <x v="598"/>
    <n v="4.5617457508201301E-2"/>
    <x v="1"/>
  </r>
  <r>
    <x v="599"/>
    <n v="9.3170418095780399E-3"/>
    <x v="1"/>
  </r>
  <r>
    <x v="600"/>
    <n v="-4.8608607385313097E-3"/>
    <x v="0"/>
  </r>
  <r>
    <x v="601"/>
    <n v="3.4453832148745998E-2"/>
    <x v="1"/>
  </r>
  <r>
    <x v="602"/>
    <n v="2.3333955789937E-3"/>
    <x v="1"/>
  </r>
  <r>
    <x v="603"/>
    <n v="-2.1820505996717799E-2"/>
    <x v="0"/>
  </r>
  <r>
    <x v="604"/>
    <n v="1.7275016574254998E-2"/>
    <x v="1"/>
  </r>
  <r>
    <x v="605"/>
    <n v="4.3843378092633901E-3"/>
    <x v="1"/>
  </r>
  <r>
    <x v="606"/>
    <n v="5.9115792436896797E-3"/>
    <x v="1"/>
  </r>
  <r>
    <x v="607"/>
    <n v="2.5303039728630902E-2"/>
    <x v="1"/>
  </r>
  <r>
    <x v="608"/>
    <n v="1.8121325031690699E-2"/>
    <x v="1"/>
  </r>
  <r>
    <x v="609"/>
    <n v="8.6179361340128893E-2"/>
    <x v="1"/>
  </r>
  <r>
    <x v="610"/>
    <n v="-2.5470125475852701E-3"/>
    <x v="0"/>
  </r>
  <r>
    <x v="611"/>
    <n v="-4.1793707211458503E-2"/>
    <x v="0"/>
  </r>
  <r>
    <x v="612"/>
    <n v="-6.9676159443362602E-3"/>
    <x v="0"/>
  </r>
  <r>
    <x v="613"/>
    <n v="3.6095385308738702E-2"/>
    <x v="1"/>
  </r>
  <r>
    <x v="614"/>
    <n v="-3.1610892551496302E-2"/>
    <x v="0"/>
  </r>
  <r>
    <x v="615"/>
    <n v="-9.3345380708985699E-3"/>
    <x v="0"/>
  </r>
  <r>
    <x v="616"/>
    <n v="-4.1558442757819399E-2"/>
    <x v="0"/>
  </r>
  <r>
    <x v="617"/>
    <n v="3.6287499477370103E-2"/>
    <x v="1"/>
  </r>
  <r>
    <x v="618"/>
    <n v="3.67958449612402E-2"/>
    <x v="1"/>
  </r>
  <r>
    <x v="619"/>
    <n v="9.0738738759032992E-3"/>
    <x v="1"/>
  </r>
  <r>
    <x v="620"/>
    <n v="4.0477427227836801E-2"/>
    <x v="1"/>
  </r>
  <r>
    <x v="621"/>
    <n v="5.6766114338283803E-2"/>
    <x v="1"/>
  </r>
  <r>
    <x v="622"/>
    <n v="4.74474114114114E-2"/>
    <x v="1"/>
  </r>
  <r>
    <x v="623"/>
    <n v="-1.24555511581654E-2"/>
    <x v="0"/>
  </r>
  <r>
    <x v="624"/>
    <n v="3.4102135700520203E-2"/>
    <x v="1"/>
  </r>
  <r>
    <x v="625"/>
    <n v="4.44586017504702E-2"/>
    <x v="1"/>
  </r>
  <r>
    <x v="626"/>
    <n v="7.3294855977793505E-2"/>
    <x v="1"/>
  </r>
  <r>
    <x v="627"/>
    <n v="-5.0032682559137301E-2"/>
    <x v="0"/>
  </r>
  <r>
    <x v="628"/>
    <n v="-6.0966562596904902E-2"/>
    <x v="0"/>
  </r>
  <r>
    <x v="629"/>
    <n v="-9.0483100205838496E-2"/>
    <x v="0"/>
  </r>
  <r>
    <x v="630"/>
    <n v="1.4524804469273601E-3"/>
    <x v="1"/>
  </r>
  <r>
    <x v="631"/>
    <n v="5.2693521031293301E-2"/>
    <x v="1"/>
  </r>
  <r>
    <x v="632"/>
    <n v="-7.6471878698063697E-2"/>
    <x v="0"/>
  </r>
  <r>
    <x v="633"/>
    <n v="-1.8654728038689401E-2"/>
    <x v="0"/>
  </r>
  <r>
    <x v="634"/>
    <n v="-3.4081599029604698E-2"/>
    <x v="0"/>
  </r>
  <r>
    <x v="635"/>
    <n v="4.2955325076610998E-2"/>
    <x v="1"/>
  </r>
  <r>
    <x v="636"/>
    <n v="-2.5023546748538499E-2"/>
    <x v="0"/>
  </r>
  <r>
    <x v="637"/>
    <n v="4.0074049001980902E-2"/>
    <x v="1"/>
  </r>
  <r>
    <x v="638"/>
    <n v="-6.0178047898659798E-2"/>
    <x v="0"/>
  </r>
  <r>
    <x v="639"/>
    <n v="-5.5577035139928802E-2"/>
    <x v="0"/>
  </r>
  <r>
    <x v="640"/>
    <n v="-2.21817914517941E-3"/>
    <x v="0"/>
  </r>
  <r>
    <x v="641"/>
    <n v="2.1475716255034701E-2"/>
    <x v="1"/>
  </r>
  <r>
    <x v="642"/>
    <n v="3.4444156764826997E-2"/>
    <x v="1"/>
  </r>
  <r>
    <x v="643"/>
    <n v="-4.7374088974389099E-2"/>
    <x v="0"/>
  </r>
  <r>
    <x v="644"/>
    <n v="-8.1840842655104308E-3"/>
    <x v="0"/>
  </r>
  <r>
    <x v="645"/>
    <n v="-4.16167008872372E-2"/>
    <x v="0"/>
  </r>
  <r>
    <x v="646"/>
    <n v="4.7964401974106799E-2"/>
    <x v="1"/>
  </r>
  <r>
    <x v="647"/>
    <n v="7.2076167762269404E-3"/>
    <x v="1"/>
  </r>
  <r>
    <x v="648"/>
    <n v="3.8539317837959601E-2"/>
    <x v="1"/>
  </r>
  <r>
    <x v="649"/>
    <n v="1.1459003713095901E-2"/>
    <x v="1"/>
  </r>
  <r>
    <x v="650"/>
    <n v="-1.8477645742565801E-2"/>
    <x v="0"/>
  </r>
  <r>
    <x v="651"/>
    <n v="9.1204094041343903E-3"/>
    <x v="1"/>
  </r>
  <r>
    <x v="652"/>
    <n v="1.2517966473609501E-2"/>
    <x v="1"/>
  </r>
  <r>
    <x v="653"/>
    <n v="8.0487829727976495E-2"/>
    <x v="1"/>
  </r>
  <r>
    <x v="654"/>
    <n v="9.4001341830782792E-3"/>
    <x v="1"/>
  </r>
  <r>
    <x v="655"/>
    <n v="-3.12228649441211E-2"/>
    <x v="0"/>
  </r>
  <r>
    <x v="656"/>
    <n v="-4.3847858983644003E-2"/>
    <x v="0"/>
  </r>
  <r>
    <x v="657"/>
    <n v="2.6276606382978698E-2"/>
    <x v="1"/>
  </r>
  <r>
    <x v="658"/>
    <n v="7.5026471328194502E-3"/>
    <x v="1"/>
  </r>
  <r>
    <x v="659"/>
    <n v="-3.5260014840864502E-2"/>
    <x v="0"/>
  </r>
  <r>
    <x v="660"/>
    <n v="3.2785134908000203E-2"/>
    <x v="1"/>
  </r>
  <r>
    <x v="661"/>
    <n v="-1.17150501319261E-2"/>
    <x v="0"/>
  </r>
  <r>
    <x v="662"/>
    <n v="4.5344230420832202E-2"/>
    <x v="1"/>
  </r>
  <r>
    <x v="663"/>
    <n v="1.7512314380056002E-2"/>
    <x v="1"/>
  </r>
  <r>
    <x v="664"/>
    <n v="-5.24412285407675E-2"/>
    <x v="0"/>
  </r>
  <r>
    <x v="665"/>
    <n v="4.2239524686458599E-2"/>
    <x v="1"/>
  </r>
  <r>
    <x v="666"/>
    <n v="3.9409979712030203E-2"/>
    <x v="1"/>
  </r>
  <r>
    <x v="667"/>
    <n v="1.9627987303683101E-3"/>
    <x v="1"/>
  </r>
  <r>
    <x v="668"/>
    <n v="7.8177503344267305E-2"/>
    <x v="1"/>
  </r>
  <r>
    <x v="669"/>
    <n v="-1.49154760067927E-3"/>
    <x v="0"/>
  </r>
  <r>
    <x v="670"/>
    <n v="3.1172070991474202E-3"/>
    <x v="1"/>
  </r>
  <r>
    <x v="671"/>
    <n v="4.7544397793740902E-2"/>
    <x v="1"/>
  </r>
  <r>
    <x v="672"/>
    <n v="-7.0038912322670796E-3"/>
    <x v="0"/>
  </r>
  <r>
    <x v="673"/>
    <n v="-7.7751198032325303E-2"/>
    <x v="0"/>
  </r>
  <r>
    <x v="674"/>
    <n v="-1.3452915115716699E-2"/>
    <x v="0"/>
  </r>
  <r>
    <x v="675"/>
    <n v="-1.61383844005011E-2"/>
    <x v="0"/>
  </r>
  <r>
    <x v="676"/>
    <n v="-5.4140139559414303E-2"/>
    <x v="0"/>
  </r>
  <r>
    <x v="677"/>
    <n v="2.0508740765143599E-2"/>
    <x v="1"/>
  </r>
  <r>
    <x v="678"/>
    <n v="-2.1815369197375901E-2"/>
    <x v="0"/>
  </r>
  <r>
    <x v="679"/>
    <n v="-1.7872481197431699E-2"/>
    <x v="0"/>
  </r>
  <r>
    <x v="680"/>
    <n v="4.8685167153521601E-3"/>
    <x v="1"/>
  </r>
  <r>
    <x v="681"/>
    <n v="8.9509768698725605E-3"/>
    <x v="1"/>
  </r>
  <r>
    <x v="682"/>
    <n v="-8.7643044528090703E-3"/>
    <x v="0"/>
  </r>
  <r>
    <x v="683"/>
    <n v="2.7345476070981499E-2"/>
    <x v="1"/>
  </r>
  <r>
    <x v="684"/>
    <n v="3.2006436434700802E-2"/>
    <x v="1"/>
  </r>
  <r>
    <x v="685"/>
    <n v="2.2521970674486799E-2"/>
    <x v="1"/>
  </r>
  <r>
    <x v="686"/>
    <n v="1.3433154537571899E-2"/>
    <x v="1"/>
  </r>
  <r>
    <x v="687"/>
    <n v="-4.8631475879472599E-2"/>
    <x v="0"/>
  </r>
  <r>
    <x v="688"/>
    <n v="-7.7432722731086701E-3"/>
    <x v="0"/>
  </r>
  <r>
    <x v="689"/>
    <n v="3.4238589403965201E-2"/>
    <x v="1"/>
  </r>
  <r>
    <x v="690"/>
    <n v="-1.45258606885509E-2"/>
    <x v="0"/>
  </r>
  <r>
    <x v="691"/>
    <n v="-1.48467340074621E-3"/>
    <x v="0"/>
  </r>
  <r>
    <x v="692"/>
    <n v="3.3156318584070602E-2"/>
    <x v="1"/>
  </r>
  <r>
    <x v="693"/>
    <n v="3.9090500807639197E-3"/>
    <x v="1"/>
  </r>
  <r>
    <x v="694"/>
    <n v="-5.1850458969472397E-3"/>
    <x v="0"/>
  </r>
  <r>
    <x v="695"/>
    <n v="8.0779401282964295E-3"/>
    <x v="1"/>
  </r>
  <r>
    <x v="696"/>
    <n v="2.8718048913160401E-2"/>
    <x v="1"/>
  </r>
  <r>
    <x v="697"/>
    <n v="-1.6229838903582799E-2"/>
    <x v="0"/>
  </r>
  <r>
    <x v="698"/>
    <n v="1.8239661690790498E-2"/>
    <x v="1"/>
  </r>
  <r>
    <x v="699"/>
    <n v="1.6424025764936401E-2"/>
    <x v="1"/>
  </r>
  <r>
    <x v="700"/>
    <n v="1.1452353529478401E-2"/>
    <x v="1"/>
  </r>
  <r>
    <x v="701"/>
    <n v="6.0774370950580402E-3"/>
    <x v="1"/>
  </r>
  <r>
    <x v="702"/>
    <n v="1.5167094530831799E-2"/>
    <x v="1"/>
  </r>
  <r>
    <x v="703"/>
    <n v="9.8650310245971297E-3"/>
    <x v="1"/>
  </r>
  <r>
    <x v="704"/>
    <n v="2.69262074217358E-2"/>
    <x v="1"/>
  </r>
  <r>
    <x v="705"/>
    <n v="2.4443451135732101E-2"/>
    <x v="1"/>
  </r>
  <r>
    <x v="706"/>
    <n v="-1.05391025391406E-2"/>
    <x v="0"/>
  </r>
  <r>
    <x v="707"/>
    <n v="3.2217644304783001E-2"/>
    <x v="1"/>
  </r>
  <r>
    <x v="708"/>
    <n v="-1.1034524137931E-2"/>
    <x v="0"/>
  </r>
  <r>
    <x v="709"/>
    <n v="4.8748779780794602E-2"/>
    <x v="1"/>
  </r>
  <r>
    <x v="710"/>
    <n v="-3.4597951509385298E-3"/>
    <x v="0"/>
  </r>
  <r>
    <x v="711"/>
    <n v="-2.01977392571581E-2"/>
    <x v="0"/>
  </r>
  <r>
    <x v="712"/>
    <n v="1.4326646948711601E-2"/>
    <x v="1"/>
  </r>
  <r>
    <x v="713"/>
    <n v="4.8520399579390402E-2"/>
    <x v="1"/>
  </r>
  <r>
    <x v="714"/>
    <n v="3.5464286273692698E-2"/>
    <x v="1"/>
  </r>
  <r>
    <x v="715"/>
    <n v="-2.88519046307508E-2"/>
    <x v="0"/>
  </r>
  <r>
    <x v="716"/>
    <n v="4.9128353379662502E-2"/>
    <x v="1"/>
  </r>
  <r>
    <x v="717"/>
    <n v="1.3491808978214099E-2"/>
    <x v="1"/>
  </r>
  <r>
    <x v="718"/>
    <n v="0.101556935598018"/>
    <x v="1"/>
  </r>
  <r>
    <x v="719"/>
    <n v="4.4428647591967501E-3"/>
    <x v="1"/>
  </r>
  <r>
    <x v="720"/>
    <n v="-4.8207020436519303E-2"/>
    <x v="0"/>
  </r>
  <r>
    <x v="721"/>
    <n v="1.52842005838916E-2"/>
    <x v="1"/>
  </r>
  <r>
    <x v="722"/>
    <n v="6.3561643835616397E-2"/>
    <x v="1"/>
  </r>
  <r>
    <x v="723"/>
    <n v="-8.1838016403856795E-2"/>
    <x v="0"/>
  </r>
  <r>
    <x v="724"/>
    <n v="-8.5990146719501795E-2"/>
    <x v="0"/>
  </r>
  <r>
    <x v="725"/>
    <n v="-6.1969875112730097E-2"/>
    <x v="0"/>
  </r>
  <r>
    <x v="726"/>
    <n v="-5.8604346177877397E-3"/>
    <x v="0"/>
  </r>
  <r>
    <x v="727"/>
    <n v="1.6269655216133199E-2"/>
    <x v="1"/>
  </r>
  <r>
    <x v="728"/>
    <n v="-3.78757077061199E-2"/>
    <x v="0"/>
  </r>
  <r>
    <x v="729"/>
    <n v="3.2249439147504799E-3"/>
    <x v="1"/>
  </r>
  <r>
    <x v="730"/>
    <n v="3.9347083677626599E-2"/>
    <x v="1"/>
  </r>
  <r>
    <x v="731"/>
    <n v="2.8323091788261999E-2"/>
    <x v="1"/>
  </r>
  <r>
    <x v="732"/>
    <n v="-1.96855736741589E-2"/>
    <x v="0"/>
  </r>
  <r>
    <x v="733"/>
    <n v="1.9622497914244998E-2"/>
    <x v="1"/>
  </r>
  <r>
    <x v="734"/>
    <n v="3.2797076621241802E-2"/>
    <x v="1"/>
  </r>
  <r>
    <x v="735"/>
    <n v="-2.8846139688886299E-2"/>
    <x v="0"/>
  </r>
  <r>
    <x v="736"/>
    <n v="1.9139489178976898E-2"/>
    <x v="1"/>
  </r>
  <r>
    <x v="737"/>
    <n v="3.8426069425947498E-3"/>
    <x v="1"/>
  </r>
  <r>
    <x v="738"/>
    <n v="2.55359241099609E-2"/>
    <x v="1"/>
  </r>
  <r>
    <x v="739"/>
    <n v="2.6869537501934999E-2"/>
    <x v="1"/>
  </r>
  <r>
    <x v="740"/>
    <n v="6.3156047785991196E-2"/>
    <x v="1"/>
  </r>
  <r>
    <x v="741"/>
    <n v="4.6272955594653303E-2"/>
    <x v="1"/>
  </r>
  <r>
    <x v="742"/>
    <n v="4.0269751643936098E-2"/>
    <x v="1"/>
  </r>
  <r>
    <x v="743"/>
    <n v="-2.4290171898355699E-3"/>
    <x v="0"/>
  </r>
  <r>
    <x v="744"/>
    <n v="-6.0393241931061097E-2"/>
    <x v="0"/>
  </r>
  <r>
    <x v="745"/>
    <n v="2.6121438519958198E-2"/>
    <x v="1"/>
  </r>
  <r>
    <x v="746"/>
    <n v="-2.4771610146577899E-2"/>
    <x v="0"/>
  </r>
  <r>
    <x v="747"/>
    <n v="1.9523481299534899E-2"/>
    <x v="1"/>
  </r>
  <r>
    <x v="748"/>
    <n v="2.6853099629448301E-2"/>
    <x v="1"/>
  </r>
  <r>
    <x v="749"/>
    <n v="-1.7528026743765902E-2"/>
    <x v="0"/>
  </r>
  <r>
    <x v="750"/>
    <n v="-1.38987707394649E-2"/>
    <x v="0"/>
  </r>
  <r>
    <x v="751"/>
    <n v="9.1709762781699792E-3"/>
    <x v="1"/>
  </r>
  <r>
    <x v="752"/>
    <n v="-7.14643191094394E-2"/>
    <x v="0"/>
  </r>
  <r>
    <x v="753"/>
    <n v="2.7625257852183598E-2"/>
    <x v="1"/>
  </r>
  <r>
    <x v="754"/>
    <n v="1.3212778164116701E-2"/>
    <x v="1"/>
  </r>
  <r>
    <x v="755"/>
    <n v="1.12517403085137E-2"/>
    <x v="1"/>
  </r>
  <r>
    <x v="756"/>
    <n v="-4.5637535088507902E-2"/>
    <x v="0"/>
  </r>
  <r>
    <x v="757"/>
    <n v="-1.5038837053010699E-2"/>
    <x v="0"/>
  </r>
  <r>
    <x v="758"/>
    <n v="3.4889635113910702E-2"/>
    <x v="1"/>
  </r>
  <r>
    <x v="759"/>
    <n v="-3.57871506475793E-3"/>
    <x v="0"/>
  </r>
  <r>
    <x v="760"/>
    <n v="1.8926897030734399E-2"/>
    <x v="1"/>
  </r>
  <r>
    <x v="761"/>
    <n v="3.8780682517689097E-2"/>
    <x v="1"/>
  </r>
  <r>
    <x v="762"/>
    <n v="5.4140046922945796E-4"/>
    <x v="1"/>
  </r>
  <r>
    <x v="763"/>
    <n v="-7.21388625403385E-4"/>
    <x v="0"/>
  </r>
  <r>
    <x v="764"/>
    <n v="4.3470748840259699E-3"/>
    <x v="1"/>
  </r>
  <r>
    <x v="765"/>
    <n v="5.2019798018292797E-2"/>
    <x v="1"/>
  </r>
  <r>
    <x v="766"/>
    <n v="2.24040123746732E-2"/>
    <x v="1"/>
  </r>
  <r>
    <x v="767"/>
    <n v="2.53695760014068E-2"/>
    <x v="1"/>
  </r>
  <r>
    <x v="768"/>
    <n v="4.83769842931938E-2"/>
    <x v="1"/>
  </r>
  <r>
    <x v="769"/>
    <n v="1.1866942400231799E-2"/>
    <x v="1"/>
  </r>
  <r>
    <x v="770"/>
    <n v="4.3103380057321901E-2"/>
    <x v="1"/>
  </r>
  <r>
    <x v="771"/>
    <n v="2.6083057382626298E-2"/>
    <x v="1"/>
  </r>
  <r>
    <x v="772"/>
    <n v="1.49631909521915E-2"/>
    <x v="1"/>
  </r>
  <r>
    <x v="773"/>
    <n v="3.1829003887363601E-2"/>
    <x v="1"/>
  </r>
  <r>
    <x v="774"/>
    <n v="3.08520568070518E-2"/>
    <x v="1"/>
  </r>
  <r>
    <x v="775"/>
    <n v="-2.0623524685287099E-2"/>
    <x v="0"/>
  </r>
  <r>
    <x v="776"/>
    <n v="4.2760663027724001E-2"/>
    <x v="1"/>
  </r>
  <r>
    <x v="777"/>
    <n v="-4.1466897376153201E-2"/>
    <x v="0"/>
  </r>
  <r>
    <x v="778"/>
    <n v="1.6074037601703901E-2"/>
    <x v="1"/>
  </r>
  <r>
    <x v="779"/>
    <n v="-3.2060279682238603E-2"/>
    <x v="0"/>
  </r>
  <r>
    <x v="780"/>
    <n v="-6.19195696169932E-2"/>
    <x v="0"/>
  </r>
  <r>
    <x v="781"/>
    <n v="-5.6146921310790902E-2"/>
    <x v="0"/>
  </r>
  <r>
    <x v="782"/>
    <n v="1.13996413637247E-2"/>
    <x v="1"/>
  </r>
  <r>
    <x v="783"/>
    <n v="-1.2650432215897101E-3"/>
    <x v="0"/>
  </r>
  <r>
    <x v="784"/>
    <n v="3.6947921427725301E-2"/>
    <x v="1"/>
  </r>
  <r>
    <x v="785"/>
    <n v="3.69530936986378E-2"/>
    <x v="1"/>
  </r>
  <r>
    <x v="786"/>
    <n v="1.9648706410018601E-2"/>
    <x v="1"/>
  </r>
  <r>
    <x v="787"/>
    <n v="-3.2647651327199302E-2"/>
    <x v="0"/>
  </r>
  <r>
    <x v="788"/>
    <n v="-4.17826673144489E-2"/>
    <x v="0"/>
  </r>
  <r>
    <x v="789"/>
    <n v="3.5270539695184497E-2"/>
    <x v="1"/>
  </r>
  <r>
    <x v="790"/>
    <n v="-1.09697230816269E-2"/>
    <x v="0"/>
  </r>
  <r>
    <x v="791"/>
    <n v="5.0717532556452402E-3"/>
    <x v="1"/>
  </r>
  <r>
    <x v="792"/>
    <n v="-4.54641147322297E-2"/>
    <x v="0"/>
  </r>
  <r>
    <x v="793"/>
    <n v="-3.8064406520842399E-2"/>
    <x v="0"/>
  </r>
  <r>
    <x v="794"/>
    <n v="5.1522204566271997E-2"/>
    <x v="1"/>
  </r>
  <r>
    <x v="795"/>
    <n v="3.9159291169042397E-2"/>
    <x v="1"/>
  </r>
  <r>
    <x v="796"/>
    <n v="-6.5729638988639094E-2"/>
    <x v="0"/>
  </r>
  <r>
    <x v="797"/>
    <n v="-2.0626856435642699E-3"/>
    <x v="0"/>
  </r>
  <r>
    <x v="798"/>
    <n v="6.9254521393912402E-2"/>
    <x v="1"/>
  </r>
  <r>
    <x v="799"/>
    <n v="3.4687357371063501E-2"/>
    <x v="1"/>
  </r>
  <r>
    <x v="800"/>
    <n v="-3.6499560246261997E-2"/>
    <x v="0"/>
  </r>
  <r>
    <x v="801"/>
    <n v="-6.5915186372911304E-4"/>
    <x v="0"/>
  </r>
  <r>
    <x v="802"/>
    <n v="7.4870051960321093E-2"/>
    <x v="1"/>
  </r>
  <r>
    <x v="803"/>
    <n v="-3.04556460020904E-2"/>
    <x v="0"/>
  </r>
  <r>
    <x v="804"/>
    <n v="1.1347799907364601E-2"/>
    <x v="1"/>
  </r>
  <r>
    <x v="805"/>
    <n v="-7.8125000000001093E-3"/>
    <x v="0"/>
  </r>
  <r>
    <x v="806"/>
    <n v="6.0687327825672301E-2"/>
    <x v="1"/>
  </r>
  <r>
    <x v="807"/>
    <n v="8.2300158269585894E-2"/>
    <x v="1"/>
  </r>
  <r>
    <x v="808"/>
    <n v="-1.3171496658892501E-3"/>
    <x v="0"/>
  </r>
  <r>
    <x v="809"/>
    <n v="3.7725449003529497E-2"/>
    <x v="1"/>
  </r>
  <r>
    <x v="810"/>
    <n v="-4.8965182207029202E-3"/>
    <x v="0"/>
  </r>
  <r>
    <x v="811"/>
    <n v="3.54892155203612E-3"/>
    <x v="1"/>
  </r>
  <r>
    <x v="812"/>
    <n v="1.8065619788771602E-2"/>
    <x v="1"/>
  </r>
  <r>
    <x v="813"/>
    <n v="5.0817695629807397E-2"/>
    <x v="1"/>
  </r>
  <r>
    <x v="814"/>
    <n v="8.0808143939394006E-2"/>
    <x v="1"/>
  </r>
  <r>
    <x v="815"/>
    <n v="-1.9498637589023898E-2"/>
    <x v="0"/>
  </r>
  <r>
    <x v="816"/>
    <n v="8.3137814280925398E-2"/>
    <x v="1"/>
  </r>
  <r>
    <x v="817"/>
    <n v="-3.4002559391274702E-2"/>
    <x v="0"/>
  </r>
  <r>
    <x v="818"/>
    <n v="5.7172203258206301E-2"/>
    <x v="1"/>
  </r>
  <r>
    <x v="819"/>
    <n v="6.8509761270663105E-4"/>
    <x v="1"/>
  </r>
  <r>
    <x v="820"/>
    <n v="3.2908740268931203E-2"/>
    <x v="1"/>
  </r>
  <r>
    <x v="821"/>
    <n v="4.8997733890210303E-2"/>
    <x v="1"/>
  </r>
  <r>
    <x v="822"/>
    <n v="3.0210363288719001E-2"/>
    <x v="1"/>
  </r>
  <r>
    <x v="823"/>
    <n v="2.68404907975461E-3"/>
    <x v="1"/>
  </r>
  <r>
    <x v="824"/>
    <n v="5.1189079048330297E-2"/>
    <x v="1"/>
  </r>
  <r>
    <x v="825"/>
    <n v="2.0193457189015E-3"/>
    <x v="1"/>
  </r>
  <r>
    <x v="826"/>
    <n v="8.9649140601095693E-3"/>
    <x v="1"/>
  </r>
  <r>
    <x v="827"/>
    <n v="5.0963640256959299E-2"/>
    <x v="1"/>
  </r>
  <r>
    <x v="828"/>
    <n v="1.28644939965694E-3"/>
    <x v="1"/>
  </r>
  <r>
    <x v="829"/>
    <n v="-5.7777777777777803E-2"/>
    <x v="0"/>
  </r>
  <r>
    <x v="830"/>
    <n v="2.5269305106433399E-2"/>
    <x v="1"/>
  </r>
  <r>
    <x v="831"/>
    <n v="-1.6299999335778401E-2"/>
    <x v="0"/>
  </r>
  <r>
    <x v="832"/>
    <n v="-3.2493906072545999E-3"/>
    <x v="0"/>
  </r>
  <r>
    <x v="833"/>
    <n v="-2.6492683808118499E-2"/>
    <x v="0"/>
  </r>
  <r>
    <x v="834"/>
    <n v="-2.35520849420848E-2"/>
    <x v="0"/>
  </r>
  <r>
    <x v="835"/>
    <n v="-1.81955655115833E-2"/>
    <x v="0"/>
  </r>
  <r>
    <x v="836"/>
    <n v="-7.1509597290176901E-3"/>
    <x v="0"/>
  </r>
  <r>
    <x v="837"/>
    <n v="3.5463756819953202E-2"/>
    <x v="1"/>
  </r>
  <r>
    <x v="838"/>
    <n v="4.64926590538337E-2"/>
    <x v="1"/>
  </r>
  <r>
    <x v="839"/>
    <n v="-8.1503664160409396E-4"/>
    <x v="0"/>
  </r>
  <r>
    <x v="840"/>
    <n v="-1.9576507408049899E-2"/>
    <x v="0"/>
  </r>
  <r>
    <x v="841"/>
    <n v="-1.4566889763779499E-2"/>
    <x v="0"/>
  </r>
  <r>
    <x v="842"/>
    <n v="1.7628245898567499E-2"/>
    <x v="1"/>
  </r>
  <r>
    <x v="843"/>
    <n v="4.6102177447519897E-2"/>
    <x v="1"/>
  </r>
  <r>
    <x v="844"/>
    <n v="2.3156132075471601E-2"/>
    <x v="1"/>
  </r>
  <r>
    <x v="845"/>
    <n v="-4.3085800447853803E-2"/>
    <x v="0"/>
  </r>
  <r>
    <x v="846"/>
    <n v="4.7721453138434899E-2"/>
    <x v="1"/>
  </r>
  <r>
    <x v="847"/>
    <n v="-3.6453978312095098E-2"/>
    <x v="0"/>
  </r>
  <r>
    <x v="848"/>
    <n v="1.5565797223390901E-2"/>
    <x v="1"/>
  </r>
  <r>
    <x v="849"/>
    <n v="3.8898646805010803E-2"/>
    <x v="1"/>
  </r>
  <r>
    <x v="850"/>
    <n v="-2.6156058144896099E-3"/>
    <x v="0"/>
  </r>
  <r>
    <x v="851"/>
    <n v="-1.37574806534825E-2"/>
    <x v="0"/>
  </r>
  <r>
    <x v="852"/>
    <n v="-8.5914944763087998E-4"/>
    <x v="0"/>
  </r>
  <r>
    <x v="853"/>
    <n v="3.92857589285713E-2"/>
    <x v="1"/>
  </r>
  <r>
    <x v="854"/>
    <n v="6.8702341064042799E-2"/>
    <x v="1"/>
  </r>
  <r>
    <x v="855"/>
    <n v="-2.6022351301115201E-2"/>
    <x v="0"/>
  </r>
  <r>
    <x v="856"/>
    <n v="-4.05706642888988E-2"/>
    <x v="0"/>
  </r>
  <r>
    <x v="857"/>
    <n v="4.4227188081936701E-2"/>
    <x v="1"/>
  </r>
  <r>
    <x v="858"/>
    <n v="-1.46788538843511E-2"/>
    <x v="0"/>
  </r>
  <r>
    <x v="859"/>
    <n v="6.4634810710988396E-3"/>
    <x v="1"/>
  </r>
  <r>
    <x v="860"/>
    <n v="6.0205580029368599E-2"/>
    <x v="1"/>
  </r>
  <r>
    <x v="861"/>
    <n v="4.7155304971809198E-2"/>
    <x v="1"/>
  </r>
  <r>
    <x v="862"/>
    <n v="-1.02411669103331E-3"/>
    <x v="0"/>
  </r>
  <r>
    <x v="863"/>
    <n v="4.11311032837469E-3"/>
    <x v="1"/>
  </r>
  <r>
    <x v="864"/>
    <n v="5.5917535287730601E-2"/>
    <x v="1"/>
  </r>
  <r>
    <x v="865"/>
    <n v="3.2511210762332002E-2"/>
    <x v="1"/>
  </r>
  <r>
    <x v="866"/>
    <n v="8.4793098654998306E-3"/>
    <x v="1"/>
  </r>
  <r>
    <x v="867"/>
    <n v="-5.8040465493053001E-2"/>
    <x v="0"/>
  </r>
  <r>
    <x v="868"/>
    <n v="4.5657129490931397E-2"/>
    <x v="1"/>
  </r>
  <r>
    <x v="869"/>
    <n v="3.8750605046234503E-2"/>
    <x v="1"/>
  </r>
  <r>
    <x v="870"/>
    <n v="4.0651570304968097E-3"/>
    <x v="1"/>
  </r>
  <r>
    <x v="871"/>
    <n v="9.9706750715939894E-3"/>
    <x v="1"/>
  </r>
  <r>
    <x v="872"/>
    <n v="1.54852879401257E-2"/>
    <x v="1"/>
  </r>
  <r>
    <x v="873"/>
    <n v="4.5454672817849998E-2"/>
    <x v="1"/>
  </r>
  <r>
    <x v="874"/>
    <n v="1.24675802701013E-3"/>
    <x v="1"/>
  </r>
  <r>
    <x v="875"/>
    <n v="2.95250962772786E-2"/>
    <x v="1"/>
  </r>
  <r>
    <x v="876"/>
    <n v="2.36530880420498E-2"/>
    <x v="1"/>
  </r>
  <r>
    <x v="877"/>
    <n v="1.1968085106382999E-2"/>
    <x v="1"/>
  </r>
  <r>
    <x v="878"/>
    <n v="6.21468926553672E-2"/>
    <x v="1"/>
  </r>
  <r>
    <x v="879"/>
    <n v="-2.11416490486249E-3"/>
    <x v="0"/>
  </r>
  <r>
    <x v="880"/>
    <n v="-3.5350101971448097E-2"/>
    <x v="0"/>
  </r>
  <r>
    <x v="881"/>
    <n v="-2.3240371845949501E-2"/>
    <x v="0"/>
  </r>
  <r>
    <x v="882"/>
    <n v="3.0095759233926201E-2"/>
    <x v="1"/>
  </r>
  <r>
    <x v="883"/>
    <n v="-3.9421813403416703E-2"/>
    <x v="0"/>
  </r>
  <r>
    <x v="884"/>
    <n v="1.3157894736843801E-3"/>
    <x v="1"/>
  </r>
  <r>
    <x v="885"/>
    <n v="3.0508474576271101E-2"/>
    <x v="1"/>
  </r>
  <r>
    <x v="886"/>
    <n v="-0.10606060606060599"/>
    <x v="0"/>
  </r>
  <r>
    <x v="887"/>
    <n v="6.5203357004519E-2"/>
    <x v="1"/>
  </r>
  <r>
    <x v="888"/>
    <n v="-3.0056355666875399E-2"/>
    <x v="0"/>
  </r>
  <r>
    <x v="889"/>
    <n v="7.57097791798111E-3"/>
    <x v="1"/>
  </r>
  <r>
    <x v="890"/>
    <n v="-5.3166069295101502E-2"/>
    <x v="0"/>
  </r>
  <r>
    <x v="891"/>
    <n v="2.9957457761686799E-3"/>
    <x v="1"/>
  </r>
  <r>
    <x v="892"/>
    <n v="7.8165439276485699E-2"/>
    <x v="1"/>
  </r>
  <r>
    <x v="893"/>
    <n v="2.6525198938992099E-2"/>
    <x v="1"/>
  </r>
  <r>
    <x v="894"/>
    <n v="8.2555635319454507E-2"/>
    <x v="1"/>
  </r>
  <r>
    <x v="895"/>
    <n v="-5.1089918256130698E-2"/>
    <x v="0"/>
  </r>
  <r>
    <x v="896"/>
    <n v="-4.05228758169935E-2"/>
    <x v="0"/>
  </r>
  <r>
    <x v="897"/>
    <n v="2.1361815754339201E-2"/>
    <x v="1"/>
  </r>
  <r>
    <x v="898"/>
    <n v="-2.9163966299416599E-2"/>
    <x v="0"/>
  </r>
  <r>
    <x v="899"/>
    <n v="2.11780277961615E-2"/>
    <x v="1"/>
  </r>
  <r>
    <x v="900"/>
    <n v="-1.37075718015667E-2"/>
    <x v="0"/>
  </r>
  <r>
    <x v="901"/>
    <n v="-2.79187817258882E-2"/>
    <x v="0"/>
  </r>
  <r>
    <x v="902"/>
    <n v="3.6160420775805301E-2"/>
    <x v="1"/>
  </r>
  <r>
    <x v="903"/>
    <n v="5.25951557093427E-2"/>
    <x v="1"/>
  </r>
  <r>
    <x v="904"/>
    <n v="-8.9163237311385996E-3"/>
    <x v="0"/>
  </r>
  <r>
    <x v="905"/>
    <n v="-3.8892551087672998E-2"/>
    <x v="0"/>
  </r>
  <r>
    <x v="906"/>
    <n v="-1.6850291639663E-2"/>
    <x v="0"/>
  </r>
  <r>
    <x v="907"/>
    <n v="-1.4687100893997501E-2"/>
    <x v="0"/>
  </r>
  <r>
    <x v="908"/>
    <n v="2.3529411764705799E-2"/>
    <x v="1"/>
  </r>
  <r>
    <x v="909"/>
    <n v="4.2234332425068202E-2"/>
    <x v="1"/>
  </r>
  <r>
    <x v="910"/>
    <n v="-1.07816711590296E-2"/>
    <x v="0"/>
  </r>
  <r>
    <x v="911"/>
    <n v="-8.0213903743315794E-3"/>
    <x v="0"/>
  </r>
  <r>
    <x v="912"/>
    <n v="-0.101501501501501"/>
    <x v="0"/>
  </r>
  <r>
    <x v="913"/>
    <n v="-7.2939814751660101E-2"/>
    <x v="0"/>
  </r>
  <r>
    <x v="914"/>
    <n v="-2.55019533369506E-2"/>
    <x v="0"/>
  </r>
  <r>
    <x v="915"/>
    <n v="-3.9103232533889497E-2"/>
    <x v="0"/>
  </r>
  <r>
    <x v="916"/>
    <n v="2.2388059701492501E-2"/>
    <x v="1"/>
  </r>
  <r>
    <x v="917"/>
    <n v="3.9911250559243397E-2"/>
    <x v="1"/>
  </r>
  <r>
    <x v="918"/>
    <n v="4.3981478936257097E-2"/>
    <x v="1"/>
  </r>
  <r>
    <x v="919"/>
    <n v="-6.9466828217555204E-2"/>
    <x v="0"/>
  </r>
  <r>
    <x v="920"/>
    <n v="6.9700399210806493E-2"/>
    <x v="1"/>
  </r>
  <r>
    <x v="921"/>
    <n v="9.8894700471512404E-3"/>
    <x v="1"/>
  </r>
  <r>
    <x v="922"/>
    <n v="3.2432492492492603E-2"/>
    <x v="1"/>
  </r>
  <r>
    <x v="923"/>
    <n v="3.7383242204563197E-2"/>
    <x v="1"/>
  </r>
  <r>
    <x v="924"/>
    <n v="3.4816183107672503E-2"/>
    <x v="1"/>
  </r>
  <r>
    <x v="925"/>
    <n v="5.7980900409276802E-2"/>
    <x v="1"/>
  </r>
  <r>
    <x v="926"/>
    <n v="-1.41223940820443E-2"/>
    <x v="0"/>
  </r>
  <r>
    <x v="927"/>
    <n v="-9.3271152564956498E-3"/>
    <x v="0"/>
  </r>
  <r>
    <x v="928"/>
    <n v="1.1455525606468999E-2"/>
    <x v="1"/>
  </r>
  <r>
    <x v="929"/>
    <n v="9.0374724467303394E-2"/>
    <x v="1"/>
  </r>
  <r>
    <x v="930"/>
    <n v="-4.8251748251748397E-2"/>
    <x v="0"/>
  </r>
  <r>
    <x v="931"/>
    <n v="6.1618411284335699E-2"/>
    <x v="1"/>
  </r>
  <r>
    <x v="932"/>
    <n v="1.43072289156627E-2"/>
    <x v="1"/>
  </r>
  <r>
    <x v="933"/>
    <n v="3.5074045206547E-2"/>
    <x v="1"/>
  </r>
  <r>
    <x v="934"/>
    <n v="3.9123630672925902E-3"/>
    <x v="1"/>
  </r>
  <r>
    <x v="935"/>
    <n v="3.13971742543173E-3"/>
    <x v="1"/>
  </r>
  <r>
    <x v="936"/>
    <n v="-6.2402496099843701E-3"/>
    <x v="0"/>
  </r>
  <r>
    <x v="937"/>
    <n v="8.6546026750589106E-3"/>
    <x v="1"/>
  </r>
  <r>
    <x v="938"/>
    <n v="-2.0801232665639401E-2"/>
    <x v="0"/>
  </r>
  <r>
    <x v="939"/>
    <n v="5.1012145748987797E-2"/>
    <x v="1"/>
  </r>
  <r>
    <x v="940"/>
    <n v="4.0438079191238402E-2"/>
    <x v="1"/>
  </r>
  <r>
    <x v="941"/>
    <n v="-1.2479201331114799E-2"/>
    <x v="0"/>
  </r>
  <r>
    <x v="942"/>
    <n v="1.6920473773265599E-2"/>
    <x v="1"/>
  </r>
  <r>
    <x v="943"/>
    <n v="-2.53164556962016E-3"/>
    <x v="0"/>
  </r>
  <r>
    <x v="944"/>
    <n v="1.54241645244215E-2"/>
    <x v="1"/>
  </r>
  <r>
    <x v="945"/>
    <n v="5.8983666061705999E-2"/>
    <x v="1"/>
  </r>
  <r>
    <x v="946"/>
    <n v="-7.4727120067170499E-2"/>
    <x v="0"/>
  </r>
  <r>
    <x v="947"/>
    <n v="-1.4072847682119201E-2"/>
    <x v="0"/>
  </r>
  <r>
    <x v="948"/>
    <n v="2.3728813559321899E-2"/>
    <x v="1"/>
  </r>
  <r>
    <x v="949"/>
    <n v="-4.2194092827003704E-3"/>
    <x v="0"/>
  </r>
  <r>
    <x v="950"/>
    <n v="-4.0485829959514198E-2"/>
    <x v="0"/>
  </r>
  <r>
    <x v="951"/>
    <n v="2.4896265560165901E-2"/>
    <x v="1"/>
  </r>
  <r>
    <x v="952"/>
    <n v="3.9689387402933603E-2"/>
    <x v="1"/>
  </r>
  <r>
    <x v="953"/>
    <n v="8.6355785837643995E-4"/>
    <x v="1"/>
  </r>
  <r>
    <x v="954"/>
    <n v="5.5606198723792098E-2"/>
    <x v="1"/>
  </r>
  <r>
    <x v="955"/>
    <n v="5.0766283524904303E-2"/>
    <x v="1"/>
  </r>
  <r>
    <x v="956"/>
    <n v="6.8577277379734E-2"/>
    <x v="1"/>
  </r>
  <r>
    <x v="957"/>
    <n v="5.16684607104414E-2"/>
    <x v="1"/>
  </r>
  <r>
    <x v="958"/>
    <n v="-7.4786324786325596E-3"/>
    <x v="0"/>
  </r>
  <r>
    <x v="959"/>
    <n v="5.7627118644067797E-2"/>
    <x v="1"/>
  </r>
  <r>
    <x v="960"/>
    <n v="2.6682134570765698E-2"/>
    <x v="1"/>
  </r>
  <r>
    <x v="961"/>
    <n v="7.00934579439227E-3"/>
    <x v="1"/>
  </r>
  <r>
    <x v="962"/>
    <n v="3.1325301204819397E-2"/>
    <x v="1"/>
  </r>
  <r>
    <x v="963"/>
    <n v="1.84049079754602E-2"/>
    <x v="1"/>
  </r>
  <r>
    <x v="964"/>
    <n v="6.3968668407310594E-2"/>
    <x v="1"/>
  </r>
  <r>
    <x v="965"/>
    <n v="-4.3695380774032497E-2"/>
    <x v="0"/>
  </r>
  <r>
    <x v="966"/>
    <n v="-6.7520372526193306E-2"/>
    <x v="0"/>
  </r>
  <r>
    <x v="967"/>
    <n v="-2.9378531073446301E-2"/>
    <x v="0"/>
  </r>
  <r>
    <x v="968"/>
    <n v="1.8411967779056401E-2"/>
    <x v="1"/>
  </r>
  <r>
    <x v="969"/>
    <n v="-4.71491228070176E-2"/>
    <x v="0"/>
  </r>
  <r>
    <x v="970"/>
    <n v="-0.04"/>
    <x v="0"/>
  </r>
  <r>
    <x v="971"/>
    <n v="-6.8627450980392093E-2"/>
    <x v="0"/>
  </r>
  <r>
    <x v="972"/>
    <n v="-7.7821011673151501E-3"/>
    <x v="0"/>
  </r>
  <r>
    <x v="973"/>
    <n v="-1.05871029836382E-2"/>
    <x v="0"/>
  </r>
  <r>
    <x v="974"/>
    <n v="5.4822335025380697E-2"/>
    <x v="1"/>
  </r>
  <r>
    <x v="975"/>
    <n v="5.01066098081022E-2"/>
    <x v="1"/>
  </r>
  <r>
    <x v="976"/>
    <n v="7.5187969924812598E-3"/>
    <x v="1"/>
  </r>
  <r>
    <x v="977"/>
    <n v="-6.5261044176706903E-2"/>
    <x v="0"/>
  </r>
  <r>
    <x v="978"/>
    <n v="4.0322580645162399E-3"/>
    <x v="1"/>
  </r>
  <r>
    <x v="979"/>
    <n v="-1.48957298907647E-2"/>
    <x v="0"/>
  </r>
  <r>
    <x v="980"/>
    <n v="-4.82041587901701E-2"/>
    <x v="0"/>
  </r>
  <r>
    <x v="981"/>
    <n v="9.4607379375588596E-4"/>
    <x v="1"/>
  </r>
  <r>
    <x v="982"/>
    <n v="-4.6028880866426002E-2"/>
    <x v="0"/>
  </r>
  <r>
    <x v="983"/>
    <n v="3.9399624765478397E-2"/>
    <x v="1"/>
  </r>
  <r>
    <x v="984"/>
    <n v="1.5238095238095301E-2"/>
    <x v="1"/>
  </r>
  <r>
    <x v="985"/>
    <n v="2.04081632653061E-2"/>
    <x v="1"/>
  </r>
  <r>
    <x v="986"/>
    <n v="3.1062124248497001E-2"/>
    <x v="1"/>
  </r>
  <r>
    <x v="987"/>
    <n v="7.6591154261057295E-2"/>
    <x v="1"/>
  </r>
  <r>
    <x v="988"/>
    <n v="-0.239540607054963"/>
    <x v="0"/>
  </r>
  <r>
    <x v="989"/>
    <n v="8.2101806239731601E-4"/>
    <x v="1"/>
  </r>
  <r>
    <x v="990"/>
    <n v="4.1220115416322799E-3"/>
    <x v="1"/>
  </r>
  <r>
    <x v="991"/>
    <n v="6.6390041493775698E-3"/>
    <x v="1"/>
  </r>
  <r>
    <x v="992"/>
    <n v="-3.2905296950240803E-2"/>
    <x v="0"/>
  </r>
  <r>
    <x v="993"/>
    <n v="2.13114754098362E-2"/>
    <x v="1"/>
  </r>
  <r>
    <x v="994"/>
    <n v="-4.9103663289166002E-2"/>
    <x v="0"/>
  </r>
  <r>
    <x v="995"/>
    <n v="3.1274433150900701E-3"/>
    <x v="1"/>
  </r>
  <r>
    <x v="996"/>
    <n v="0.144007155635063"/>
    <x v="1"/>
  </r>
  <r>
    <x v="997"/>
    <n v="-7.1428571428571397E-2"/>
    <x v="0"/>
  </r>
  <r>
    <x v="998"/>
    <n v="0.10865561694291"/>
    <x v="1"/>
  </r>
  <r>
    <x v="999"/>
    <n v="-6.3793103448275906E-2"/>
    <x v="0"/>
  </r>
  <r>
    <x v="1000"/>
    <n v="6.1299176578225097E-2"/>
    <x v="1"/>
  </r>
  <r>
    <x v="1001"/>
    <n v="-4.5537340619308296E-3"/>
    <x v="0"/>
  </r>
  <r>
    <x v="1002"/>
    <n v="-0.13543307086614201"/>
    <x v="0"/>
  </r>
  <r>
    <x v="1003"/>
    <n v="3.2520325203252001E-2"/>
    <x v="1"/>
  </r>
  <r>
    <x v="1004"/>
    <n v="-6.3926940639269403E-2"/>
    <x v="0"/>
  </r>
  <r>
    <x v="1005"/>
    <n v="3.2207384131971703E-2"/>
    <x v="1"/>
  </r>
  <r>
    <x v="1006"/>
    <n v="-3.3409263477600502E-2"/>
    <x v="0"/>
  </r>
  <r>
    <x v="1007"/>
    <n v="7.5980392156862697E-2"/>
    <x v="1"/>
  </r>
  <r>
    <x v="1008"/>
    <n v="1.49253731343284E-2"/>
    <x v="1"/>
  </r>
  <r>
    <x v="1009"/>
    <n v="-2.18978102189781E-2"/>
    <x v="0"/>
  </r>
  <r>
    <x v="1010"/>
    <n v="6.6608996539792201E-2"/>
    <x v="1"/>
  </r>
  <r>
    <x v="1011"/>
    <n v="0.24703344120819901"/>
    <x v="1"/>
  </r>
  <r>
    <x v="1012"/>
    <n v="-5.2147239263803699E-2"/>
    <x v="0"/>
  </r>
  <r>
    <x v="1013"/>
    <n v="0.150588235294117"/>
    <x v="1"/>
  </r>
  <r>
    <x v="1014"/>
    <n v="-0.25044091710758398"/>
    <x v="0"/>
  </r>
  <r>
    <x v="1015"/>
    <n v="6.0804490177736301E-2"/>
    <x v="1"/>
  </r>
  <r>
    <x v="1016"/>
    <n v="1.32701421800947E-2"/>
    <x v="1"/>
  </r>
  <r>
    <x v="1017"/>
    <n v="-5.04050405040503E-2"/>
    <x v="0"/>
  </r>
  <r>
    <x v="1018"/>
    <n v="-0.100404858299595"/>
    <x v="0"/>
  </r>
  <r>
    <x v="1019"/>
    <n v="-0.102470930232558"/>
    <x v="0"/>
  </r>
  <r>
    <x v="1020"/>
    <n v="-0.14214469188624099"/>
    <x v="0"/>
  </r>
  <r>
    <x v="1021"/>
    <n v="-4.3530053667262897E-2"/>
    <x v="0"/>
  </r>
  <r>
    <x v="1022"/>
    <n v="8.8961038961038894E-2"/>
    <x v="1"/>
  </r>
  <r>
    <x v="1023"/>
    <n v="-5.28905289052891E-2"/>
    <x v="0"/>
  </r>
  <r>
    <x v="1024"/>
    <n v="-1.0346926354230001E-2"/>
    <x v="0"/>
  </r>
  <r>
    <x v="1025"/>
    <n v="-8.3147321428571494E-2"/>
    <x v="0"/>
  </r>
  <r>
    <x v="1026"/>
    <n v="-7.7518830427398804E-3"/>
    <x v="0"/>
  </r>
  <r>
    <x v="1027"/>
    <n v="1.6319583567810901E-2"/>
    <x v="1"/>
  </r>
  <r>
    <x v="1028"/>
    <n v="3.4342258440046597E-2"/>
    <x v="1"/>
  </r>
  <r>
    <x v="1029"/>
    <n v="-5.7870945725060404E-3"/>
    <x v="0"/>
  </r>
  <r>
    <x v="1030"/>
    <n v="2.9019733023794001E-3"/>
    <x v="1"/>
  </r>
  <r>
    <x v="1031"/>
    <n v="7.6202373516551999E-2"/>
    <x v="1"/>
  </r>
  <r>
    <x v="1032"/>
    <n v="1.25078173858673E-3"/>
    <x v="1"/>
  </r>
  <r>
    <x v="1033"/>
    <n v="8.8328075709780407E-3"/>
    <x v="1"/>
  </r>
  <r>
    <x v="1034"/>
    <n v="6.8059299191374698E-2"/>
    <x v="1"/>
  </r>
  <r>
    <x v="1035"/>
    <n v="3.0555555555555398E-2"/>
    <x v="1"/>
  </r>
  <r>
    <x v="1036"/>
    <n v="4.5751633986928199E-2"/>
    <x v="1"/>
  </r>
  <r>
    <x v="1037"/>
    <n v="-7.7077747989276094E-2"/>
    <x v="0"/>
  </r>
  <r>
    <x v="1038"/>
    <n v="2.1917808219177999E-2"/>
    <x v="1"/>
  </r>
  <r>
    <x v="1039"/>
    <n v="2.0265548567435201E-2"/>
    <x v="1"/>
  </r>
  <r>
    <x v="1040"/>
    <n v="6.5524944154877293E-2"/>
    <x v="1"/>
  </r>
  <r>
    <x v="1041"/>
    <n v="3.7867078825347698E-2"/>
    <x v="1"/>
  </r>
  <r>
    <x v="1042"/>
    <n v="3.8523274478330601E-2"/>
    <x v="1"/>
  </r>
  <r>
    <x v="1043"/>
    <n v="7.5064710957722297E-2"/>
    <x v="1"/>
  </r>
  <r>
    <x v="1044"/>
    <n v="3.1138790035587099E-2"/>
    <x v="1"/>
  </r>
  <r>
    <x v="1045"/>
    <n v="1.4440433212996401E-2"/>
    <x v="1"/>
  </r>
  <r>
    <x v="1046"/>
    <n v="8.203125E-2"/>
    <x v="1"/>
  </r>
  <r>
    <x v="1047"/>
    <n v="6.8893528183716204E-2"/>
    <x v="1"/>
  </r>
  <r>
    <x v="1048"/>
    <n v="3.2327586206896602E-2"/>
    <x v="1"/>
  </r>
  <r>
    <x v="1049"/>
    <n v="9.82248520710058E-2"/>
    <x v="1"/>
  </r>
  <r>
    <x v="1050"/>
    <n v="-3.3180778032036701E-2"/>
    <x v="0"/>
  </r>
  <r>
    <x v="1051"/>
    <n v="-3.9560439560439503E-2"/>
    <x v="0"/>
  </r>
  <r>
    <x v="1052"/>
    <n v="-4.2105263157894798E-2"/>
    <x v="0"/>
  </r>
  <r>
    <x v="1053"/>
    <n v="-4.1928721174003796E-3"/>
    <x v="0"/>
  </r>
  <r>
    <x v="1054"/>
    <n v="8.2860385925084906E-2"/>
    <x v="1"/>
  </r>
  <r>
    <x v="1055"/>
    <n v="-2.97356828193832E-2"/>
    <x v="0"/>
  </r>
  <r>
    <x v="1056"/>
    <n v="-7.6502732240437696E-3"/>
    <x v="0"/>
  </r>
  <r>
    <x v="1057"/>
    <n v="5.4147465437787999E-2"/>
    <x v="1"/>
  </r>
  <r>
    <x v="1058"/>
    <n v="-0.115188583078491"/>
    <x v="0"/>
  </r>
  <r>
    <x v="1059"/>
    <n v="2.0811654526534901E-2"/>
    <x v="1"/>
  </r>
  <r>
    <x v="1060"/>
    <n v="-8.1261950286806994E-2"/>
    <x v="0"/>
  </r>
  <r>
    <x v="1061"/>
    <n v="-1.5065913370997899E-2"/>
    <x v="0"/>
  </r>
  <r>
    <x v="1062"/>
    <n v="-1.3011152416357001E-2"/>
    <x v="0"/>
  </r>
  <r>
    <x v="1063"/>
    <n v="-3.6705461056400997E-2"/>
    <x v="0"/>
  </r>
  <r>
    <x v="1064"/>
    <n v="0.12036108324974901"/>
    <x v="1"/>
  </r>
  <r>
    <x v="1065"/>
    <n v="9.1093117408906892E-3"/>
    <x v="1"/>
  </r>
  <r>
    <x v="1066"/>
    <n v="0.10267857142857099"/>
    <x v="1"/>
  </r>
  <r>
    <x v="1067"/>
    <n v="-7.8189300411522597E-2"/>
    <x v="0"/>
  </r>
  <r>
    <x v="1068"/>
    <n v="-0.123534715960325"/>
    <x v="0"/>
  </r>
  <r>
    <x v="1069"/>
    <n v="0.114572864321608"/>
    <x v="1"/>
  </r>
  <r>
    <x v="1070"/>
    <n v="-8.7992667277726894E-2"/>
    <x v="0"/>
  </r>
  <r>
    <x v="1071"/>
    <n v="0.13174273858921201"/>
    <x v="1"/>
  </r>
  <r>
    <x v="1072"/>
    <n v="0.23116219667943799"/>
    <x v="1"/>
  </r>
  <r>
    <x v="1073"/>
    <n v="0.33846153846153898"/>
    <x v="1"/>
  </r>
  <r>
    <x v="1074"/>
    <n v="3.3568904593639599E-2"/>
    <x v="1"/>
  </r>
  <r>
    <x v="1075"/>
    <n v="-0.18443804034582101"/>
    <x v="0"/>
  </r>
  <r>
    <x v="1076"/>
    <n v="2.8901734104047599E-3"/>
    <x v="1"/>
  </r>
  <r>
    <x v="1077"/>
    <n v="5.6488549618320699E-2"/>
    <x v="1"/>
  </r>
  <r>
    <x v="1078"/>
    <n v="-5.8908045977011499E-2"/>
    <x v="0"/>
  </r>
  <r>
    <x v="1079"/>
    <n v="-0.13861386138613899"/>
    <x v="0"/>
  </r>
  <r>
    <x v="1080"/>
    <n v="-3.6948748510131198E-2"/>
    <x v="0"/>
  </r>
  <r>
    <x v="1081"/>
    <n v="0.391376451077944"/>
    <x v="1"/>
  </r>
  <r>
    <x v="1082"/>
    <n v="0.36117381489841999"/>
    <x v="1"/>
  </r>
  <r>
    <x v="1083"/>
    <n v="-8.9485458612975598E-3"/>
    <x v="0"/>
  </r>
  <r>
    <x v="1084"/>
    <n v="-0.23327615780446001"/>
    <x v="0"/>
  </r>
  <r>
    <x v="1085"/>
    <n v="-0.20246238030095801"/>
    <x v="0"/>
  </r>
  <r>
    <x v="1086"/>
    <n v="-0.118214716525935"/>
    <x v="0"/>
  </r>
  <r>
    <x v="1087"/>
    <n v="4.4080604534005002E-2"/>
    <x v="1"/>
  </r>
  <r>
    <x v="1088"/>
    <n v="-2.2167487684728902E-2"/>
    <x v="0"/>
  </r>
  <r>
    <x v="1089"/>
    <n v="-0.14526315789473701"/>
    <x v="0"/>
  </r>
  <r>
    <x v="1090"/>
    <n v="-8.9165867689357595E-2"/>
    <x v="0"/>
  </r>
  <r>
    <x v="1091"/>
    <n v="7.4150360453141106E-2"/>
    <x v="1"/>
  </r>
  <r>
    <x v="1092"/>
    <n v="-0.29942279942279898"/>
    <x v="0"/>
  </r>
  <r>
    <x v="1093"/>
    <n v="9.4683175528040807E-3"/>
    <x v="1"/>
  </r>
  <r>
    <x v="1094"/>
    <n v="-7.4173971679028894E-2"/>
    <x v="0"/>
  </r>
  <r>
    <x v="1095"/>
    <n v="0.13901689708141299"/>
    <x v="1"/>
  </r>
  <r>
    <x v="1096"/>
    <n v="-0.13717693836978101"/>
    <x v="0"/>
  </r>
  <r>
    <x v="1097"/>
    <n v="-9.5865842069152593E-2"/>
    <x v="0"/>
  </r>
  <r>
    <x v="1098"/>
    <n v="-7.4320572694366399E-2"/>
    <x v="0"/>
  </r>
  <r>
    <x v="1099"/>
    <n v="0.113650394462607"/>
    <x v="1"/>
  </r>
  <r>
    <x v="1100"/>
    <n v="5.5410756192959501E-2"/>
    <x v="1"/>
  </r>
  <r>
    <x v="1101"/>
    <n v="-6.3492006318193406E-2"/>
    <x v="0"/>
  </r>
  <r>
    <x v="1102"/>
    <n v="-3.3057967351949803E-2"/>
    <x v="0"/>
  </r>
  <r>
    <x v="1103"/>
    <n v="-8.8757342657342697E-2"/>
    <x v="0"/>
  </r>
  <r>
    <x v="1104"/>
    <n v="-0.130088950393591"/>
    <x v="0"/>
  </r>
  <r>
    <x v="1105"/>
    <n v="7.5437061548187002E-3"/>
    <x v="1"/>
  </r>
  <r>
    <x v="1106"/>
    <n v="3.6656893287238201E-2"/>
    <x v="1"/>
  </r>
  <r>
    <x v="1107"/>
    <n v="-0.16455700285830899"/>
    <x v="0"/>
  </r>
  <r>
    <x v="1108"/>
    <n v="-1.6465863453815299E-2"/>
    <x v="0"/>
  </r>
  <r>
    <x v="1109"/>
    <n v="3.1055900621118002E-2"/>
    <x v="1"/>
  </r>
  <r>
    <x v="1110"/>
    <n v="3.7371089460004801E-2"/>
    <x v="1"/>
  </r>
  <r>
    <x v="1111"/>
    <n v="2.1500657239988698E-2"/>
    <x v="1"/>
  </r>
  <r>
    <x v="1112"/>
    <n v="6.2470859558467998E-2"/>
    <x v="1"/>
  </r>
  <r>
    <x v="1113"/>
    <n v="2.5334655831740001E-2"/>
    <x v="1"/>
  </r>
  <r>
    <x v="1114"/>
    <n v="-0.133747412008281"/>
    <x v="0"/>
  </r>
  <r>
    <x v="1115"/>
    <n v="-0.19927055702917801"/>
    <x v="0"/>
  </r>
  <r>
    <x v="1116"/>
    <n v="-4.88804493497461E-2"/>
    <x v="0"/>
  </r>
  <r>
    <x v="1117"/>
    <n v="9.7991693143756595E-2"/>
    <x v="1"/>
  </r>
  <r>
    <x v="1118"/>
    <n v="5.36300255381248E-2"/>
    <x v="1"/>
  </r>
  <r>
    <x v="1119"/>
    <n v="0.103906564639549"/>
    <x v="1"/>
  </r>
  <r>
    <x v="1120"/>
    <n v="-4.2791093184614798E-2"/>
    <x v="0"/>
  </r>
  <r>
    <x v="1121"/>
    <n v="1.6059537169622599E-2"/>
    <x v="1"/>
  </r>
  <r>
    <x v="1122"/>
    <n v="-2.3446268073467101E-3"/>
    <x v="0"/>
  </r>
  <r>
    <x v="1123"/>
    <n v="-5.8275058275058002E-3"/>
    <x v="0"/>
  </r>
  <r>
    <x v="1124"/>
    <n v="5.7084188911704199E-2"/>
    <x v="1"/>
  </r>
  <r>
    <x v="1125"/>
    <n v="2.8829899965821001E-3"/>
    <x v="1"/>
  </r>
  <r>
    <x v="1126"/>
    <n v="0.119926245387454"/>
    <x v="1"/>
  </r>
  <r>
    <x v="1127"/>
    <n v="2.5544040943426698E-2"/>
    <x v="1"/>
  </r>
  <r>
    <x v="1128"/>
    <n v="1.2937134023137E-2"/>
    <x v="1"/>
  </r>
  <r>
    <x v="1129"/>
    <n v="7.4112249099330896E-2"/>
    <x v="1"/>
  </r>
  <r>
    <x v="1130"/>
    <n v="1.5151568189737201E-2"/>
    <x v="1"/>
  </r>
  <r>
    <x v="1131"/>
    <n v="-4.3000050000000102E-2"/>
    <x v="0"/>
  </r>
  <r>
    <x v="1132"/>
    <n v="1.26582278481013E-2"/>
    <x v="1"/>
  </r>
  <r>
    <x v="1133"/>
    <n v="2.4377540229380702E-2"/>
    <x v="1"/>
  </r>
  <r>
    <x v="1134"/>
    <n v="0.117033661645423"/>
    <x v="1"/>
  </r>
  <r>
    <x v="1135"/>
    <n v="-1.7643710870802399E-2"/>
    <x v="0"/>
  </r>
  <r>
    <x v="1136"/>
    <n v="-5.0962627406568898E-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n v="-9.339567E-2"/>
    <x v="0"/>
  </r>
  <r>
    <x v="1"/>
    <n v="0.26892738679336098"/>
    <x v="1"/>
  </r>
  <r>
    <x v="2"/>
    <n v="0.162589230552657"/>
    <x v="1"/>
  </r>
  <r>
    <x v="3"/>
    <n v="0.28878070195643601"/>
    <x v="1"/>
  </r>
  <r>
    <x v="4"/>
    <n v="-6.2372598219685001E-2"/>
    <x v="0"/>
  </r>
  <r>
    <x v="5"/>
    <n v="0.194199655111119"/>
    <x v="1"/>
  </r>
  <r>
    <x v="6"/>
    <n v="9.5350226829389997E-2"/>
    <x v="1"/>
  </r>
  <r>
    <x v="7"/>
    <n v="-7.2659972373926296E-3"/>
    <x v="0"/>
  </r>
  <r>
    <x v="8"/>
    <n v="0.113906337893373"/>
    <x v="1"/>
  </r>
  <r>
    <x v="9"/>
    <n v="0.296012495855908"/>
    <x v="1"/>
  </r>
  <r>
    <x v="10"/>
    <n v="0.134056908569788"/>
    <x v="1"/>
  </r>
  <r>
    <x v="11"/>
    <n v="-3.1836614231783903E-5"/>
    <x v="0"/>
  </r>
  <r>
    <x v="12"/>
    <n v="0.12782713843408799"/>
    <x v="1"/>
  </r>
  <r>
    <x v="13"/>
    <n v="0.23454190534182101"/>
    <x v="1"/>
  </r>
  <r>
    <x v="14"/>
    <n v="-0.38485793046178701"/>
    <x v="0"/>
  </r>
  <r>
    <x v="15"/>
    <n v="3.5295730290142699E-2"/>
    <x v="1"/>
  </r>
  <r>
    <x v="16"/>
    <n v="0.13619431757718301"/>
    <x v="1"/>
  </r>
  <r>
    <x v="17"/>
    <n v="3.0010226483224899E-2"/>
    <x v="1"/>
  </r>
  <r>
    <x v="18"/>
    <n v="8.9934524105044406E-2"/>
    <x v="1"/>
  </r>
  <r>
    <x v="19"/>
    <n v="0.263803999856075"/>
    <x v="1"/>
  </r>
  <r>
    <x v="20"/>
    <n v="-0.233659639816933"/>
    <x v="0"/>
  </r>
  <r>
    <x v="21"/>
    <n v="-0.130426931573317"/>
    <x v="0"/>
  </r>
  <r>
    <x v="22"/>
    <n v="-0.101391846860643"/>
    <x v="0"/>
  </r>
  <r>
    <x v="23"/>
    <n v="0.19526046704458"/>
    <x v="1"/>
  </r>
  <r>
    <x v="24"/>
    <n v="0.26668589065342302"/>
    <x v="1"/>
  </r>
  <r>
    <x v="25"/>
    <n v="0.31008181831792297"/>
    <x v="1"/>
  </r>
  <r>
    <x v="26"/>
    <n v="0.20263666068945599"/>
    <x v="1"/>
  </r>
  <r>
    <x v="27"/>
    <n v="0.34110655551673802"/>
    <x v="1"/>
  </r>
  <r>
    <x v="28"/>
    <n v="-1.53929098837712E-2"/>
    <x v="0"/>
  </r>
  <r>
    <x v="29"/>
    <n v="7.0551563275949705E-2"/>
    <x v="1"/>
  </r>
  <r>
    <x v="30"/>
    <n v="4.4642631514950203E-2"/>
    <x v="1"/>
  </r>
  <r>
    <x v="31"/>
    <n v="0.26306703027355399"/>
    <x v="1"/>
  </r>
  <r>
    <x v="32"/>
    <n v="-6.5591379155484505E-2"/>
    <x v="0"/>
  </r>
  <r>
    <x v="33"/>
    <n v="0.272504654787179"/>
    <x v="1"/>
  </r>
  <r>
    <x v="34"/>
    <n v="0.124008413274985"/>
    <x v="1"/>
  </r>
  <r>
    <x v="35"/>
    <n v="2.0275030105091799E-2"/>
    <x v="1"/>
  </r>
  <r>
    <x v="36"/>
    <n v="0.14620408531902701"/>
    <x v="1"/>
  </r>
  <r>
    <x v="37"/>
    <n v="0.26333408684124299"/>
    <x v="1"/>
  </r>
  <r>
    <x v="38"/>
    <n v="1.40060152673382E-2"/>
    <x v="1"/>
  </r>
  <r>
    <x v="39"/>
    <n v="0.17271042500505199"/>
    <x v="1"/>
  </r>
  <r>
    <x v="40"/>
    <n v="0.147613182840966"/>
    <x v="1"/>
  </r>
  <r>
    <x v="41"/>
    <n v="-9.7304010654979706E-2"/>
    <x v="0"/>
  </r>
  <r>
    <x v="42"/>
    <n v="0.25773570951017799"/>
    <x v="1"/>
  </r>
  <r>
    <x v="43"/>
    <n v="0.123088137310497"/>
    <x v="1"/>
  </r>
  <r>
    <x v="44"/>
    <n v="1.06204313484843E-2"/>
    <x v="1"/>
  </r>
  <r>
    <x v="45"/>
    <n v="-0.115019552531356"/>
    <x v="0"/>
  </r>
  <r>
    <x v="46"/>
    <n v="0.19148460602096401"/>
    <x v="1"/>
  </r>
  <r>
    <x v="47"/>
    <n v="0.31549014922666702"/>
    <x v="1"/>
  </r>
  <r>
    <x v="48"/>
    <n v="-0.29718097497136903"/>
    <x v="0"/>
  </r>
  <r>
    <x v="49"/>
    <n v="-0.17365522642129899"/>
    <x v="0"/>
  </r>
  <r>
    <x v="50"/>
    <n v="0.15633272235606699"/>
    <x v="1"/>
  </r>
  <r>
    <x v="51"/>
    <n v="0.10786753970987401"/>
    <x v="1"/>
  </r>
  <r>
    <x v="52"/>
    <n v="9.7766676032295897E-4"/>
    <x v="1"/>
  </r>
  <r>
    <x v="53"/>
    <n v="-0.11361450882327701"/>
    <x v="0"/>
  </r>
  <r>
    <x v="54"/>
    <n v="7.6604124840840407E-2"/>
    <x v="1"/>
  </r>
  <r>
    <x v="55"/>
    <n v="0.200921182598751"/>
    <x v="1"/>
  </r>
  <r>
    <x v="56"/>
    <n v="-0.130909856107325"/>
    <x v="0"/>
  </r>
  <r>
    <x v="57"/>
    <n v="9.0619469026548702E-2"/>
    <x v="1"/>
  </r>
  <r>
    <x v="58"/>
    <n v="0.12969879217670499"/>
    <x v="1"/>
  </r>
  <r>
    <x v="59"/>
    <n v="0.188906487762488"/>
    <x v="1"/>
  </r>
  <r>
    <x v="60"/>
    <n v="-0.118099296236228"/>
    <x v="0"/>
  </r>
  <r>
    <x v="61"/>
    <n v="0.23128552346781101"/>
    <x v="1"/>
  </r>
  <r>
    <x v="62"/>
    <n v="-2.9721122553366699E-2"/>
    <x v="0"/>
  </r>
  <r>
    <x v="63"/>
    <n v="8.4767253844724805E-2"/>
    <x v="1"/>
  </r>
  <r>
    <x v="64"/>
    <n v="0.38059505473393102"/>
    <x v="1"/>
  </r>
  <r>
    <x v="65"/>
    <n v="-0.14313255380897999"/>
    <x v="0"/>
  </r>
  <r>
    <x v="66"/>
    <n v="2.6165303430079299E-2"/>
    <x v="1"/>
  </r>
  <r>
    <x v="67"/>
    <n v="0.26403557531962202"/>
    <x v="1"/>
  </r>
  <r>
    <x v="68"/>
    <n v="0.45022174325762698"/>
    <x v="1"/>
  </r>
  <r>
    <x v="69"/>
    <n v="-6.6240158073014602E-2"/>
    <x v="0"/>
  </r>
  <r>
    <x v="70"/>
    <n v="0.117795540597392"/>
    <x v="1"/>
  </r>
  <r>
    <x v="71"/>
    <n v="0.16348507097405801"/>
    <x v="1"/>
  </r>
  <r>
    <x v="72"/>
    <n v="0.21679563926172499"/>
    <x v="1"/>
  </r>
  <r>
    <x v="73"/>
    <n v="0.104605328947369"/>
    <x v="1"/>
  </r>
  <r>
    <x v="74"/>
    <n v="-6.5359477124183902E-3"/>
    <x v="0"/>
  </r>
  <r>
    <x v="75"/>
    <n v="0"/>
    <x v="0"/>
  </r>
  <r>
    <x v="76"/>
    <n v="-0.118663645238269"/>
    <x v="0"/>
  </r>
  <r>
    <x v="77"/>
    <n v="0.30722899096385498"/>
    <x v="1"/>
  </r>
  <r>
    <x v="78"/>
    <n v="0.13796058269066"/>
    <x v="1"/>
  </r>
  <r>
    <x v="79"/>
    <n v="0.19447287615148401"/>
    <x v="1"/>
  </r>
  <r>
    <x v="80"/>
    <n v="0.124280782508631"/>
    <x v="1"/>
  </r>
  <r>
    <x v="81"/>
    <n v="-0.17863894139886599"/>
    <x v="0"/>
  </r>
  <r>
    <x v="82"/>
    <n v="-0.15088282504012901"/>
    <x v="0"/>
  </r>
  <r>
    <x v="83"/>
    <n v="-5.1750380517503802E-2"/>
    <x v="0"/>
  </r>
  <r>
    <x v="84"/>
    <n v="0.24549763033175401"/>
    <x v="1"/>
  </r>
  <r>
    <x v="85"/>
    <n v="-0.38591385331781097"/>
    <x v="0"/>
  </r>
  <r>
    <x v="86"/>
    <n v="0.27922561429635101"/>
    <x v="1"/>
  </r>
  <r>
    <x v="87"/>
    <n v="0.41368421052631599"/>
    <x v="1"/>
  </r>
  <r>
    <x v="88"/>
    <n v="-4.7141424272818498E-2"/>
    <x v="0"/>
  </r>
  <r>
    <x v="89"/>
    <n v="0.440751445086705"/>
    <x v="1"/>
  </r>
  <r>
    <x v="90"/>
    <n v="-0.147783251231527"/>
    <x v="0"/>
  </r>
  <r>
    <x v="91"/>
    <n v="-0.47066492829204698"/>
    <x v="0"/>
  </r>
  <r>
    <x v="92"/>
    <n v="-0.28484851818888002"/>
    <x v="0"/>
  </r>
  <r>
    <x v="93"/>
    <n v="-0.119096468172485"/>
    <x v="0"/>
  </r>
  <r>
    <x v="94"/>
    <n v="0.37882219705549303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">
  <r>
    <x v="0"/>
    <n v="-7.0884980530973501E-2"/>
    <n v="26.299999"/>
    <n v="4"/>
    <x v="0"/>
  </r>
  <r>
    <x v="1"/>
    <n v="-4.2440128258508597E-2"/>
    <n v="25.870000999999998"/>
    <n v="4"/>
    <x v="0"/>
  </r>
  <r>
    <x v="2"/>
    <n v="9.1116391659653406E-2"/>
    <n v="21.33"/>
    <n v="3"/>
    <x v="1"/>
  </r>
  <r>
    <x v="3"/>
    <n v="-8.3919999812243101E-2"/>
    <n v="28.709999"/>
    <n v="4"/>
    <x v="0"/>
  </r>
  <r>
    <x v="4"/>
    <n v="5.3177568506868103E-5"/>
    <n v="26.190000999999999"/>
    <n v="4"/>
    <x v="1"/>
  </r>
  <r>
    <x v="5"/>
    <n v="-8.7956711705729301E-2"/>
    <n v="33.400002000000001"/>
    <n v="4"/>
    <x v="0"/>
  </r>
  <r>
    <x v="6"/>
    <n v="3.5773288410591901E-2"/>
    <n v="20.559999000000001"/>
    <n v="3"/>
    <x v="1"/>
  </r>
  <r>
    <x v="7"/>
    <n v="-3.1360492102910101E-2"/>
    <n v="30.15"/>
    <n v="4"/>
    <x v="0"/>
  </r>
  <r>
    <x v="8"/>
    <n v="-5.2585165005310602E-2"/>
    <n v="24.83"/>
    <n v="4"/>
    <x v="0"/>
  </r>
  <r>
    <x v="9"/>
    <n v="4.3612913509962797E-2"/>
    <n v="17.219999000000001"/>
    <n v="2"/>
    <x v="1"/>
  </r>
  <r>
    <x v="10"/>
    <n v="-8.3337062251199693E-3"/>
    <n v="27.190000999999999"/>
    <n v="4"/>
    <x v="0"/>
  </r>
  <r>
    <x v="11"/>
    <n v="6.9143836459647501E-2"/>
    <n v="16.260000000000002"/>
    <n v="2"/>
    <x v="1"/>
  </r>
  <r>
    <x v="12"/>
    <n v="-4.75691688617867E-2"/>
    <n v="23.139999"/>
    <n v="3"/>
    <x v="0"/>
  </r>
  <r>
    <x v="13"/>
    <n v="2.8990416217415299E-2"/>
    <n v="16.48"/>
    <n v="2"/>
    <x v="1"/>
  </r>
  <r>
    <x v="14"/>
    <n v="2.2748054915648699E-2"/>
    <n v="18.239999999999998"/>
    <n v="3"/>
    <x v="1"/>
  </r>
  <r>
    <x v="15"/>
    <n v="2.2214009634219802E-2"/>
    <n v="15.83"/>
    <n v="2"/>
    <x v="1"/>
  </r>
  <r>
    <x v="16"/>
    <n v="5.4864885732810497E-3"/>
    <n v="16.760000000000002"/>
    <n v="2"/>
    <x v="1"/>
  </r>
  <r>
    <x v="17"/>
    <n v="5.2425321267266303E-2"/>
    <n v="18.610001"/>
    <n v="3"/>
    <x v="1"/>
  </r>
  <r>
    <x v="18"/>
    <n v="4.24386327378838E-2"/>
    <n v="19.399999999999999"/>
    <n v="3"/>
    <x v="1"/>
  </r>
  <r>
    <x v="19"/>
    <n v="2.60914513496475E-2"/>
    <n v="27.950001"/>
    <n v="4"/>
    <x v="1"/>
  </r>
  <r>
    <x v="20"/>
    <n v="-1.11366607232312E-2"/>
    <n v="33.090000000000003"/>
    <n v="4"/>
    <x v="0"/>
  </r>
  <r>
    <x v="21"/>
    <n v="3.7121458940645703E-2"/>
    <n v="22.75"/>
    <n v="3"/>
    <x v="1"/>
  </r>
  <r>
    <x v="22"/>
    <n v="0.10754563548003"/>
    <n v="20.57"/>
    <n v="3"/>
    <x v="1"/>
  </r>
  <r>
    <x v="23"/>
    <n v="-2.7665786202795101E-2"/>
    <n v="38.020000000000003"/>
    <n v="4"/>
    <x v="0"/>
  </r>
  <r>
    <x v="24"/>
    <n v="-3.9227970289931399E-2"/>
    <n v="26.370000999999998"/>
    <n v="4"/>
    <x v="0"/>
  </r>
  <r>
    <x v="25"/>
    <n v="7.0064667087246499E-2"/>
    <n v="26.41"/>
    <n v="4"/>
    <x v="1"/>
  </r>
  <r>
    <x v="26"/>
    <n v="5.5101321441235702E-2"/>
    <n v="24.459999"/>
    <n v="4"/>
    <x v="1"/>
  </r>
  <r>
    <x v="27"/>
    <n v="1.8388396357494698E-2"/>
    <n v="30.43"/>
    <n v="4"/>
    <x v="1"/>
  </r>
  <r>
    <x v="28"/>
    <n v="4.52818196760656E-2"/>
    <n v="27.51"/>
    <n v="4"/>
    <x v="1"/>
  </r>
  <r>
    <x v="29"/>
    <n v="0.12684403825663801"/>
    <n v="34.150002000000001"/>
    <n v="4"/>
    <x v="1"/>
  </r>
  <r>
    <x v="30"/>
    <n v="-0.12511928245982301"/>
    <n v="53.540000999999997"/>
    <n v="4"/>
    <x v="0"/>
  </r>
  <r>
    <x v="31"/>
    <n v="-8.4110483679465706E-2"/>
    <n v="40.110000999999997"/>
    <n v="4"/>
    <x v="0"/>
  </r>
  <r>
    <x v="32"/>
    <n v="-1.6280925822201901E-3"/>
    <n v="18.84"/>
    <n v="3"/>
    <x v="0"/>
  </r>
  <r>
    <x v="33"/>
    <n v="2.85898189647169E-2"/>
    <n v="13.78"/>
    <n v="1"/>
    <x v="1"/>
  </r>
  <r>
    <x v="34"/>
    <n v="3.4047037421886202E-2"/>
    <n v="12.62"/>
    <n v="1"/>
    <x v="1"/>
  </r>
  <r>
    <x v="35"/>
    <n v="2.0431770730503101E-2"/>
    <n v="13.22"/>
    <n v="1"/>
    <x v="1"/>
  </r>
  <r>
    <x v="36"/>
    <n v="1.71811778292086E-2"/>
    <n v="16.239999999999998"/>
    <n v="2"/>
    <x v="1"/>
  </r>
  <r>
    <x v="37"/>
    <n v="-1.8091627281326701E-2"/>
    <n v="18.98"/>
    <n v="3"/>
    <x v="0"/>
  </r>
  <r>
    <x v="38"/>
    <n v="1.31281521499778E-2"/>
    <n v="16.120000999999998"/>
    <n v="2"/>
    <x v="1"/>
  </r>
  <r>
    <x v="39"/>
    <n v="6.8930163925612103E-2"/>
    <n v="15.08"/>
    <n v="2"/>
    <x v="1"/>
  </r>
  <r>
    <x v="40"/>
    <n v="-6.5777731189286898E-2"/>
    <n v="18.709999"/>
    <n v="3"/>
    <x v="0"/>
  </r>
  <r>
    <x v="41"/>
    <n v="3.9313498395682697E-2"/>
    <n v="13.12"/>
    <n v="1"/>
    <x v="1"/>
  </r>
  <r>
    <x v="42"/>
    <n v="1.7924256211817102E-2"/>
    <n v="13.71"/>
    <n v="1"/>
    <x v="1"/>
  </r>
  <r>
    <x v="43"/>
    <n v="2.9728889126352302E-2"/>
    <n v="14.78"/>
    <n v="2"/>
    <x v="1"/>
  </r>
  <r>
    <x v="44"/>
    <n v="7.8684401655036804E-2"/>
    <n v="16.57"/>
    <n v="2"/>
    <x v="1"/>
  </r>
  <r>
    <x v="45"/>
    <n v="-9.1776894596563893E-2"/>
    <n v="25.42"/>
    <n v="4"/>
    <x v="0"/>
  </r>
  <r>
    <x v="46"/>
    <n v="1.7859356788849E-2"/>
    <n v="18.07"/>
    <n v="3"/>
    <x v="1"/>
  </r>
  <r>
    <x v="47"/>
    <n v="-6.9403356024429499E-2"/>
    <n v="21.23"/>
    <n v="3"/>
    <x v="0"/>
  </r>
  <r>
    <x v="48"/>
    <n v="4.29428710266144E-3"/>
    <n v="12.12"/>
    <n v="1"/>
    <x v="1"/>
  </r>
  <r>
    <x v="49"/>
    <n v="3.0263211466054599E-2"/>
    <n v="12.86"/>
    <n v="1"/>
    <x v="1"/>
  </r>
  <r>
    <x v="50"/>
    <n v="3.6021556221367303E-2"/>
    <n v="12.83"/>
    <n v="1"/>
    <x v="1"/>
  </r>
  <r>
    <x v="51"/>
    <n v="4.8424360241865498E-3"/>
    <n v="16.09"/>
    <n v="2"/>
    <x v="1"/>
  </r>
  <r>
    <x v="52"/>
    <n v="2.1608341965291902E-2"/>
    <n v="15.43"/>
    <n v="2"/>
    <x v="1"/>
  </r>
  <r>
    <x v="53"/>
    <n v="2.7187751316435399E-3"/>
    <n v="15.93"/>
    <n v="2"/>
    <x v="1"/>
  </r>
  <r>
    <x v="54"/>
    <n v="-2.6884498624825101E-2"/>
    <n v="19.969999000000001"/>
    <n v="3"/>
    <x v="0"/>
  </r>
  <r>
    <x v="55"/>
    <n v="-3.8947372061896898E-2"/>
    <n v="19.850000000000001"/>
    <n v="3"/>
    <x v="0"/>
  </r>
  <r>
    <x v="56"/>
    <n v="5.6178704444133101E-2"/>
    <n v="13.54"/>
    <n v="1"/>
    <x v="1"/>
  </r>
  <r>
    <x v="57"/>
    <n v="9.8316304826040497E-3"/>
    <n v="11.04"/>
    <n v="1"/>
    <x v="1"/>
  </r>
  <r>
    <x v="58"/>
    <n v="2.8082627664458602E-2"/>
    <n v="11.28"/>
    <n v="1"/>
    <x v="1"/>
  </r>
  <r>
    <x v="59"/>
    <n v="2.21881353303497E-2"/>
    <n v="10.18"/>
    <n v="1"/>
    <x v="1"/>
  </r>
  <r>
    <x v="60"/>
    <n v="1.9302978533243701E-2"/>
    <n v="9.51"/>
    <n v="1"/>
    <x v="1"/>
  </r>
  <r>
    <x v="61"/>
    <n v="5.4643281108557296E-4"/>
    <n v="10.59"/>
    <n v="1"/>
    <x v="1"/>
  </r>
  <r>
    <x v="62"/>
    <n v="1.9348826118030599E-2"/>
    <n v="10.26"/>
    <n v="1"/>
    <x v="1"/>
  </r>
  <r>
    <x v="63"/>
    <n v="4.8137750908554501E-3"/>
    <n v="11.18"/>
    <n v="1"/>
    <x v="1"/>
  </r>
  <r>
    <x v="64"/>
    <n v="1.1576251391341301E-2"/>
    <n v="10.41"/>
    <n v="1"/>
    <x v="1"/>
  </r>
  <r>
    <x v="65"/>
    <n v="9.0912085493182193E-3"/>
    <n v="10.82"/>
    <n v="1"/>
    <x v="1"/>
  </r>
  <r>
    <x v="66"/>
    <n v="-3.891971880845E-4"/>
    <n v="12.37"/>
    <n v="1"/>
    <x v="0"/>
  </r>
  <r>
    <x v="67"/>
    <n v="3.7198160337279101E-2"/>
    <n v="12.92"/>
    <n v="1"/>
    <x v="1"/>
  </r>
  <r>
    <x v="68"/>
    <n v="1.7884358171464498E-2"/>
    <n v="11.99"/>
    <n v="1"/>
    <x v="1"/>
  </r>
  <r>
    <x v="69"/>
    <n v="1.82007621968951E-2"/>
    <n v="14.04"/>
    <n v="2"/>
    <x v="1"/>
  </r>
  <r>
    <x v="70"/>
    <n v="3.4174522187570402E-2"/>
    <n v="13.33"/>
    <n v="1"/>
    <x v="1"/>
  </r>
  <r>
    <x v="71"/>
    <n v="-1.94256792795575E-2"/>
    <n v="17.059999000000001"/>
    <n v="2"/>
    <x v="0"/>
  </r>
  <r>
    <x v="72"/>
    <n v="-1.23445084432539E-3"/>
    <n v="13.29"/>
    <n v="1"/>
    <x v="0"/>
  </r>
  <r>
    <x v="73"/>
    <n v="-1.2192431360480401E-3"/>
    <n v="13.42"/>
    <n v="1"/>
    <x v="0"/>
  </r>
  <r>
    <x v="74"/>
    <n v="3.5609801125254401E-2"/>
    <n v="11.87"/>
    <n v="1"/>
    <x v="1"/>
  </r>
  <r>
    <x v="75"/>
    <n v="9.1092112097812495E-4"/>
    <n v="15.63"/>
    <n v="2"/>
    <x v="1"/>
  </r>
  <r>
    <x v="76"/>
    <n v="1.53246023575726E-2"/>
    <n v="14.19"/>
    <n v="2"/>
    <x v="1"/>
  </r>
  <r>
    <x v="77"/>
    <n v="2.6993984808731902E-3"/>
    <n v="15.7"/>
    <n v="2"/>
    <x v="1"/>
  </r>
  <r>
    <x v="78"/>
    <n v="6.5991114577365104E-2"/>
    <n v="13.95"/>
    <n v="2"/>
    <x v="1"/>
  </r>
  <r>
    <x v="79"/>
    <n v="-4.12836043029907E-3"/>
    <n v="20.549999"/>
    <n v="3"/>
    <x v="0"/>
  </r>
  <r>
    <x v="80"/>
    <n v="-5.0735321972946397E-2"/>
    <n v="20.200001"/>
    <n v="3"/>
    <x v="0"/>
  </r>
  <r>
    <x v="81"/>
    <n v="-1.7530185176314401E-2"/>
    <n v="18.209999"/>
    <n v="3"/>
    <x v="0"/>
  </r>
  <r>
    <x v="82"/>
    <n v="5.0486926072412796E-4"/>
    <n v="16.129999000000002"/>
    <n v="2"/>
    <x v="1"/>
  </r>
  <r>
    <x v="83"/>
    <n v="8.2983117760394104E-2"/>
    <n v="15.07"/>
    <n v="2"/>
    <x v="1"/>
  </r>
  <r>
    <x v="84"/>
    <n v="-2.6442831573227101E-2"/>
    <n v="24.5"/>
    <n v="4"/>
    <x v="0"/>
  </r>
  <r>
    <x v="85"/>
    <n v="-6.2580818167202804E-2"/>
    <n v="28.43"/>
    <n v="4"/>
    <x v="0"/>
  </r>
  <r>
    <x v="86"/>
    <n v="1.9742029696721501E-2"/>
    <n v="12.12"/>
    <n v="1"/>
    <x v="1"/>
  </r>
  <r>
    <x v="87"/>
    <n v="-2.10116723759005E-2"/>
    <n v="18.23"/>
    <n v="3"/>
    <x v="0"/>
  </r>
  <r>
    <x v="88"/>
    <n v="1.04913823933168E-2"/>
    <n v="13.84"/>
    <n v="2"/>
    <x v="1"/>
  </r>
  <r>
    <x v="89"/>
    <n v="8.5208197301247495E-3"/>
    <n v="14.55"/>
    <n v="2"/>
    <x v="1"/>
  </r>
  <r>
    <x v="90"/>
    <n v="-1.7396106913756301E-2"/>
    <n v="15.29"/>
    <n v="2"/>
    <x v="0"/>
  </r>
  <r>
    <x v="91"/>
    <n v="5.4892511014553898E-2"/>
    <n v="13.34"/>
    <n v="1"/>
    <x v="1"/>
  </r>
  <r>
    <x v="92"/>
    <n v="-3.1040805790470201E-2"/>
    <n v="20.969999000000001"/>
    <n v="3"/>
    <x v="0"/>
  </r>
  <r>
    <x v="93"/>
    <n v="-4.1885878779204201E-3"/>
    <n v="19.200001"/>
    <n v="3"/>
    <x v="0"/>
  </r>
  <r>
    <x v="94"/>
    <n v="2.4533588760364801E-2"/>
    <n v="13.33"/>
    <n v="1"/>
    <x v="1"/>
  </r>
  <r>
    <x v="95"/>
    <n v="2.32014607867723E-2"/>
    <n v="14.03"/>
    <n v="2"/>
    <x v="1"/>
  </r>
  <r>
    <x v="96"/>
    <n v="-1.5513837223063799E-2"/>
    <n v="16.309999000000001"/>
    <n v="2"/>
    <x v="0"/>
  </r>
  <r>
    <x v="97"/>
    <n v="3.7655295489735098E-2"/>
    <n v="12.09"/>
    <n v="1"/>
    <x v="1"/>
  </r>
  <r>
    <x v="98"/>
    <n v="-1.50798305819199E-2"/>
    <n v="16.950001"/>
    <n v="2"/>
    <x v="0"/>
  </r>
  <r>
    <x v="99"/>
    <n v="1.90583316589206E-2"/>
    <n v="11.57"/>
    <n v="1"/>
    <x v="1"/>
  </r>
  <r>
    <x v="100"/>
    <n v="2.1030280012995999E-2"/>
    <n v="11.4"/>
    <n v="1"/>
    <x v="1"/>
  </r>
  <r>
    <x v="101"/>
    <n v="6.2007889650528298E-3"/>
    <n v="13.41"/>
    <n v="1"/>
    <x v="1"/>
  </r>
  <r>
    <x v="102"/>
    <n v="6.93216560793575E-3"/>
    <n v="13.88"/>
    <n v="2"/>
    <x v="1"/>
  </r>
  <r>
    <x v="103"/>
    <n v="4.3117029976595299E-2"/>
    <n v="14"/>
    <n v="2"/>
    <x v="1"/>
  </r>
  <r>
    <x v="104"/>
    <n v="-3.5582905675162597E-2"/>
    <n v="18.41"/>
    <n v="3"/>
    <x v="0"/>
  </r>
  <r>
    <x v="105"/>
    <n v="2.35627915504928E-2"/>
    <n v="13.72"/>
    <n v="1"/>
    <x v="1"/>
  </r>
  <r>
    <x v="106"/>
    <n v="2.80494716351865E-2"/>
    <n v="13.7"/>
    <n v="1"/>
    <x v="1"/>
  </r>
  <r>
    <x v="107"/>
    <n v="4.45957526180061E-2"/>
    <n v="13.75"/>
    <n v="1"/>
    <x v="1"/>
  </r>
  <r>
    <x v="108"/>
    <n v="2.9749523177239098E-2"/>
    <n v="16.600000000000001"/>
    <n v="2"/>
    <x v="1"/>
  </r>
  <r>
    <x v="109"/>
    <n v="-3.1298019033866899E-2"/>
    <n v="17.010000000000002"/>
    <n v="2"/>
    <x v="0"/>
  </r>
  <r>
    <x v="110"/>
    <n v="4.9462079815224998E-2"/>
    <n v="13.45"/>
    <n v="1"/>
    <x v="1"/>
  </r>
  <r>
    <x v="111"/>
    <n v="-1.4999301636062799E-2"/>
    <n v="16.860001"/>
    <n v="2"/>
    <x v="0"/>
  </r>
  <r>
    <x v="112"/>
    <n v="2.07628117210461E-2"/>
    <n v="16.299999"/>
    <n v="2"/>
    <x v="1"/>
  </r>
  <r>
    <x v="113"/>
    <n v="1.80857678592523E-2"/>
    <n v="13.52"/>
    <n v="1"/>
    <x v="1"/>
  </r>
  <r>
    <x v="114"/>
    <n v="3.5987723516956102E-2"/>
    <n v="12.7"/>
    <n v="1"/>
    <x v="1"/>
  </r>
  <r>
    <x v="115"/>
    <n v="1.10606491952592E-2"/>
    <n v="15.51"/>
    <n v="2"/>
    <x v="1"/>
  </r>
  <r>
    <x v="116"/>
    <n v="5.0428096519578497E-2"/>
    <n v="14.28"/>
    <n v="2"/>
    <x v="1"/>
  </r>
  <r>
    <x v="117"/>
    <n v="7.0682304638645102E-3"/>
    <n v="18.02"/>
    <n v="2"/>
    <x v="1"/>
  </r>
  <r>
    <x v="118"/>
    <n v="2.8467170173434001E-3"/>
    <n v="15.87"/>
    <n v="2"/>
    <x v="1"/>
  </r>
  <r>
    <x v="119"/>
    <n v="-1.9789409878227401E-2"/>
    <n v="18.600000000000001"/>
    <n v="3"/>
    <x v="0"/>
  </r>
  <r>
    <x v="120"/>
    <n v="2.4236153696477001E-2"/>
    <n v="15.73"/>
    <n v="2"/>
    <x v="1"/>
  </r>
  <r>
    <x v="121"/>
    <n v="1.9763369680148201E-2"/>
    <n v="17.469999000000001"/>
    <n v="2"/>
    <x v="1"/>
  </r>
  <r>
    <x v="122"/>
    <n v="1.25975741261544E-2"/>
    <n v="18.93"/>
    <n v="3"/>
    <x v="1"/>
  </r>
  <r>
    <x v="123"/>
    <n v="3.95549821345915E-2"/>
    <n v="17.079999999999998"/>
    <n v="2"/>
    <x v="1"/>
  </r>
  <r>
    <x v="124"/>
    <n v="-6.2650725633177598E-2"/>
    <n v="24.059999000000001"/>
    <n v="4"/>
    <x v="0"/>
  </r>
  <r>
    <x v="125"/>
    <n v="-7.4974527092703802E-3"/>
    <n v="17.149999999999999"/>
    <n v="2"/>
    <x v="0"/>
  </r>
  <r>
    <x v="126"/>
    <n v="3.1332314530530599E-2"/>
    <n v="15.5"/>
    <n v="2"/>
    <x v="1"/>
  </r>
  <r>
    <x v="127"/>
    <n v="4.0589464130841697E-2"/>
    <n v="18.43"/>
    <n v="3"/>
    <x v="1"/>
  </r>
  <r>
    <x v="128"/>
    <n v="4.3583062218506302E-2"/>
    <n v="19.440000999999999"/>
    <n v="3"/>
    <x v="1"/>
  </r>
  <r>
    <x v="129"/>
    <n v="8.5327639481440603E-3"/>
    <n v="23.4"/>
    <n v="3"/>
    <x v="1"/>
  </r>
  <r>
    <x v="130"/>
    <n v="-5.0587151935872496E-3"/>
    <n v="27.799999"/>
    <n v="4"/>
    <x v="0"/>
  </r>
  <r>
    <x v="131"/>
    <n v="0.10772303853581"/>
    <n v="29.959999"/>
    <n v="4"/>
    <x v="1"/>
  </r>
  <r>
    <x v="132"/>
    <n v="-7.1761988303760099E-2"/>
    <n v="42.959999000000003"/>
    <n v="4"/>
    <x v="0"/>
  </r>
  <r>
    <x v="133"/>
    <n v="-5.6791107463597598E-2"/>
    <n v="31.620000999999998"/>
    <n v="4"/>
    <x v="0"/>
  </r>
  <r>
    <x v="134"/>
    <n v="-2.1474425791951999E-2"/>
    <n v="25.25"/>
    <n v="4"/>
    <x v="0"/>
  </r>
  <r>
    <x v="135"/>
    <n v="-1.8257461265697099E-2"/>
    <n v="16.52"/>
    <n v="2"/>
    <x v="0"/>
  </r>
  <r>
    <x v="136"/>
    <n v="-1.3500952766930601E-2"/>
    <n v="15.45"/>
    <n v="2"/>
    <x v="0"/>
  </r>
  <r>
    <x v="137"/>
    <n v="2.8495380443795099E-2"/>
    <n v="14.75"/>
    <n v="2"/>
    <x v="1"/>
  </r>
  <r>
    <x v="138"/>
    <n v="-1.0473132038185699E-3"/>
    <n v="17.739999999999998"/>
    <n v="2"/>
    <x v="0"/>
  </r>
  <r>
    <x v="139"/>
    <n v="3.1956564052952198E-2"/>
    <n v="18.350000000000001"/>
    <n v="3"/>
    <x v="1"/>
  </r>
  <r>
    <x v="140"/>
    <n v="2.2645573980086799E-2"/>
    <n v="19.530000999999999"/>
    <n v="3"/>
    <x v="1"/>
  </r>
  <r>
    <x v="141"/>
    <n v="6.5300040489854702E-2"/>
    <n v="17.75"/>
    <n v="2"/>
    <x v="1"/>
  </r>
  <r>
    <x v="142"/>
    <n v="-2.29024979894321E-3"/>
    <n v="23.540001"/>
    <n v="3"/>
    <x v="0"/>
  </r>
  <r>
    <x v="143"/>
    <n v="3.68559943970765E-2"/>
    <n v="21.200001"/>
    <n v="3"/>
    <x v="1"/>
  </r>
  <r>
    <x v="144"/>
    <n v="8.7551102944020104E-2"/>
    <n v="23.700001"/>
    <n v="3"/>
    <x v="1"/>
  </r>
  <r>
    <x v="145"/>
    <n v="-4.7449184040287203E-2"/>
    <n v="26.049999"/>
    <n v="4"/>
    <x v="0"/>
  </r>
  <r>
    <x v="146"/>
    <n v="6.8777849911552294E-2"/>
    <n v="23.5"/>
    <n v="3"/>
    <x v="1"/>
  </r>
  <r>
    <x v="147"/>
    <n v="-5.3882442026415102E-2"/>
    <n v="34.540000999999997"/>
    <n v="4"/>
    <x v="0"/>
  </r>
  <r>
    <x v="148"/>
    <n v="-8.1975841910334496E-2"/>
    <n v="32.07"/>
    <n v="4"/>
    <x v="0"/>
  </r>
  <r>
    <x v="149"/>
    <n v="1.47592298837911E-2"/>
    <n v="22.049999"/>
    <n v="3"/>
    <x v="1"/>
  </r>
  <r>
    <x v="150"/>
    <n v="5.8796426031891801E-2"/>
    <n v="17.59"/>
    <n v="2"/>
    <x v="1"/>
  </r>
  <r>
    <x v="151"/>
    <n v="2.8513688940531301E-2"/>
    <n v="19.5"/>
    <n v="3"/>
    <x v="1"/>
  </r>
  <r>
    <x v="152"/>
    <n v="-3.6974246154947397E-2"/>
    <n v="24.620000999999998"/>
    <n v="4"/>
    <x v="0"/>
  </r>
  <r>
    <x v="153"/>
    <n v="1.7770571188400398E-2"/>
    <n v="21.68"/>
    <n v="3"/>
    <x v="1"/>
  </r>
  <r>
    <x v="154"/>
    <n v="5.7364061981373601E-2"/>
    <n v="24.51"/>
    <n v="4"/>
    <x v="1"/>
  </r>
  <r>
    <x v="155"/>
    <n v="-1.9762000860415501E-2"/>
    <n v="30.690000999999999"/>
    <n v="4"/>
    <x v="0"/>
  </r>
  <r>
    <x v="156"/>
    <n v="3.5723345788458698E-2"/>
    <n v="25.610001"/>
    <n v="4"/>
    <x v="1"/>
  </r>
  <r>
    <x v="157"/>
    <n v="3.3560189240494899E-2"/>
    <n v="26.01"/>
    <n v="4"/>
    <x v="1"/>
  </r>
  <r>
    <x v="158"/>
    <n v="7.4141727016716605E-2"/>
    <n v="25.92"/>
    <n v="4"/>
    <x v="1"/>
  </r>
  <r>
    <x v="159"/>
    <n v="1.9582653030303401E-4"/>
    <n v="26.35"/>
    <n v="4"/>
    <x v="1"/>
  </r>
  <r>
    <x v="160"/>
    <n v="5.3081446255385502E-2"/>
    <n v="28.92"/>
    <n v="4"/>
    <x v="1"/>
  </r>
  <r>
    <x v="161"/>
    <n v="9.3925079862164695E-2"/>
    <n v="36.5"/>
    <n v="4"/>
    <x v="1"/>
  </r>
  <r>
    <x v="162"/>
    <n v="8.5404461622494696E-2"/>
    <n v="44.139999000000003"/>
    <n v="4"/>
    <x v="1"/>
  </r>
  <r>
    <x v="163"/>
    <n v="-0.109931197571492"/>
    <n v="46.349997999999999"/>
    <n v="4"/>
    <x v="0"/>
  </r>
  <r>
    <x v="164"/>
    <n v="-8.5657342928314395E-2"/>
    <n v="44.84"/>
    <n v="4"/>
    <x v="0"/>
  </r>
  <r>
    <x v="165"/>
    <n v="7.8215768970539799E-3"/>
    <n v="40"/>
    <n v="4"/>
    <x v="1"/>
  </r>
  <r>
    <x v="166"/>
    <n v="-7.4849042580645203E-2"/>
    <n v="55.279998999999997"/>
    <n v="4"/>
    <x v="0"/>
  </r>
  <r>
    <x v="167"/>
    <n v="-0.16942452376742001"/>
    <n v="59.889999000000003"/>
    <n v="4"/>
    <x v="0"/>
  </r>
  <r>
    <x v="168"/>
    <n v="-9.0791433779084593E-2"/>
    <n v="39.389999000000003"/>
    <n v="4"/>
    <x v="0"/>
  </r>
  <r>
    <x v="169"/>
    <n v="1.2190464532379999E-2"/>
    <n v="20.65"/>
    <n v="3"/>
    <x v="1"/>
  </r>
  <r>
    <x v="170"/>
    <n v="-9.8593710937500099E-3"/>
    <n v="22.940000999999999"/>
    <n v="3"/>
    <x v="0"/>
  </r>
  <r>
    <x v="171"/>
    <n v="-8.5962384902803599E-2"/>
    <n v="23.950001"/>
    <n v="4"/>
    <x v="0"/>
  </r>
  <r>
    <x v="172"/>
    <n v="1.06741816575771E-2"/>
    <n v="17.829999999999998"/>
    <n v="2"/>
    <x v="1"/>
  </r>
  <r>
    <x v="173"/>
    <n v="4.7546697913198897E-2"/>
    <n v="20.790001"/>
    <n v="3"/>
    <x v="1"/>
  </r>
  <r>
    <x v="174"/>
    <n v="-5.95962361452984E-3"/>
    <n v="25.610001"/>
    <n v="4"/>
    <x v="0"/>
  </r>
  <r>
    <x v="175"/>
    <n v="-3.4761192772624502E-2"/>
    <n v="26.540001"/>
    <n v="4"/>
    <x v="0"/>
  </r>
  <r>
    <x v="176"/>
    <n v="-6.1163431935936402E-2"/>
    <n v="26.200001"/>
    <n v="4"/>
    <x v="0"/>
  </r>
  <r>
    <x v="177"/>
    <n v="-8.6285090339686104E-3"/>
    <n v="22.5"/>
    <n v="3"/>
    <x v="0"/>
  </r>
  <r>
    <x v="178"/>
    <n v="-4.4043417224814398E-2"/>
    <n v="22.870000999999998"/>
    <n v="3"/>
    <x v="0"/>
  </r>
  <r>
    <x v="179"/>
    <n v="1.48223383003112E-2"/>
    <n v="18.530000999999999"/>
    <n v="3"/>
    <x v="1"/>
  </r>
  <r>
    <x v="180"/>
    <n v="3.5794008343299502E-2"/>
    <n v="18"/>
    <n v="2"/>
    <x v="1"/>
  </r>
  <r>
    <x v="181"/>
    <n v="1.2863571531556799E-2"/>
    <n v="23.379999000000002"/>
    <n v="3"/>
    <x v="1"/>
  </r>
  <r>
    <x v="182"/>
    <n v="-3.1981878316802499E-2"/>
    <n v="23.52"/>
    <n v="3"/>
    <x v="0"/>
  </r>
  <r>
    <x v="183"/>
    <n v="-1.7816322202167601E-2"/>
    <n v="16.23"/>
    <n v="2"/>
    <x v="0"/>
  </r>
  <r>
    <x v="184"/>
    <n v="3.2549228709934902E-2"/>
    <n v="13.05"/>
    <n v="1"/>
    <x v="1"/>
  </r>
  <r>
    <x v="185"/>
    <n v="4.3290690602424201E-2"/>
    <n v="14.22"/>
    <n v="2"/>
    <x v="1"/>
  </r>
  <r>
    <x v="186"/>
    <n v="9.9799828968305491E-3"/>
    <n v="14.64"/>
    <n v="2"/>
    <x v="1"/>
  </r>
  <r>
    <x v="187"/>
    <n v="-2.1846176033528199E-2"/>
    <n v="15.42"/>
    <n v="2"/>
    <x v="0"/>
  </r>
  <r>
    <x v="188"/>
    <n v="1.4059042735039801E-2"/>
    <n v="10.42"/>
    <n v="1"/>
    <x v="1"/>
  </r>
  <r>
    <x v="189"/>
    <n v="1.26157828526599E-2"/>
    <n v="11.56"/>
    <n v="1"/>
    <x v="1"/>
  </r>
  <r>
    <x v="190"/>
    <n v="1.64666567278202E-2"/>
    <n v="10.91"/>
    <n v="1"/>
    <x v="1"/>
  </r>
  <r>
    <x v="191"/>
    <n v="3.1508002961554198E-2"/>
    <n v="11.1"/>
    <n v="1"/>
    <x v="1"/>
  </r>
  <r>
    <x v="192"/>
    <n v="2.45662985125095E-2"/>
    <n v="11.98"/>
    <n v="1"/>
    <x v="1"/>
  </r>
  <r>
    <x v="193"/>
    <n v="2.12741930323481E-2"/>
    <n v="12.31"/>
    <n v="1"/>
    <x v="1"/>
  </r>
  <r>
    <x v="194"/>
    <n v="5.0858787979908299E-3"/>
    <n v="14.95"/>
    <n v="2"/>
    <x v="1"/>
  </r>
  <r>
    <x v="195"/>
    <n v="8.6596227782509403E-5"/>
    <n v="13.08"/>
    <n v="1"/>
    <x v="1"/>
  </r>
  <r>
    <x v="196"/>
    <n v="-3.0916916141150899E-2"/>
    <n v="16.440000999999999"/>
    <n v="2"/>
    <x v="0"/>
  </r>
  <r>
    <x v="197"/>
    <n v="1.21556527379414E-2"/>
    <n v="11.59"/>
    <n v="1"/>
    <x v="1"/>
  </r>
  <r>
    <x v="198"/>
    <n v="1.10958104592496E-2"/>
    <n v="11.39"/>
    <n v="1"/>
    <x v="1"/>
  </r>
  <r>
    <x v="199"/>
    <n v="4.53157630725398E-4"/>
    <n v="12.34"/>
    <n v="1"/>
    <x v="1"/>
  </r>
  <r>
    <x v="200"/>
    <n v="2.5466771348641601E-2"/>
    <n v="12.95"/>
    <n v="1"/>
    <x v="1"/>
  </r>
  <r>
    <x v="201"/>
    <n v="-9.5234899241847205E-4"/>
    <n v="12.07"/>
    <n v="1"/>
    <x v="0"/>
  </r>
  <r>
    <x v="202"/>
    <n v="3.5186095929726498E-2"/>
    <n v="12.06"/>
    <n v="1"/>
    <x v="1"/>
  </r>
  <r>
    <x v="203"/>
    <n v="-1.7740780066319399E-2"/>
    <n v="15.32"/>
    <n v="2"/>
    <x v="0"/>
  </r>
  <r>
    <x v="204"/>
    <n v="6.9490246947603298E-3"/>
    <n v="11.92"/>
    <n v="1"/>
    <x v="1"/>
  </r>
  <r>
    <x v="205"/>
    <n v="-1.12221048744966E-2"/>
    <n v="12.6"/>
    <n v="1"/>
    <x v="0"/>
  </r>
  <r>
    <x v="206"/>
    <n v="3.5968287193812301E-2"/>
    <n v="11.57"/>
    <n v="1"/>
    <x v="1"/>
  </r>
  <r>
    <x v="207"/>
    <n v="-1.42714225765839E-4"/>
    <n v="12.04"/>
    <n v="1"/>
    <x v="0"/>
  </r>
  <r>
    <x v="208"/>
    <n v="2.9952046262565798E-2"/>
    <n v="13.29"/>
    <n v="1"/>
    <x v="1"/>
  </r>
  <r>
    <x v="209"/>
    <n v="-2.0108581881679299E-2"/>
    <n v="15.31"/>
    <n v="2"/>
    <x v="0"/>
  </r>
  <r>
    <x v="210"/>
    <n v="-1.9117655748441001E-2"/>
    <n v="14.02"/>
    <n v="2"/>
    <x v="0"/>
  </r>
  <r>
    <x v="211"/>
    <n v="1.8903346078316601E-2"/>
    <n v="12.08"/>
    <n v="1"/>
    <x v="1"/>
  </r>
  <r>
    <x v="212"/>
    <n v="-2.5290467099494601E-2"/>
    <n v="12.82"/>
    <n v="1"/>
    <x v="0"/>
  </r>
  <r>
    <x v="213"/>
    <n v="3.24582131440454E-2"/>
    <n v="13.29"/>
    <n v="1"/>
    <x v="1"/>
  </r>
  <r>
    <x v="214"/>
    <n v="3.8594936198152401E-2"/>
    <n v="13.24"/>
    <n v="1"/>
    <x v="1"/>
  </r>
  <r>
    <x v="215"/>
    <n v="1.4014243586487E-2"/>
    <n v="16.27"/>
    <n v="2"/>
    <x v="1"/>
  </r>
  <r>
    <x v="216"/>
    <n v="9.3638756915515008E-3"/>
    <n v="13.34"/>
    <n v="1"/>
    <x v="1"/>
  </r>
  <r>
    <x v="217"/>
    <n v="2.28734984055223E-3"/>
    <n v="15.29"/>
    <n v="2"/>
    <x v="1"/>
  </r>
  <r>
    <x v="218"/>
    <n v="-3.4290519411905002E-2"/>
    <n v="15.32"/>
    <n v="2"/>
    <x v="0"/>
  </r>
  <r>
    <x v="219"/>
    <n v="1.7988998669195701E-2"/>
    <n v="14.34"/>
    <n v="2"/>
    <x v="1"/>
  </r>
  <r>
    <x v="220"/>
    <n v="1.2083450201310301E-2"/>
    <n v="15.5"/>
    <n v="2"/>
    <x v="1"/>
  </r>
  <r>
    <x v="221"/>
    <n v="-1.6790751862298701E-2"/>
    <n v="17.190000999999999"/>
    <n v="2"/>
    <x v="0"/>
  </r>
  <r>
    <x v="222"/>
    <n v="-1.6358919214261199E-2"/>
    <n v="16.739999999999998"/>
    <n v="2"/>
    <x v="0"/>
  </r>
  <r>
    <x v="223"/>
    <n v="1.22089732735895E-2"/>
    <n v="14.55"/>
    <n v="2"/>
    <x v="1"/>
  </r>
  <r>
    <x v="224"/>
    <n v="1.7276387006114599E-2"/>
    <n v="16.629999000000002"/>
    <n v="2"/>
    <x v="1"/>
  </r>
  <r>
    <x v="225"/>
    <n v="5.0765541001239298E-2"/>
    <n v="18.309999000000001"/>
    <n v="3"/>
    <x v="1"/>
  </r>
  <r>
    <x v="226"/>
    <n v="7.1285038478854403E-3"/>
    <n v="16.32"/>
    <n v="2"/>
    <x v="1"/>
  </r>
  <r>
    <x v="227"/>
    <n v="5.4961486384010702E-2"/>
    <n v="16.100000000000001"/>
    <n v="2"/>
    <x v="1"/>
  </r>
  <r>
    <x v="228"/>
    <n v="-1.1944364520745199E-2"/>
    <n v="22.719999000000001"/>
    <n v="3"/>
    <x v="0"/>
  </r>
  <r>
    <x v="229"/>
    <n v="1.7873203376464399E-2"/>
    <n v="18.629999000000002"/>
    <n v="3"/>
    <x v="1"/>
  </r>
  <r>
    <x v="230"/>
    <n v="1.62237024114931E-2"/>
    <n v="19.489999999999998"/>
    <n v="3"/>
    <x v="1"/>
  </r>
  <r>
    <x v="231"/>
    <n v="1.13222145251615E-2"/>
    <n v="19.52"/>
    <n v="3"/>
    <x v="1"/>
  </r>
  <r>
    <x v="232"/>
    <n v="5.0898709664177998E-2"/>
    <n v="19.469999000000001"/>
    <n v="3"/>
    <x v="1"/>
  </r>
  <r>
    <x v="233"/>
    <n v="8.1044106872726104E-2"/>
    <n v="21.209999"/>
    <n v="3"/>
    <x v="1"/>
  </r>
  <r>
    <x v="234"/>
    <n v="8.3575685661514392E-3"/>
    <n v="29.15"/>
    <n v="4"/>
    <x v="1"/>
  </r>
  <r>
    <x v="235"/>
    <n v="-1.7003608502929399E-2"/>
    <n v="29.629999000000002"/>
    <n v="4"/>
    <x v="0"/>
  </r>
  <r>
    <x v="236"/>
    <n v="-2.74146925599522E-2"/>
    <n v="31.17"/>
    <n v="4"/>
    <x v="0"/>
  </r>
  <r>
    <x v="237"/>
    <n v="-6.0332572674290597E-2"/>
    <n v="28.620000999999998"/>
    <n v="4"/>
    <x v="0"/>
  </r>
  <r>
    <x v="238"/>
    <n v="5.7069620923617899E-2"/>
    <n v="27.5"/>
    <n v="4"/>
    <x v="1"/>
  </r>
  <r>
    <x v="239"/>
    <n v="8.6448801016809906E-2"/>
    <n v="31.139999"/>
    <n v="4"/>
    <x v="1"/>
  </r>
  <r>
    <x v="240"/>
    <n v="-0.110024318261519"/>
    <n v="39.689999"/>
    <n v="4"/>
    <x v="0"/>
  </r>
  <r>
    <x v="241"/>
    <n v="4.8814330800193203E-3"/>
    <n v="32.639999000000003"/>
    <n v="4"/>
    <x v="1"/>
  </r>
  <r>
    <x v="242"/>
    <n v="-7.9004274966125304E-2"/>
    <n v="32.029998999999997"/>
    <n v="4"/>
    <x v="0"/>
  </r>
  <r>
    <x v="243"/>
    <n v="-7.2455354417573697E-2"/>
    <n v="25.4"/>
    <n v="4"/>
    <x v="0"/>
  </r>
  <r>
    <x v="244"/>
    <n v="-9.0814810760454501E-3"/>
    <n v="19.98"/>
    <n v="3"/>
    <x v="0"/>
  </r>
  <r>
    <x v="245"/>
    <n v="-6.1417626159139899E-2"/>
    <n v="21.91"/>
    <n v="3"/>
    <x v="0"/>
  </r>
  <r>
    <x v="246"/>
    <n v="3.67388936188391E-2"/>
    <n v="17.399999999999999"/>
    <n v="2"/>
    <x v="1"/>
  </r>
  <r>
    <x v="247"/>
    <n v="-2.0766211305560299E-2"/>
    <n v="21.59"/>
    <n v="3"/>
    <x v="0"/>
  </r>
  <r>
    <x v="248"/>
    <n v="-1.55738325597943E-2"/>
    <n v="21.09"/>
    <n v="3"/>
    <x v="0"/>
  </r>
  <r>
    <x v="249"/>
    <n v="7.5738341929156797E-3"/>
    <n v="23.799999"/>
    <n v="3"/>
    <x v="1"/>
  </r>
  <r>
    <x v="250"/>
    <n v="7.5175904263053497E-2"/>
    <n v="23.84"/>
    <n v="4"/>
    <x v="1"/>
  </r>
  <r>
    <x v="251"/>
    <n v="1.8099111445277798E-2"/>
    <n v="33.560001"/>
    <n v="4"/>
    <x v="1"/>
  </r>
  <r>
    <x v="252"/>
    <n v="-8.1723406019716199E-2"/>
    <n v="31.93"/>
    <n v="4"/>
    <x v="0"/>
  </r>
  <r>
    <x v="253"/>
    <n v="-6.4108406563714707E-2"/>
    <n v="24.92"/>
    <n v="4"/>
    <x v="0"/>
  </r>
  <r>
    <x v="254"/>
    <n v="-1.0740150072934201E-2"/>
    <n v="21.620000999999998"/>
    <n v="3"/>
    <x v="0"/>
  </r>
  <r>
    <x v="255"/>
    <n v="-2.5035389109833502E-2"/>
    <n v="19.059999000000001"/>
    <n v="3"/>
    <x v="0"/>
  </r>
  <r>
    <x v="256"/>
    <n v="5.0901871196495901E-3"/>
    <n v="22.639999"/>
    <n v="3"/>
    <x v="1"/>
  </r>
  <r>
    <x v="257"/>
    <n v="7.6814361759009797E-2"/>
    <n v="25.48"/>
    <n v="4"/>
    <x v="1"/>
  </r>
  <r>
    <x v="258"/>
    <n v="-6.4204710540895493E-2"/>
    <n v="28.639999"/>
    <n v="4"/>
    <x v="0"/>
  </r>
  <r>
    <x v="259"/>
    <n v="-9.2290735848999994E-2"/>
    <n v="28.35"/>
    <n v="4"/>
    <x v="0"/>
  </r>
  <r>
    <x v="260"/>
    <n v="3.4636577086329501E-2"/>
    <n v="22.02"/>
    <n v="3"/>
    <x v="1"/>
  </r>
  <r>
    <x v="261"/>
    <n v="4.0534455291978402E-3"/>
    <n v="26.85"/>
    <n v="4"/>
    <x v="1"/>
  </r>
  <r>
    <x v="262"/>
    <n v="-8.0068609961069903E-2"/>
    <n v="29.65"/>
    <n v="4"/>
    <x v="0"/>
  </r>
  <r>
    <x v="263"/>
    <n v="-4.9494858723608797E-3"/>
    <n v="23.629999000000002"/>
    <n v="3"/>
    <x v="0"/>
  </r>
  <r>
    <x v="264"/>
    <n v="-5.3482974745611297E-2"/>
    <n v="20.57"/>
    <n v="3"/>
    <x v="0"/>
  </r>
  <r>
    <x v="265"/>
    <n v="6.0699105184235998E-2"/>
    <n v="16.84"/>
    <n v="2"/>
    <x v="1"/>
  </r>
  <r>
    <x v="266"/>
    <n v="-1.6341276221772699E-2"/>
    <n v="20.74"/>
    <n v="3"/>
    <x v="0"/>
  </r>
  <r>
    <x v="267"/>
    <n v="2.3933549608901299E-2"/>
    <n v="19.540001"/>
    <n v="3"/>
    <x v="1"/>
  </r>
  <r>
    <x v="268"/>
    <n v="-2.1915050512993601E-2"/>
    <n v="23.65"/>
    <n v="3"/>
    <x v="0"/>
  </r>
  <r>
    <x v="269"/>
    <n v="-3.0795755551931401E-2"/>
    <n v="26.200001"/>
    <n v="4"/>
    <x v="0"/>
  </r>
  <r>
    <x v="270"/>
    <n v="9.6719828269732397E-2"/>
    <n v="24.110001"/>
    <n v="4"/>
    <x v="1"/>
  </r>
  <r>
    <x v="271"/>
    <n v="-2.0108083261058299E-2"/>
    <n v="23.370000999999998"/>
    <n v="3"/>
    <x v="0"/>
  </r>
  <r>
    <x v="272"/>
    <n v="-5.0903548749361899E-2"/>
    <n v="24.950001"/>
    <n v="4"/>
    <x v="0"/>
  </r>
  <r>
    <x v="273"/>
    <n v="5.7843894876779399E-2"/>
    <n v="24.639999"/>
    <n v="4"/>
    <x v="1"/>
  </r>
  <r>
    <x v="274"/>
    <n v="1.9061858621249601E-2"/>
    <n v="24.18"/>
    <n v="4"/>
    <x v="1"/>
  </r>
  <r>
    <x v="275"/>
    <n v="6.2539541625965298E-2"/>
    <n v="22.200001"/>
    <n v="3"/>
    <x v="1"/>
  </r>
  <r>
    <x v="276"/>
    <n v="-2.85517922684916E-2"/>
    <n v="25.41"/>
    <n v="4"/>
    <x v="0"/>
  </r>
  <r>
    <x v="277"/>
    <n v="-6.2540920445004504E-3"/>
    <n v="24.450001"/>
    <n v="4"/>
    <x v="0"/>
  </r>
  <r>
    <x v="278"/>
    <n v="-3.2046092218893797E-2"/>
    <n v="24.639999"/>
    <n v="4"/>
    <x v="0"/>
  </r>
  <r>
    <x v="279"/>
    <n v="5.4438331016794198E-2"/>
    <n v="21.09"/>
    <n v="3"/>
    <x v="1"/>
  </r>
  <r>
    <x v="280"/>
    <n v="-2.4970480872686801E-2"/>
    <n v="25.389999"/>
    <n v="4"/>
    <x v="0"/>
  </r>
  <r>
    <x v="281"/>
    <n v="3.7944027915545402E-2"/>
    <n v="25.07"/>
    <n v="4"/>
    <x v="1"/>
  </r>
  <r>
    <x v="282"/>
    <n v="3.8794215360158799E-2"/>
    <n v="23.26"/>
    <n v="3"/>
    <x v="1"/>
  </r>
  <r>
    <x v="283"/>
    <n v="-3.2282562686194102E-2"/>
    <n v="27.879999000000002"/>
    <n v="4"/>
    <x v="0"/>
  </r>
  <r>
    <x v="284"/>
    <n v="4.1009441536725297E-2"/>
    <n v="26.25"/>
    <n v="4"/>
    <x v="1"/>
  </r>
  <r>
    <x v="285"/>
    <n v="5.63752865757359E-2"/>
    <n v="24.42"/>
    <n v="4"/>
    <x v="1"/>
  </r>
  <r>
    <x v="286"/>
    <n v="5.91259963396253E-2"/>
    <n v="26.01"/>
    <n v="4"/>
    <x v="1"/>
  </r>
  <r>
    <x v="287"/>
    <n v="8.0294228372442406E-2"/>
    <n v="28.049999"/>
    <n v="4"/>
    <x v="1"/>
  </r>
  <r>
    <x v="288"/>
    <n v="6.2395515617718902E-2"/>
    <n v="40.950001"/>
    <n v="4"/>
    <x v="1"/>
  </r>
  <r>
    <x v="289"/>
    <n v="-0.14579671855670701"/>
    <n v="44.279998999999997"/>
    <n v="4"/>
    <x v="0"/>
  </r>
  <r>
    <x v="290"/>
    <n v="-1.1615327025789501E-2"/>
    <n v="24.799999"/>
    <n v="4"/>
    <x v="0"/>
  </r>
  <r>
    <x v="291"/>
    <n v="3.9438241075214098E-2"/>
    <n v="19.709999"/>
    <n v="3"/>
    <x v="1"/>
  </r>
  <r>
    <x v="292"/>
    <n v="-1.8826223521475099E-2"/>
    <n v="21.32"/>
    <n v="3"/>
    <x v="0"/>
  </r>
  <r>
    <x v="293"/>
    <n v="9.0764692534604004E-3"/>
    <n v="21.18"/>
    <n v="3"/>
    <x v="1"/>
  </r>
  <r>
    <x v="294"/>
    <n v="4.9945714161429497E-2"/>
    <n v="24.219999000000001"/>
    <n v="4"/>
    <x v="1"/>
  </r>
  <r>
    <x v="295"/>
    <n v="7.0449193043797195E-2"/>
    <n v="18.549999"/>
    <n v="3"/>
    <x v="1"/>
  </r>
  <r>
    <x v="296"/>
    <n v="1.01501767989975E-2"/>
    <n v="21.469999000000001"/>
    <n v="3"/>
    <x v="1"/>
  </r>
  <r>
    <x v="297"/>
    <n v="1.5731597888257998E-2"/>
    <n v="24.01"/>
    <n v="4"/>
    <x v="1"/>
  </r>
  <r>
    <x v="298"/>
    <n v="4.4586854893763801E-2"/>
    <n v="27.43"/>
    <n v="4"/>
    <x v="1"/>
  </r>
  <r>
    <x v="299"/>
    <n v="-3.4477697196337802E-2"/>
    <n v="35.090000000000003"/>
    <n v="4"/>
    <x v="0"/>
  </r>
  <r>
    <x v="300"/>
    <n v="5.3153589937912499E-2"/>
    <n v="22.91"/>
    <n v="3"/>
    <x v="1"/>
  </r>
  <r>
    <x v="301"/>
    <n v="-5.7465631833399297E-2"/>
    <n v="24.76"/>
    <n v="4"/>
    <x v="0"/>
  </r>
  <r>
    <x v="302"/>
    <n v="7.8145809507889102E-2"/>
    <n v="21.48"/>
    <n v="3"/>
    <x v="1"/>
  </r>
  <r>
    <x v="303"/>
    <n v="4.3452615574897498E-2"/>
    <n v="21.530000999999999"/>
    <n v="3"/>
    <x v="1"/>
  </r>
  <r>
    <x v="304"/>
    <n v="5.8576884241924997E-2"/>
    <n v="19.190000999999999"/>
    <n v="3"/>
    <x v="1"/>
  </r>
  <r>
    <x v="305"/>
    <n v="5.8405579422057E-2"/>
    <n v="20.059999000000001"/>
    <n v="3"/>
    <x v="1"/>
  </r>
  <r>
    <x v="306"/>
    <n v="-4.2614010396426399E-2"/>
    <n v="22.139999"/>
    <n v="3"/>
    <x v="0"/>
  </r>
  <r>
    <x v="307"/>
    <n v="5.9275900071804602E-3"/>
    <n v="21.1"/>
    <n v="3"/>
    <x v="1"/>
  </r>
  <r>
    <x v="308"/>
    <n v="6.1317039194819199E-2"/>
    <n v="19.469999000000001"/>
    <n v="3"/>
    <x v="1"/>
  </r>
  <r>
    <x v="309"/>
    <n v="-2.1505415404998202E-2"/>
    <n v="20.92"/>
    <n v="3"/>
    <x v="0"/>
  </r>
  <r>
    <x v="310"/>
    <n v="7.3376151732636993E-2"/>
    <n v="17.139999"/>
    <n v="2"/>
    <x v="1"/>
  </r>
  <r>
    <x v="311"/>
    <n v="2.61010032390308E-2"/>
    <n v="18.110001"/>
    <n v="3"/>
    <x v="1"/>
  </r>
  <r>
    <x v="312"/>
    <n v="5.4203327569492199E-2"/>
    <n v="16.950001"/>
    <n v="2"/>
    <x v="1"/>
  </r>
  <r>
    <x v="313"/>
    <n v="1.8813935110919298E-2"/>
    <n v="17.010000000000002"/>
    <n v="2"/>
    <x v="1"/>
  </r>
  <r>
    <x v="314"/>
    <n v="-4.5748017194667499E-2"/>
    <n v="19.459999"/>
    <n v="3"/>
    <x v="0"/>
  </r>
  <r>
    <x v="315"/>
    <n v="2.2567103229369501E-3"/>
    <n v="13.68"/>
    <n v="1"/>
    <x v="1"/>
  </r>
  <r>
    <x v="316"/>
    <n v="2.2853405672084999E-2"/>
    <n v="16.07"/>
    <n v="2"/>
    <x v="1"/>
  </r>
  <r>
    <x v="317"/>
    <n v="1.34314221533696E-2"/>
    <n v="15.83"/>
    <n v="2"/>
    <x v="1"/>
  </r>
  <r>
    <x v="318"/>
    <n v="7.9165670805803091E-3"/>
    <n v="18.879999000000002"/>
    <n v="3"/>
    <x v="1"/>
  </r>
  <r>
    <x v="319"/>
    <n v="6.9337015523502901E-3"/>
    <n v="17.040001"/>
    <n v="2"/>
    <x v="1"/>
  </r>
  <r>
    <x v="320"/>
    <n v="3.2617387086717201E-2"/>
    <n v="12.53"/>
    <n v="1"/>
    <x v="1"/>
  </r>
  <r>
    <x v="321"/>
    <n v="1.7443874138492799E-2"/>
    <n v="12.52"/>
    <n v="1"/>
    <x v="1"/>
  </r>
  <r>
    <x v="322"/>
    <n v="4.1049002579535802E-2"/>
    <n v="11.58"/>
    <n v="1"/>
    <x v="1"/>
  </r>
  <r>
    <x v="323"/>
    <n v="-4.9793349436904099E-3"/>
    <n v="13.83"/>
    <n v="1"/>
    <x v="0"/>
  </r>
  <r>
    <x v="324"/>
    <n v="4.0097472413171298E-2"/>
    <n v="12.74"/>
    <n v="1"/>
    <x v="1"/>
  </r>
  <r>
    <x v="325"/>
    <n v="-3.2023805401637501E-4"/>
    <n v="11.52"/>
    <n v="1"/>
    <x v="0"/>
  </r>
  <r>
    <x v="326"/>
    <n v="3.1776040385497903E-2"/>
    <n v="13.49"/>
    <n v="1"/>
    <x v="1"/>
  </r>
  <r>
    <x v="327"/>
    <n v="2.1278544224437399E-2"/>
    <n v="11.38"/>
    <n v="1"/>
    <x v="1"/>
  </r>
  <r>
    <x v="328"/>
    <n v="3.6311711839953402E-2"/>
    <n v="12.85"/>
    <n v="1"/>
    <x v="1"/>
  </r>
  <r>
    <x v="329"/>
    <n v="2.7960358793799302E-2"/>
    <n v="11.75"/>
    <n v="1"/>
    <x v="1"/>
  </r>
  <r>
    <x v="330"/>
    <n v="2.7329193438646801E-2"/>
    <n v="13.37"/>
    <n v="1"/>
    <x v="1"/>
  </r>
  <r>
    <x v="331"/>
    <n v="3.6074149761991602E-2"/>
    <n v="11.75"/>
    <n v="1"/>
    <x v="1"/>
  </r>
  <r>
    <x v="332"/>
    <n v="2.4277710860833E-2"/>
    <n v="11.96"/>
    <n v="1"/>
    <x v="1"/>
  </r>
  <r>
    <x v="333"/>
    <n v="1.22991182864991E-2"/>
    <n v="13.2"/>
    <n v="1"/>
    <x v="1"/>
  </r>
  <r>
    <x v="334"/>
    <n v="-3.9504612602884202E-2"/>
    <n v="15.95"/>
    <n v="2"/>
    <x v="0"/>
  </r>
  <r>
    <x v="335"/>
    <n v="2.0833816402291601E-2"/>
    <n v="14.56"/>
    <n v="2"/>
    <x v="1"/>
  </r>
  <r>
    <x v="336"/>
    <n v="-2.68775353188823E-2"/>
    <n v="14.28"/>
    <n v="2"/>
    <x v="0"/>
  </r>
  <r>
    <x v="337"/>
    <n v="3.7598698607805597E-2"/>
    <n v="11.97"/>
    <n v="1"/>
    <x v="1"/>
  </r>
  <r>
    <x v="338"/>
    <n v="3.1489907818193802E-2"/>
    <n v="11.13"/>
    <n v="1"/>
    <x v="1"/>
  </r>
  <r>
    <x v="339"/>
    <n v="-2.67908236582695E-2"/>
    <n v="14.97"/>
    <n v="2"/>
    <x v="0"/>
  </r>
  <r>
    <x v="340"/>
    <n v="1.23971434441716E-2"/>
    <n v="13.03"/>
    <n v="1"/>
    <x v="1"/>
  </r>
  <r>
    <x v="341"/>
    <n v="1.1530643889981601E-2"/>
    <n v="13.77"/>
    <n v="1"/>
    <x v="1"/>
  </r>
  <r>
    <x v="342"/>
    <n v="-4.5746511353774701E-2"/>
    <n v="20.450001"/>
    <n v="3"/>
    <x v="0"/>
  </r>
  <r>
    <x v="343"/>
    <n v="-3.00449958486637E-2"/>
    <n v="14.87"/>
    <n v="2"/>
    <x v="0"/>
  </r>
  <r>
    <x v="344"/>
    <n v="3.2500745224549397E-2"/>
    <n v="10.63"/>
    <n v="1"/>
    <x v="1"/>
  </r>
  <r>
    <x v="345"/>
    <n v="1.0091173280450901E-2"/>
    <n v="11.66"/>
    <n v="1"/>
    <x v="1"/>
  </r>
  <r>
    <x v="346"/>
    <n v="-1.2910626013377001E-2"/>
    <n v="13.76"/>
    <n v="1"/>
    <x v="0"/>
  </r>
  <r>
    <x v="347"/>
    <n v="1.9392922963742801E-2"/>
    <n v="11.46"/>
    <n v="1"/>
    <x v="1"/>
  </r>
  <r>
    <x v="348"/>
    <n v="-9.9879304080935406E-3"/>
    <n v="12.99"/>
    <n v="1"/>
    <x v="0"/>
  </r>
  <r>
    <x v="349"/>
    <n v="3.4431956860375902E-2"/>
    <n v="11.85"/>
    <n v="1"/>
    <x v="1"/>
  </r>
  <r>
    <x v="350"/>
    <n v="-5.3270459355138104E-3"/>
    <n v="11.73"/>
    <n v="1"/>
    <x v="0"/>
  </r>
  <r>
    <x v="351"/>
    <n v="7.55230010638819E-4"/>
    <n v="11.26"/>
    <n v="1"/>
    <x v="1"/>
  </r>
  <r>
    <x v="352"/>
    <n v="2.2717462810525099E-2"/>
    <n v="13.47"/>
    <n v="1"/>
    <x v="1"/>
  </r>
  <r>
    <x v="353"/>
    <n v="-2.54168102144962E-2"/>
    <n v="12.42"/>
    <n v="1"/>
    <x v="0"/>
  </r>
  <r>
    <x v="354"/>
    <n v="1.8697297817929399E-2"/>
    <n v="12.53"/>
    <n v="1"/>
    <x v="1"/>
  </r>
  <r>
    <x v="355"/>
    <n v="1.0483627354217699E-2"/>
    <n v="13.16"/>
    <n v="1"/>
    <x v="1"/>
  </r>
  <r>
    <x v="356"/>
    <n v="7.0459894503542798E-3"/>
    <n v="12.42"/>
    <n v="1"/>
    <x v="1"/>
  </r>
  <r>
    <x v="357"/>
    <n v="1.01077661744602E-2"/>
    <n v="12.57"/>
    <n v="1"/>
    <x v="1"/>
  </r>
  <r>
    <x v="358"/>
    <n v="3.02618066586238E-2"/>
    <n v="13.01"/>
    <n v="1"/>
    <x v="1"/>
  </r>
  <r>
    <x v="359"/>
    <n v="2.1062829709799199E-3"/>
    <n v="16.149999999999999"/>
    <n v="2"/>
    <x v="1"/>
  </r>
  <r>
    <x v="360"/>
    <n v="9.1055938195434595E-3"/>
    <n v="14.28"/>
    <n v="2"/>
    <x v="1"/>
  </r>
  <r>
    <x v="361"/>
    <n v="-2.3997530034600301E-2"/>
    <n v="13.58"/>
    <n v="1"/>
    <x v="0"/>
  </r>
  <r>
    <x v="362"/>
    <n v="3.9373684053008097E-2"/>
    <n v="13.17"/>
    <n v="1"/>
    <x v="1"/>
  </r>
  <r>
    <x v="363"/>
    <n v="-1.7358832059340301E-2"/>
    <n v="13.35"/>
    <n v="1"/>
    <x v="0"/>
  </r>
  <r>
    <x v="364"/>
    <n v="9.6395707538854403E-4"/>
    <n v="13.86"/>
    <n v="2"/>
    <x v="1"/>
  </r>
  <r>
    <x v="365"/>
    <n v="2.78927145686407E-2"/>
    <n v="15.53"/>
    <n v="2"/>
    <x v="1"/>
  </r>
  <r>
    <x v="366"/>
    <n v="-2.1831862704186199E-2"/>
    <n v="16.18"/>
    <n v="2"/>
    <x v="0"/>
  </r>
  <r>
    <x v="367"/>
    <n v="9.5895420754186205E-3"/>
    <n v="16.68"/>
    <n v="2"/>
    <x v="1"/>
  </r>
  <r>
    <x v="368"/>
    <n v="-1.9923750460799899E-2"/>
    <n v="17.399999999999999"/>
    <n v="2"/>
    <x v="0"/>
  </r>
  <r>
    <x v="369"/>
    <n v="0.1115878548276"/>
    <n v="19.309999000000001"/>
    <n v="3"/>
    <x v="1"/>
  </r>
  <r>
    <x v="370"/>
    <n v="-4.3903708684304897E-2"/>
    <n v="20.260000000000002"/>
    <n v="3"/>
    <x v="0"/>
  </r>
  <r>
    <x v="371"/>
    <n v="1.1834237037883701E-2"/>
    <n v="15.48"/>
    <n v="2"/>
    <x v="1"/>
  </r>
  <r>
    <x v="372"/>
    <n v="-1.9143737536368399E-2"/>
    <n v="15.85"/>
    <n v="2"/>
    <x v="0"/>
  </r>
  <r>
    <x v="373"/>
    <n v="1.96487842997797E-2"/>
    <n v="14.46"/>
    <n v="2"/>
    <x v="1"/>
  </r>
  <r>
    <x v="374"/>
    <n v="4.4859343195825498E-2"/>
    <n v="15.18"/>
    <n v="2"/>
    <x v="1"/>
  </r>
  <r>
    <x v="375"/>
    <n v="-4.7892629152718302E-2"/>
    <n v="19.549999"/>
    <n v="3"/>
    <x v="0"/>
  </r>
  <r>
    <x v="376"/>
    <n v="3.8604974568177998E-2"/>
    <n v="15.93"/>
    <n v="2"/>
    <x v="1"/>
  </r>
  <r>
    <x v="377"/>
    <n v="3.1979905037093898E-4"/>
    <n v="18.239999999999998"/>
    <n v="3"/>
    <x v="1"/>
  </r>
  <r>
    <x v="378"/>
    <n v="2.22028328236583E-2"/>
    <n v="16.879999000000002"/>
    <n v="2"/>
    <x v="1"/>
  </r>
  <r>
    <x v="379"/>
    <n v="6.7281174863978596E-2"/>
    <n v="21.23"/>
    <n v="3"/>
    <x v="1"/>
  </r>
  <r>
    <x v="380"/>
    <n v="4.1517751676101597E-2"/>
    <n v="20.91"/>
    <n v="3"/>
    <x v="1"/>
  </r>
  <r>
    <x v="381"/>
    <n v="2.4827757355757599E-2"/>
    <n v="26.379999000000002"/>
    <n v="4"/>
    <x v="1"/>
  </r>
  <r>
    <x v="382"/>
    <n v="5.9934213815789401E-2"/>
    <n v="22.16"/>
    <n v="3"/>
    <x v="1"/>
  </r>
  <r>
    <x v="383"/>
    <n v="-6.6982129729734599E-3"/>
    <n v="30.040001"/>
    <n v="4"/>
    <x v="0"/>
  </r>
  <r>
    <x v="384"/>
    <n v="-5.1184307112997998E-2"/>
    <n v="29.110001"/>
    <n v="4"/>
    <x v="0"/>
  </r>
  <r>
    <x v="385"/>
    <n v="-9.43141838154853E-2"/>
    <n v="29.9"/>
    <n v="4"/>
    <x v="0"/>
  </r>
  <r>
    <x v="386"/>
    <n v="-5.2231580846174904E-3"/>
    <n v="21.110001"/>
    <n v="3"/>
    <x v="0"/>
  </r>
  <r>
    <x v="387"/>
    <n v="-8.8863657565815303E-3"/>
    <n v="15.5"/>
    <n v="2"/>
    <x v="0"/>
  </r>
  <r>
    <x v="388"/>
    <n v="9.1989190156802597E-2"/>
    <n v="17.370000999999998"/>
    <n v="2"/>
    <x v="1"/>
  </r>
  <r>
    <x v="389"/>
    <n v="-2.6887138748678398E-2"/>
    <n v="19.52"/>
    <n v="3"/>
    <x v="0"/>
  </r>
  <r>
    <x v="390"/>
    <n v="2.4254983989199001E-2"/>
    <n v="19.73"/>
    <n v="3"/>
    <x v="1"/>
  </r>
  <r>
    <x v="391"/>
    <n v="8.5390425155207304E-3"/>
    <n v="21.99"/>
    <n v="3"/>
    <x v="1"/>
  </r>
  <r>
    <x v="392"/>
    <n v="-6.8817225277032601E-2"/>
    <n v="25.360001"/>
    <n v="4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">
  <r>
    <x v="0"/>
    <n v="-9.339567E-2"/>
    <s v="Red"/>
    <n v="26.299999"/>
    <x v="0"/>
    <n v="0"/>
    <x v="0"/>
  </r>
  <r>
    <x v="1"/>
    <n v="-4.2440128258508597E-2"/>
    <s v="Red"/>
    <n v="25.870000999999998"/>
    <x v="0"/>
    <n v="0"/>
    <x v="1"/>
  </r>
  <r>
    <x v="2"/>
    <n v="9.1116391659653406E-2"/>
    <s v="Green"/>
    <n v="21.33"/>
    <x v="1"/>
    <n v="1"/>
    <x v="2"/>
  </r>
  <r>
    <x v="3"/>
    <n v="-8.3919999812243101E-2"/>
    <s v="Red"/>
    <n v="28.709999"/>
    <x v="0"/>
    <n v="0"/>
    <x v="3"/>
  </r>
  <r>
    <x v="4"/>
    <n v="5.3177568506868103E-5"/>
    <s v="Green"/>
    <n v="26.190000999999999"/>
    <x v="0"/>
    <n v="1"/>
    <x v="4"/>
  </r>
  <r>
    <x v="5"/>
    <n v="-8.7956711705729301E-2"/>
    <s v="Red"/>
    <n v="33.400002000000001"/>
    <x v="2"/>
    <n v="0"/>
    <x v="5"/>
  </r>
  <r>
    <x v="6"/>
    <n v="3.5773288410591901E-2"/>
    <s v="Green"/>
    <n v="20.559999000000001"/>
    <x v="1"/>
    <n v="1"/>
    <x v="6"/>
  </r>
  <r>
    <x v="7"/>
    <n v="-3.1360492102910101E-2"/>
    <s v="Red"/>
    <n v="30.15"/>
    <x v="2"/>
    <n v="0"/>
    <x v="7"/>
  </r>
  <r>
    <x v="8"/>
    <n v="-5.2585165005310602E-2"/>
    <s v="Red"/>
    <n v="24.83"/>
    <x v="0"/>
    <n v="0"/>
    <x v="8"/>
  </r>
  <r>
    <x v="9"/>
    <n v="4.3612913509962797E-2"/>
    <s v="Green"/>
    <n v="17.219999000000001"/>
    <x v="3"/>
    <n v="1"/>
    <x v="9"/>
  </r>
  <r>
    <x v="10"/>
    <n v="-8.3337062251199693E-3"/>
    <s v="Red"/>
    <n v="27.190000999999999"/>
    <x v="0"/>
    <n v="0"/>
    <x v="10"/>
  </r>
  <r>
    <x v="11"/>
    <n v="6.9143836459647501E-2"/>
    <s v="Green"/>
    <n v="16.260000000000002"/>
    <x v="3"/>
    <n v="1"/>
    <x v="11"/>
  </r>
  <r>
    <x v="12"/>
    <n v="-4.75691688617867E-2"/>
    <s v="Red"/>
    <n v="23.139999"/>
    <x v="4"/>
    <n v="0"/>
    <x v="0"/>
  </r>
  <r>
    <x v="13"/>
    <n v="2.8990416217415299E-2"/>
    <s v="Green"/>
    <n v="16.48"/>
    <x v="3"/>
    <n v="1"/>
    <x v="1"/>
  </r>
  <r>
    <x v="14"/>
    <n v="2.2748054915648699E-2"/>
    <s v="Green"/>
    <n v="18.239999999999998"/>
    <x v="5"/>
    <n v="1"/>
    <x v="2"/>
  </r>
  <r>
    <x v="15"/>
    <n v="2.2214009634219802E-2"/>
    <s v="Green"/>
    <n v="15.83"/>
    <x v="6"/>
    <n v="1"/>
    <x v="3"/>
  </r>
  <r>
    <x v="16"/>
    <n v="5.4864885732810497E-3"/>
    <s v="Green"/>
    <n v="16.760000000000002"/>
    <x v="3"/>
    <n v="1"/>
    <x v="4"/>
  </r>
  <r>
    <x v="17"/>
    <n v="5.2425321267266303E-2"/>
    <s v="Green"/>
    <n v="18.610001"/>
    <x v="5"/>
    <n v="1"/>
    <x v="5"/>
  </r>
  <r>
    <x v="18"/>
    <n v="4.24386327378838E-2"/>
    <s v="Green"/>
    <n v="19.399999999999999"/>
    <x v="5"/>
    <n v="1"/>
    <x v="6"/>
  </r>
  <r>
    <x v="19"/>
    <n v="2.60914513496475E-2"/>
    <s v="Green"/>
    <n v="27.950001"/>
    <x v="0"/>
    <n v="1"/>
    <x v="7"/>
  </r>
  <r>
    <x v="20"/>
    <n v="-1.11366607232312E-2"/>
    <s v="Red"/>
    <n v="33.090000000000003"/>
    <x v="2"/>
    <n v="0"/>
    <x v="8"/>
  </r>
  <r>
    <x v="21"/>
    <n v="3.7121458940645703E-2"/>
    <s v="Green"/>
    <n v="22.75"/>
    <x v="4"/>
    <n v="1"/>
    <x v="9"/>
  </r>
  <r>
    <x v="22"/>
    <n v="0.10754563548003"/>
    <s v="Green"/>
    <n v="20.57"/>
    <x v="1"/>
    <n v="1"/>
    <x v="10"/>
  </r>
  <r>
    <x v="23"/>
    <n v="-2.7665786202795101E-2"/>
    <s v="Red"/>
    <n v="38.020000000000003"/>
    <x v="2"/>
    <n v="0"/>
    <x v="11"/>
  </r>
  <r>
    <x v="24"/>
    <n v="-3.9227970289931399E-2"/>
    <s v="Red"/>
    <n v="26.370000999999998"/>
    <x v="0"/>
    <n v="0"/>
    <x v="0"/>
  </r>
  <r>
    <x v="25"/>
    <n v="7.0064667087246499E-2"/>
    <s v="Green"/>
    <n v="26.41"/>
    <x v="0"/>
    <n v="1"/>
    <x v="1"/>
  </r>
  <r>
    <x v="26"/>
    <n v="5.5101321441235702E-2"/>
    <s v="Green"/>
    <n v="24.459999"/>
    <x v="4"/>
    <n v="1"/>
    <x v="2"/>
  </r>
  <r>
    <x v="27"/>
    <n v="1.8388396357494698E-2"/>
    <s v="Green"/>
    <n v="30.43"/>
    <x v="2"/>
    <n v="1"/>
    <x v="3"/>
  </r>
  <r>
    <x v="28"/>
    <n v="4.52818196760656E-2"/>
    <s v="Green"/>
    <n v="27.51"/>
    <x v="0"/>
    <n v="1"/>
    <x v="4"/>
  </r>
  <r>
    <x v="29"/>
    <n v="0.12684403825663801"/>
    <s v="Green"/>
    <n v="34.150002000000001"/>
    <x v="2"/>
    <n v="1"/>
    <x v="5"/>
  </r>
  <r>
    <x v="30"/>
    <n v="-0.12511928245982301"/>
    <s v="Red"/>
    <n v="53.540000999999997"/>
    <x v="2"/>
    <n v="0"/>
    <x v="6"/>
  </r>
  <r>
    <x v="31"/>
    <n v="-8.4110483679465706E-2"/>
    <s v="Red"/>
    <n v="40.110000999999997"/>
    <x v="2"/>
    <n v="0"/>
    <x v="7"/>
  </r>
  <r>
    <x v="32"/>
    <n v="-1.6280925822201901E-3"/>
    <s v="Red"/>
    <n v="18.84"/>
    <x v="5"/>
    <n v="0"/>
    <x v="8"/>
  </r>
  <r>
    <x v="33"/>
    <n v="2.85898189647169E-2"/>
    <s v="Green"/>
    <n v="13.78"/>
    <x v="7"/>
    <n v="1"/>
    <x v="9"/>
  </r>
  <r>
    <x v="34"/>
    <n v="3.4047037421886202E-2"/>
    <s v="Green"/>
    <n v="12.62"/>
    <x v="8"/>
    <n v="1"/>
    <x v="10"/>
  </r>
  <r>
    <x v="35"/>
    <n v="2.0431770730503101E-2"/>
    <s v="Green"/>
    <n v="13.22"/>
    <x v="7"/>
    <n v="1"/>
    <x v="11"/>
  </r>
  <r>
    <x v="36"/>
    <n v="1.71811778292086E-2"/>
    <s v="Green"/>
    <n v="16.239999999999998"/>
    <x v="3"/>
    <n v="1"/>
    <x v="0"/>
  </r>
  <r>
    <x v="37"/>
    <n v="-1.8091627281326701E-2"/>
    <s v="Red"/>
    <n v="18.98"/>
    <x v="5"/>
    <n v="0"/>
    <x v="1"/>
  </r>
  <r>
    <x v="38"/>
    <n v="1.31281521499778E-2"/>
    <s v="Green"/>
    <n v="16.120000999999998"/>
    <x v="6"/>
    <n v="1"/>
    <x v="2"/>
  </r>
  <r>
    <x v="39"/>
    <n v="6.8930163925612103E-2"/>
    <s v="Green"/>
    <n v="15.08"/>
    <x v="6"/>
    <n v="1"/>
    <x v="3"/>
  </r>
  <r>
    <x v="40"/>
    <n v="-6.5777731189286898E-2"/>
    <s v="Red"/>
    <n v="18.709999"/>
    <x v="5"/>
    <n v="0"/>
    <x v="4"/>
  </r>
  <r>
    <x v="41"/>
    <n v="3.9313498395682697E-2"/>
    <s v="Green"/>
    <n v="13.12"/>
    <x v="8"/>
    <n v="1"/>
    <x v="5"/>
  </r>
  <r>
    <x v="42"/>
    <n v="1.7924256211817102E-2"/>
    <s v="Green"/>
    <n v="13.71"/>
    <x v="7"/>
    <n v="1"/>
    <x v="6"/>
  </r>
  <r>
    <x v="43"/>
    <n v="2.9728889126352302E-2"/>
    <s v="Green"/>
    <n v="14.78"/>
    <x v="6"/>
    <n v="1"/>
    <x v="7"/>
  </r>
  <r>
    <x v="44"/>
    <n v="7.8684401655036804E-2"/>
    <s v="Green"/>
    <n v="16.57"/>
    <x v="3"/>
    <n v="1"/>
    <x v="8"/>
  </r>
  <r>
    <x v="45"/>
    <n v="-9.1776894596563893E-2"/>
    <s v="Red"/>
    <n v="25.42"/>
    <x v="0"/>
    <n v="0"/>
    <x v="9"/>
  </r>
  <r>
    <x v="46"/>
    <n v="1.7859356788849E-2"/>
    <s v="Green"/>
    <n v="18.07"/>
    <x v="5"/>
    <n v="1"/>
    <x v="10"/>
  </r>
  <r>
    <x v="47"/>
    <n v="-6.9403356024429499E-2"/>
    <s v="Red"/>
    <n v="21.23"/>
    <x v="1"/>
    <n v="0"/>
    <x v="11"/>
  </r>
  <r>
    <x v="48"/>
    <n v="4.29428710266144E-3"/>
    <s v="Green"/>
    <n v="12.12"/>
    <x v="8"/>
    <n v="1"/>
    <x v="0"/>
  </r>
  <r>
    <x v="49"/>
    <n v="3.0263211466054599E-2"/>
    <s v="Green"/>
    <n v="12.86"/>
    <x v="8"/>
    <n v="1"/>
    <x v="1"/>
  </r>
  <r>
    <x v="50"/>
    <n v="3.6021556221367303E-2"/>
    <s v="Green"/>
    <n v="12.83"/>
    <x v="8"/>
    <n v="1"/>
    <x v="2"/>
  </r>
  <r>
    <x v="51"/>
    <n v="4.8424360241865498E-3"/>
    <s v="Green"/>
    <n v="16.09"/>
    <x v="6"/>
    <n v="1"/>
    <x v="3"/>
  </r>
  <r>
    <x v="52"/>
    <n v="2.1608341965291902E-2"/>
    <s v="Green"/>
    <n v="15.43"/>
    <x v="6"/>
    <n v="1"/>
    <x v="4"/>
  </r>
  <r>
    <x v="53"/>
    <n v="2.7187751316435399E-3"/>
    <s v="Green"/>
    <n v="15.93"/>
    <x v="6"/>
    <n v="1"/>
    <x v="5"/>
  </r>
  <r>
    <x v="54"/>
    <n v="-2.6884498624825101E-2"/>
    <s v="Red"/>
    <n v="19.969999000000001"/>
    <x v="1"/>
    <n v="0"/>
    <x v="6"/>
  </r>
  <r>
    <x v="55"/>
    <n v="-3.8947372061896898E-2"/>
    <s v="Red"/>
    <n v="19.850000000000001"/>
    <x v="1"/>
    <n v="0"/>
    <x v="7"/>
  </r>
  <r>
    <x v="56"/>
    <n v="5.6178704444133101E-2"/>
    <s v="Green"/>
    <n v="13.54"/>
    <x v="7"/>
    <n v="1"/>
    <x v="8"/>
  </r>
  <r>
    <x v="57"/>
    <n v="9.8316304826040497E-3"/>
    <s v="Green"/>
    <n v="11.04"/>
    <x v="9"/>
    <n v="1"/>
    <x v="9"/>
  </r>
  <r>
    <x v="58"/>
    <n v="2.8082627664458602E-2"/>
    <s v="Green"/>
    <n v="11.28"/>
    <x v="9"/>
    <n v="1"/>
    <x v="10"/>
  </r>
  <r>
    <x v="59"/>
    <n v="2.21881353303497E-2"/>
    <s v="Green"/>
    <n v="10.18"/>
    <x v="9"/>
    <n v="1"/>
    <x v="11"/>
  </r>
  <r>
    <x v="60"/>
    <n v="1.9302978533243701E-2"/>
    <s v="Green"/>
    <n v="9.51"/>
    <x v="9"/>
    <n v="1"/>
    <x v="0"/>
  </r>
  <r>
    <x v="61"/>
    <n v="5.4643281108557296E-4"/>
    <s v="Green"/>
    <n v="10.59"/>
    <x v="9"/>
    <n v="1"/>
    <x v="1"/>
  </r>
  <r>
    <x v="62"/>
    <n v="1.9348826118030599E-2"/>
    <s v="Green"/>
    <n v="10.26"/>
    <x v="9"/>
    <n v="1"/>
    <x v="2"/>
  </r>
  <r>
    <x v="63"/>
    <n v="4.8137750908554501E-3"/>
    <s v="Green"/>
    <n v="11.18"/>
    <x v="9"/>
    <n v="1"/>
    <x v="3"/>
  </r>
  <r>
    <x v="64"/>
    <n v="1.1576251391341301E-2"/>
    <s v="Green"/>
    <n v="10.41"/>
    <x v="9"/>
    <n v="1"/>
    <x v="4"/>
  </r>
  <r>
    <x v="65"/>
    <n v="9.0912085493182193E-3"/>
    <s v="Green"/>
    <n v="10.82"/>
    <x v="9"/>
    <n v="1"/>
    <x v="5"/>
  </r>
  <r>
    <x v="66"/>
    <n v="-3.891971880845E-4"/>
    <s v="Red"/>
    <n v="12.37"/>
    <x v="8"/>
    <n v="0"/>
    <x v="6"/>
  </r>
  <r>
    <x v="67"/>
    <n v="3.7198160337279101E-2"/>
    <s v="Green"/>
    <n v="12.92"/>
    <x v="8"/>
    <n v="1"/>
    <x v="7"/>
  </r>
  <r>
    <x v="68"/>
    <n v="1.7884358171464498E-2"/>
    <s v="Green"/>
    <n v="11.99"/>
    <x v="9"/>
    <n v="1"/>
    <x v="8"/>
  </r>
  <r>
    <x v="69"/>
    <n v="1.82007621968951E-2"/>
    <s v="Green"/>
    <n v="14.04"/>
    <x v="7"/>
    <n v="1"/>
    <x v="9"/>
  </r>
  <r>
    <x v="70"/>
    <n v="3.4174522187570402E-2"/>
    <s v="Green"/>
    <n v="13.33"/>
    <x v="7"/>
    <n v="1"/>
    <x v="10"/>
  </r>
  <r>
    <x v="71"/>
    <n v="-1.94256792795575E-2"/>
    <s v="Red"/>
    <n v="17.059999000000001"/>
    <x v="3"/>
    <n v="0"/>
    <x v="11"/>
  </r>
  <r>
    <x v="72"/>
    <n v="-1.23445084432539E-3"/>
    <s v="Red"/>
    <n v="13.29"/>
    <x v="7"/>
    <n v="0"/>
    <x v="0"/>
  </r>
  <r>
    <x v="73"/>
    <n v="-1.2192431360480401E-3"/>
    <s v="Red"/>
    <n v="13.42"/>
    <x v="7"/>
    <n v="0"/>
    <x v="1"/>
  </r>
  <r>
    <x v="74"/>
    <n v="3.5609801125254401E-2"/>
    <s v="Green"/>
    <n v="11.87"/>
    <x v="9"/>
    <n v="1"/>
    <x v="2"/>
  </r>
  <r>
    <x v="75"/>
    <n v="9.1092112097812495E-4"/>
    <s v="Green"/>
    <n v="15.63"/>
    <x v="6"/>
    <n v="1"/>
    <x v="3"/>
  </r>
  <r>
    <x v="76"/>
    <n v="1.53246023575726E-2"/>
    <s v="Green"/>
    <n v="14.19"/>
    <x v="7"/>
    <n v="1"/>
    <x v="4"/>
  </r>
  <r>
    <x v="77"/>
    <n v="2.6993984808731902E-3"/>
    <s v="Green"/>
    <n v="15.7"/>
    <x v="6"/>
    <n v="1"/>
    <x v="5"/>
  </r>
  <r>
    <x v="78"/>
    <n v="6.5991114577365104E-2"/>
    <s v="Green"/>
    <n v="13.95"/>
    <x v="7"/>
    <n v="1"/>
    <x v="6"/>
  </r>
  <r>
    <x v="79"/>
    <n v="-4.12836043029907E-3"/>
    <s v="Red"/>
    <n v="20.549999"/>
    <x v="1"/>
    <n v="0"/>
    <x v="7"/>
  </r>
  <r>
    <x v="80"/>
    <n v="-5.0735321972946397E-2"/>
    <s v="Red"/>
    <n v="20.200001"/>
    <x v="1"/>
    <n v="0"/>
    <x v="8"/>
  </r>
  <r>
    <x v="81"/>
    <n v="-1.7530185176314401E-2"/>
    <s v="Red"/>
    <n v="18.209999"/>
    <x v="5"/>
    <n v="0"/>
    <x v="9"/>
  </r>
  <r>
    <x v="82"/>
    <n v="5.0486926072412796E-4"/>
    <s v="Green"/>
    <n v="16.129999000000002"/>
    <x v="6"/>
    <n v="1"/>
    <x v="10"/>
  </r>
  <r>
    <x v="83"/>
    <n v="8.2983117760394104E-2"/>
    <s v="Green"/>
    <n v="15.07"/>
    <x v="6"/>
    <n v="1"/>
    <x v="11"/>
  </r>
  <r>
    <x v="84"/>
    <n v="-2.6442831573227101E-2"/>
    <s v="Red"/>
    <n v="24.5"/>
    <x v="0"/>
    <n v="0"/>
    <x v="0"/>
  </r>
  <r>
    <x v="85"/>
    <n v="-6.2580818167202804E-2"/>
    <s v="Red"/>
    <n v="28.43"/>
    <x v="0"/>
    <n v="0"/>
    <x v="1"/>
  </r>
  <r>
    <x v="86"/>
    <n v="1.9742029696721501E-2"/>
    <s v="Green"/>
    <n v="12.12"/>
    <x v="8"/>
    <n v="1"/>
    <x v="2"/>
  </r>
  <r>
    <x v="87"/>
    <n v="-2.10116723759005E-2"/>
    <s v="Red"/>
    <n v="18.23"/>
    <x v="5"/>
    <n v="0"/>
    <x v="3"/>
  </r>
  <r>
    <x v="88"/>
    <n v="1.04913823933168E-2"/>
    <s v="Green"/>
    <n v="13.84"/>
    <x v="7"/>
    <n v="1"/>
    <x v="4"/>
  </r>
  <r>
    <x v="89"/>
    <n v="8.5208197301247495E-3"/>
    <s v="Green"/>
    <n v="14.55"/>
    <x v="7"/>
    <n v="1"/>
    <x v="5"/>
  </r>
  <r>
    <x v="90"/>
    <n v="-1.7396106913756301E-2"/>
    <s v="Red"/>
    <n v="15.29"/>
    <x v="6"/>
    <n v="0"/>
    <x v="6"/>
  </r>
  <r>
    <x v="91"/>
    <n v="5.4892511014553898E-2"/>
    <s v="Green"/>
    <n v="13.34"/>
    <x v="7"/>
    <n v="1"/>
    <x v="7"/>
  </r>
  <r>
    <x v="92"/>
    <n v="-3.1040805790470201E-2"/>
    <s v="Red"/>
    <n v="20.969999000000001"/>
    <x v="1"/>
    <n v="0"/>
    <x v="8"/>
  </r>
  <r>
    <x v="93"/>
    <n v="-4.1885878779204201E-3"/>
    <s v="Red"/>
    <n v="19.200001"/>
    <x v="5"/>
    <n v="0"/>
    <x v="9"/>
  </r>
  <r>
    <x v="94"/>
    <n v="2.4533588760364801E-2"/>
    <s v="Green"/>
    <n v="13.33"/>
    <x v="7"/>
    <n v="1"/>
    <x v="10"/>
  </r>
  <r>
    <x v="95"/>
    <n v="2.32014607867723E-2"/>
    <s v="Green"/>
    <n v="14.03"/>
    <x v="7"/>
    <n v="1"/>
    <x v="11"/>
  </r>
  <r>
    <x v="96"/>
    <n v="-1.5513837223063799E-2"/>
    <s v="Red"/>
    <n v="16.309999000000001"/>
    <x v="3"/>
    <n v="0"/>
    <x v="0"/>
  </r>
  <r>
    <x v="97"/>
    <n v="3.7655295489735098E-2"/>
    <s v="Green"/>
    <n v="12.09"/>
    <x v="8"/>
    <n v="1"/>
    <x v="1"/>
  </r>
  <r>
    <x v="98"/>
    <n v="-1.50798305819199E-2"/>
    <s v="Red"/>
    <n v="16.950001"/>
    <x v="3"/>
    <n v="0"/>
    <x v="2"/>
  </r>
  <r>
    <x v="99"/>
    <n v="1.90583316589206E-2"/>
    <s v="Green"/>
    <n v="11.57"/>
    <x v="9"/>
    <n v="1"/>
    <x v="3"/>
  </r>
  <r>
    <x v="100"/>
    <n v="2.1030280012995999E-2"/>
    <s v="Green"/>
    <n v="11.4"/>
    <x v="9"/>
    <n v="1"/>
    <x v="4"/>
  </r>
  <r>
    <x v="101"/>
    <n v="6.2007889650528298E-3"/>
    <s v="Green"/>
    <n v="13.41"/>
    <x v="7"/>
    <n v="1"/>
    <x v="5"/>
  </r>
  <r>
    <x v="102"/>
    <n v="6.93216560793575E-3"/>
    <s v="Green"/>
    <n v="13.88"/>
    <x v="7"/>
    <n v="1"/>
    <x v="6"/>
  </r>
  <r>
    <x v="103"/>
    <n v="4.3117029976595299E-2"/>
    <s v="Green"/>
    <n v="14"/>
    <x v="7"/>
    <n v="1"/>
    <x v="7"/>
  </r>
  <r>
    <x v="104"/>
    <n v="-3.5582905675162597E-2"/>
    <s v="Red"/>
    <n v="18.41"/>
    <x v="5"/>
    <n v="0"/>
    <x v="8"/>
  </r>
  <r>
    <x v="105"/>
    <n v="2.35627915504928E-2"/>
    <s v="Green"/>
    <n v="13.72"/>
    <x v="7"/>
    <n v="1"/>
    <x v="9"/>
  </r>
  <r>
    <x v="106"/>
    <n v="2.80494716351865E-2"/>
    <s v="Green"/>
    <n v="13.7"/>
    <x v="7"/>
    <n v="1"/>
    <x v="10"/>
  </r>
  <r>
    <x v="107"/>
    <n v="4.45957526180061E-2"/>
    <s v="Green"/>
    <n v="13.75"/>
    <x v="7"/>
    <n v="1"/>
    <x v="11"/>
  </r>
  <r>
    <x v="108"/>
    <n v="2.9749523177239098E-2"/>
    <s v="Green"/>
    <n v="16.600000000000001"/>
    <x v="3"/>
    <n v="1"/>
    <x v="0"/>
  </r>
  <r>
    <x v="109"/>
    <n v="-3.1298019033866899E-2"/>
    <s v="Red"/>
    <n v="17.010000000000002"/>
    <x v="3"/>
    <n v="0"/>
    <x v="1"/>
  </r>
  <r>
    <x v="110"/>
    <n v="4.9462079815224998E-2"/>
    <s v="Green"/>
    <n v="13.45"/>
    <x v="7"/>
    <n v="1"/>
    <x v="2"/>
  </r>
  <r>
    <x v="111"/>
    <n v="-1.4999301636062799E-2"/>
    <s v="Red"/>
    <n v="16.860001"/>
    <x v="3"/>
    <n v="0"/>
    <x v="3"/>
  </r>
  <r>
    <x v="112"/>
    <n v="2.07628117210461E-2"/>
    <s v="Green"/>
    <n v="16.299999"/>
    <x v="3"/>
    <n v="1"/>
    <x v="4"/>
  </r>
  <r>
    <x v="113"/>
    <n v="1.80857678592523E-2"/>
    <s v="Green"/>
    <n v="13.52"/>
    <x v="7"/>
    <n v="1"/>
    <x v="5"/>
  </r>
  <r>
    <x v="114"/>
    <n v="3.5987723516956102E-2"/>
    <s v="Green"/>
    <n v="12.7"/>
    <x v="8"/>
    <n v="1"/>
    <x v="6"/>
  </r>
  <r>
    <x v="115"/>
    <n v="1.10606491952592E-2"/>
    <s v="Green"/>
    <n v="15.51"/>
    <x v="6"/>
    <n v="1"/>
    <x v="7"/>
  </r>
  <r>
    <x v="116"/>
    <n v="5.0428096519578497E-2"/>
    <s v="Green"/>
    <n v="14.28"/>
    <x v="7"/>
    <n v="1"/>
    <x v="8"/>
  </r>
  <r>
    <x v="117"/>
    <n v="7.0682304638645102E-3"/>
    <s v="Green"/>
    <n v="18.02"/>
    <x v="5"/>
    <n v="1"/>
    <x v="9"/>
  </r>
  <r>
    <x v="118"/>
    <n v="2.8467170173434001E-3"/>
    <s v="Green"/>
    <n v="15.87"/>
    <x v="6"/>
    <n v="1"/>
    <x v="10"/>
  </r>
  <r>
    <x v="119"/>
    <n v="-1.9789409878227401E-2"/>
    <s v="Red"/>
    <n v="18.600000000000001"/>
    <x v="5"/>
    <n v="0"/>
    <x v="11"/>
  </r>
  <r>
    <x v="120"/>
    <n v="2.4236153696477001E-2"/>
    <s v="Green"/>
    <n v="15.73"/>
    <x v="6"/>
    <n v="1"/>
    <x v="0"/>
  </r>
  <r>
    <x v="121"/>
    <n v="1.9763369680148201E-2"/>
    <s v="Green"/>
    <n v="17.469999000000001"/>
    <x v="3"/>
    <n v="1"/>
    <x v="1"/>
  </r>
  <r>
    <x v="122"/>
    <n v="1.25975741261544E-2"/>
    <s v="Green"/>
    <n v="18.93"/>
    <x v="5"/>
    <n v="1"/>
    <x v="2"/>
  </r>
  <r>
    <x v="123"/>
    <n v="3.95549821345915E-2"/>
    <s v="Green"/>
    <n v="17.079999999999998"/>
    <x v="3"/>
    <n v="1"/>
    <x v="3"/>
  </r>
  <r>
    <x v="124"/>
    <n v="-6.2650725633177598E-2"/>
    <s v="Red"/>
    <n v="24.059999000000001"/>
    <x v="4"/>
    <n v="0"/>
    <x v="4"/>
  </r>
  <r>
    <x v="125"/>
    <n v="-7.4974527092703802E-3"/>
    <s v="Red"/>
    <n v="17.149999999999999"/>
    <x v="3"/>
    <n v="0"/>
    <x v="5"/>
  </r>
  <r>
    <x v="126"/>
    <n v="3.1332314530530599E-2"/>
    <s v="Green"/>
    <n v="15.5"/>
    <x v="6"/>
    <n v="1"/>
    <x v="6"/>
  </r>
  <r>
    <x v="127"/>
    <n v="4.0589464130841697E-2"/>
    <s v="Green"/>
    <n v="18.43"/>
    <x v="5"/>
    <n v="1"/>
    <x v="7"/>
  </r>
  <r>
    <x v="128"/>
    <n v="4.3583062218506302E-2"/>
    <s v="Green"/>
    <n v="19.440000999999999"/>
    <x v="5"/>
    <n v="1"/>
    <x v="8"/>
  </r>
  <r>
    <x v="129"/>
    <n v="8.5327639481440603E-3"/>
    <s v="Green"/>
    <n v="23.4"/>
    <x v="4"/>
    <n v="1"/>
    <x v="9"/>
  </r>
  <r>
    <x v="130"/>
    <n v="-5.0587151935872496E-3"/>
    <s v="Red"/>
    <n v="27.799999"/>
    <x v="0"/>
    <n v="0"/>
    <x v="10"/>
  </r>
  <r>
    <x v="131"/>
    <n v="0.10772303853581"/>
    <s v="Green"/>
    <n v="29.959999"/>
    <x v="2"/>
    <n v="1"/>
    <x v="11"/>
  </r>
  <r>
    <x v="132"/>
    <n v="-7.1761988303760099E-2"/>
    <s v="Red"/>
    <n v="42.959999000000003"/>
    <x v="2"/>
    <n v="0"/>
    <x v="0"/>
  </r>
  <r>
    <x v="133"/>
    <n v="-5.6791107463597598E-2"/>
    <s v="Red"/>
    <n v="31.620000999999998"/>
    <x v="2"/>
    <n v="0"/>
    <x v="1"/>
  </r>
  <r>
    <x v="134"/>
    <n v="-2.1474425791951999E-2"/>
    <s v="Red"/>
    <n v="25.25"/>
    <x v="0"/>
    <n v="0"/>
    <x v="2"/>
  </r>
  <r>
    <x v="135"/>
    <n v="-1.8257461265697099E-2"/>
    <s v="Red"/>
    <n v="16.52"/>
    <x v="3"/>
    <n v="0"/>
    <x v="3"/>
  </r>
  <r>
    <x v="136"/>
    <n v="-1.3500952766930601E-2"/>
    <s v="Red"/>
    <n v="15.45"/>
    <x v="6"/>
    <n v="0"/>
    <x v="4"/>
  </r>
  <r>
    <x v="137"/>
    <n v="2.8495380443795099E-2"/>
    <s v="Green"/>
    <n v="14.75"/>
    <x v="6"/>
    <n v="1"/>
    <x v="5"/>
  </r>
  <r>
    <x v="138"/>
    <n v="-1.0473132038185699E-3"/>
    <s v="Red"/>
    <n v="17.739999999999998"/>
    <x v="5"/>
    <n v="0"/>
    <x v="6"/>
  </r>
  <r>
    <x v="139"/>
    <n v="3.1956564052952198E-2"/>
    <s v="Green"/>
    <n v="18.350000000000001"/>
    <x v="5"/>
    <n v="1"/>
    <x v="7"/>
  </r>
  <r>
    <x v="140"/>
    <n v="2.2645573980086799E-2"/>
    <s v="Green"/>
    <n v="19.530000999999999"/>
    <x v="5"/>
    <n v="1"/>
    <x v="8"/>
  </r>
  <r>
    <x v="141"/>
    <n v="6.5300040489854702E-2"/>
    <s v="Green"/>
    <n v="17.75"/>
    <x v="5"/>
    <n v="1"/>
    <x v="9"/>
  </r>
  <r>
    <x v="142"/>
    <n v="-2.29024979894321E-3"/>
    <s v="Red"/>
    <n v="23.540001"/>
    <x v="4"/>
    <n v="0"/>
    <x v="10"/>
  </r>
  <r>
    <x v="143"/>
    <n v="3.68559943970765E-2"/>
    <s v="Green"/>
    <n v="21.200001"/>
    <x v="1"/>
    <n v="1"/>
    <x v="11"/>
  </r>
  <r>
    <x v="144"/>
    <n v="8.7551102944020104E-2"/>
    <s v="Green"/>
    <n v="23.700001"/>
    <x v="4"/>
    <n v="1"/>
    <x v="0"/>
  </r>
  <r>
    <x v="145"/>
    <n v="-4.7449184040287203E-2"/>
    <s v="Red"/>
    <n v="26.049999"/>
    <x v="0"/>
    <n v="0"/>
    <x v="1"/>
  </r>
  <r>
    <x v="146"/>
    <n v="6.8777849911552294E-2"/>
    <s v="Green"/>
    <n v="23.5"/>
    <x v="4"/>
    <n v="1"/>
    <x v="2"/>
  </r>
  <r>
    <x v="147"/>
    <n v="-5.3882442026415102E-2"/>
    <s v="Red"/>
    <n v="34.540000999999997"/>
    <x v="2"/>
    <n v="0"/>
    <x v="3"/>
  </r>
  <r>
    <x v="148"/>
    <n v="-8.1975841910334496E-2"/>
    <s v="Red"/>
    <n v="32.07"/>
    <x v="2"/>
    <n v="0"/>
    <x v="4"/>
  </r>
  <r>
    <x v="149"/>
    <n v="1.47592298837911E-2"/>
    <s v="Green"/>
    <n v="22.049999"/>
    <x v="4"/>
    <n v="1"/>
    <x v="5"/>
  </r>
  <r>
    <x v="150"/>
    <n v="5.8796426031891801E-2"/>
    <s v="Green"/>
    <n v="17.59"/>
    <x v="3"/>
    <n v="1"/>
    <x v="6"/>
  </r>
  <r>
    <x v="151"/>
    <n v="2.8513688940531301E-2"/>
    <s v="Green"/>
    <n v="19.5"/>
    <x v="5"/>
    <n v="1"/>
    <x v="7"/>
  </r>
  <r>
    <x v="152"/>
    <n v="-3.6974246154947397E-2"/>
    <s v="Red"/>
    <n v="24.620000999999998"/>
    <x v="0"/>
    <n v="0"/>
    <x v="8"/>
  </r>
  <r>
    <x v="153"/>
    <n v="1.7770571188400398E-2"/>
    <s v="Green"/>
    <n v="21.68"/>
    <x v="1"/>
    <n v="1"/>
    <x v="9"/>
  </r>
  <r>
    <x v="154"/>
    <n v="5.7364061981373601E-2"/>
    <s v="Green"/>
    <n v="24.51"/>
    <x v="0"/>
    <n v="1"/>
    <x v="10"/>
  </r>
  <r>
    <x v="155"/>
    <n v="-1.9762000860415501E-2"/>
    <s v="Red"/>
    <n v="30.690000999999999"/>
    <x v="2"/>
    <n v="0"/>
    <x v="11"/>
  </r>
  <r>
    <x v="156"/>
    <n v="3.5723345788458698E-2"/>
    <s v="Green"/>
    <n v="25.610001"/>
    <x v="0"/>
    <n v="1"/>
    <x v="0"/>
  </r>
  <r>
    <x v="157"/>
    <n v="3.3560189240494899E-2"/>
    <s v="Green"/>
    <n v="26.01"/>
    <x v="0"/>
    <n v="1"/>
    <x v="1"/>
  </r>
  <r>
    <x v="158"/>
    <n v="7.4141727016716605E-2"/>
    <s v="Green"/>
    <n v="25.92"/>
    <x v="0"/>
    <n v="1"/>
    <x v="2"/>
  </r>
  <r>
    <x v="159"/>
    <n v="1.9582653030303401E-4"/>
    <s v="Green"/>
    <n v="26.35"/>
    <x v="0"/>
    <n v="1"/>
    <x v="3"/>
  </r>
  <r>
    <x v="160"/>
    <n v="5.3081446255385502E-2"/>
    <s v="Green"/>
    <n v="28.92"/>
    <x v="0"/>
    <n v="1"/>
    <x v="4"/>
  </r>
  <r>
    <x v="161"/>
    <n v="9.3925079862164695E-2"/>
    <s v="Green"/>
    <n v="36.5"/>
    <x v="2"/>
    <n v="1"/>
    <x v="5"/>
  </r>
  <r>
    <x v="162"/>
    <n v="8.5404461622494696E-2"/>
    <s v="Green"/>
    <n v="44.139999000000003"/>
    <x v="2"/>
    <n v="1"/>
    <x v="6"/>
  </r>
  <r>
    <x v="163"/>
    <n v="-0.109931197571492"/>
    <s v="Red"/>
    <n v="46.349997999999999"/>
    <x v="2"/>
    <n v="0"/>
    <x v="7"/>
  </r>
  <r>
    <x v="164"/>
    <n v="-8.5657342928314395E-2"/>
    <s v="Red"/>
    <n v="44.84"/>
    <x v="2"/>
    <n v="0"/>
    <x v="8"/>
  </r>
  <r>
    <x v="165"/>
    <n v="7.8215768970539799E-3"/>
    <s v="Green"/>
    <n v="40"/>
    <x v="2"/>
    <n v="1"/>
    <x v="9"/>
  </r>
  <r>
    <x v="166"/>
    <n v="-7.4849042580645203E-2"/>
    <s v="Red"/>
    <n v="55.279998999999997"/>
    <x v="2"/>
    <n v="0"/>
    <x v="10"/>
  </r>
  <r>
    <x v="167"/>
    <n v="-0.16942452376742001"/>
    <s v="Red"/>
    <n v="59.889999000000003"/>
    <x v="2"/>
    <n v="0"/>
    <x v="11"/>
  </r>
  <r>
    <x v="168"/>
    <n v="-9.0791433779084593E-2"/>
    <s v="Red"/>
    <n v="39.389999000000003"/>
    <x v="2"/>
    <n v="0"/>
    <x v="0"/>
  </r>
  <r>
    <x v="169"/>
    <n v="1.2190464532379999E-2"/>
    <s v="Green"/>
    <n v="20.65"/>
    <x v="1"/>
    <n v="1"/>
    <x v="1"/>
  </r>
  <r>
    <x v="170"/>
    <n v="-9.8593710937500099E-3"/>
    <s v="Red"/>
    <n v="22.940000999999999"/>
    <x v="4"/>
    <n v="0"/>
    <x v="2"/>
  </r>
  <r>
    <x v="171"/>
    <n v="-8.5962384902803599E-2"/>
    <s v="Red"/>
    <n v="23.950001"/>
    <x v="4"/>
    <n v="0"/>
    <x v="3"/>
  </r>
  <r>
    <x v="172"/>
    <n v="1.06741816575771E-2"/>
    <s v="Green"/>
    <n v="17.829999999999998"/>
    <x v="5"/>
    <n v="1"/>
    <x v="4"/>
  </r>
  <r>
    <x v="173"/>
    <n v="4.7546697913198897E-2"/>
    <s v="Green"/>
    <n v="20.790001"/>
    <x v="1"/>
    <n v="1"/>
    <x v="5"/>
  </r>
  <r>
    <x v="174"/>
    <n v="-5.95962361452984E-3"/>
    <s v="Red"/>
    <n v="25.610001"/>
    <x v="0"/>
    <n v="0"/>
    <x v="6"/>
  </r>
  <r>
    <x v="175"/>
    <n v="-3.4761192772624502E-2"/>
    <s v="Red"/>
    <n v="26.540001"/>
    <x v="0"/>
    <n v="0"/>
    <x v="7"/>
  </r>
  <r>
    <x v="176"/>
    <n v="-6.1163431935936402E-2"/>
    <s v="Red"/>
    <n v="26.200001"/>
    <x v="0"/>
    <n v="0"/>
    <x v="8"/>
  </r>
  <r>
    <x v="177"/>
    <n v="-8.6285090339686104E-3"/>
    <s v="Red"/>
    <n v="22.5"/>
    <x v="4"/>
    <n v="0"/>
    <x v="9"/>
  </r>
  <r>
    <x v="178"/>
    <n v="-4.4043417224814398E-2"/>
    <s v="Red"/>
    <n v="22.870000999999998"/>
    <x v="4"/>
    <n v="0"/>
    <x v="10"/>
  </r>
  <r>
    <x v="179"/>
    <n v="1.48223383003112E-2"/>
    <s v="Green"/>
    <n v="18.530000999999999"/>
    <x v="5"/>
    <n v="1"/>
    <x v="11"/>
  </r>
  <r>
    <x v="180"/>
    <n v="3.5794008343299502E-2"/>
    <s v="Green"/>
    <n v="18"/>
    <x v="5"/>
    <n v="1"/>
    <x v="0"/>
  </r>
  <r>
    <x v="181"/>
    <n v="1.2863571531556799E-2"/>
    <s v="Green"/>
    <n v="23.379999000000002"/>
    <x v="4"/>
    <n v="1"/>
    <x v="1"/>
  </r>
  <r>
    <x v="182"/>
    <n v="-3.1981878316802499E-2"/>
    <s v="Red"/>
    <n v="23.52"/>
    <x v="4"/>
    <n v="0"/>
    <x v="2"/>
  </r>
  <r>
    <x v="183"/>
    <n v="-1.7816322202167601E-2"/>
    <s v="Red"/>
    <n v="16.23"/>
    <x v="3"/>
    <n v="0"/>
    <x v="3"/>
  </r>
  <r>
    <x v="184"/>
    <n v="3.2549228709934902E-2"/>
    <s v="Green"/>
    <n v="13.05"/>
    <x v="8"/>
    <n v="1"/>
    <x v="4"/>
  </r>
  <r>
    <x v="185"/>
    <n v="4.3290690602424201E-2"/>
    <s v="Green"/>
    <n v="14.22"/>
    <x v="7"/>
    <n v="1"/>
    <x v="5"/>
  </r>
  <r>
    <x v="186"/>
    <n v="9.9799828968305491E-3"/>
    <s v="Green"/>
    <n v="14.64"/>
    <x v="6"/>
    <n v="1"/>
    <x v="6"/>
  </r>
  <r>
    <x v="187"/>
    <n v="-2.1846176033528199E-2"/>
    <s v="Red"/>
    <n v="15.42"/>
    <x v="6"/>
    <n v="0"/>
    <x v="7"/>
  </r>
  <r>
    <x v="188"/>
    <n v="1.4059042735039801E-2"/>
    <s v="Green"/>
    <n v="10.42"/>
    <x v="9"/>
    <n v="1"/>
    <x v="8"/>
  </r>
  <r>
    <x v="189"/>
    <n v="1.26157828526599E-2"/>
    <s v="Green"/>
    <n v="11.56"/>
    <x v="9"/>
    <n v="1"/>
    <x v="9"/>
  </r>
  <r>
    <x v="190"/>
    <n v="1.64666567278202E-2"/>
    <s v="Green"/>
    <n v="10.91"/>
    <x v="9"/>
    <n v="1"/>
    <x v="10"/>
  </r>
  <r>
    <x v="191"/>
    <n v="3.1508002961554198E-2"/>
    <s v="Green"/>
    <n v="11.1"/>
    <x v="9"/>
    <n v="1"/>
    <x v="11"/>
  </r>
  <r>
    <x v="192"/>
    <n v="2.45662985125095E-2"/>
    <s v="Green"/>
    <n v="11.98"/>
    <x v="9"/>
    <n v="1"/>
    <x v="0"/>
  </r>
  <r>
    <x v="193"/>
    <n v="2.12741930323481E-2"/>
    <s v="Green"/>
    <n v="12.31"/>
    <x v="8"/>
    <n v="1"/>
    <x v="1"/>
  </r>
  <r>
    <x v="194"/>
    <n v="5.0858787979908299E-3"/>
    <s v="Green"/>
    <n v="14.95"/>
    <x v="6"/>
    <n v="1"/>
    <x v="2"/>
  </r>
  <r>
    <x v="195"/>
    <n v="8.6596227782509403E-5"/>
    <s v="Green"/>
    <n v="13.08"/>
    <x v="8"/>
    <n v="1"/>
    <x v="3"/>
  </r>
  <r>
    <x v="196"/>
    <n v="-3.0916916141150899E-2"/>
    <s v="Red"/>
    <n v="16.440000999999999"/>
    <x v="3"/>
    <n v="0"/>
    <x v="4"/>
  </r>
  <r>
    <x v="197"/>
    <n v="1.21556527379414E-2"/>
    <s v="Green"/>
    <n v="11.59"/>
    <x v="9"/>
    <n v="1"/>
    <x v="5"/>
  </r>
  <r>
    <x v="198"/>
    <n v="1.10958104592496E-2"/>
    <s v="Green"/>
    <n v="11.39"/>
    <x v="9"/>
    <n v="1"/>
    <x v="6"/>
  </r>
  <r>
    <x v="199"/>
    <n v="4.53157630725398E-4"/>
    <s v="Green"/>
    <n v="12.34"/>
    <x v="8"/>
    <n v="1"/>
    <x v="7"/>
  </r>
  <r>
    <x v="200"/>
    <n v="2.5466771348641601E-2"/>
    <s v="Green"/>
    <n v="12.95"/>
    <x v="8"/>
    <n v="1"/>
    <x v="8"/>
  </r>
  <r>
    <x v="201"/>
    <n v="-9.5234899241847205E-4"/>
    <s v="Red"/>
    <n v="12.07"/>
    <x v="8"/>
    <n v="0"/>
    <x v="9"/>
  </r>
  <r>
    <x v="202"/>
    <n v="3.5186095929726498E-2"/>
    <s v="Green"/>
    <n v="12.06"/>
    <x v="8"/>
    <n v="1"/>
    <x v="10"/>
  </r>
  <r>
    <x v="203"/>
    <n v="-1.7740780066319399E-2"/>
    <s v="Red"/>
    <n v="15.32"/>
    <x v="6"/>
    <n v="0"/>
    <x v="11"/>
  </r>
  <r>
    <x v="204"/>
    <n v="6.9490246947603298E-3"/>
    <s v="Green"/>
    <n v="11.92"/>
    <x v="9"/>
    <n v="1"/>
    <x v="0"/>
  </r>
  <r>
    <x v="205"/>
    <n v="-1.12221048744966E-2"/>
    <s v="Red"/>
    <n v="12.6"/>
    <x v="8"/>
    <n v="0"/>
    <x v="1"/>
  </r>
  <r>
    <x v="206"/>
    <n v="3.5968287193812301E-2"/>
    <s v="Green"/>
    <n v="11.57"/>
    <x v="9"/>
    <n v="1"/>
    <x v="2"/>
  </r>
  <r>
    <x v="207"/>
    <n v="-1.42714225765839E-4"/>
    <s v="Red"/>
    <n v="12.04"/>
    <x v="9"/>
    <n v="0"/>
    <x v="3"/>
  </r>
  <r>
    <x v="208"/>
    <n v="2.9952046262565798E-2"/>
    <s v="Green"/>
    <n v="13.29"/>
    <x v="7"/>
    <n v="1"/>
    <x v="4"/>
  </r>
  <r>
    <x v="209"/>
    <n v="-2.0108581881679299E-2"/>
    <s v="Red"/>
    <n v="15.31"/>
    <x v="6"/>
    <n v="0"/>
    <x v="5"/>
  </r>
  <r>
    <x v="210"/>
    <n v="-1.9117655748441001E-2"/>
    <s v="Red"/>
    <n v="14.02"/>
    <x v="7"/>
    <n v="0"/>
    <x v="6"/>
  </r>
  <r>
    <x v="211"/>
    <n v="1.8903346078316601E-2"/>
    <s v="Green"/>
    <n v="12.08"/>
    <x v="8"/>
    <n v="1"/>
    <x v="7"/>
  </r>
  <r>
    <x v="212"/>
    <n v="-2.5290467099494601E-2"/>
    <s v="Red"/>
    <n v="12.82"/>
    <x v="8"/>
    <n v="0"/>
    <x v="8"/>
  </r>
  <r>
    <x v="213"/>
    <n v="3.24582131440454E-2"/>
    <s v="Green"/>
    <n v="13.29"/>
    <x v="7"/>
    <n v="1"/>
    <x v="9"/>
  </r>
  <r>
    <x v="214"/>
    <n v="3.8594936198152401E-2"/>
    <s v="Green"/>
    <n v="13.24"/>
    <x v="7"/>
    <n v="1"/>
    <x v="10"/>
  </r>
  <r>
    <x v="215"/>
    <n v="1.4014243586487E-2"/>
    <s v="Green"/>
    <n v="16.27"/>
    <x v="3"/>
    <n v="1"/>
    <x v="11"/>
  </r>
  <r>
    <x v="216"/>
    <n v="9.3638756915515008E-3"/>
    <s v="Green"/>
    <n v="13.34"/>
    <x v="7"/>
    <n v="1"/>
    <x v="0"/>
  </r>
  <r>
    <x v="217"/>
    <n v="2.28734984055223E-3"/>
    <s v="Green"/>
    <n v="15.29"/>
    <x v="6"/>
    <n v="1"/>
    <x v="1"/>
  </r>
  <r>
    <x v="218"/>
    <n v="-3.4290519411905002E-2"/>
    <s v="Red"/>
    <n v="15.32"/>
    <x v="6"/>
    <n v="0"/>
    <x v="2"/>
  </r>
  <r>
    <x v="219"/>
    <n v="1.7988998669195701E-2"/>
    <s v="Green"/>
    <n v="14.34"/>
    <x v="7"/>
    <n v="1"/>
    <x v="3"/>
  </r>
  <r>
    <x v="220"/>
    <n v="1.2083450201310301E-2"/>
    <s v="Green"/>
    <n v="15.5"/>
    <x v="6"/>
    <n v="1"/>
    <x v="4"/>
  </r>
  <r>
    <x v="221"/>
    <n v="-1.6790751862298701E-2"/>
    <s v="Red"/>
    <n v="17.190000999999999"/>
    <x v="3"/>
    <n v="0"/>
    <x v="5"/>
  </r>
  <r>
    <x v="222"/>
    <n v="-1.6358919214261199E-2"/>
    <s v="Red"/>
    <n v="16.739999999999998"/>
    <x v="3"/>
    <n v="0"/>
    <x v="6"/>
  </r>
  <r>
    <x v="223"/>
    <n v="1.22089732735895E-2"/>
    <s v="Green"/>
    <n v="14.55"/>
    <x v="7"/>
    <n v="1"/>
    <x v="7"/>
  </r>
  <r>
    <x v="224"/>
    <n v="1.7276387006114599E-2"/>
    <s v="Green"/>
    <n v="16.629999000000002"/>
    <x v="3"/>
    <n v="1"/>
    <x v="8"/>
  </r>
  <r>
    <x v="225"/>
    <n v="5.0765541001239298E-2"/>
    <s v="Green"/>
    <n v="18.309999000000001"/>
    <x v="5"/>
    <n v="1"/>
    <x v="9"/>
  </r>
  <r>
    <x v="226"/>
    <n v="7.1285038478854403E-3"/>
    <s v="Green"/>
    <n v="16.32"/>
    <x v="3"/>
    <n v="1"/>
    <x v="10"/>
  </r>
  <r>
    <x v="227"/>
    <n v="5.4961486384010702E-2"/>
    <s v="Green"/>
    <n v="16.100000000000001"/>
    <x v="6"/>
    <n v="1"/>
    <x v="11"/>
  </r>
  <r>
    <x v="228"/>
    <n v="-1.1944364520745199E-2"/>
    <s v="Red"/>
    <n v="22.719999000000001"/>
    <x v="4"/>
    <n v="0"/>
    <x v="0"/>
  </r>
  <r>
    <x v="229"/>
    <n v="1.7873203376464399E-2"/>
    <s v="Green"/>
    <n v="18.629999000000002"/>
    <x v="5"/>
    <n v="1"/>
    <x v="1"/>
  </r>
  <r>
    <x v="230"/>
    <n v="1.62237024114931E-2"/>
    <s v="Green"/>
    <n v="19.489999999999998"/>
    <x v="5"/>
    <n v="1"/>
    <x v="2"/>
  </r>
  <r>
    <x v="231"/>
    <n v="1.13222145251615E-2"/>
    <s v="Green"/>
    <n v="19.52"/>
    <x v="5"/>
    <n v="1"/>
    <x v="3"/>
  </r>
  <r>
    <x v="232"/>
    <n v="5.0898709664177998E-2"/>
    <s v="Green"/>
    <n v="19.469999000000001"/>
    <x v="5"/>
    <n v="1"/>
    <x v="4"/>
  </r>
  <r>
    <x v="233"/>
    <n v="8.1044106872726104E-2"/>
    <s v="Green"/>
    <n v="21.209999"/>
    <x v="1"/>
    <n v="1"/>
    <x v="5"/>
  </r>
  <r>
    <x v="234"/>
    <n v="8.3575685661514392E-3"/>
    <s v="Green"/>
    <n v="29.15"/>
    <x v="2"/>
    <n v="1"/>
    <x v="6"/>
  </r>
  <r>
    <x v="235"/>
    <n v="-1.7003608502929399E-2"/>
    <s v="Red"/>
    <n v="29.629999000000002"/>
    <x v="2"/>
    <n v="0"/>
    <x v="7"/>
  </r>
  <r>
    <x v="236"/>
    <n v="-2.74146925599522E-2"/>
    <s v="Red"/>
    <n v="31.17"/>
    <x v="2"/>
    <n v="0"/>
    <x v="8"/>
  </r>
  <r>
    <x v="237"/>
    <n v="-6.0332572674290597E-2"/>
    <s v="Red"/>
    <n v="28.620000999999998"/>
    <x v="0"/>
    <n v="0"/>
    <x v="9"/>
  </r>
  <r>
    <x v="238"/>
    <n v="5.7069620923617899E-2"/>
    <s v="Green"/>
    <n v="27.5"/>
    <x v="0"/>
    <n v="1"/>
    <x v="10"/>
  </r>
  <r>
    <x v="239"/>
    <n v="8.6448801016809906E-2"/>
    <s v="Green"/>
    <n v="31.139999"/>
    <x v="2"/>
    <n v="1"/>
    <x v="11"/>
  </r>
  <r>
    <x v="240"/>
    <n v="-0.110024318261519"/>
    <s v="Red"/>
    <n v="39.689999"/>
    <x v="2"/>
    <n v="0"/>
    <x v="0"/>
  </r>
  <r>
    <x v="241"/>
    <n v="4.8814330800193203E-3"/>
    <s v="Green"/>
    <n v="32.639999000000003"/>
    <x v="2"/>
    <n v="1"/>
    <x v="1"/>
  </r>
  <r>
    <x v="242"/>
    <n v="-7.9004274966125304E-2"/>
    <s v="Red"/>
    <n v="32.029998999999997"/>
    <x v="2"/>
    <n v="0"/>
    <x v="2"/>
  </r>
  <r>
    <x v="243"/>
    <n v="-7.2455354417573697E-2"/>
    <s v="Red"/>
    <n v="25.4"/>
    <x v="0"/>
    <n v="0"/>
    <x v="3"/>
  </r>
  <r>
    <x v="244"/>
    <n v="-9.0814810760454501E-3"/>
    <s v="Red"/>
    <n v="19.98"/>
    <x v="1"/>
    <n v="0"/>
    <x v="4"/>
  </r>
  <r>
    <x v="245"/>
    <n v="-6.1417626159139899E-2"/>
    <s v="Red"/>
    <n v="21.91"/>
    <x v="4"/>
    <n v="0"/>
    <x v="5"/>
  </r>
  <r>
    <x v="246"/>
    <n v="3.67388936188391E-2"/>
    <s v="Green"/>
    <n v="17.399999999999999"/>
    <x v="3"/>
    <n v="1"/>
    <x v="6"/>
  </r>
  <r>
    <x v="247"/>
    <n v="-2.0766211305560299E-2"/>
    <s v="Red"/>
    <n v="21.59"/>
    <x v="1"/>
    <n v="0"/>
    <x v="7"/>
  </r>
  <r>
    <x v="248"/>
    <n v="-1.55738325597943E-2"/>
    <s v="Red"/>
    <n v="21.09"/>
    <x v="1"/>
    <n v="0"/>
    <x v="8"/>
  </r>
  <r>
    <x v="249"/>
    <n v="7.5738341929156797E-3"/>
    <s v="Green"/>
    <n v="23.799999"/>
    <x v="4"/>
    <n v="1"/>
    <x v="9"/>
  </r>
  <r>
    <x v="250"/>
    <n v="7.5175904263053497E-2"/>
    <s v="Green"/>
    <n v="23.84"/>
    <x v="4"/>
    <n v="1"/>
    <x v="10"/>
  </r>
  <r>
    <x v="251"/>
    <n v="1.8099111445277798E-2"/>
    <s v="Green"/>
    <n v="33.560001"/>
    <x v="2"/>
    <n v="1"/>
    <x v="11"/>
  </r>
  <r>
    <x v="252"/>
    <n v="-8.1723406019716199E-2"/>
    <s v="Red"/>
    <n v="31.93"/>
    <x v="2"/>
    <n v="0"/>
    <x v="0"/>
  </r>
  <r>
    <x v="253"/>
    <n v="-6.4108406563714707E-2"/>
    <s v="Red"/>
    <n v="24.92"/>
    <x v="0"/>
    <n v="0"/>
    <x v="1"/>
  </r>
  <r>
    <x v="254"/>
    <n v="-1.0740150072934201E-2"/>
    <s v="Red"/>
    <n v="21.620000999999998"/>
    <x v="1"/>
    <n v="0"/>
    <x v="2"/>
  </r>
  <r>
    <x v="255"/>
    <n v="-2.5035389109833502E-2"/>
    <s v="Red"/>
    <n v="19.059999000000001"/>
    <x v="5"/>
    <n v="0"/>
    <x v="3"/>
  </r>
  <r>
    <x v="256"/>
    <n v="5.0901871196495901E-3"/>
    <s v="Green"/>
    <n v="22.639999"/>
    <x v="4"/>
    <n v="1"/>
    <x v="4"/>
  </r>
  <r>
    <x v="257"/>
    <n v="7.6814361759009797E-2"/>
    <s v="Green"/>
    <n v="25.48"/>
    <x v="0"/>
    <n v="1"/>
    <x v="5"/>
  </r>
  <r>
    <x v="258"/>
    <n v="-6.4204710540895493E-2"/>
    <s v="Red"/>
    <n v="28.639999"/>
    <x v="0"/>
    <n v="0"/>
    <x v="6"/>
  </r>
  <r>
    <x v="259"/>
    <n v="-9.2290735848999994E-2"/>
    <s v="Red"/>
    <n v="28.35"/>
    <x v="0"/>
    <n v="0"/>
    <x v="7"/>
  </r>
  <r>
    <x v="260"/>
    <n v="3.4636577086329501E-2"/>
    <s v="Green"/>
    <n v="22.02"/>
    <x v="4"/>
    <n v="1"/>
    <x v="8"/>
  </r>
  <r>
    <x v="261"/>
    <n v="4.0534455291978402E-3"/>
    <s v="Green"/>
    <n v="26.85"/>
    <x v="0"/>
    <n v="1"/>
    <x v="9"/>
  </r>
  <r>
    <x v="262"/>
    <n v="-8.0068609961069903E-2"/>
    <s v="Red"/>
    <n v="29.65"/>
    <x v="2"/>
    <n v="0"/>
    <x v="10"/>
  </r>
  <r>
    <x v="263"/>
    <n v="-4.9494858723608797E-3"/>
    <s v="Red"/>
    <n v="23.629999000000002"/>
    <x v="4"/>
    <n v="0"/>
    <x v="11"/>
  </r>
  <r>
    <x v="264"/>
    <n v="-5.3482974745611297E-2"/>
    <s v="Red"/>
    <n v="20.57"/>
    <x v="1"/>
    <n v="0"/>
    <x v="0"/>
  </r>
  <r>
    <x v="265"/>
    <n v="6.0699105184235998E-2"/>
    <s v="Green"/>
    <n v="16.84"/>
    <x v="3"/>
    <n v="1"/>
    <x v="1"/>
  </r>
  <r>
    <x v="266"/>
    <n v="-1.6341276221772699E-2"/>
    <s v="Red"/>
    <n v="20.74"/>
    <x v="1"/>
    <n v="0"/>
    <x v="2"/>
  </r>
  <r>
    <x v="267"/>
    <n v="2.3933549608901299E-2"/>
    <s v="Green"/>
    <n v="19.540001"/>
    <x v="5"/>
    <n v="1"/>
    <x v="3"/>
  </r>
  <r>
    <x v="268"/>
    <n v="-2.1915050512993601E-2"/>
    <s v="Red"/>
    <n v="23.65"/>
    <x v="4"/>
    <n v="0"/>
    <x v="4"/>
  </r>
  <r>
    <x v="269"/>
    <n v="-3.0795755551931401E-2"/>
    <s v="Red"/>
    <n v="26.200001"/>
    <x v="0"/>
    <n v="0"/>
    <x v="5"/>
  </r>
  <r>
    <x v="270"/>
    <n v="9.6719828269732397E-2"/>
    <s v="Green"/>
    <n v="24.110001"/>
    <x v="4"/>
    <n v="1"/>
    <x v="6"/>
  </r>
  <r>
    <x v="271"/>
    <n v="-2.0108083261058299E-2"/>
    <s v="Red"/>
    <n v="23.370000999999998"/>
    <x v="4"/>
    <n v="0"/>
    <x v="7"/>
  </r>
  <r>
    <x v="272"/>
    <n v="-5.0903548749361899E-2"/>
    <s v="Red"/>
    <n v="24.950001"/>
    <x v="0"/>
    <n v="0"/>
    <x v="8"/>
  </r>
  <r>
    <x v="273"/>
    <n v="5.7843894876779399E-2"/>
    <s v="Green"/>
    <n v="24.639999"/>
    <x v="0"/>
    <n v="1"/>
    <x v="9"/>
  </r>
  <r>
    <x v="274"/>
    <n v="1.9061858621249601E-2"/>
    <s v="Green"/>
    <n v="24.18"/>
    <x v="4"/>
    <n v="1"/>
    <x v="10"/>
  </r>
  <r>
    <x v="275"/>
    <n v="6.2539541625965298E-2"/>
    <s v="Green"/>
    <n v="22.200001"/>
    <x v="4"/>
    <n v="1"/>
    <x v="11"/>
  </r>
  <r>
    <x v="276"/>
    <n v="-2.85517922684916E-2"/>
    <s v="Red"/>
    <n v="25.41"/>
    <x v="0"/>
    <n v="0"/>
    <x v="0"/>
  </r>
  <r>
    <x v="277"/>
    <n v="-6.2540920445004504E-3"/>
    <s v="Red"/>
    <n v="24.450001"/>
    <x v="4"/>
    <n v="0"/>
    <x v="1"/>
  </r>
  <r>
    <x v="278"/>
    <n v="-3.2046092218893797E-2"/>
    <s v="Red"/>
    <n v="24.639999"/>
    <x v="0"/>
    <n v="0"/>
    <x v="2"/>
  </r>
  <r>
    <x v="279"/>
    <n v="5.4438331016794198E-2"/>
    <s v="Green"/>
    <n v="21.09"/>
    <x v="1"/>
    <n v="1"/>
    <x v="3"/>
  </r>
  <r>
    <x v="280"/>
    <n v="-2.4970480872686801E-2"/>
    <s v="Red"/>
    <n v="25.389999"/>
    <x v="0"/>
    <n v="0"/>
    <x v="4"/>
  </r>
  <r>
    <x v="281"/>
    <n v="3.7944027915545402E-2"/>
    <s v="Green"/>
    <n v="25.07"/>
    <x v="0"/>
    <n v="1"/>
    <x v="5"/>
  </r>
  <r>
    <x v="282"/>
    <n v="3.8794215360158799E-2"/>
    <s v="Green"/>
    <n v="23.26"/>
    <x v="4"/>
    <n v="1"/>
    <x v="6"/>
  </r>
  <r>
    <x v="283"/>
    <n v="-3.2282562686194102E-2"/>
    <s v="Red"/>
    <n v="27.879999000000002"/>
    <x v="0"/>
    <n v="0"/>
    <x v="7"/>
  </r>
  <r>
    <x v="284"/>
    <n v="4.1009441536725297E-2"/>
    <s v="Green"/>
    <n v="26.25"/>
    <x v="0"/>
    <n v="1"/>
    <x v="8"/>
  </r>
  <r>
    <x v="285"/>
    <n v="5.63752865757359E-2"/>
    <s v="Green"/>
    <n v="24.42"/>
    <x v="4"/>
    <n v="1"/>
    <x v="9"/>
  </r>
  <r>
    <x v="286"/>
    <n v="5.91259963396253E-2"/>
    <s v="Green"/>
    <n v="26.01"/>
    <x v="0"/>
    <n v="1"/>
    <x v="10"/>
  </r>
  <r>
    <x v="287"/>
    <n v="8.0294228372442406E-2"/>
    <s v="Green"/>
    <n v="28.049999"/>
    <x v="0"/>
    <n v="1"/>
    <x v="11"/>
  </r>
  <r>
    <x v="288"/>
    <n v="6.2395515617718902E-2"/>
    <s v="Green"/>
    <n v="40.950001"/>
    <x v="2"/>
    <n v="1"/>
    <x v="0"/>
  </r>
  <r>
    <x v="289"/>
    <n v="-0.14579671855670701"/>
    <s v="Red"/>
    <n v="44.279998999999997"/>
    <x v="2"/>
    <n v="0"/>
    <x v="1"/>
  </r>
  <r>
    <x v="290"/>
    <n v="-1.1615327025789501E-2"/>
    <s v="Red"/>
    <n v="24.799999"/>
    <x v="0"/>
    <n v="0"/>
    <x v="2"/>
  </r>
  <r>
    <x v="291"/>
    <n v="3.9438241075214098E-2"/>
    <s v="Green"/>
    <n v="19.709999"/>
    <x v="5"/>
    <n v="1"/>
    <x v="3"/>
  </r>
  <r>
    <x v="292"/>
    <n v="-1.8826223521475099E-2"/>
    <s v="Red"/>
    <n v="21.32"/>
    <x v="1"/>
    <n v="0"/>
    <x v="4"/>
  </r>
  <r>
    <x v="293"/>
    <n v="9.0764692534604004E-3"/>
    <s v="Green"/>
    <n v="21.18"/>
    <x v="1"/>
    <n v="1"/>
    <x v="5"/>
  </r>
  <r>
    <x v="294"/>
    <n v="4.9945714161429497E-2"/>
    <s v="Green"/>
    <n v="24.219999000000001"/>
    <x v="4"/>
    <n v="1"/>
    <x v="6"/>
  </r>
  <r>
    <x v="295"/>
    <n v="7.0449193043797195E-2"/>
    <s v="Green"/>
    <n v="18.549999"/>
    <x v="5"/>
    <n v="1"/>
    <x v="7"/>
  </r>
  <r>
    <x v="296"/>
    <n v="1.01501767989975E-2"/>
    <s v="Green"/>
    <n v="21.469999000000001"/>
    <x v="1"/>
    <n v="1"/>
    <x v="8"/>
  </r>
  <r>
    <x v="297"/>
    <n v="1.5731597888257998E-2"/>
    <s v="Green"/>
    <n v="24.01"/>
    <x v="4"/>
    <n v="1"/>
    <x v="9"/>
  </r>
  <r>
    <x v="298"/>
    <n v="4.4586854893763801E-2"/>
    <s v="Green"/>
    <n v="27.43"/>
    <x v="0"/>
    <n v="1"/>
    <x v="10"/>
  </r>
  <r>
    <x v="299"/>
    <n v="-3.4477697196337802E-2"/>
    <s v="Red"/>
    <n v="35.090000000000003"/>
    <x v="2"/>
    <n v="0"/>
    <x v="11"/>
  </r>
  <r>
    <x v="300"/>
    <n v="5.3153589937912499E-2"/>
    <s v="Green"/>
    <n v="22.91"/>
    <x v="4"/>
    <n v="1"/>
    <x v="0"/>
  </r>
  <r>
    <x v="301"/>
    <n v="-5.7465631833399297E-2"/>
    <s v="Red"/>
    <n v="24.76"/>
    <x v="0"/>
    <n v="0"/>
    <x v="1"/>
  </r>
  <r>
    <x v="302"/>
    <n v="7.8145809507889102E-2"/>
    <s v="Green"/>
    <n v="21.48"/>
    <x v="1"/>
    <n v="1"/>
    <x v="2"/>
  </r>
  <r>
    <x v="303"/>
    <n v="4.3452615574897498E-2"/>
    <s v="Green"/>
    <n v="21.530000999999999"/>
    <x v="1"/>
    <n v="1"/>
    <x v="3"/>
  </r>
  <r>
    <x v="304"/>
    <n v="5.8576884241924997E-2"/>
    <s v="Green"/>
    <n v="19.190000999999999"/>
    <x v="5"/>
    <n v="1"/>
    <x v="4"/>
  </r>
  <r>
    <x v="305"/>
    <n v="5.8405579422057E-2"/>
    <s v="Green"/>
    <n v="20.059999000000001"/>
    <x v="1"/>
    <n v="1"/>
    <x v="5"/>
  </r>
  <r>
    <x v="306"/>
    <n v="-4.2614010396426399E-2"/>
    <s v="Red"/>
    <n v="22.139999"/>
    <x v="4"/>
    <n v="0"/>
    <x v="6"/>
  </r>
  <r>
    <x v="307"/>
    <n v="5.9275900071804602E-3"/>
    <s v="Green"/>
    <n v="21.1"/>
    <x v="1"/>
    <n v="1"/>
    <x v="7"/>
  </r>
  <r>
    <x v="308"/>
    <n v="6.1317039194819199E-2"/>
    <s v="Green"/>
    <n v="19.469999000000001"/>
    <x v="5"/>
    <n v="1"/>
    <x v="8"/>
  </r>
  <r>
    <x v="309"/>
    <n v="-2.1505415404998202E-2"/>
    <s v="Red"/>
    <n v="20.92"/>
    <x v="1"/>
    <n v="0"/>
    <x v="9"/>
  </r>
  <r>
    <x v="310"/>
    <n v="7.3376151732636993E-2"/>
    <s v="Green"/>
    <n v="17.139999"/>
    <x v="3"/>
    <n v="1"/>
    <x v="10"/>
  </r>
  <r>
    <x v="311"/>
    <n v="2.61010032390308E-2"/>
    <s v="Green"/>
    <n v="18.110001"/>
    <x v="5"/>
    <n v="1"/>
    <x v="11"/>
  </r>
  <r>
    <x v="312"/>
    <n v="5.4203327569492199E-2"/>
    <s v="Green"/>
    <n v="16.950001"/>
    <x v="3"/>
    <n v="1"/>
    <x v="0"/>
  </r>
  <r>
    <x v="313"/>
    <n v="1.8813935110919298E-2"/>
    <s v="Green"/>
    <n v="17.010000000000002"/>
    <x v="3"/>
    <n v="1"/>
    <x v="1"/>
  </r>
  <r>
    <x v="314"/>
    <n v="-4.5748017194667499E-2"/>
    <s v="Red"/>
    <n v="19.459999"/>
    <x v="5"/>
    <n v="0"/>
    <x v="2"/>
  </r>
  <r>
    <x v="315"/>
    <n v="2.2567103229369501E-3"/>
    <s v="Green"/>
    <n v="13.68"/>
    <x v="7"/>
    <n v="1"/>
    <x v="3"/>
  </r>
  <r>
    <x v="316"/>
    <n v="2.2853405672084999E-2"/>
    <s v="Green"/>
    <n v="16.07"/>
    <x v="6"/>
    <n v="1"/>
    <x v="4"/>
  </r>
  <r>
    <x v="317"/>
    <n v="1.34314221533696E-2"/>
    <s v="Green"/>
    <n v="15.83"/>
    <x v="6"/>
    <n v="1"/>
    <x v="5"/>
  </r>
  <r>
    <x v="318"/>
    <n v="7.9165670805803091E-3"/>
    <s v="Green"/>
    <n v="18.879999000000002"/>
    <x v="5"/>
    <n v="1"/>
    <x v="6"/>
  </r>
  <r>
    <x v="319"/>
    <n v="6.9337015523502901E-3"/>
    <s v="Green"/>
    <n v="17.040001"/>
    <x v="3"/>
    <n v="1"/>
    <x v="7"/>
  </r>
  <r>
    <x v="320"/>
    <n v="3.2617387086717201E-2"/>
    <s v="Green"/>
    <n v="12.53"/>
    <x v="8"/>
    <n v="1"/>
    <x v="8"/>
  </r>
  <r>
    <x v="321"/>
    <n v="1.7443874138492799E-2"/>
    <s v="Green"/>
    <n v="12.52"/>
    <x v="8"/>
    <n v="1"/>
    <x v="9"/>
  </r>
  <r>
    <x v="322"/>
    <n v="4.1049002579535802E-2"/>
    <s v="Green"/>
    <n v="11.58"/>
    <x v="9"/>
    <n v="1"/>
    <x v="10"/>
  </r>
  <r>
    <x v="323"/>
    <n v="-4.9793349436904099E-3"/>
    <s v="Red"/>
    <n v="13.83"/>
    <x v="7"/>
    <n v="0"/>
    <x v="11"/>
  </r>
  <r>
    <x v="324"/>
    <n v="4.0097472413171298E-2"/>
    <s v="Green"/>
    <n v="12.74"/>
    <x v="8"/>
    <n v="1"/>
    <x v="0"/>
  </r>
  <r>
    <x v="325"/>
    <n v="-3.2023805401637501E-4"/>
    <s v="Red"/>
    <n v="11.52"/>
    <x v="9"/>
    <n v="0"/>
    <x v="1"/>
  </r>
  <r>
    <x v="326"/>
    <n v="3.1776040385497903E-2"/>
    <s v="Green"/>
    <n v="13.49"/>
    <x v="7"/>
    <n v="1"/>
    <x v="2"/>
  </r>
  <r>
    <x v="327"/>
    <n v="2.1278544224437399E-2"/>
    <s v="Green"/>
    <n v="11.38"/>
    <x v="9"/>
    <n v="1"/>
    <x v="3"/>
  </r>
  <r>
    <x v="328"/>
    <n v="3.6311711839953402E-2"/>
    <s v="Green"/>
    <n v="12.85"/>
    <x v="8"/>
    <n v="1"/>
    <x v="4"/>
  </r>
  <r>
    <x v="329"/>
    <n v="2.7960358793799302E-2"/>
    <s v="Green"/>
    <n v="11.75"/>
    <x v="9"/>
    <n v="1"/>
    <x v="5"/>
  </r>
  <r>
    <x v="330"/>
    <n v="2.7329193438646801E-2"/>
    <s v="Green"/>
    <n v="13.37"/>
    <x v="7"/>
    <n v="1"/>
    <x v="6"/>
  </r>
  <r>
    <x v="331"/>
    <n v="3.6074149761991602E-2"/>
    <s v="Green"/>
    <n v="11.75"/>
    <x v="9"/>
    <n v="1"/>
    <x v="7"/>
  </r>
  <r>
    <x v="332"/>
    <n v="2.4277710860833E-2"/>
    <s v="Green"/>
    <n v="11.96"/>
    <x v="9"/>
    <n v="1"/>
    <x v="8"/>
  </r>
  <r>
    <x v="333"/>
    <n v="1.22991182864991E-2"/>
    <s v="Green"/>
    <n v="13.2"/>
    <x v="7"/>
    <n v="1"/>
    <x v="9"/>
  </r>
  <r>
    <x v="334"/>
    <n v="-3.9504612602884202E-2"/>
    <s v="Red"/>
    <n v="15.95"/>
    <x v="6"/>
    <n v="0"/>
    <x v="10"/>
  </r>
  <r>
    <x v="335"/>
    <n v="2.0833816402291601E-2"/>
    <s v="Green"/>
    <n v="14.56"/>
    <x v="7"/>
    <n v="1"/>
    <x v="11"/>
  </r>
  <r>
    <x v="336"/>
    <n v="-2.68775353188823E-2"/>
    <s v="Red"/>
    <n v="14.28"/>
    <x v="7"/>
    <n v="0"/>
    <x v="0"/>
  </r>
  <r>
    <x v="337"/>
    <n v="3.7598698607805597E-2"/>
    <s v="Green"/>
    <n v="11.97"/>
    <x v="9"/>
    <n v="1"/>
    <x v="1"/>
  </r>
  <r>
    <x v="338"/>
    <n v="3.1489907818193802E-2"/>
    <s v="Green"/>
    <n v="11.13"/>
    <x v="9"/>
    <n v="1"/>
    <x v="2"/>
  </r>
  <r>
    <x v="339"/>
    <n v="-2.67908236582695E-2"/>
    <s v="Red"/>
    <n v="14.97"/>
    <x v="6"/>
    <n v="0"/>
    <x v="3"/>
  </r>
  <r>
    <x v="340"/>
    <n v="1.23971434441716E-2"/>
    <s v="Green"/>
    <n v="13.03"/>
    <x v="8"/>
    <n v="1"/>
    <x v="4"/>
  </r>
  <r>
    <x v="341"/>
    <n v="1.1530643889981601E-2"/>
    <s v="Green"/>
    <n v="13.77"/>
    <x v="7"/>
    <n v="1"/>
    <x v="5"/>
  </r>
  <r>
    <x v="342"/>
    <n v="-4.5746511353774701E-2"/>
    <s v="Red"/>
    <n v="20.450001"/>
    <x v="1"/>
    <n v="0"/>
    <x v="6"/>
  </r>
  <r>
    <x v="343"/>
    <n v="-3.00449958486637E-2"/>
    <s v="Red"/>
    <n v="14.87"/>
    <x v="6"/>
    <n v="0"/>
    <x v="7"/>
  </r>
  <r>
    <x v="344"/>
    <n v="3.2500745224549397E-2"/>
    <s v="Green"/>
    <n v="10.63"/>
    <x v="9"/>
    <n v="1"/>
    <x v="8"/>
  </r>
  <r>
    <x v="345"/>
    <n v="1.0091173280450901E-2"/>
    <s v="Green"/>
    <n v="11.66"/>
    <x v="9"/>
    <n v="1"/>
    <x v="9"/>
  </r>
  <r>
    <x v="346"/>
    <n v="-1.2910626013377001E-2"/>
    <s v="Red"/>
    <n v="13.76"/>
    <x v="7"/>
    <n v="0"/>
    <x v="10"/>
  </r>
  <r>
    <x v="347"/>
    <n v="1.9392922963742801E-2"/>
    <s v="Green"/>
    <n v="11.46"/>
    <x v="9"/>
    <n v="1"/>
    <x v="11"/>
  </r>
  <r>
    <x v="348"/>
    <n v="-9.9879304080935406E-3"/>
    <s v="Red"/>
    <n v="12.99"/>
    <x v="8"/>
    <n v="0"/>
    <x v="0"/>
  </r>
  <r>
    <x v="349"/>
    <n v="3.4431956860375902E-2"/>
    <s v="Green"/>
    <n v="11.85"/>
    <x v="9"/>
    <n v="1"/>
    <x v="1"/>
  </r>
  <r>
    <x v="350"/>
    <n v="-5.3270459355138104E-3"/>
    <s v="Red"/>
    <n v="11.73"/>
    <x v="9"/>
    <n v="0"/>
    <x v="2"/>
  </r>
  <r>
    <x v="351"/>
    <n v="7.55230010638819E-4"/>
    <s v="Green"/>
    <n v="11.26"/>
    <x v="9"/>
    <n v="1"/>
    <x v="3"/>
  </r>
  <r>
    <x v="352"/>
    <n v="2.2717462810525099E-2"/>
    <s v="Green"/>
    <n v="13.47"/>
    <x v="7"/>
    <n v="1"/>
    <x v="4"/>
  </r>
  <r>
    <x v="353"/>
    <n v="-2.54168102144962E-2"/>
    <s v="Red"/>
    <n v="12.42"/>
    <x v="8"/>
    <n v="0"/>
    <x v="5"/>
  </r>
  <r>
    <x v="354"/>
    <n v="1.8697297817929399E-2"/>
    <s v="Green"/>
    <n v="12.53"/>
    <x v="8"/>
    <n v="1"/>
    <x v="6"/>
  </r>
  <r>
    <x v="355"/>
    <n v="1.0483627354217699E-2"/>
    <s v="Green"/>
    <n v="13.16"/>
    <x v="8"/>
    <n v="1"/>
    <x v="7"/>
  </r>
  <r>
    <x v="356"/>
    <n v="7.0459894503542798E-3"/>
    <s v="Green"/>
    <n v="12.42"/>
    <x v="8"/>
    <n v="1"/>
    <x v="8"/>
  </r>
  <r>
    <x v="357"/>
    <n v="1.01077661744602E-2"/>
    <s v="Green"/>
    <n v="12.57"/>
    <x v="8"/>
    <n v="1"/>
    <x v="9"/>
  </r>
  <r>
    <x v="358"/>
    <n v="3.02618066586238E-2"/>
    <s v="Green"/>
    <n v="13.01"/>
    <x v="8"/>
    <n v="1"/>
    <x v="10"/>
  </r>
  <r>
    <x v="359"/>
    <n v="2.1062829709799199E-3"/>
    <s v="Green"/>
    <n v="16.149999999999999"/>
    <x v="3"/>
    <n v="1"/>
    <x v="11"/>
  </r>
  <r>
    <x v="360"/>
    <n v="9.1055938195434595E-3"/>
    <s v="Green"/>
    <n v="14.28"/>
    <x v="7"/>
    <n v="1"/>
    <x v="0"/>
  </r>
  <r>
    <x v="361"/>
    <n v="-2.3997530034600301E-2"/>
    <s v="Red"/>
    <n v="13.58"/>
    <x v="7"/>
    <n v="0"/>
    <x v="1"/>
  </r>
  <r>
    <x v="362"/>
    <n v="3.9373684053008097E-2"/>
    <s v="Green"/>
    <n v="13.17"/>
    <x v="8"/>
    <n v="1"/>
    <x v="2"/>
  </r>
  <r>
    <x v="363"/>
    <n v="-1.7358832059340301E-2"/>
    <s v="Red"/>
    <n v="13.35"/>
    <x v="7"/>
    <n v="0"/>
    <x v="3"/>
  </r>
  <r>
    <x v="364"/>
    <n v="9.6395707538854403E-4"/>
    <s v="Green"/>
    <n v="13.86"/>
    <x v="7"/>
    <n v="1"/>
    <x v="4"/>
  </r>
  <r>
    <x v="365"/>
    <n v="2.78927145686407E-2"/>
    <s v="Green"/>
    <n v="15.53"/>
    <x v="6"/>
    <n v="1"/>
    <x v="5"/>
  </r>
  <r>
    <x v="366"/>
    <n v="-2.1831862704186199E-2"/>
    <s v="Red"/>
    <n v="16.18"/>
    <x v="3"/>
    <n v="0"/>
    <x v="6"/>
  </r>
  <r>
    <x v="367"/>
    <n v="9.5895420754186205E-3"/>
    <s v="Green"/>
    <n v="16.68"/>
    <x v="3"/>
    <n v="1"/>
    <x v="7"/>
  </r>
  <r>
    <x v="368"/>
    <n v="-1.9923750460799899E-2"/>
    <s v="Red"/>
    <n v="17.399999999999999"/>
    <x v="3"/>
    <n v="0"/>
    <x v="8"/>
  </r>
  <r>
    <x v="369"/>
    <n v="0.1115878548276"/>
    <s v="Green"/>
    <n v="19.309999000000001"/>
    <x v="5"/>
    <n v="1"/>
    <x v="9"/>
  </r>
  <r>
    <x v="370"/>
    <n v="-4.3903708684304897E-2"/>
    <s v="Red"/>
    <n v="20.260000000000002"/>
    <x v="1"/>
    <n v="0"/>
    <x v="10"/>
  </r>
  <r>
    <x v="371"/>
    <n v="1.1834237037883701E-2"/>
    <s v="Green"/>
    <n v="15.48"/>
    <x v="6"/>
    <n v="1"/>
    <x v="11"/>
  </r>
  <r>
    <x v="372"/>
    <n v="-1.9143737536368399E-2"/>
    <s v="Red"/>
    <n v="15.85"/>
    <x v="6"/>
    <n v="0"/>
    <x v="0"/>
  </r>
  <r>
    <x v="373"/>
    <n v="1.96487842997797E-2"/>
    <s v="Green"/>
    <n v="14.46"/>
    <x v="7"/>
    <n v="1"/>
    <x v="1"/>
  </r>
  <r>
    <x v="374"/>
    <n v="4.4859343195825498E-2"/>
    <s v="Green"/>
    <n v="15.18"/>
    <x v="6"/>
    <n v="1"/>
    <x v="2"/>
  </r>
  <r>
    <x v="375"/>
    <n v="-4.7892629152718302E-2"/>
    <s v="Red"/>
    <n v="19.549999"/>
    <x v="5"/>
    <n v="0"/>
    <x v="3"/>
  </r>
  <r>
    <x v="376"/>
    <n v="3.8604974568177998E-2"/>
    <s v="Green"/>
    <n v="15.93"/>
    <x v="6"/>
    <n v="1"/>
    <x v="4"/>
  </r>
  <r>
    <x v="377"/>
    <n v="3.1979905037093898E-4"/>
    <s v="Green"/>
    <n v="18.239999999999998"/>
    <x v="5"/>
    <n v="1"/>
    <x v="5"/>
  </r>
  <r>
    <x v="378"/>
    <n v="2.22028328236583E-2"/>
    <s v="Green"/>
    <n v="16.879999000000002"/>
    <x v="3"/>
    <n v="1"/>
    <x v="6"/>
  </r>
  <r>
    <x v="379"/>
    <n v="6.7281174863978596E-2"/>
    <s v="Green"/>
    <n v="21.23"/>
    <x v="1"/>
    <n v="1"/>
    <x v="7"/>
  </r>
  <r>
    <x v="380"/>
    <n v="4.1517751676101597E-2"/>
    <s v="Green"/>
    <n v="20.91"/>
    <x v="1"/>
    <n v="1"/>
    <x v="8"/>
  </r>
  <r>
    <x v="381"/>
    <n v="2.4827757355757599E-2"/>
    <s v="Green"/>
    <n v="26.379999000000002"/>
    <x v="0"/>
    <n v="1"/>
    <x v="9"/>
  </r>
  <r>
    <x v="382"/>
    <n v="5.9934213815789401E-2"/>
    <s v="Green"/>
    <n v="22.16"/>
    <x v="4"/>
    <n v="1"/>
    <x v="10"/>
  </r>
  <r>
    <x v="383"/>
    <n v="-6.6982129729734599E-3"/>
    <s v="Red"/>
    <n v="30.040001"/>
    <x v="2"/>
    <n v="0"/>
    <x v="11"/>
  </r>
  <r>
    <x v="384"/>
    <n v="-5.1184307112997998E-2"/>
    <s v="Red"/>
    <n v="29.110001"/>
    <x v="2"/>
    <n v="0"/>
    <x v="0"/>
  </r>
  <r>
    <x v="385"/>
    <n v="-9.43141838154853E-2"/>
    <s v="Red"/>
    <n v="29.9"/>
    <x v="2"/>
    <n v="0"/>
    <x v="1"/>
  </r>
  <r>
    <x v="386"/>
    <n v="-5.2231580846174904E-3"/>
    <s v="Red"/>
    <n v="21.110001"/>
    <x v="1"/>
    <n v="0"/>
    <x v="2"/>
  </r>
  <r>
    <x v="387"/>
    <n v="-8.8863657565815303E-3"/>
    <s v="Red"/>
    <n v="15.5"/>
    <x v="6"/>
    <n v="0"/>
    <x v="3"/>
  </r>
  <r>
    <x v="388"/>
    <n v="9.1989190156802597E-2"/>
    <s v="Green"/>
    <n v="17.370000999999998"/>
    <x v="3"/>
    <n v="1"/>
    <x v="4"/>
  </r>
  <r>
    <x v="389"/>
    <n v="-2.6887138748678398E-2"/>
    <s v="Red"/>
    <n v="19.52"/>
    <x v="5"/>
    <n v="0"/>
    <x v="5"/>
  </r>
  <r>
    <x v="390"/>
    <n v="2.4254983989199001E-2"/>
    <s v="Green"/>
    <n v="19.73"/>
    <x v="1"/>
    <n v="1"/>
    <x v="6"/>
  </r>
  <r>
    <x v="391"/>
    <n v="8.5390425155207304E-3"/>
    <s v="Green"/>
    <n v="21.99"/>
    <x v="4"/>
    <n v="1"/>
    <x v="7"/>
  </r>
  <r>
    <x v="392"/>
    <n v="-6.8817225277032601E-2"/>
    <s v="Red"/>
    <n v="25.360001"/>
    <x v="0"/>
    <n v="0"/>
    <x v="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4">
  <r>
    <x v="0"/>
    <n v="-7.1118769999999997E-4"/>
    <s v="Red"/>
    <n v="32.020000000000003"/>
    <x v="0"/>
    <n v="0"/>
    <x v="0"/>
  </r>
  <r>
    <x v="1"/>
    <n v="-9.339567E-2"/>
    <s v="Red"/>
    <n v="26.299999"/>
    <x v="0"/>
    <n v="0"/>
    <x v="1"/>
  </r>
  <r>
    <x v="2"/>
    <n v="-4.2440128258508597E-2"/>
    <s v="Red"/>
    <n v="25.870000999999998"/>
    <x v="0"/>
    <n v="0"/>
    <x v="2"/>
  </r>
  <r>
    <x v="3"/>
    <n v="9.1116391659653406E-2"/>
    <s v="Green"/>
    <n v="21.33"/>
    <x v="1"/>
    <n v="1"/>
    <x v="3"/>
  </r>
  <r>
    <x v="4"/>
    <n v="-8.3919999812243101E-2"/>
    <s v="Red"/>
    <n v="28.709999"/>
    <x v="0"/>
    <n v="0"/>
    <x v="4"/>
  </r>
  <r>
    <x v="5"/>
    <n v="5.3177568506868103E-5"/>
    <s v="Green"/>
    <n v="26.190000999999999"/>
    <x v="0"/>
    <n v="1"/>
    <x v="5"/>
  </r>
  <r>
    <x v="6"/>
    <n v="-8.7956711705729301E-2"/>
    <s v="Red"/>
    <n v="33.400002000000001"/>
    <x v="0"/>
    <n v="0"/>
    <x v="6"/>
  </r>
  <r>
    <x v="7"/>
    <n v="3.5773288410591901E-2"/>
    <s v="Green"/>
    <n v="20.559999000000001"/>
    <x v="1"/>
    <n v="1"/>
    <x v="7"/>
  </r>
  <r>
    <x v="8"/>
    <n v="-3.1360492102910101E-2"/>
    <s v="Red"/>
    <n v="30.15"/>
    <x v="0"/>
    <n v="0"/>
    <x v="8"/>
  </r>
  <r>
    <x v="9"/>
    <n v="-5.2585165005310602E-2"/>
    <s v="Red"/>
    <n v="24.83"/>
    <x v="0"/>
    <n v="0"/>
    <x v="9"/>
  </r>
  <r>
    <x v="10"/>
    <n v="4.3612913509962797E-2"/>
    <s v="Green"/>
    <n v="17.219999000000001"/>
    <x v="2"/>
    <n v="1"/>
    <x v="10"/>
  </r>
  <r>
    <x v="11"/>
    <n v="-8.3337062251199693E-3"/>
    <s v="Red"/>
    <n v="27.190000999999999"/>
    <x v="0"/>
    <n v="0"/>
    <x v="11"/>
  </r>
  <r>
    <x v="12"/>
    <n v="6.9143836459647501E-2"/>
    <s v="Green"/>
    <n v="16.260000000000002"/>
    <x v="2"/>
    <n v="1"/>
    <x v="0"/>
  </r>
  <r>
    <x v="13"/>
    <n v="-4.75691688617867E-2"/>
    <s v="Red"/>
    <n v="23.139999"/>
    <x v="1"/>
    <n v="0"/>
    <x v="1"/>
  </r>
  <r>
    <x v="14"/>
    <n v="2.8990416217415299E-2"/>
    <s v="Green"/>
    <n v="16.48"/>
    <x v="2"/>
    <n v="1"/>
    <x v="2"/>
  </r>
  <r>
    <x v="15"/>
    <n v="2.2748054915648699E-2"/>
    <s v="Green"/>
    <n v="18.239999999999998"/>
    <x v="2"/>
    <n v="1"/>
    <x v="3"/>
  </r>
  <r>
    <x v="16"/>
    <n v="2.2214009634219802E-2"/>
    <s v="Green"/>
    <n v="15.83"/>
    <x v="3"/>
    <n v="1"/>
    <x v="4"/>
  </r>
  <r>
    <x v="17"/>
    <n v="5.4864885732810497E-3"/>
    <s v="Green"/>
    <n v="16.760000000000002"/>
    <x v="2"/>
    <n v="1"/>
    <x v="5"/>
  </r>
  <r>
    <x v="18"/>
    <n v="5.2425321267266303E-2"/>
    <s v="Green"/>
    <n v="18.610001"/>
    <x v="2"/>
    <n v="1"/>
    <x v="6"/>
  </r>
  <r>
    <x v="19"/>
    <n v="4.24386327378838E-2"/>
    <s v="Green"/>
    <n v="19.399999999999999"/>
    <x v="2"/>
    <n v="1"/>
    <x v="7"/>
  </r>
  <r>
    <x v="20"/>
    <n v="2.60914513496475E-2"/>
    <s v="Green"/>
    <n v="27.950001"/>
    <x v="0"/>
    <n v="1"/>
    <x v="8"/>
  </r>
  <r>
    <x v="21"/>
    <n v="-1.11366607232312E-2"/>
    <s v="Red"/>
    <n v="33.090000000000003"/>
    <x v="0"/>
    <n v="0"/>
    <x v="9"/>
  </r>
  <r>
    <x v="22"/>
    <n v="3.7121458940645703E-2"/>
    <s v="Green"/>
    <n v="22.75"/>
    <x v="1"/>
    <n v="1"/>
    <x v="10"/>
  </r>
  <r>
    <x v="23"/>
    <n v="0.10754563548003"/>
    <s v="Green"/>
    <n v="20.57"/>
    <x v="1"/>
    <n v="1"/>
    <x v="11"/>
  </r>
  <r>
    <x v="24"/>
    <n v="-2.7665786202795101E-2"/>
    <s v="Red"/>
    <n v="38.020000000000003"/>
    <x v="0"/>
    <n v="0"/>
    <x v="0"/>
  </r>
  <r>
    <x v="25"/>
    <n v="-3.9227970289931399E-2"/>
    <s v="Red"/>
    <n v="26.370000999999998"/>
    <x v="0"/>
    <n v="0"/>
    <x v="1"/>
  </r>
  <r>
    <x v="26"/>
    <n v="7.0064667087246499E-2"/>
    <s v="Green"/>
    <n v="26.41"/>
    <x v="0"/>
    <n v="1"/>
    <x v="2"/>
  </r>
  <r>
    <x v="27"/>
    <n v="5.5101321441235702E-2"/>
    <s v="Green"/>
    <n v="24.459999"/>
    <x v="1"/>
    <n v="1"/>
    <x v="3"/>
  </r>
  <r>
    <x v="28"/>
    <n v="1.8388396357494698E-2"/>
    <s v="Green"/>
    <n v="30.43"/>
    <x v="0"/>
    <n v="1"/>
    <x v="4"/>
  </r>
  <r>
    <x v="29"/>
    <n v="4.52818196760656E-2"/>
    <s v="Green"/>
    <n v="27.51"/>
    <x v="0"/>
    <n v="1"/>
    <x v="5"/>
  </r>
  <r>
    <x v="30"/>
    <n v="0.12684403825663801"/>
    <s v="Green"/>
    <n v="34.150002000000001"/>
    <x v="0"/>
    <n v="1"/>
    <x v="6"/>
  </r>
  <r>
    <x v="31"/>
    <n v="-0.12511928245982301"/>
    <s v="Red"/>
    <n v="53.540000999999997"/>
    <x v="0"/>
    <n v="0"/>
    <x v="7"/>
  </r>
  <r>
    <x v="32"/>
    <n v="-8.4110483679465706E-2"/>
    <s v="Red"/>
    <n v="40.110000999999997"/>
    <x v="0"/>
    <n v="0"/>
    <x v="8"/>
  </r>
  <r>
    <x v="33"/>
    <n v="-1.6280925822201901E-3"/>
    <s v="Red"/>
    <n v="18.84"/>
    <x v="2"/>
    <n v="0"/>
    <x v="9"/>
  </r>
  <r>
    <x v="34"/>
    <n v="2.85898189647169E-2"/>
    <s v="Green"/>
    <n v="13.78"/>
    <x v="3"/>
    <n v="1"/>
    <x v="10"/>
  </r>
  <r>
    <x v="35"/>
    <n v="3.4047037421886202E-2"/>
    <s v="Green"/>
    <n v="12.62"/>
    <x v="4"/>
    <n v="1"/>
    <x v="11"/>
  </r>
  <r>
    <x v="36"/>
    <n v="2.0431770730503101E-2"/>
    <s v="Green"/>
    <n v="13.22"/>
    <x v="3"/>
    <n v="1"/>
    <x v="0"/>
  </r>
  <r>
    <x v="37"/>
    <n v="1.71811778292086E-2"/>
    <s v="Green"/>
    <n v="16.239999999999998"/>
    <x v="2"/>
    <n v="1"/>
    <x v="1"/>
  </r>
  <r>
    <x v="38"/>
    <n v="-1.8091627281326701E-2"/>
    <s v="Red"/>
    <n v="18.98"/>
    <x v="2"/>
    <n v="0"/>
    <x v="2"/>
  </r>
  <r>
    <x v="39"/>
    <n v="1.31281521499778E-2"/>
    <s v="Green"/>
    <n v="16.120000999999998"/>
    <x v="3"/>
    <n v="1"/>
    <x v="3"/>
  </r>
  <r>
    <x v="40"/>
    <n v="6.8930163925612103E-2"/>
    <s v="Green"/>
    <n v="15.08"/>
    <x v="3"/>
    <n v="1"/>
    <x v="4"/>
  </r>
  <r>
    <x v="41"/>
    <n v="-6.5777731189286898E-2"/>
    <s v="Red"/>
    <n v="18.709999"/>
    <x v="2"/>
    <n v="0"/>
    <x v="5"/>
  </r>
  <r>
    <x v="42"/>
    <n v="3.9313498395682697E-2"/>
    <s v="Green"/>
    <n v="13.12"/>
    <x v="4"/>
    <n v="1"/>
    <x v="6"/>
  </r>
  <r>
    <x v="43"/>
    <n v="1.7924256211817102E-2"/>
    <s v="Green"/>
    <n v="13.71"/>
    <x v="3"/>
    <n v="1"/>
    <x v="7"/>
  </r>
  <r>
    <x v="44"/>
    <n v="2.9728889126352302E-2"/>
    <s v="Green"/>
    <n v="14.78"/>
    <x v="3"/>
    <n v="1"/>
    <x v="8"/>
  </r>
  <r>
    <x v="45"/>
    <n v="7.8684401655036804E-2"/>
    <s v="Green"/>
    <n v="16.57"/>
    <x v="2"/>
    <n v="1"/>
    <x v="9"/>
  </r>
  <r>
    <x v="46"/>
    <n v="-9.1776894596563893E-2"/>
    <s v="Red"/>
    <n v="25.42"/>
    <x v="0"/>
    <n v="0"/>
    <x v="10"/>
  </r>
  <r>
    <x v="47"/>
    <n v="1.7859356788849E-2"/>
    <s v="Green"/>
    <n v="18.07"/>
    <x v="2"/>
    <n v="1"/>
    <x v="11"/>
  </r>
  <r>
    <x v="48"/>
    <n v="-6.9403356024429499E-2"/>
    <s v="Red"/>
    <n v="21.23"/>
    <x v="1"/>
    <n v="0"/>
    <x v="0"/>
  </r>
  <r>
    <x v="49"/>
    <n v="4.29428710266144E-3"/>
    <s v="Green"/>
    <n v="12.12"/>
    <x v="4"/>
    <n v="1"/>
    <x v="1"/>
  </r>
  <r>
    <x v="50"/>
    <n v="3.0263211466054599E-2"/>
    <s v="Green"/>
    <n v="12.86"/>
    <x v="4"/>
    <n v="1"/>
    <x v="2"/>
  </r>
  <r>
    <x v="51"/>
    <n v="3.6021556221367303E-2"/>
    <s v="Green"/>
    <n v="12.83"/>
    <x v="4"/>
    <n v="1"/>
    <x v="3"/>
  </r>
  <r>
    <x v="52"/>
    <n v="4.8424360241865498E-3"/>
    <s v="Green"/>
    <n v="16.09"/>
    <x v="3"/>
    <n v="1"/>
    <x v="4"/>
  </r>
  <r>
    <x v="53"/>
    <n v="2.1608341965291902E-2"/>
    <s v="Green"/>
    <n v="15.43"/>
    <x v="3"/>
    <n v="1"/>
    <x v="5"/>
  </r>
  <r>
    <x v="54"/>
    <n v="2.7187751316435399E-3"/>
    <s v="Green"/>
    <n v="15.93"/>
    <x v="3"/>
    <n v="1"/>
    <x v="6"/>
  </r>
  <r>
    <x v="55"/>
    <n v="-2.6884498624825101E-2"/>
    <s v="Red"/>
    <n v="19.969999000000001"/>
    <x v="1"/>
    <n v="0"/>
    <x v="7"/>
  </r>
  <r>
    <x v="56"/>
    <n v="-3.8947372061896898E-2"/>
    <s v="Red"/>
    <n v="19.850000000000001"/>
    <x v="1"/>
    <n v="0"/>
    <x v="8"/>
  </r>
  <r>
    <x v="57"/>
    <n v="5.6178704444133101E-2"/>
    <s v="Green"/>
    <n v="13.54"/>
    <x v="3"/>
    <n v="1"/>
    <x v="9"/>
  </r>
  <r>
    <x v="58"/>
    <n v="9.8316304826040497E-3"/>
    <s v="Green"/>
    <n v="11.04"/>
    <x v="4"/>
    <n v="1"/>
    <x v="10"/>
  </r>
  <r>
    <x v="59"/>
    <n v="2.8082627664458602E-2"/>
    <s v="Green"/>
    <n v="11.28"/>
    <x v="4"/>
    <n v="1"/>
    <x v="11"/>
  </r>
  <r>
    <x v="60"/>
    <n v="2.21881353303497E-2"/>
    <s v="Green"/>
    <n v="10.18"/>
    <x v="4"/>
    <n v="1"/>
    <x v="0"/>
  </r>
  <r>
    <x v="61"/>
    <n v="1.9302978533243701E-2"/>
    <s v="Green"/>
    <n v="9.51"/>
    <x v="4"/>
    <n v="1"/>
    <x v="1"/>
  </r>
  <r>
    <x v="62"/>
    <n v="5.4643281108557296E-4"/>
    <s v="Green"/>
    <n v="10.59"/>
    <x v="4"/>
    <n v="1"/>
    <x v="2"/>
  </r>
  <r>
    <x v="63"/>
    <n v="1.9348826118030599E-2"/>
    <s v="Green"/>
    <n v="10.26"/>
    <x v="4"/>
    <n v="1"/>
    <x v="3"/>
  </r>
  <r>
    <x v="64"/>
    <n v="4.8137750908554501E-3"/>
    <s v="Green"/>
    <n v="11.18"/>
    <x v="4"/>
    <n v="1"/>
    <x v="4"/>
  </r>
  <r>
    <x v="65"/>
    <n v="1.1576251391341301E-2"/>
    <s v="Green"/>
    <n v="10.41"/>
    <x v="4"/>
    <n v="1"/>
    <x v="5"/>
  </r>
  <r>
    <x v="66"/>
    <n v="9.0912085493182193E-3"/>
    <s v="Green"/>
    <n v="10.82"/>
    <x v="4"/>
    <n v="1"/>
    <x v="6"/>
  </r>
  <r>
    <x v="67"/>
    <n v="-3.891971880845E-4"/>
    <s v="Red"/>
    <n v="12.37"/>
    <x v="4"/>
    <n v="0"/>
    <x v="7"/>
  </r>
  <r>
    <x v="68"/>
    <n v="3.7198160337279101E-2"/>
    <s v="Green"/>
    <n v="12.92"/>
    <x v="4"/>
    <n v="1"/>
    <x v="8"/>
  </r>
  <r>
    <x v="69"/>
    <n v="1.7884358171464498E-2"/>
    <s v="Green"/>
    <n v="11.99"/>
    <x v="4"/>
    <n v="1"/>
    <x v="9"/>
  </r>
  <r>
    <x v="70"/>
    <n v="1.82007621968951E-2"/>
    <s v="Green"/>
    <n v="14.04"/>
    <x v="3"/>
    <n v="1"/>
    <x v="10"/>
  </r>
  <r>
    <x v="71"/>
    <n v="3.4174522187570402E-2"/>
    <s v="Green"/>
    <n v="13.33"/>
    <x v="3"/>
    <n v="1"/>
    <x v="11"/>
  </r>
  <r>
    <x v="72"/>
    <n v="-1.94256792795575E-2"/>
    <s v="Red"/>
    <n v="17.059999000000001"/>
    <x v="2"/>
    <n v="0"/>
    <x v="0"/>
  </r>
  <r>
    <x v="73"/>
    <n v="-1.23445084432539E-3"/>
    <s v="Red"/>
    <n v="13.29"/>
    <x v="3"/>
    <n v="0"/>
    <x v="1"/>
  </r>
  <r>
    <x v="74"/>
    <n v="-1.2192431360480401E-3"/>
    <s v="Red"/>
    <n v="13.42"/>
    <x v="3"/>
    <n v="0"/>
    <x v="2"/>
  </r>
  <r>
    <x v="75"/>
    <n v="3.5609801125254401E-2"/>
    <s v="Green"/>
    <n v="11.87"/>
    <x v="4"/>
    <n v="1"/>
    <x v="3"/>
  </r>
  <r>
    <x v="76"/>
    <n v="9.1092112097812495E-4"/>
    <s v="Green"/>
    <n v="15.63"/>
    <x v="3"/>
    <n v="1"/>
    <x v="4"/>
  </r>
  <r>
    <x v="77"/>
    <n v="1.53246023575726E-2"/>
    <s v="Green"/>
    <n v="14.19"/>
    <x v="3"/>
    <n v="1"/>
    <x v="5"/>
  </r>
  <r>
    <x v="78"/>
    <n v="2.6993984808731902E-3"/>
    <s v="Green"/>
    <n v="15.7"/>
    <x v="3"/>
    <n v="1"/>
    <x v="6"/>
  </r>
  <r>
    <x v="79"/>
    <n v="6.5991114577365104E-2"/>
    <s v="Green"/>
    <n v="13.95"/>
    <x v="3"/>
    <n v="1"/>
    <x v="7"/>
  </r>
  <r>
    <x v="80"/>
    <n v="-4.12836043029907E-3"/>
    <s v="Red"/>
    <n v="20.549999"/>
    <x v="1"/>
    <n v="0"/>
    <x v="8"/>
  </r>
  <r>
    <x v="81"/>
    <n v="-5.0735321972946397E-2"/>
    <s v="Red"/>
    <n v="20.200001"/>
    <x v="1"/>
    <n v="0"/>
    <x v="9"/>
  </r>
  <r>
    <x v="82"/>
    <n v="-1.7530185176314401E-2"/>
    <s v="Red"/>
    <n v="18.209999"/>
    <x v="2"/>
    <n v="0"/>
    <x v="10"/>
  </r>
  <r>
    <x v="83"/>
    <n v="5.0486926072412796E-4"/>
    <s v="Green"/>
    <n v="16.129999000000002"/>
    <x v="3"/>
    <n v="1"/>
    <x v="11"/>
  </r>
  <r>
    <x v="84"/>
    <n v="8.2983117760394104E-2"/>
    <s v="Green"/>
    <n v="15.07"/>
    <x v="3"/>
    <n v="1"/>
    <x v="0"/>
  </r>
  <r>
    <x v="85"/>
    <n v="-2.6442831573227101E-2"/>
    <s v="Red"/>
    <n v="24.5"/>
    <x v="0"/>
    <n v="0"/>
    <x v="1"/>
  </r>
  <r>
    <x v="86"/>
    <n v="-6.2580818167202804E-2"/>
    <s v="Red"/>
    <n v="28.43"/>
    <x v="0"/>
    <n v="0"/>
    <x v="2"/>
  </r>
  <r>
    <x v="87"/>
    <n v="1.9742029696721501E-2"/>
    <s v="Green"/>
    <n v="12.12"/>
    <x v="4"/>
    <n v="1"/>
    <x v="3"/>
  </r>
  <r>
    <x v="88"/>
    <n v="-2.10116723759005E-2"/>
    <s v="Red"/>
    <n v="18.23"/>
    <x v="2"/>
    <n v="0"/>
    <x v="4"/>
  </r>
  <r>
    <x v="89"/>
    <n v="1.04913823933168E-2"/>
    <s v="Green"/>
    <n v="13.84"/>
    <x v="3"/>
    <n v="1"/>
    <x v="5"/>
  </r>
  <r>
    <x v="90"/>
    <n v="8.5208197301247495E-3"/>
    <s v="Green"/>
    <n v="14.55"/>
    <x v="3"/>
    <n v="1"/>
    <x v="6"/>
  </r>
  <r>
    <x v="91"/>
    <n v="-1.7396106913756301E-2"/>
    <s v="Red"/>
    <n v="15.29"/>
    <x v="3"/>
    <n v="0"/>
    <x v="7"/>
  </r>
  <r>
    <x v="92"/>
    <n v="5.4892511014553898E-2"/>
    <s v="Green"/>
    <n v="13.34"/>
    <x v="3"/>
    <n v="1"/>
    <x v="8"/>
  </r>
  <r>
    <x v="93"/>
    <n v="-3.1040805790470201E-2"/>
    <s v="Red"/>
    <n v="20.969999000000001"/>
    <x v="1"/>
    <n v="0"/>
    <x v="9"/>
  </r>
  <r>
    <x v="94"/>
    <n v="-4.1885878779204201E-3"/>
    <s v="Red"/>
    <n v="19.200001"/>
    <x v="2"/>
    <n v="0"/>
    <x v="10"/>
  </r>
  <r>
    <x v="95"/>
    <n v="2.4533588760364801E-2"/>
    <s v="Green"/>
    <n v="13.33"/>
    <x v="3"/>
    <n v="1"/>
    <x v="11"/>
  </r>
  <r>
    <x v="96"/>
    <n v="2.32014607867723E-2"/>
    <s v="Green"/>
    <n v="14.03"/>
    <x v="3"/>
    <n v="1"/>
    <x v="0"/>
  </r>
  <r>
    <x v="97"/>
    <n v="-1.5513837223063799E-2"/>
    <s v="Red"/>
    <n v="16.309999000000001"/>
    <x v="2"/>
    <n v="0"/>
    <x v="1"/>
  </r>
  <r>
    <x v="98"/>
    <n v="3.7655295489735098E-2"/>
    <s v="Green"/>
    <n v="12.09"/>
    <x v="4"/>
    <n v="1"/>
    <x v="2"/>
  </r>
  <r>
    <x v="99"/>
    <n v="-1.50798305819199E-2"/>
    <s v="Red"/>
    <n v="16.950001"/>
    <x v="2"/>
    <n v="0"/>
    <x v="3"/>
  </r>
  <r>
    <x v="100"/>
    <n v="1.90583316589206E-2"/>
    <s v="Green"/>
    <n v="11.57"/>
    <x v="4"/>
    <n v="1"/>
    <x v="4"/>
  </r>
  <r>
    <x v="101"/>
    <n v="2.1030280012995999E-2"/>
    <s v="Green"/>
    <n v="11.4"/>
    <x v="4"/>
    <n v="1"/>
    <x v="5"/>
  </r>
  <r>
    <x v="102"/>
    <n v="6.2007889650528298E-3"/>
    <s v="Green"/>
    <n v="13.41"/>
    <x v="3"/>
    <n v="1"/>
    <x v="6"/>
  </r>
  <r>
    <x v="103"/>
    <n v="6.93216560793575E-3"/>
    <s v="Green"/>
    <n v="13.88"/>
    <x v="3"/>
    <n v="1"/>
    <x v="7"/>
  </r>
  <r>
    <x v="104"/>
    <n v="4.3117029976595299E-2"/>
    <s v="Green"/>
    <n v="14"/>
    <x v="3"/>
    <n v="1"/>
    <x v="8"/>
  </r>
  <r>
    <x v="105"/>
    <n v="-3.5582905675162597E-2"/>
    <s v="Red"/>
    <n v="18.41"/>
    <x v="2"/>
    <n v="0"/>
    <x v="9"/>
  </r>
  <r>
    <x v="106"/>
    <n v="2.35627915504928E-2"/>
    <s v="Green"/>
    <n v="13.72"/>
    <x v="3"/>
    <n v="1"/>
    <x v="10"/>
  </r>
  <r>
    <x v="107"/>
    <n v="2.80494716351865E-2"/>
    <s v="Green"/>
    <n v="13.7"/>
    <x v="3"/>
    <n v="1"/>
    <x v="11"/>
  </r>
  <r>
    <x v="108"/>
    <n v="4.45957526180061E-2"/>
    <s v="Green"/>
    <n v="13.75"/>
    <x v="3"/>
    <n v="1"/>
    <x v="0"/>
  </r>
  <r>
    <x v="109"/>
    <n v="2.9749523177239098E-2"/>
    <s v="Green"/>
    <n v="16.600000000000001"/>
    <x v="2"/>
    <n v="1"/>
    <x v="1"/>
  </r>
  <r>
    <x v="110"/>
    <n v="-3.1298019033866899E-2"/>
    <s v="Red"/>
    <n v="17.010000000000002"/>
    <x v="2"/>
    <n v="0"/>
    <x v="2"/>
  </r>
  <r>
    <x v="111"/>
    <n v="4.9462079815224998E-2"/>
    <s v="Green"/>
    <n v="13.45"/>
    <x v="3"/>
    <n v="1"/>
    <x v="3"/>
  </r>
  <r>
    <x v="112"/>
    <n v="-1.4999301636062799E-2"/>
    <s v="Red"/>
    <n v="16.860001"/>
    <x v="2"/>
    <n v="0"/>
    <x v="4"/>
  </r>
  <r>
    <x v="113"/>
    <n v="2.07628117210461E-2"/>
    <s v="Green"/>
    <n v="16.299999"/>
    <x v="2"/>
    <n v="1"/>
    <x v="5"/>
  </r>
  <r>
    <x v="114"/>
    <n v="1.80857678592523E-2"/>
    <s v="Green"/>
    <n v="13.52"/>
    <x v="3"/>
    <n v="1"/>
    <x v="6"/>
  </r>
  <r>
    <x v="115"/>
    <n v="3.5987723516956102E-2"/>
    <s v="Green"/>
    <n v="12.7"/>
    <x v="4"/>
    <n v="1"/>
    <x v="7"/>
  </r>
  <r>
    <x v="116"/>
    <n v="1.10606491952592E-2"/>
    <s v="Green"/>
    <n v="15.51"/>
    <x v="3"/>
    <n v="1"/>
    <x v="8"/>
  </r>
  <r>
    <x v="117"/>
    <n v="5.0428096519578497E-2"/>
    <s v="Green"/>
    <n v="14.28"/>
    <x v="3"/>
    <n v="1"/>
    <x v="9"/>
  </r>
  <r>
    <x v="118"/>
    <n v="7.0682304638645102E-3"/>
    <s v="Green"/>
    <n v="18.02"/>
    <x v="2"/>
    <n v="1"/>
    <x v="10"/>
  </r>
  <r>
    <x v="119"/>
    <n v="2.8467170173434001E-3"/>
    <s v="Green"/>
    <n v="15.87"/>
    <x v="3"/>
    <n v="1"/>
    <x v="11"/>
  </r>
  <r>
    <x v="120"/>
    <n v="-1.9789409878227401E-2"/>
    <s v="Red"/>
    <n v="18.600000000000001"/>
    <x v="2"/>
    <n v="0"/>
    <x v="0"/>
  </r>
  <r>
    <x v="121"/>
    <n v="2.4236153696477001E-2"/>
    <s v="Green"/>
    <n v="15.73"/>
    <x v="3"/>
    <n v="1"/>
    <x v="1"/>
  </r>
  <r>
    <x v="122"/>
    <n v="1.9763369680148201E-2"/>
    <s v="Green"/>
    <n v="17.469999000000001"/>
    <x v="2"/>
    <n v="1"/>
    <x v="2"/>
  </r>
  <r>
    <x v="123"/>
    <n v="1.25975741261544E-2"/>
    <s v="Green"/>
    <n v="18.93"/>
    <x v="2"/>
    <n v="1"/>
    <x v="3"/>
  </r>
  <r>
    <x v="124"/>
    <n v="3.95549821345915E-2"/>
    <s v="Green"/>
    <n v="17.079999999999998"/>
    <x v="2"/>
    <n v="1"/>
    <x v="4"/>
  </r>
  <r>
    <x v="125"/>
    <n v="-6.2650725633177598E-2"/>
    <s v="Red"/>
    <n v="24.059999000000001"/>
    <x v="1"/>
    <n v="0"/>
    <x v="5"/>
  </r>
  <r>
    <x v="126"/>
    <n v="-7.4974527092703802E-3"/>
    <s v="Red"/>
    <n v="17.149999999999999"/>
    <x v="2"/>
    <n v="0"/>
    <x v="6"/>
  </r>
  <r>
    <x v="127"/>
    <n v="3.1332314530530599E-2"/>
    <s v="Green"/>
    <n v="15.5"/>
    <x v="3"/>
    <n v="1"/>
    <x v="7"/>
  </r>
  <r>
    <x v="128"/>
    <n v="4.0589464130841697E-2"/>
    <s v="Green"/>
    <n v="18.43"/>
    <x v="2"/>
    <n v="1"/>
    <x v="8"/>
  </r>
  <r>
    <x v="129"/>
    <n v="4.3583062218506302E-2"/>
    <s v="Green"/>
    <n v="19.440000999999999"/>
    <x v="2"/>
    <n v="1"/>
    <x v="9"/>
  </r>
  <r>
    <x v="130"/>
    <n v="8.5327639481440603E-3"/>
    <s v="Green"/>
    <n v="23.4"/>
    <x v="1"/>
    <n v="1"/>
    <x v="10"/>
  </r>
  <r>
    <x v="131"/>
    <n v="-5.0587151935872496E-3"/>
    <s v="Red"/>
    <n v="27.799999"/>
    <x v="0"/>
    <n v="0"/>
    <x v="11"/>
  </r>
  <r>
    <x v="132"/>
    <n v="0.10772303853581"/>
    <s v="Green"/>
    <n v="29.959999"/>
    <x v="0"/>
    <n v="1"/>
    <x v="0"/>
  </r>
  <r>
    <x v="133"/>
    <n v="-7.1761988303760099E-2"/>
    <s v="Red"/>
    <n v="42.959999000000003"/>
    <x v="0"/>
    <n v="0"/>
    <x v="1"/>
  </r>
  <r>
    <x v="134"/>
    <n v="-5.6791107463597598E-2"/>
    <s v="Red"/>
    <n v="31.620000999999998"/>
    <x v="0"/>
    <n v="0"/>
    <x v="2"/>
  </r>
  <r>
    <x v="135"/>
    <n v="-2.1474425791951999E-2"/>
    <s v="Red"/>
    <n v="25.25"/>
    <x v="0"/>
    <n v="0"/>
    <x v="3"/>
  </r>
  <r>
    <x v="136"/>
    <n v="-1.8257461265697099E-2"/>
    <s v="Red"/>
    <n v="16.52"/>
    <x v="2"/>
    <n v="0"/>
    <x v="4"/>
  </r>
  <r>
    <x v="137"/>
    <n v="-1.3500952766930601E-2"/>
    <s v="Red"/>
    <n v="15.45"/>
    <x v="3"/>
    <n v="0"/>
    <x v="5"/>
  </r>
  <r>
    <x v="138"/>
    <n v="2.8495380443795099E-2"/>
    <s v="Green"/>
    <n v="14.75"/>
    <x v="3"/>
    <n v="1"/>
    <x v="6"/>
  </r>
  <r>
    <x v="139"/>
    <n v="-1.0473132038185699E-3"/>
    <s v="Red"/>
    <n v="17.739999999999998"/>
    <x v="2"/>
    <n v="0"/>
    <x v="7"/>
  </r>
  <r>
    <x v="140"/>
    <n v="3.1956564052952198E-2"/>
    <s v="Green"/>
    <n v="18.350000000000001"/>
    <x v="2"/>
    <n v="1"/>
    <x v="8"/>
  </r>
  <r>
    <x v="141"/>
    <n v="2.2645573980086799E-2"/>
    <s v="Green"/>
    <n v="19.530000999999999"/>
    <x v="2"/>
    <n v="1"/>
    <x v="9"/>
  </r>
  <r>
    <x v="142"/>
    <n v="6.5300040489854702E-2"/>
    <s v="Green"/>
    <n v="17.75"/>
    <x v="2"/>
    <n v="1"/>
    <x v="10"/>
  </r>
  <r>
    <x v="143"/>
    <n v="-2.29024979894321E-3"/>
    <s v="Red"/>
    <n v="23.540001"/>
    <x v="1"/>
    <n v="0"/>
    <x v="11"/>
  </r>
  <r>
    <x v="144"/>
    <n v="3.68559943970765E-2"/>
    <s v="Green"/>
    <n v="21.200001"/>
    <x v="1"/>
    <n v="1"/>
    <x v="0"/>
  </r>
  <r>
    <x v="145"/>
    <n v="8.7551102944020104E-2"/>
    <s v="Green"/>
    <n v="23.700001"/>
    <x v="1"/>
    <n v="1"/>
    <x v="1"/>
  </r>
  <r>
    <x v="146"/>
    <n v="-4.7449184040287203E-2"/>
    <s v="Red"/>
    <n v="26.049999"/>
    <x v="0"/>
    <n v="0"/>
    <x v="2"/>
  </r>
  <r>
    <x v="147"/>
    <n v="6.8777849911552294E-2"/>
    <s v="Green"/>
    <n v="23.5"/>
    <x v="1"/>
    <n v="1"/>
    <x v="3"/>
  </r>
  <r>
    <x v="148"/>
    <n v="-5.3882442026415102E-2"/>
    <s v="Red"/>
    <n v="34.540000999999997"/>
    <x v="0"/>
    <n v="0"/>
    <x v="4"/>
  </r>
  <r>
    <x v="149"/>
    <n v="-8.1975841910334496E-2"/>
    <s v="Red"/>
    <n v="32.07"/>
    <x v="0"/>
    <n v="0"/>
    <x v="5"/>
  </r>
  <r>
    <x v="150"/>
    <n v="1.47592298837911E-2"/>
    <s v="Green"/>
    <n v="22.049999"/>
    <x v="1"/>
    <n v="1"/>
    <x v="6"/>
  </r>
  <r>
    <x v="151"/>
    <n v="5.8796426031891801E-2"/>
    <s v="Green"/>
    <n v="17.59"/>
    <x v="2"/>
    <n v="1"/>
    <x v="7"/>
  </r>
  <r>
    <x v="152"/>
    <n v="2.8513688940531301E-2"/>
    <s v="Green"/>
    <n v="19.5"/>
    <x v="2"/>
    <n v="1"/>
    <x v="8"/>
  </r>
  <r>
    <x v="153"/>
    <n v="-3.6974246154947397E-2"/>
    <s v="Red"/>
    <n v="24.620000999999998"/>
    <x v="0"/>
    <n v="0"/>
    <x v="9"/>
  </r>
  <r>
    <x v="154"/>
    <n v="1.7770571188400398E-2"/>
    <s v="Green"/>
    <n v="21.68"/>
    <x v="1"/>
    <n v="1"/>
    <x v="10"/>
  </r>
  <r>
    <x v="155"/>
    <n v="5.7364061981373601E-2"/>
    <s v="Green"/>
    <n v="24.51"/>
    <x v="0"/>
    <n v="1"/>
    <x v="11"/>
  </r>
  <r>
    <x v="156"/>
    <n v="-1.9762000860415501E-2"/>
    <s v="Red"/>
    <n v="30.690000999999999"/>
    <x v="0"/>
    <n v="0"/>
    <x v="0"/>
  </r>
  <r>
    <x v="157"/>
    <n v="3.5723345788458698E-2"/>
    <s v="Green"/>
    <n v="25.610001"/>
    <x v="0"/>
    <n v="1"/>
    <x v="1"/>
  </r>
  <r>
    <x v="158"/>
    <n v="3.3560189240494899E-2"/>
    <s v="Green"/>
    <n v="26.01"/>
    <x v="0"/>
    <n v="1"/>
    <x v="2"/>
  </r>
  <r>
    <x v="159"/>
    <n v="7.4141727016716605E-2"/>
    <s v="Green"/>
    <n v="25.92"/>
    <x v="0"/>
    <n v="1"/>
    <x v="3"/>
  </r>
  <r>
    <x v="160"/>
    <n v="1.9582653030303401E-4"/>
    <s v="Green"/>
    <n v="26.35"/>
    <x v="0"/>
    <n v="1"/>
    <x v="4"/>
  </r>
  <r>
    <x v="161"/>
    <n v="5.3081446255385502E-2"/>
    <s v="Green"/>
    <n v="28.92"/>
    <x v="0"/>
    <n v="1"/>
    <x v="5"/>
  </r>
  <r>
    <x v="162"/>
    <n v="9.3925079862164695E-2"/>
    <s v="Green"/>
    <n v="36.5"/>
    <x v="0"/>
    <n v="1"/>
    <x v="6"/>
  </r>
  <r>
    <x v="163"/>
    <n v="8.5404461622494696E-2"/>
    <s v="Green"/>
    <n v="44.139999000000003"/>
    <x v="0"/>
    <n v="1"/>
    <x v="7"/>
  </r>
  <r>
    <x v="164"/>
    <n v="-0.109931197571492"/>
    <s v="Red"/>
    <n v="46.349997999999999"/>
    <x v="0"/>
    <n v="0"/>
    <x v="8"/>
  </r>
  <r>
    <x v="165"/>
    <n v="-8.5657342928314395E-2"/>
    <s v="Red"/>
    <n v="44.84"/>
    <x v="0"/>
    <n v="0"/>
    <x v="9"/>
  </r>
  <r>
    <x v="166"/>
    <n v="7.8215768970539799E-3"/>
    <s v="Green"/>
    <n v="40"/>
    <x v="0"/>
    <n v="1"/>
    <x v="10"/>
  </r>
  <r>
    <x v="167"/>
    <n v="-7.4849042580645203E-2"/>
    <s v="Red"/>
    <n v="55.279998999999997"/>
    <x v="0"/>
    <n v="0"/>
    <x v="11"/>
  </r>
  <r>
    <x v="168"/>
    <n v="-0.16942452376742001"/>
    <s v="Red"/>
    <n v="59.889999000000003"/>
    <x v="0"/>
    <n v="0"/>
    <x v="0"/>
  </r>
  <r>
    <x v="169"/>
    <n v="-9.0791433779084593E-2"/>
    <s v="Red"/>
    <n v="39.389999000000003"/>
    <x v="0"/>
    <n v="0"/>
    <x v="1"/>
  </r>
  <r>
    <x v="170"/>
    <n v="1.2190464532379999E-2"/>
    <s v="Green"/>
    <n v="20.65"/>
    <x v="1"/>
    <n v="1"/>
    <x v="2"/>
  </r>
  <r>
    <x v="171"/>
    <n v="-9.8593710937500099E-3"/>
    <s v="Red"/>
    <n v="22.940000999999999"/>
    <x v="1"/>
    <n v="0"/>
    <x v="3"/>
  </r>
  <r>
    <x v="172"/>
    <n v="-8.5962384902803599E-2"/>
    <s v="Red"/>
    <n v="23.950001"/>
    <x v="1"/>
    <n v="0"/>
    <x v="4"/>
  </r>
  <r>
    <x v="173"/>
    <n v="1.06741816575771E-2"/>
    <s v="Green"/>
    <n v="17.829999999999998"/>
    <x v="2"/>
    <n v="1"/>
    <x v="5"/>
  </r>
  <r>
    <x v="174"/>
    <n v="4.7546697913198897E-2"/>
    <s v="Green"/>
    <n v="20.790001"/>
    <x v="1"/>
    <n v="1"/>
    <x v="6"/>
  </r>
  <r>
    <x v="175"/>
    <n v="-5.95962361452984E-3"/>
    <s v="Red"/>
    <n v="25.610001"/>
    <x v="0"/>
    <n v="0"/>
    <x v="7"/>
  </r>
  <r>
    <x v="176"/>
    <n v="-3.4761192772624502E-2"/>
    <s v="Red"/>
    <n v="26.540001"/>
    <x v="0"/>
    <n v="0"/>
    <x v="8"/>
  </r>
  <r>
    <x v="177"/>
    <n v="-6.1163431935936402E-2"/>
    <s v="Red"/>
    <n v="26.200001"/>
    <x v="0"/>
    <n v="0"/>
    <x v="9"/>
  </r>
  <r>
    <x v="178"/>
    <n v="-8.6285090339686104E-3"/>
    <s v="Red"/>
    <n v="22.5"/>
    <x v="1"/>
    <n v="0"/>
    <x v="10"/>
  </r>
  <r>
    <x v="179"/>
    <n v="-4.4043417224814398E-2"/>
    <s v="Red"/>
    <n v="22.870000999999998"/>
    <x v="1"/>
    <n v="0"/>
    <x v="11"/>
  </r>
  <r>
    <x v="180"/>
    <n v="1.48223383003112E-2"/>
    <s v="Green"/>
    <n v="18.530000999999999"/>
    <x v="2"/>
    <n v="1"/>
    <x v="0"/>
  </r>
  <r>
    <x v="181"/>
    <n v="3.5794008343299502E-2"/>
    <s v="Green"/>
    <n v="18"/>
    <x v="2"/>
    <n v="1"/>
    <x v="1"/>
  </r>
  <r>
    <x v="182"/>
    <n v="1.2863571531556799E-2"/>
    <s v="Green"/>
    <n v="23.379999000000002"/>
    <x v="1"/>
    <n v="1"/>
    <x v="2"/>
  </r>
  <r>
    <x v="183"/>
    <n v="-3.1981878316802499E-2"/>
    <s v="Red"/>
    <n v="23.52"/>
    <x v="1"/>
    <n v="0"/>
    <x v="3"/>
  </r>
  <r>
    <x v="184"/>
    <n v="-1.7816322202167601E-2"/>
    <s v="Red"/>
    <n v="16.23"/>
    <x v="2"/>
    <n v="0"/>
    <x v="4"/>
  </r>
  <r>
    <x v="185"/>
    <n v="3.2549228709934902E-2"/>
    <s v="Green"/>
    <n v="13.05"/>
    <x v="4"/>
    <n v="1"/>
    <x v="5"/>
  </r>
  <r>
    <x v="186"/>
    <n v="4.3290690602424201E-2"/>
    <s v="Green"/>
    <n v="14.22"/>
    <x v="3"/>
    <n v="1"/>
    <x v="6"/>
  </r>
  <r>
    <x v="187"/>
    <n v="9.9799828968305491E-3"/>
    <s v="Green"/>
    <n v="14.64"/>
    <x v="3"/>
    <n v="1"/>
    <x v="7"/>
  </r>
  <r>
    <x v="188"/>
    <n v="-2.1846176033528199E-2"/>
    <s v="Red"/>
    <n v="15.42"/>
    <x v="3"/>
    <n v="0"/>
    <x v="8"/>
  </r>
  <r>
    <x v="189"/>
    <n v="1.4059042735039801E-2"/>
    <s v="Green"/>
    <n v="10.42"/>
    <x v="4"/>
    <n v="1"/>
    <x v="9"/>
  </r>
  <r>
    <x v="190"/>
    <n v="1.26157828526599E-2"/>
    <s v="Green"/>
    <n v="11.56"/>
    <x v="4"/>
    <n v="1"/>
    <x v="10"/>
  </r>
  <r>
    <x v="191"/>
    <n v="1.64666567278202E-2"/>
    <s v="Green"/>
    <n v="10.91"/>
    <x v="4"/>
    <n v="1"/>
    <x v="11"/>
  </r>
  <r>
    <x v="192"/>
    <n v="3.1508002961554198E-2"/>
    <s v="Green"/>
    <n v="11.1"/>
    <x v="4"/>
    <n v="1"/>
    <x v="0"/>
  </r>
  <r>
    <x v="193"/>
    <n v="2.45662985125095E-2"/>
    <s v="Green"/>
    <n v="11.98"/>
    <x v="4"/>
    <n v="1"/>
    <x v="1"/>
  </r>
  <r>
    <x v="194"/>
    <n v="2.12741930323481E-2"/>
    <s v="Green"/>
    <n v="12.31"/>
    <x v="4"/>
    <n v="1"/>
    <x v="2"/>
  </r>
  <r>
    <x v="195"/>
    <n v="5.0858787979908299E-3"/>
    <s v="Green"/>
    <n v="14.95"/>
    <x v="3"/>
    <n v="1"/>
    <x v="3"/>
  </r>
  <r>
    <x v="196"/>
    <n v="8.6596227782509403E-5"/>
    <s v="Green"/>
    <n v="13.08"/>
    <x v="4"/>
    <n v="1"/>
    <x v="4"/>
  </r>
  <r>
    <x v="197"/>
    <n v="-3.0916916141150899E-2"/>
    <s v="Red"/>
    <n v="16.440000999999999"/>
    <x v="2"/>
    <n v="0"/>
    <x v="5"/>
  </r>
  <r>
    <x v="198"/>
    <n v="1.21556527379414E-2"/>
    <s v="Green"/>
    <n v="11.59"/>
    <x v="4"/>
    <n v="1"/>
    <x v="6"/>
  </r>
  <r>
    <x v="199"/>
    <n v="1.10958104592496E-2"/>
    <s v="Green"/>
    <n v="11.39"/>
    <x v="4"/>
    <n v="1"/>
    <x v="7"/>
  </r>
  <r>
    <x v="200"/>
    <n v="4.53157630725398E-4"/>
    <s v="Green"/>
    <n v="12.34"/>
    <x v="4"/>
    <n v="1"/>
    <x v="8"/>
  </r>
  <r>
    <x v="201"/>
    <n v="2.5466771348641601E-2"/>
    <s v="Green"/>
    <n v="12.95"/>
    <x v="4"/>
    <n v="1"/>
    <x v="9"/>
  </r>
  <r>
    <x v="202"/>
    <n v="-9.5234899241847205E-4"/>
    <s v="Red"/>
    <n v="12.07"/>
    <x v="4"/>
    <n v="0"/>
    <x v="10"/>
  </r>
  <r>
    <x v="203"/>
    <n v="3.5186095929726498E-2"/>
    <s v="Green"/>
    <n v="12.06"/>
    <x v="4"/>
    <n v="1"/>
    <x v="11"/>
  </r>
  <r>
    <x v="204"/>
    <n v="-1.7740780066319399E-2"/>
    <s v="Red"/>
    <n v="15.32"/>
    <x v="3"/>
    <n v="0"/>
    <x v="0"/>
  </r>
  <r>
    <x v="205"/>
    <n v="6.9490246947603298E-3"/>
    <s v="Green"/>
    <n v="11.92"/>
    <x v="4"/>
    <n v="1"/>
    <x v="1"/>
  </r>
  <r>
    <x v="206"/>
    <n v="-1.12221048744966E-2"/>
    <s v="Red"/>
    <n v="12.6"/>
    <x v="4"/>
    <n v="0"/>
    <x v="2"/>
  </r>
  <r>
    <x v="207"/>
    <n v="3.5968287193812301E-2"/>
    <s v="Green"/>
    <n v="11.57"/>
    <x v="4"/>
    <n v="1"/>
    <x v="3"/>
  </r>
  <r>
    <x v="208"/>
    <n v="-1.42714225765839E-4"/>
    <s v="Red"/>
    <n v="12.04"/>
    <x v="4"/>
    <n v="0"/>
    <x v="4"/>
  </r>
  <r>
    <x v="209"/>
    <n v="2.9952046262565798E-2"/>
    <s v="Green"/>
    <n v="13.29"/>
    <x v="3"/>
    <n v="1"/>
    <x v="5"/>
  </r>
  <r>
    <x v="210"/>
    <n v="-2.0108581881679299E-2"/>
    <s v="Red"/>
    <n v="15.31"/>
    <x v="3"/>
    <n v="0"/>
    <x v="6"/>
  </r>
  <r>
    <x v="211"/>
    <n v="-1.9117655748441001E-2"/>
    <s v="Red"/>
    <n v="14.02"/>
    <x v="3"/>
    <n v="0"/>
    <x v="7"/>
  </r>
  <r>
    <x v="212"/>
    <n v="1.8903346078316601E-2"/>
    <s v="Green"/>
    <n v="12.08"/>
    <x v="4"/>
    <n v="1"/>
    <x v="8"/>
  </r>
  <r>
    <x v="213"/>
    <n v="-2.5290467099494601E-2"/>
    <s v="Red"/>
    <n v="12.82"/>
    <x v="4"/>
    <n v="0"/>
    <x v="9"/>
  </r>
  <r>
    <x v="214"/>
    <n v="3.24582131440454E-2"/>
    <s v="Green"/>
    <n v="13.29"/>
    <x v="3"/>
    <n v="1"/>
    <x v="10"/>
  </r>
  <r>
    <x v="215"/>
    <n v="3.8594936198152401E-2"/>
    <s v="Green"/>
    <n v="13.24"/>
    <x v="3"/>
    <n v="1"/>
    <x v="11"/>
  </r>
  <r>
    <x v="216"/>
    <n v="1.4014243586487E-2"/>
    <s v="Green"/>
    <n v="16.27"/>
    <x v="2"/>
    <n v="1"/>
    <x v="0"/>
  </r>
  <r>
    <x v="217"/>
    <n v="9.3638756915515008E-3"/>
    <s v="Green"/>
    <n v="13.34"/>
    <x v="3"/>
    <n v="1"/>
    <x v="1"/>
  </r>
  <r>
    <x v="218"/>
    <n v="2.28734984055223E-3"/>
    <s v="Green"/>
    <n v="15.29"/>
    <x v="3"/>
    <n v="1"/>
    <x v="2"/>
  </r>
  <r>
    <x v="219"/>
    <n v="-3.4290519411905002E-2"/>
    <s v="Red"/>
    <n v="15.32"/>
    <x v="3"/>
    <n v="0"/>
    <x v="3"/>
  </r>
  <r>
    <x v="220"/>
    <n v="1.7988998669195701E-2"/>
    <s v="Green"/>
    <n v="14.34"/>
    <x v="3"/>
    <n v="1"/>
    <x v="4"/>
  </r>
  <r>
    <x v="221"/>
    <n v="1.2083450201310301E-2"/>
    <s v="Green"/>
    <n v="15.5"/>
    <x v="3"/>
    <n v="1"/>
    <x v="5"/>
  </r>
  <r>
    <x v="222"/>
    <n v="-1.6790751862298701E-2"/>
    <s v="Red"/>
    <n v="17.190000999999999"/>
    <x v="2"/>
    <n v="0"/>
    <x v="6"/>
  </r>
  <r>
    <x v="223"/>
    <n v="-1.6358919214261199E-2"/>
    <s v="Red"/>
    <n v="16.739999999999998"/>
    <x v="2"/>
    <n v="0"/>
    <x v="7"/>
  </r>
  <r>
    <x v="224"/>
    <n v="1.22089732735895E-2"/>
    <s v="Green"/>
    <n v="14.55"/>
    <x v="3"/>
    <n v="1"/>
    <x v="8"/>
  </r>
  <r>
    <x v="225"/>
    <n v="1.7276387006114599E-2"/>
    <s v="Green"/>
    <n v="16.629999000000002"/>
    <x v="2"/>
    <n v="1"/>
    <x v="9"/>
  </r>
  <r>
    <x v="226"/>
    <n v="5.0765541001239298E-2"/>
    <s v="Green"/>
    <n v="18.309999000000001"/>
    <x v="2"/>
    <n v="1"/>
    <x v="10"/>
  </r>
  <r>
    <x v="227"/>
    <n v="7.1285038478854403E-3"/>
    <s v="Green"/>
    <n v="16.32"/>
    <x v="2"/>
    <n v="1"/>
    <x v="11"/>
  </r>
  <r>
    <x v="228"/>
    <n v="5.4961486384010702E-2"/>
    <s v="Green"/>
    <n v="16.100000000000001"/>
    <x v="3"/>
    <n v="1"/>
    <x v="0"/>
  </r>
  <r>
    <x v="229"/>
    <n v="-1.1944364520745199E-2"/>
    <s v="Red"/>
    <n v="22.719999000000001"/>
    <x v="1"/>
    <n v="0"/>
    <x v="1"/>
  </r>
  <r>
    <x v="230"/>
    <n v="1.7873203376464399E-2"/>
    <s v="Green"/>
    <n v="18.629999000000002"/>
    <x v="2"/>
    <n v="1"/>
    <x v="2"/>
  </r>
  <r>
    <x v="231"/>
    <n v="1.62237024114931E-2"/>
    <s v="Green"/>
    <n v="19.489999999999998"/>
    <x v="2"/>
    <n v="1"/>
    <x v="3"/>
  </r>
  <r>
    <x v="232"/>
    <n v="1.13222145251615E-2"/>
    <s v="Green"/>
    <n v="19.52"/>
    <x v="2"/>
    <n v="1"/>
    <x v="4"/>
  </r>
  <r>
    <x v="233"/>
    <n v="5.0898709664177998E-2"/>
    <s v="Green"/>
    <n v="19.469999000000001"/>
    <x v="2"/>
    <n v="1"/>
    <x v="5"/>
  </r>
  <r>
    <x v="234"/>
    <n v="8.1044106872726104E-2"/>
    <s v="Green"/>
    <n v="21.209999"/>
    <x v="1"/>
    <n v="1"/>
    <x v="6"/>
  </r>
  <r>
    <x v="235"/>
    <n v="8.3575685661514392E-3"/>
    <s v="Green"/>
    <n v="29.15"/>
    <x v="0"/>
    <n v="1"/>
    <x v="7"/>
  </r>
  <r>
    <x v="236"/>
    <n v="-1.7003608502929399E-2"/>
    <s v="Red"/>
    <n v="29.629999000000002"/>
    <x v="0"/>
    <n v="0"/>
    <x v="8"/>
  </r>
  <r>
    <x v="237"/>
    <n v="-2.74146925599522E-2"/>
    <s v="Red"/>
    <n v="31.17"/>
    <x v="0"/>
    <n v="0"/>
    <x v="9"/>
  </r>
  <r>
    <x v="238"/>
    <n v="-6.0332572674290597E-2"/>
    <s v="Red"/>
    <n v="28.620000999999998"/>
    <x v="0"/>
    <n v="0"/>
    <x v="10"/>
  </r>
  <r>
    <x v="239"/>
    <n v="5.7069620923617899E-2"/>
    <s v="Green"/>
    <n v="27.5"/>
    <x v="0"/>
    <n v="1"/>
    <x v="11"/>
  </r>
  <r>
    <x v="240"/>
    <n v="8.6448801016809906E-2"/>
    <s v="Green"/>
    <n v="31.139999"/>
    <x v="0"/>
    <n v="1"/>
    <x v="0"/>
  </r>
  <r>
    <x v="241"/>
    <n v="-0.110024318261519"/>
    <s v="Red"/>
    <n v="39.689999"/>
    <x v="0"/>
    <n v="0"/>
    <x v="1"/>
  </r>
  <r>
    <x v="242"/>
    <n v="4.8814330800193203E-3"/>
    <s v="Green"/>
    <n v="32.639999000000003"/>
    <x v="0"/>
    <n v="1"/>
    <x v="2"/>
  </r>
  <r>
    <x v="243"/>
    <n v="-7.9004274966125304E-2"/>
    <s v="Red"/>
    <n v="32.029998999999997"/>
    <x v="0"/>
    <n v="0"/>
    <x v="3"/>
  </r>
  <r>
    <x v="244"/>
    <n v="-7.2455354417573697E-2"/>
    <s v="Red"/>
    <n v="25.4"/>
    <x v="0"/>
    <n v="0"/>
    <x v="4"/>
  </r>
  <r>
    <x v="245"/>
    <n v="-9.0814810760454501E-3"/>
    <s v="Red"/>
    <n v="19.98"/>
    <x v="1"/>
    <n v="0"/>
    <x v="5"/>
  </r>
  <r>
    <x v="246"/>
    <n v="-6.1417626159139899E-2"/>
    <s v="Red"/>
    <n v="21.91"/>
    <x v="1"/>
    <n v="0"/>
    <x v="6"/>
  </r>
  <r>
    <x v="247"/>
    <n v="3.67388936188391E-2"/>
    <s v="Green"/>
    <n v="17.399999999999999"/>
    <x v="2"/>
    <n v="1"/>
    <x v="7"/>
  </r>
  <r>
    <x v="248"/>
    <n v="-2.0766211305560299E-2"/>
    <s v="Red"/>
    <n v="21.59"/>
    <x v="1"/>
    <n v="0"/>
    <x v="8"/>
  </r>
  <r>
    <x v="249"/>
    <n v="-1.55738325597943E-2"/>
    <s v="Red"/>
    <n v="21.09"/>
    <x v="1"/>
    <n v="0"/>
    <x v="9"/>
  </r>
  <r>
    <x v="250"/>
    <n v="7.5738341929156797E-3"/>
    <s v="Green"/>
    <n v="23.799999"/>
    <x v="1"/>
    <n v="1"/>
    <x v="10"/>
  </r>
  <r>
    <x v="251"/>
    <n v="7.5175904263053497E-2"/>
    <s v="Green"/>
    <n v="23.84"/>
    <x v="1"/>
    <n v="1"/>
    <x v="11"/>
  </r>
  <r>
    <x v="252"/>
    <n v="1.8099111445277798E-2"/>
    <s v="Green"/>
    <n v="33.560001"/>
    <x v="0"/>
    <n v="1"/>
    <x v="0"/>
  </r>
  <r>
    <x v="253"/>
    <n v="-8.1723406019716199E-2"/>
    <s v="Red"/>
    <n v="31.93"/>
    <x v="0"/>
    <n v="0"/>
    <x v="1"/>
  </r>
  <r>
    <x v="254"/>
    <n v="-6.4108406563714707E-2"/>
    <s v="Red"/>
    <n v="24.92"/>
    <x v="0"/>
    <n v="0"/>
    <x v="2"/>
  </r>
  <r>
    <x v="255"/>
    <n v="-1.0740150072934201E-2"/>
    <s v="Red"/>
    <n v="21.620000999999998"/>
    <x v="1"/>
    <n v="0"/>
    <x v="3"/>
  </r>
  <r>
    <x v="256"/>
    <n v="-2.5035389109833502E-2"/>
    <s v="Red"/>
    <n v="19.059999000000001"/>
    <x v="2"/>
    <n v="0"/>
    <x v="4"/>
  </r>
  <r>
    <x v="257"/>
    <n v="5.0901871196495901E-3"/>
    <s v="Green"/>
    <n v="22.639999"/>
    <x v="1"/>
    <n v="1"/>
    <x v="5"/>
  </r>
  <r>
    <x v="258"/>
    <n v="7.6814361759009797E-2"/>
    <s v="Green"/>
    <n v="25.48"/>
    <x v="0"/>
    <n v="1"/>
    <x v="6"/>
  </r>
  <r>
    <x v="259"/>
    <n v="-6.4204710540895493E-2"/>
    <s v="Red"/>
    <n v="28.639999"/>
    <x v="0"/>
    <n v="0"/>
    <x v="7"/>
  </r>
  <r>
    <x v="260"/>
    <n v="-9.2290735848999994E-2"/>
    <s v="Red"/>
    <n v="28.35"/>
    <x v="0"/>
    <n v="0"/>
    <x v="8"/>
  </r>
  <r>
    <x v="261"/>
    <n v="3.4636577086329501E-2"/>
    <s v="Green"/>
    <n v="22.02"/>
    <x v="1"/>
    <n v="1"/>
    <x v="9"/>
  </r>
  <r>
    <x v="262"/>
    <n v="4.0534455291978402E-3"/>
    <s v="Green"/>
    <n v="26.85"/>
    <x v="0"/>
    <n v="1"/>
    <x v="10"/>
  </r>
  <r>
    <x v="263"/>
    <n v="-8.0068609961069903E-2"/>
    <s v="Red"/>
    <n v="29.65"/>
    <x v="0"/>
    <n v="0"/>
    <x v="11"/>
  </r>
  <r>
    <x v="264"/>
    <n v="-4.9494858723608797E-3"/>
    <s v="Red"/>
    <n v="23.629999000000002"/>
    <x v="1"/>
    <n v="0"/>
    <x v="0"/>
  </r>
  <r>
    <x v="265"/>
    <n v="-5.3482974745611297E-2"/>
    <s v="Red"/>
    <n v="20.57"/>
    <x v="1"/>
    <n v="0"/>
    <x v="1"/>
  </r>
  <r>
    <x v="266"/>
    <n v="6.0699105184235998E-2"/>
    <s v="Green"/>
    <n v="16.84"/>
    <x v="2"/>
    <n v="1"/>
    <x v="2"/>
  </r>
  <r>
    <x v="267"/>
    <n v="-1.6341276221772699E-2"/>
    <s v="Red"/>
    <n v="20.74"/>
    <x v="1"/>
    <n v="0"/>
    <x v="3"/>
  </r>
  <r>
    <x v="268"/>
    <n v="2.3933549608901299E-2"/>
    <s v="Green"/>
    <n v="19.540001"/>
    <x v="2"/>
    <n v="1"/>
    <x v="4"/>
  </r>
  <r>
    <x v="269"/>
    <n v="-2.1915050512993601E-2"/>
    <s v="Red"/>
    <n v="23.65"/>
    <x v="1"/>
    <n v="0"/>
    <x v="5"/>
  </r>
  <r>
    <x v="270"/>
    <n v="-3.0795755551931401E-2"/>
    <s v="Red"/>
    <n v="26.200001"/>
    <x v="0"/>
    <n v="0"/>
    <x v="6"/>
  </r>
  <r>
    <x v="271"/>
    <n v="9.6719828269732397E-2"/>
    <s v="Green"/>
    <n v="24.110001"/>
    <x v="1"/>
    <n v="1"/>
    <x v="7"/>
  </r>
  <r>
    <x v="272"/>
    <n v="-2.0108083261058299E-2"/>
    <s v="Red"/>
    <n v="23.370000999999998"/>
    <x v="1"/>
    <n v="0"/>
    <x v="8"/>
  </r>
  <r>
    <x v="273"/>
    <n v="-5.0903548749361899E-2"/>
    <s v="Red"/>
    <n v="24.950001"/>
    <x v="0"/>
    <n v="0"/>
    <x v="9"/>
  </r>
  <r>
    <x v="274"/>
    <n v="5.7843894876779399E-2"/>
    <s v="Green"/>
    <n v="24.639999"/>
    <x v="0"/>
    <n v="1"/>
    <x v="10"/>
  </r>
  <r>
    <x v="275"/>
    <n v="1.9061858621249601E-2"/>
    <s v="Green"/>
    <n v="24.18"/>
    <x v="1"/>
    <n v="1"/>
    <x v="11"/>
  </r>
  <r>
    <x v="276"/>
    <n v="6.2539541625965298E-2"/>
    <s v="Green"/>
    <n v="22.200001"/>
    <x v="1"/>
    <n v="1"/>
    <x v="0"/>
  </r>
  <r>
    <x v="277"/>
    <n v="-2.85517922684916E-2"/>
    <s v="Red"/>
    <n v="25.41"/>
    <x v="0"/>
    <n v="0"/>
    <x v="1"/>
  </r>
  <r>
    <x v="278"/>
    <n v="-6.2540920445004504E-3"/>
    <s v="Red"/>
    <n v="24.450001"/>
    <x v="1"/>
    <n v="0"/>
    <x v="2"/>
  </r>
  <r>
    <x v="279"/>
    <n v="-3.2046092218893797E-2"/>
    <s v="Red"/>
    <n v="24.639999"/>
    <x v="0"/>
    <n v="0"/>
    <x v="3"/>
  </r>
  <r>
    <x v="280"/>
    <n v="5.4438331016794198E-2"/>
    <s v="Green"/>
    <n v="21.09"/>
    <x v="1"/>
    <n v="1"/>
    <x v="4"/>
  </r>
  <r>
    <x v="281"/>
    <n v="-2.4970480872686801E-2"/>
    <s v="Red"/>
    <n v="25.389999"/>
    <x v="0"/>
    <n v="0"/>
    <x v="5"/>
  </r>
  <r>
    <x v="282"/>
    <n v="3.7944027915545402E-2"/>
    <s v="Green"/>
    <n v="25.07"/>
    <x v="0"/>
    <n v="1"/>
    <x v="6"/>
  </r>
  <r>
    <x v="283"/>
    <n v="3.8794215360158799E-2"/>
    <s v="Green"/>
    <n v="23.26"/>
    <x v="1"/>
    <n v="1"/>
    <x v="7"/>
  </r>
  <r>
    <x v="284"/>
    <n v="-3.2282562686194102E-2"/>
    <s v="Red"/>
    <n v="27.879999000000002"/>
    <x v="0"/>
    <n v="0"/>
    <x v="8"/>
  </r>
  <r>
    <x v="285"/>
    <n v="4.1009441536725297E-2"/>
    <s v="Green"/>
    <n v="26.25"/>
    <x v="0"/>
    <n v="1"/>
    <x v="9"/>
  </r>
  <r>
    <x v="286"/>
    <n v="5.63752865757359E-2"/>
    <s v="Green"/>
    <n v="24.42"/>
    <x v="1"/>
    <n v="1"/>
    <x v="10"/>
  </r>
  <r>
    <x v="287"/>
    <n v="5.91259963396253E-2"/>
    <s v="Green"/>
    <n v="26.01"/>
    <x v="0"/>
    <n v="1"/>
    <x v="11"/>
  </r>
  <r>
    <x v="288"/>
    <n v="8.0294228372442406E-2"/>
    <s v="Green"/>
    <n v="28.049999"/>
    <x v="0"/>
    <n v="1"/>
    <x v="0"/>
  </r>
  <r>
    <x v="289"/>
    <n v="6.2395515617718902E-2"/>
    <s v="Green"/>
    <n v="40.950001"/>
    <x v="0"/>
    <n v="1"/>
    <x v="1"/>
  </r>
  <r>
    <x v="290"/>
    <n v="-0.14579671855670701"/>
    <s v="Red"/>
    <n v="44.279998999999997"/>
    <x v="0"/>
    <n v="0"/>
    <x v="2"/>
  </r>
  <r>
    <x v="291"/>
    <n v="-1.1615327025789501E-2"/>
    <s v="Red"/>
    <n v="24.799999"/>
    <x v="0"/>
    <n v="0"/>
    <x v="3"/>
  </r>
  <r>
    <x v="292"/>
    <n v="3.9438241075214098E-2"/>
    <s v="Green"/>
    <n v="19.709999"/>
    <x v="2"/>
    <n v="1"/>
    <x v="4"/>
  </r>
  <r>
    <x v="293"/>
    <n v="-1.8826223521475099E-2"/>
    <s v="Red"/>
    <n v="21.32"/>
    <x v="1"/>
    <n v="0"/>
    <x v="5"/>
  </r>
  <r>
    <x v="294"/>
    <n v="9.0764692534604004E-3"/>
    <s v="Green"/>
    <n v="21.18"/>
    <x v="1"/>
    <n v="1"/>
    <x v="6"/>
  </r>
  <r>
    <x v="295"/>
    <n v="4.9945714161429497E-2"/>
    <s v="Green"/>
    <n v="24.219999000000001"/>
    <x v="1"/>
    <n v="1"/>
    <x v="7"/>
  </r>
  <r>
    <x v="296"/>
    <n v="7.0449193043797195E-2"/>
    <s v="Green"/>
    <n v="18.549999"/>
    <x v="2"/>
    <n v="1"/>
    <x v="8"/>
  </r>
  <r>
    <x v="297"/>
    <n v="1.01501767989975E-2"/>
    <s v="Green"/>
    <n v="21.469999000000001"/>
    <x v="1"/>
    <n v="1"/>
    <x v="9"/>
  </r>
  <r>
    <x v="298"/>
    <n v="1.5731597888257998E-2"/>
    <s v="Green"/>
    <n v="24.01"/>
    <x v="1"/>
    <n v="1"/>
    <x v="10"/>
  </r>
  <r>
    <x v="299"/>
    <n v="4.4586854893763801E-2"/>
    <s v="Green"/>
    <n v="27.43"/>
    <x v="0"/>
    <n v="1"/>
    <x v="11"/>
  </r>
  <r>
    <x v="300"/>
    <n v="-3.4477697196337802E-2"/>
    <s v="Red"/>
    <n v="35.090000000000003"/>
    <x v="0"/>
    <n v="0"/>
    <x v="0"/>
  </r>
  <r>
    <x v="301"/>
    <n v="5.3153589937912499E-2"/>
    <s v="Green"/>
    <n v="22.91"/>
    <x v="1"/>
    <n v="1"/>
    <x v="1"/>
  </r>
  <r>
    <x v="302"/>
    <n v="-5.7465631833399297E-2"/>
    <s v="Red"/>
    <n v="24.76"/>
    <x v="0"/>
    <n v="0"/>
    <x v="2"/>
  </r>
  <r>
    <x v="303"/>
    <n v="7.8145809507889102E-2"/>
    <s v="Green"/>
    <n v="21.48"/>
    <x v="1"/>
    <n v="1"/>
    <x v="3"/>
  </r>
  <r>
    <x v="304"/>
    <n v="4.3452615574897498E-2"/>
    <s v="Green"/>
    <n v="21.530000999999999"/>
    <x v="1"/>
    <n v="1"/>
    <x v="4"/>
  </r>
  <r>
    <x v="305"/>
    <n v="5.8576884241924997E-2"/>
    <s v="Green"/>
    <n v="19.190000999999999"/>
    <x v="2"/>
    <n v="1"/>
    <x v="5"/>
  </r>
  <r>
    <x v="306"/>
    <n v="5.8405579422057E-2"/>
    <s v="Green"/>
    <n v="20.059999000000001"/>
    <x v="1"/>
    <n v="1"/>
    <x v="6"/>
  </r>
  <r>
    <x v="307"/>
    <n v="-4.2614010396426399E-2"/>
    <s v="Red"/>
    <n v="22.139999"/>
    <x v="1"/>
    <n v="0"/>
    <x v="7"/>
  </r>
  <r>
    <x v="308"/>
    <n v="5.9275900071804602E-3"/>
    <s v="Green"/>
    <n v="21.1"/>
    <x v="1"/>
    <n v="1"/>
    <x v="8"/>
  </r>
  <r>
    <x v="309"/>
    <n v="6.1317039194819199E-2"/>
    <s v="Green"/>
    <n v="19.469999000000001"/>
    <x v="2"/>
    <n v="1"/>
    <x v="9"/>
  </r>
  <r>
    <x v="310"/>
    <n v="-2.1505415404998202E-2"/>
    <s v="Red"/>
    <n v="20.92"/>
    <x v="1"/>
    <n v="0"/>
    <x v="10"/>
  </r>
  <r>
    <x v="311"/>
    <n v="7.3376151732636993E-2"/>
    <s v="Green"/>
    <n v="17.139999"/>
    <x v="2"/>
    <n v="1"/>
    <x v="11"/>
  </r>
  <r>
    <x v="312"/>
    <n v="2.61010032390308E-2"/>
    <s v="Green"/>
    <n v="18.110001"/>
    <x v="2"/>
    <n v="1"/>
    <x v="0"/>
  </r>
  <r>
    <x v="313"/>
    <n v="5.4203327569492199E-2"/>
    <s v="Green"/>
    <n v="16.950001"/>
    <x v="2"/>
    <n v="1"/>
    <x v="1"/>
  </r>
  <r>
    <x v="314"/>
    <n v="1.8813935110919298E-2"/>
    <s v="Green"/>
    <n v="17.010000000000002"/>
    <x v="2"/>
    <n v="1"/>
    <x v="2"/>
  </r>
  <r>
    <x v="315"/>
    <n v="-4.5748017194667499E-2"/>
    <s v="Red"/>
    <n v="19.459999"/>
    <x v="2"/>
    <n v="0"/>
    <x v="3"/>
  </r>
  <r>
    <x v="316"/>
    <n v="2.2567103229369501E-3"/>
    <s v="Green"/>
    <n v="13.68"/>
    <x v="3"/>
    <n v="1"/>
    <x v="4"/>
  </r>
  <r>
    <x v="317"/>
    <n v="2.2853405672084999E-2"/>
    <s v="Green"/>
    <n v="16.07"/>
    <x v="3"/>
    <n v="1"/>
    <x v="5"/>
  </r>
  <r>
    <x v="318"/>
    <n v="1.34314221533696E-2"/>
    <s v="Green"/>
    <n v="15.83"/>
    <x v="3"/>
    <n v="1"/>
    <x v="6"/>
  </r>
  <r>
    <x v="319"/>
    <n v="7.9165670805803091E-3"/>
    <s v="Green"/>
    <n v="18.879999000000002"/>
    <x v="2"/>
    <n v="1"/>
    <x v="7"/>
  </r>
  <r>
    <x v="320"/>
    <n v="6.9337015523502901E-3"/>
    <s v="Green"/>
    <n v="17.040001"/>
    <x v="2"/>
    <n v="1"/>
    <x v="8"/>
  </r>
  <r>
    <x v="321"/>
    <n v="3.2617387086717201E-2"/>
    <s v="Green"/>
    <n v="12.53"/>
    <x v="4"/>
    <n v="1"/>
    <x v="9"/>
  </r>
  <r>
    <x v="322"/>
    <n v="1.7443874138492799E-2"/>
    <s v="Green"/>
    <n v="12.52"/>
    <x v="4"/>
    <n v="1"/>
    <x v="10"/>
  </r>
  <r>
    <x v="323"/>
    <n v="4.1049002579535802E-2"/>
    <s v="Green"/>
    <n v="11.58"/>
    <x v="4"/>
    <n v="1"/>
    <x v="11"/>
  </r>
  <r>
    <x v="324"/>
    <n v="-4.9793349436904099E-3"/>
    <s v="Red"/>
    <n v="13.83"/>
    <x v="3"/>
    <n v="0"/>
    <x v="0"/>
  </r>
  <r>
    <x v="325"/>
    <n v="4.0097472413171298E-2"/>
    <s v="Green"/>
    <n v="12.74"/>
    <x v="4"/>
    <n v="1"/>
    <x v="1"/>
  </r>
  <r>
    <x v="326"/>
    <n v="-3.2023805401637501E-4"/>
    <s v="Red"/>
    <n v="11.52"/>
    <x v="4"/>
    <n v="0"/>
    <x v="2"/>
  </r>
  <r>
    <x v="327"/>
    <n v="3.1776040385497903E-2"/>
    <s v="Green"/>
    <n v="13.49"/>
    <x v="3"/>
    <n v="1"/>
    <x v="3"/>
  </r>
  <r>
    <x v="328"/>
    <n v="2.1278544224437399E-2"/>
    <s v="Green"/>
    <n v="11.38"/>
    <x v="4"/>
    <n v="1"/>
    <x v="4"/>
  </r>
  <r>
    <x v="329"/>
    <n v="3.6311711839953402E-2"/>
    <s v="Green"/>
    <n v="12.85"/>
    <x v="4"/>
    <n v="1"/>
    <x v="5"/>
  </r>
  <r>
    <x v="330"/>
    <n v="2.7960358793799302E-2"/>
    <s v="Green"/>
    <n v="11.75"/>
    <x v="4"/>
    <n v="1"/>
    <x v="6"/>
  </r>
  <r>
    <x v="331"/>
    <n v="2.7329193438646801E-2"/>
    <s v="Green"/>
    <n v="13.37"/>
    <x v="3"/>
    <n v="1"/>
    <x v="7"/>
  </r>
  <r>
    <x v="332"/>
    <n v="3.6074149761991602E-2"/>
    <s v="Green"/>
    <n v="11.75"/>
    <x v="4"/>
    <n v="1"/>
    <x v="8"/>
  </r>
  <r>
    <x v="333"/>
    <n v="2.4277710860833E-2"/>
    <s v="Green"/>
    <n v="11.96"/>
    <x v="4"/>
    <n v="1"/>
    <x v="9"/>
  </r>
  <r>
    <x v="334"/>
    <n v="1.22991182864991E-2"/>
    <s v="Green"/>
    <n v="13.2"/>
    <x v="3"/>
    <n v="1"/>
    <x v="10"/>
  </r>
  <r>
    <x v="335"/>
    <n v="-3.9504612602884202E-2"/>
    <s v="Red"/>
    <n v="15.95"/>
    <x v="3"/>
    <n v="0"/>
    <x v="11"/>
  </r>
  <r>
    <x v="336"/>
    <n v="2.0833816402291601E-2"/>
    <s v="Green"/>
    <n v="14.56"/>
    <x v="3"/>
    <n v="1"/>
    <x v="0"/>
  </r>
  <r>
    <x v="337"/>
    <n v="-2.68775353188823E-2"/>
    <s v="Red"/>
    <n v="14.28"/>
    <x v="3"/>
    <n v="0"/>
    <x v="1"/>
  </r>
  <r>
    <x v="338"/>
    <n v="3.7598698607805597E-2"/>
    <s v="Green"/>
    <n v="11.97"/>
    <x v="4"/>
    <n v="1"/>
    <x v="2"/>
  </r>
  <r>
    <x v="339"/>
    <n v="3.1489907818193802E-2"/>
    <s v="Green"/>
    <n v="11.13"/>
    <x v="4"/>
    <n v="1"/>
    <x v="3"/>
  </r>
  <r>
    <x v="340"/>
    <n v="-2.67908236582695E-2"/>
    <s v="Red"/>
    <n v="14.97"/>
    <x v="3"/>
    <n v="0"/>
    <x v="4"/>
  </r>
  <r>
    <x v="341"/>
    <n v="1.23971434441716E-2"/>
    <s v="Green"/>
    <n v="13.03"/>
    <x v="4"/>
    <n v="1"/>
    <x v="5"/>
  </r>
  <r>
    <x v="342"/>
    <n v="1.1530643889981601E-2"/>
    <s v="Green"/>
    <n v="13.77"/>
    <x v="3"/>
    <n v="1"/>
    <x v="6"/>
  </r>
  <r>
    <x v="343"/>
    <n v="-4.5746511353774701E-2"/>
    <s v="Red"/>
    <n v="20.450001"/>
    <x v="1"/>
    <n v="0"/>
    <x v="7"/>
  </r>
  <r>
    <x v="344"/>
    <n v="-3.00449958486637E-2"/>
    <s v="Red"/>
    <n v="14.87"/>
    <x v="3"/>
    <n v="0"/>
    <x v="8"/>
  </r>
  <r>
    <x v="345"/>
    <n v="3.2500745224549397E-2"/>
    <s v="Green"/>
    <n v="10.63"/>
    <x v="4"/>
    <n v="1"/>
    <x v="9"/>
  </r>
  <r>
    <x v="346"/>
    <n v="1.0091173280450901E-2"/>
    <s v="Green"/>
    <n v="11.66"/>
    <x v="4"/>
    <n v="1"/>
    <x v="10"/>
  </r>
  <r>
    <x v="347"/>
    <n v="-1.2910626013377001E-2"/>
    <s v="Red"/>
    <n v="13.76"/>
    <x v="3"/>
    <n v="0"/>
    <x v="11"/>
  </r>
  <r>
    <x v="348"/>
    <n v="1.9392922963742801E-2"/>
    <s v="Green"/>
    <n v="11.46"/>
    <x v="4"/>
    <n v="1"/>
    <x v="0"/>
  </r>
  <r>
    <x v="349"/>
    <n v="-9.9879304080935406E-3"/>
    <s v="Red"/>
    <n v="12.99"/>
    <x v="4"/>
    <n v="0"/>
    <x v="1"/>
  </r>
  <r>
    <x v="350"/>
    <n v="3.4431956860375902E-2"/>
    <s v="Green"/>
    <n v="11.85"/>
    <x v="4"/>
    <n v="1"/>
    <x v="2"/>
  </r>
  <r>
    <x v="351"/>
    <n v="-5.3270459355138104E-3"/>
    <s v="Red"/>
    <n v="11.73"/>
    <x v="4"/>
    <n v="0"/>
    <x v="3"/>
  </r>
  <r>
    <x v="352"/>
    <n v="7.55230010638819E-4"/>
    <s v="Green"/>
    <n v="11.26"/>
    <x v="4"/>
    <n v="1"/>
    <x v="4"/>
  </r>
  <r>
    <x v="353"/>
    <n v="2.2717462810525099E-2"/>
    <s v="Green"/>
    <n v="13.47"/>
    <x v="3"/>
    <n v="1"/>
    <x v="5"/>
  </r>
  <r>
    <x v="354"/>
    <n v="-2.54168102144962E-2"/>
    <s v="Red"/>
    <n v="12.42"/>
    <x v="4"/>
    <n v="0"/>
    <x v="6"/>
  </r>
  <r>
    <x v="355"/>
    <n v="1.8697297817929399E-2"/>
    <s v="Green"/>
    <n v="12.53"/>
    <x v="4"/>
    <n v="1"/>
    <x v="7"/>
  </r>
  <r>
    <x v="356"/>
    <n v="1.0483627354217699E-2"/>
    <s v="Green"/>
    <n v="13.16"/>
    <x v="4"/>
    <n v="1"/>
    <x v="8"/>
  </r>
  <r>
    <x v="357"/>
    <n v="7.0459894503542798E-3"/>
    <s v="Green"/>
    <n v="12.42"/>
    <x v="4"/>
    <n v="1"/>
    <x v="9"/>
  </r>
  <r>
    <x v="358"/>
    <n v="1.01077661744602E-2"/>
    <s v="Green"/>
    <n v="12.57"/>
    <x v="4"/>
    <n v="1"/>
    <x v="10"/>
  </r>
  <r>
    <x v="359"/>
    <n v="3.02618066586238E-2"/>
    <s v="Green"/>
    <n v="13.01"/>
    <x v="4"/>
    <n v="1"/>
    <x v="11"/>
  </r>
  <r>
    <x v="360"/>
    <n v="2.1062829709799199E-3"/>
    <s v="Green"/>
    <n v="16.149999999999999"/>
    <x v="2"/>
    <n v="1"/>
    <x v="0"/>
  </r>
  <r>
    <x v="361"/>
    <n v="9.1055938195434595E-3"/>
    <s v="Green"/>
    <n v="14.28"/>
    <x v="3"/>
    <n v="1"/>
    <x v="1"/>
  </r>
  <r>
    <x v="362"/>
    <n v="-2.3997530034600301E-2"/>
    <s v="Red"/>
    <n v="13.58"/>
    <x v="3"/>
    <n v="0"/>
    <x v="2"/>
  </r>
  <r>
    <x v="363"/>
    <n v="3.9373684053008097E-2"/>
    <s v="Green"/>
    <n v="13.17"/>
    <x v="4"/>
    <n v="1"/>
    <x v="3"/>
  </r>
  <r>
    <x v="364"/>
    <n v="-1.7358832059340301E-2"/>
    <s v="Red"/>
    <n v="13.35"/>
    <x v="3"/>
    <n v="0"/>
    <x v="4"/>
  </r>
  <r>
    <x v="365"/>
    <n v="9.6395707538854403E-4"/>
    <s v="Green"/>
    <n v="13.86"/>
    <x v="3"/>
    <n v="1"/>
    <x v="5"/>
  </r>
  <r>
    <x v="366"/>
    <n v="2.78927145686407E-2"/>
    <s v="Green"/>
    <n v="15.53"/>
    <x v="3"/>
    <n v="1"/>
    <x v="6"/>
  </r>
  <r>
    <x v="367"/>
    <n v="-2.1831862704186199E-2"/>
    <s v="Red"/>
    <n v="16.18"/>
    <x v="2"/>
    <n v="0"/>
    <x v="7"/>
  </r>
  <r>
    <x v="368"/>
    <n v="9.5895420754186205E-3"/>
    <s v="Green"/>
    <n v="16.68"/>
    <x v="2"/>
    <n v="1"/>
    <x v="8"/>
  </r>
  <r>
    <x v="369"/>
    <n v="-1.9923750460799899E-2"/>
    <s v="Red"/>
    <n v="17.399999999999999"/>
    <x v="2"/>
    <n v="0"/>
    <x v="9"/>
  </r>
  <r>
    <x v="370"/>
    <n v="0.1115878548276"/>
    <s v="Green"/>
    <n v="19.309999000000001"/>
    <x v="2"/>
    <n v="1"/>
    <x v="10"/>
  </r>
  <r>
    <x v="371"/>
    <n v="-4.3903708684304897E-2"/>
    <s v="Red"/>
    <n v="20.260000000000002"/>
    <x v="1"/>
    <n v="0"/>
    <x v="11"/>
  </r>
  <r>
    <x v="372"/>
    <n v="1.1834237037883701E-2"/>
    <s v="Green"/>
    <n v="15.48"/>
    <x v="3"/>
    <n v="1"/>
    <x v="0"/>
  </r>
  <r>
    <x v="373"/>
    <n v="-1.9143737536368399E-2"/>
    <s v="Red"/>
    <n v="15.85"/>
    <x v="3"/>
    <n v="0"/>
    <x v="1"/>
  </r>
  <r>
    <x v="374"/>
    <n v="1.96487842997797E-2"/>
    <s v="Green"/>
    <n v="14.46"/>
    <x v="3"/>
    <n v="1"/>
    <x v="2"/>
  </r>
  <r>
    <x v="375"/>
    <n v="4.4859343195825498E-2"/>
    <s v="Green"/>
    <n v="15.18"/>
    <x v="3"/>
    <n v="1"/>
    <x v="3"/>
  </r>
  <r>
    <x v="376"/>
    <n v="-4.7892629152718302E-2"/>
    <s v="Red"/>
    <n v="19.549999"/>
    <x v="2"/>
    <n v="0"/>
    <x v="4"/>
  </r>
  <r>
    <x v="377"/>
    <n v="3.8604974568177998E-2"/>
    <s v="Green"/>
    <n v="15.93"/>
    <x v="3"/>
    <n v="1"/>
    <x v="5"/>
  </r>
  <r>
    <x v="378"/>
    <n v="3.1979905037093898E-4"/>
    <s v="Green"/>
    <n v="18.239999999999998"/>
    <x v="2"/>
    <n v="1"/>
    <x v="6"/>
  </r>
  <r>
    <x v="379"/>
    <n v="2.22028328236583E-2"/>
    <s v="Green"/>
    <n v="16.879999000000002"/>
    <x v="2"/>
    <n v="1"/>
    <x v="7"/>
  </r>
  <r>
    <x v="380"/>
    <n v="6.7281174863978596E-2"/>
    <s v="Green"/>
    <n v="21.23"/>
    <x v="1"/>
    <n v="1"/>
    <x v="8"/>
  </r>
  <r>
    <x v="381"/>
    <n v="4.1517751676101597E-2"/>
    <s v="Green"/>
    <n v="20.91"/>
    <x v="1"/>
    <n v="1"/>
    <x v="9"/>
  </r>
  <r>
    <x v="382"/>
    <n v="2.4827757355757599E-2"/>
    <s v="Green"/>
    <n v="26.379999000000002"/>
    <x v="0"/>
    <n v="1"/>
    <x v="10"/>
  </r>
  <r>
    <x v="383"/>
    <n v="5.9934213815789401E-2"/>
    <s v="Green"/>
    <n v="22.16"/>
    <x v="1"/>
    <n v="1"/>
    <x v="11"/>
  </r>
  <r>
    <x v="384"/>
    <n v="-6.6982129729734599E-3"/>
    <s v="Red"/>
    <n v="30.040001"/>
    <x v="0"/>
    <n v="0"/>
    <x v="0"/>
  </r>
  <r>
    <x v="385"/>
    <n v="-5.1184307112997998E-2"/>
    <s v="Red"/>
    <n v="29.110001"/>
    <x v="0"/>
    <n v="0"/>
    <x v="1"/>
  </r>
  <r>
    <x v="386"/>
    <n v="-9.43141838154853E-2"/>
    <s v="Red"/>
    <n v="29.9"/>
    <x v="0"/>
    <n v="0"/>
    <x v="2"/>
  </r>
  <r>
    <x v="387"/>
    <n v="-5.2231580846174904E-3"/>
    <s v="Red"/>
    <n v="21.110001"/>
    <x v="1"/>
    <n v="0"/>
    <x v="3"/>
  </r>
  <r>
    <x v="388"/>
    <n v="-8.8863657565815303E-3"/>
    <s v="Red"/>
    <n v="15.5"/>
    <x v="3"/>
    <n v="0"/>
    <x v="4"/>
  </r>
  <r>
    <x v="389"/>
    <n v="9.1989190156802597E-2"/>
    <s v="Green"/>
    <n v="17.370000999999998"/>
    <x v="2"/>
    <n v="1"/>
    <x v="5"/>
  </r>
  <r>
    <x v="390"/>
    <n v="-2.6887138748678398E-2"/>
    <s v="Red"/>
    <n v="19.52"/>
    <x v="2"/>
    <n v="0"/>
    <x v="6"/>
  </r>
  <r>
    <x v="391"/>
    <n v="2.4254983989199001E-2"/>
    <s v="Green"/>
    <n v="19.73"/>
    <x v="1"/>
    <n v="1"/>
    <x v="7"/>
  </r>
  <r>
    <x v="392"/>
    <n v="8.5390425155207304E-3"/>
    <s v="Green"/>
    <n v="21.99"/>
    <x v="1"/>
    <n v="1"/>
    <x v="8"/>
  </r>
  <r>
    <x v="393"/>
    <n v="-6.8817225277032601E-2"/>
    <s v="Red"/>
    <n v="25.360001"/>
    <x v="0"/>
    <n v="0"/>
    <x v="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4">
  <r>
    <x v="0"/>
    <n v="-7.1118769999999997E-4"/>
    <n v="32.020000000000003"/>
    <n v="5"/>
    <x v="0"/>
  </r>
  <r>
    <x v="1"/>
    <n v="-9.339567E-2"/>
    <n v="26.299999"/>
    <n v="4"/>
    <x v="0"/>
  </r>
  <r>
    <x v="2"/>
    <n v="-4.2440128258508597E-2"/>
    <n v="25.870000999999998"/>
    <n v="4"/>
    <x v="0"/>
  </r>
  <r>
    <x v="3"/>
    <n v="9.1116391659653406E-2"/>
    <n v="21.33"/>
    <n v="3"/>
    <x v="1"/>
  </r>
  <r>
    <x v="4"/>
    <n v="-8.3919999812243101E-2"/>
    <n v="28.709999"/>
    <n v="4"/>
    <x v="0"/>
  </r>
  <r>
    <x v="5"/>
    <n v="5.3177568506868103E-5"/>
    <n v="26.190000999999999"/>
    <n v="4"/>
    <x v="1"/>
  </r>
  <r>
    <x v="6"/>
    <n v="-8.7956711705729301E-2"/>
    <n v="33.400002000000001"/>
    <n v="4"/>
    <x v="0"/>
  </r>
  <r>
    <x v="7"/>
    <n v="3.5773288410591901E-2"/>
    <n v="20.559999000000001"/>
    <n v="3"/>
    <x v="1"/>
  </r>
  <r>
    <x v="8"/>
    <n v="-3.1360492102910101E-2"/>
    <n v="30.15"/>
    <n v="4"/>
    <x v="0"/>
  </r>
  <r>
    <x v="9"/>
    <n v="-5.2585165005310602E-2"/>
    <n v="24.83"/>
    <n v="4"/>
    <x v="0"/>
  </r>
  <r>
    <x v="10"/>
    <n v="4.3612913509962797E-2"/>
    <n v="17.219999000000001"/>
    <n v="2"/>
    <x v="1"/>
  </r>
  <r>
    <x v="11"/>
    <n v="-8.3337062251199693E-3"/>
    <n v="27.190000999999999"/>
    <n v="4"/>
    <x v="0"/>
  </r>
  <r>
    <x v="12"/>
    <n v="6.9143836459647501E-2"/>
    <n v="16.260000000000002"/>
    <n v="2"/>
    <x v="1"/>
  </r>
  <r>
    <x v="13"/>
    <n v="-4.75691688617867E-2"/>
    <n v="23.139999"/>
    <n v="3"/>
    <x v="0"/>
  </r>
  <r>
    <x v="14"/>
    <n v="2.8990416217415299E-2"/>
    <n v="16.48"/>
    <n v="2"/>
    <x v="1"/>
  </r>
  <r>
    <x v="15"/>
    <n v="2.2748054915648699E-2"/>
    <n v="18.239999999999998"/>
    <n v="3"/>
    <x v="1"/>
  </r>
  <r>
    <x v="16"/>
    <n v="2.2214009634219802E-2"/>
    <n v="15.83"/>
    <n v="2"/>
    <x v="1"/>
  </r>
  <r>
    <x v="17"/>
    <n v="5.4864885732810497E-3"/>
    <n v="16.760000000000002"/>
    <n v="2"/>
    <x v="1"/>
  </r>
  <r>
    <x v="18"/>
    <n v="5.2425321267266303E-2"/>
    <n v="18.610001"/>
    <n v="3"/>
    <x v="1"/>
  </r>
  <r>
    <x v="19"/>
    <n v="4.24386327378838E-2"/>
    <n v="19.399999999999999"/>
    <n v="3"/>
    <x v="1"/>
  </r>
  <r>
    <x v="20"/>
    <n v="2.60914513496475E-2"/>
    <n v="27.950001"/>
    <n v="4"/>
    <x v="1"/>
  </r>
  <r>
    <x v="21"/>
    <n v="-1.11366607232312E-2"/>
    <n v="33.090000000000003"/>
    <n v="4"/>
    <x v="0"/>
  </r>
  <r>
    <x v="22"/>
    <n v="3.7121458940645703E-2"/>
    <n v="22.75"/>
    <n v="3"/>
    <x v="1"/>
  </r>
  <r>
    <x v="23"/>
    <n v="0.10754563548003"/>
    <n v="20.57"/>
    <n v="3"/>
    <x v="1"/>
  </r>
  <r>
    <x v="24"/>
    <n v="-2.7665786202795101E-2"/>
    <n v="38.020000000000003"/>
    <n v="4"/>
    <x v="0"/>
  </r>
  <r>
    <x v="25"/>
    <n v="-3.9227970289931399E-2"/>
    <n v="26.370000999999998"/>
    <n v="4"/>
    <x v="0"/>
  </r>
  <r>
    <x v="26"/>
    <n v="7.0064667087246499E-2"/>
    <n v="26.41"/>
    <n v="4"/>
    <x v="1"/>
  </r>
  <r>
    <x v="27"/>
    <n v="5.5101321441235702E-2"/>
    <n v="24.459999"/>
    <n v="4"/>
    <x v="1"/>
  </r>
  <r>
    <x v="28"/>
    <n v="1.8388396357494698E-2"/>
    <n v="30.43"/>
    <n v="4"/>
    <x v="1"/>
  </r>
  <r>
    <x v="29"/>
    <n v="4.52818196760656E-2"/>
    <n v="27.51"/>
    <n v="4"/>
    <x v="1"/>
  </r>
  <r>
    <x v="30"/>
    <n v="0.12684403825663801"/>
    <n v="34.150002000000001"/>
    <n v="4"/>
    <x v="1"/>
  </r>
  <r>
    <x v="31"/>
    <n v="-0.12511928245982301"/>
    <n v="53.540000999999997"/>
    <n v="4"/>
    <x v="0"/>
  </r>
  <r>
    <x v="32"/>
    <n v="-8.4110483679465706E-2"/>
    <n v="40.110000999999997"/>
    <n v="4"/>
    <x v="0"/>
  </r>
  <r>
    <x v="33"/>
    <n v="-1.6280925822201901E-3"/>
    <n v="18.84"/>
    <n v="3"/>
    <x v="0"/>
  </r>
  <r>
    <x v="34"/>
    <n v="2.85898189647169E-2"/>
    <n v="13.78"/>
    <n v="1"/>
    <x v="1"/>
  </r>
  <r>
    <x v="35"/>
    <n v="3.4047037421886202E-2"/>
    <n v="12.62"/>
    <n v="1"/>
    <x v="1"/>
  </r>
  <r>
    <x v="36"/>
    <n v="2.0431770730503101E-2"/>
    <n v="13.22"/>
    <n v="1"/>
    <x v="1"/>
  </r>
  <r>
    <x v="37"/>
    <n v="1.71811778292086E-2"/>
    <n v="16.239999999999998"/>
    <n v="2"/>
    <x v="1"/>
  </r>
  <r>
    <x v="38"/>
    <n v="-1.8091627281326701E-2"/>
    <n v="18.98"/>
    <n v="3"/>
    <x v="0"/>
  </r>
  <r>
    <x v="39"/>
    <n v="1.31281521499778E-2"/>
    <n v="16.120000999999998"/>
    <n v="2"/>
    <x v="1"/>
  </r>
  <r>
    <x v="40"/>
    <n v="6.8930163925612103E-2"/>
    <n v="15.08"/>
    <n v="2"/>
    <x v="1"/>
  </r>
  <r>
    <x v="41"/>
    <n v="-6.5777731189286898E-2"/>
    <n v="18.709999"/>
    <n v="3"/>
    <x v="0"/>
  </r>
  <r>
    <x v="42"/>
    <n v="3.9313498395682697E-2"/>
    <n v="13.12"/>
    <n v="1"/>
    <x v="1"/>
  </r>
  <r>
    <x v="43"/>
    <n v="1.7924256211817102E-2"/>
    <n v="13.71"/>
    <n v="1"/>
    <x v="1"/>
  </r>
  <r>
    <x v="44"/>
    <n v="2.9728889126352302E-2"/>
    <n v="14.78"/>
    <n v="2"/>
    <x v="1"/>
  </r>
  <r>
    <x v="45"/>
    <n v="7.8684401655036804E-2"/>
    <n v="16.57"/>
    <n v="2"/>
    <x v="1"/>
  </r>
  <r>
    <x v="46"/>
    <n v="-9.1776894596563893E-2"/>
    <n v="25.42"/>
    <n v="4"/>
    <x v="0"/>
  </r>
  <r>
    <x v="47"/>
    <n v="1.7859356788849E-2"/>
    <n v="18.07"/>
    <n v="3"/>
    <x v="1"/>
  </r>
  <r>
    <x v="48"/>
    <n v="-6.9403356024429499E-2"/>
    <n v="21.23"/>
    <n v="3"/>
    <x v="0"/>
  </r>
  <r>
    <x v="49"/>
    <n v="4.29428710266144E-3"/>
    <n v="12.12"/>
    <n v="1"/>
    <x v="1"/>
  </r>
  <r>
    <x v="50"/>
    <n v="3.0263211466054599E-2"/>
    <n v="12.86"/>
    <n v="1"/>
    <x v="1"/>
  </r>
  <r>
    <x v="51"/>
    <n v="3.6021556221367303E-2"/>
    <n v="12.83"/>
    <n v="1"/>
    <x v="1"/>
  </r>
  <r>
    <x v="52"/>
    <n v="4.8424360241865498E-3"/>
    <n v="16.09"/>
    <n v="2"/>
    <x v="1"/>
  </r>
  <r>
    <x v="53"/>
    <n v="2.1608341965291902E-2"/>
    <n v="15.43"/>
    <n v="2"/>
    <x v="1"/>
  </r>
  <r>
    <x v="54"/>
    <n v="2.7187751316435399E-3"/>
    <n v="15.93"/>
    <n v="2"/>
    <x v="1"/>
  </r>
  <r>
    <x v="55"/>
    <n v="-2.6884498624825101E-2"/>
    <n v="19.969999000000001"/>
    <n v="3"/>
    <x v="0"/>
  </r>
  <r>
    <x v="56"/>
    <n v="-3.8947372061896898E-2"/>
    <n v="19.850000000000001"/>
    <n v="3"/>
    <x v="0"/>
  </r>
  <r>
    <x v="57"/>
    <n v="5.6178704444133101E-2"/>
    <n v="13.54"/>
    <n v="1"/>
    <x v="1"/>
  </r>
  <r>
    <x v="58"/>
    <n v="9.8316304826040497E-3"/>
    <n v="11.04"/>
    <n v="1"/>
    <x v="1"/>
  </r>
  <r>
    <x v="59"/>
    <n v="2.8082627664458602E-2"/>
    <n v="11.28"/>
    <n v="1"/>
    <x v="1"/>
  </r>
  <r>
    <x v="60"/>
    <n v="2.21881353303497E-2"/>
    <n v="10.18"/>
    <n v="1"/>
    <x v="1"/>
  </r>
  <r>
    <x v="61"/>
    <n v="1.9302978533243701E-2"/>
    <n v="9.51"/>
    <n v="1"/>
    <x v="1"/>
  </r>
  <r>
    <x v="62"/>
    <n v="5.4643281108557296E-4"/>
    <n v="10.59"/>
    <n v="1"/>
    <x v="1"/>
  </r>
  <r>
    <x v="63"/>
    <n v="1.9348826118030599E-2"/>
    <n v="10.26"/>
    <n v="1"/>
    <x v="1"/>
  </r>
  <r>
    <x v="64"/>
    <n v="4.8137750908554501E-3"/>
    <n v="11.18"/>
    <n v="1"/>
    <x v="1"/>
  </r>
  <r>
    <x v="65"/>
    <n v="1.1576251391341301E-2"/>
    <n v="10.41"/>
    <n v="1"/>
    <x v="1"/>
  </r>
  <r>
    <x v="66"/>
    <n v="9.0912085493182193E-3"/>
    <n v="10.82"/>
    <n v="1"/>
    <x v="1"/>
  </r>
  <r>
    <x v="67"/>
    <n v="-3.891971880845E-4"/>
    <n v="12.37"/>
    <n v="1"/>
    <x v="0"/>
  </r>
  <r>
    <x v="68"/>
    <n v="3.7198160337279101E-2"/>
    <n v="12.92"/>
    <n v="1"/>
    <x v="1"/>
  </r>
  <r>
    <x v="69"/>
    <n v="1.7884358171464498E-2"/>
    <n v="11.99"/>
    <n v="1"/>
    <x v="1"/>
  </r>
  <r>
    <x v="70"/>
    <n v="1.82007621968951E-2"/>
    <n v="14.04"/>
    <n v="2"/>
    <x v="1"/>
  </r>
  <r>
    <x v="71"/>
    <n v="3.4174522187570402E-2"/>
    <n v="13.33"/>
    <n v="1"/>
    <x v="1"/>
  </r>
  <r>
    <x v="72"/>
    <n v="-1.94256792795575E-2"/>
    <n v="17.059999000000001"/>
    <n v="2"/>
    <x v="0"/>
  </r>
  <r>
    <x v="73"/>
    <n v="-1.23445084432539E-3"/>
    <n v="13.29"/>
    <n v="1"/>
    <x v="0"/>
  </r>
  <r>
    <x v="74"/>
    <n v="-1.2192431360480401E-3"/>
    <n v="13.42"/>
    <n v="1"/>
    <x v="0"/>
  </r>
  <r>
    <x v="75"/>
    <n v="3.5609801125254401E-2"/>
    <n v="11.87"/>
    <n v="1"/>
    <x v="1"/>
  </r>
  <r>
    <x v="76"/>
    <n v="9.1092112097812495E-4"/>
    <n v="15.63"/>
    <n v="2"/>
    <x v="1"/>
  </r>
  <r>
    <x v="77"/>
    <n v="1.53246023575726E-2"/>
    <n v="14.19"/>
    <n v="2"/>
    <x v="1"/>
  </r>
  <r>
    <x v="78"/>
    <n v="2.6993984808731902E-3"/>
    <n v="15.7"/>
    <n v="2"/>
    <x v="1"/>
  </r>
  <r>
    <x v="79"/>
    <n v="6.5991114577365104E-2"/>
    <n v="13.95"/>
    <n v="2"/>
    <x v="1"/>
  </r>
  <r>
    <x v="80"/>
    <n v="-4.12836043029907E-3"/>
    <n v="20.549999"/>
    <n v="3"/>
    <x v="0"/>
  </r>
  <r>
    <x v="81"/>
    <n v="-5.0735321972946397E-2"/>
    <n v="20.200001"/>
    <n v="3"/>
    <x v="0"/>
  </r>
  <r>
    <x v="82"/>
    <n v="-1.7530185176314401E-2"/>
    <n v="18.209999"/>
    <n v="3"/>
    <x v="0"/>
  </r>
  <r>
    <x v="83"/>
    <n v="5.0486926072412796E-4"/>
    <n v="16.129999000000002"/>
    <n v="2"/>
    <x v="1"/>
  </r>
  <r>
    <x v="84"/>
    <n v="8.2983117760394104E-2"/>
    <n v="15.07"/>
    <n v="2"/>
    <x v="1"/>
  </r>
  <r>
    <x v="85"/>
    <n v="-2.6442831573227101E-2"/>
    <n v="24.5"/>
    <n v="4"/>
    <x v="0"/>
  </r>
  <r>
    <x v="86"/>
    <n v="-6.2580818167202804E-2"/>
    <n v="28.43"/>
    <n v="4"/>
    <x v="0"/>
  </r>
  <r>
    <x v="87"/>
    <n v="1.9742029696721501E-2"/>
    <n v="12.12"/>
    <n v="1"/>
    <x v="1"/>
  </r>
  <r>
    <x v="88"/>
    <n v="-2.10116723759005E-2"/>
    <n v="18.23"/>
    <n v="3"/>
    <x v="0"/>
  </r>
  <r>
    <x v="89"/>
    <n v="1.04913823933168E-2"/>
    <n v="13.84"/>
    <n v="2"/>
    <x v="1"/>
  </r>
  <r>
    <x v="90"/>
    <n v="8.5208197301247495E-3"/>
    <n v="14.55"/>
    <n v="2"/>
    <x v="1"/>
  </r>
  <r>
    <x v="91"/>
    <n v="-1.7396106913756301E-2"/>
    <n v="15.29"/>
    <n v="2"/>
    <x v="0"/>
  </r>
  <r>
    <x v="92"/>
    <n v="5.4892511014553898E-2"/>
    <n v="13.34"/>
    <n v="1"/>
    <x v="1"/>
  </r>
  <r>
    <x v="93"/>
    <n v="-3.1040805790470201E-2"/>
    <n v="20.969999000000001"/>
    <n v="3"/>
    <x v="0"/>
  </r>
  <r>
    <x v="94"/>
    <n v="-4.1885878779204201E-3"/>
    <n v="19.200001"/>
    <n v="3"/>
    <x v="0"/>
  </r>
  <r>
    <x v="95"/>
    <n v="2.4533588760364801E-2"/>
    <n v="13.33"/>
    <n v="1"/>
    <x v="1"/>
  </r>
  <r>
    <x v="96"/>
    <n v="2.32014607867723E-2"/>
    <n v="14.03"/>
    <n v="2"/>
    <x v="1"/>
  </r>
  <r>
    <x v="97"/>
    <n v="-1.5513837223063799E-2"/>
    <n v="16.309999000000001"/>
    <n v="2"/>
    <x v="0"/>
  </r>
  <r>
    <x v="98"/>
    <n v="3.7655295489735098E-2"/>
    <n v="12.09"/>
    <n v="1"/>
    <x v="1"/>
  </r>
  <r>
    <x v="99"/>
    <n v="-1.50798305819199E-2"/>
    <n v="16.950001"/>
    <n v="2"/>
    <x v="0"/>
  </r>
  <r>
    <x v="100"/>
    <n v="1.90583316589206E-2"/>
    <n v="11.57"/>
    <n v="1"/>
    <x v="1"/>
  </r>
  <r>
    <x v="101"/>
    <n v="2.1030280012995999E-2"/>
    <n v="11.4"/>
    <n v="1"/>
    <x v="1"/>
  </r>
  <r>
    <x v="102"/>
    <n v="6.2007889650528298E-3"/>
    <n v="13.41"/>
    <n v="1"/>
    <x v="1"/>
  </r>
  <r>
    <x v="103"/>
    <n v="6.93216560793575E-3"/>
    <n v="13.88"/>
    <n v="2"/>
    <x v="1"/>
  </r>
  <r>
    <x v="104"/>
    <n v="4.3117029976595299E-2"/>
    <n v="14"/>
    <n v="2"/>
    <x v="1"/>
  </r>
  <r>
    <x v="105"/>
    <n v="-3.5582905675162597E-2"/>
    <n v="18.41"/>
    <n v="3"/>
    <x v="0"/>
  </r>
  <r>
    <x v="106"/>
    <n v="2.35627915504928E-2"/>
    <n v="13.72"/>
    <n v="1"/>
    <x v="1"/>
  </r>
  <r>
    <x v="107"/>
    <n v="2.80494716351865E-2"/>
    <n v="13.7"/>
    <n v="1"/>
    <x v="1"/>
  </r>
  <r>
    <x v="108"/>
    <n v="4.45957526180061E-2"/>
    <n v="13.75"/>
    <n v="1"/>
    <x v="1"/>
  </r>
  <r>
    <x v="109"/>
    <n v="2.9749523177239098E-2"/>
    <n v="16.600000000000001"/>
    <n v="2"/>
    <x v="1"/>
  </r>
  <r>
    <x v="110"/>
    <n v="-3.1298019033866899E-2"/>
    <n v="17.010000000000002"/>
    <n v="2"/>
    <x v="0"/>
  </r>
  <r>
    <x v="111"/>
    <n v="4.9462079815224998E-2"/>
    <n v="13.45"/>
    <n v="1"/>
    <x v="1"/>
  </r>
  <r>
    <x v="112"/>
    <n v="-1.4999301636062799E-2"/>
    <n v="16.860001"/>
    <n v="2"/>
    <x v="0"/>
  </r>
  <r>
    <x v="113"/>
    <n v="2.07628117210461E-2"/>
    <n v="16.299999"/>
    <n v="2"/>
    <x v="1"/>
  </r>
  <r>
    <x v="114"/>
    <n v="1.80857678592523E-2"/>
    <n v="13.52"/>
    <n v="1"/>
    <x v="1"/>
  </r>
  <r>
    <x v="115"/>
    <n v="3.5987723516956102E-2"/>
    <n v="12.7"/>
    <n v="1"/>
    <x v="1"/>
  </r>
  <r>
    <x v="116"/>
    <n v="1.10606491952592E-2"/>
    <n v="15.51"/>
    <n v="2"/>
    <x v="1"/>
  </r>
  <r>
    <x v="117"/>
    <n v="5.0428096519578497E-2"/>
    <n v="14.28"/>
    <n v="2"/>
    <x v="1"/>
  </r>
  <r>
    <x v="118"/>
    <n v="7.0682304638645102E-3"/>
    <n v="18.02"/>
    <n v="2"/>
    <x v="1"/>
  </r>
  <r>
    <x v="119"/>
    <n v="2.8467170173434001E-3"/>
    <n v="15.87"/>
    <n v="2"/>
    <x v="1"/>
  </r>
  <r>
    <x v="120"/>
    <n v="-1.9789409878227401E-2"/>
    <n v="18.600000000000001"/>
    <n v="3"/>
    <x v="0"/>
  </r>
  <r>
    <x v="121"/>
    <n v="2.4236153696477001E-2"/>
    <n v="15.73"/>
    <n v="2"/>
    <x v="1"/>
  </r>
  <r>
    <x v="122"/>
    <n v="1.9763369680148201E-2"/>
    <n v="17.469999000000001"/>
    <n v="2"/>
    <x v="1"/>
  </r>
  <r>
    <x v="123"/>
    <n v="1.25975741261544E-2"/>
    <n v="18.93"/>
    <n v="3"/>
    <x v="1"/>
  </r>
  <r>
    <x v="124"/>
    <n v="3.95549821345915E-2"/>
    <n v="17.079999999999998"/>
    <n v="2"/>
    <x v="1"/>
  </r>
  <r>
    <x v="125"/>
    <n v="-6.2650725633177598E-2"/>
    <n v="24.059999000000001"/>
    <n v="4"/>
    <x v="0"/>
  </r>
  <r>
    <x v="126"/>
    <n v="-7.4974527092703802E-3"/>
    <n v="17.149999999999999"/>
    <n v="2"/>
    <x v="0"/>
  </r>
  <r>
    <x v="127"/>
    <n v="3.1332314530530599E-2"/>
    <n v="15.5"/>
    <n v="2"/>
    <x v="1"/>
  </r>
  <r>
    <x v="128"/>
    <n v="4.0589464130841697E-2"/>
    <n v="18.43"/>
    <n v="3"/>
    <x v="1"/>
  </r>
  <r>
    <x v="129"/>
    <n v="4.3583062218506302E-2"/>
    <n v="19.440000999999999"/>
    <n v="3"/>
    <x v="1"/>
  </r>
  <r>
    <x v="130"/>
    <n v="8.5327639481440603E-3"/>
    <n v="23.4"/>
    <n v="3"/>
    <x v="1"/>
  </r>
  <r>
    <x v="131"/>
    <n v="-5.0587151935872496E-3"/>
    <n v="27.799999"/>
    <n v="4"/>
    <x v="0"/>
  </r>
  <r>
    <x v="132"/>
    <n v="0.10772303853581"/>
    <n v="29.959999"/>
    <n v="4"/>
    <x v="1"/>
  </r>
  <r>
    <x v="133"/>
    <n v="-7.1761988303760099E-2"/>
    <n v="42.959999000000003"/>
    <n v="4"/>
    <x v="0"/>
  </r>
  <r>
    <x v="134"/>
    <n v="-5.6791107463597598E-2"/>
    <n v="31.620000999999998"/>
    <n v="4"/>
    <x v="0"/>
  </r>
  <r>
    <x v="135"/>
    <n v="-2.1474425791951999E-2"/>
    <n v="25.25"/>
    <n v="4"/>
    <x v="0"/>
  </r>
  <r>
    <x v="136"/>
    <n v="-1.8257461265697099E-2"/>
    <n v="16.52"/>
    <n v="2"/>
    <x v="0"/>
  </r>
  <r>
    <x v="137"/>
    <n v="-1.3500952766930601E-2"/>
    <n v="15.45"/>
    <n v="2"/>
    <x v="0"/>
  </r>
  <r>
    <x v="138"/>
    <n v="2.8495380443795099E-2"/>
    <n v="14.75"/>
    <n v="2"/>
    <x v="1"/>
  </r>
  <r>
    <x v="139"/>
    <n v="-1.0473132038185699E-3"/>
    <n v="17.739999999999998"/>
    <n v="2"/>
    <x v="0"/>
  </r>
  <r>
    <x v="140"/>
    <n v="3.1956564052952198E-2"/>
    <n v="18.350000000000001"/>
    <n v="3"/>
    <x v="1"/>
  </r>
  <r>
    <x v="141"/>
    <n v="2.2645573980086799E-2"/>
    <n v="19.530000999999999"/>
    <n v="3"/>
    <x v="1"/>
  </r>
  <r>
    <x v="142"/>
    <n v="6.5300040489854702E-2"/>
    <n v="17.75"/>
    <n v="2"/>
    <x v="1"/>
  </r>
  <r>
    <x v="143"/>
    <n v="-2.29024979894321E-3"/>
    <n v="23.540001"/>
    <n v="3"/>
    <x v="0"/>
  </r>
  <r>
    <x v="144"/>
    <n v="3.68559943970765E-2"/>
    <n v="21.200001"/>
    <n v="3"/>
    <x v="1"/>
  </r>
  <r>
    <x v="145"/>
    <n v="8.7551102944020104E-2"/>
    <n v="23.700001"/>
    <n v="3"/>
    <x v="1"/>
  </r>
  <r>
    <x v="146"/>
    <n v="-4.7449184040287203E-2"/>
    <n v="26.049999"/>
    <n v="4"/>
    <x v="0"/>
  </r>
  <r>
    <x v="147"/>
    <n v="6.8777849911552294E-2"/>
    <n v="23.5"/>
    <n v="3"/>
    <x v="1"/>
  </r>
  <r>
    <x v="148"/>
    <n v="-5.3882442026415102E-2"/>
    <n v="34.540000999999997"/>
    <n v="4"/>
    <x v="0"/>
  </r>
  <r>
    <x v="149"/>
    <n v="-8.1975841910334496E-2"/>
    <n v="32.07"/>
    <n v="4"/>
    <x v="0"/>
  </r>
  <r>
    <x v="150"/>
    <n v="1.47592298837911E-2"/>
    <n v="22.049999"/>
    <n v="3"/>
    <x v="1"/>
  </r>
  <r>
    <x v="151"/>
    <n v="5.8796426031891801E-2"/>
    <n v="17.59"/>
    <n v="2"/>
    <x v="1"/>
  </r>
  <r>
    <x v="152"/>
    <n v="2.8513688940531301E-2"/>
    <n v="19.5"/>
    <n v="3"/>
    <x v="1"/>
  </r>
  <r>
    <x v="153"/>
    <n v="-3.6974246154947397E-2"/>
    <n v="24.620000999999998"/>
    <n v="4"/>
    <x v="0"/>
  </r>
  <r>
    <x v="154"/>
    <n v="1.7770571188400398E-2"/>
    <n v="21.68"/>
    <n v="3"/>
    <x v="1"/>
  </r>
  <r>
    <x v="155"/>
    <n v="5.7364061981373601E-2"/>
    <n v="24.51"/>
    <n v="4"/>
    <x v="1"/>
  </r>
  <r>
    <x v="156"/>
    <n v="-1.9762000860415501E-2"/>
    <n v="30.690000999999999"/>
    <n v="4"/>
    <x v="0"/>
  </r>
  <r>
    <x v="157"/>
    <n v="3.5723345788458698E-2"/>
    <n v="25.610001"/>
    <n v="4"/>
    <x v="1"/>
  </r>
  <r>
    <x v="158"/>
    <n v="3.3560189240494899E-2"/>
    <n v="26.01"/>
    <n v="4"/>
    <x v="1"/>
  </r>
  <r>
    <x v="159"/>
    <n v="7.4141727016716605E-2"/>
    <n v="25.92"/>
    <n v="4"/>
    <x v="1"/>
  </r>
  <r>
    <x v="160"/>
    <n v="1.9582653030303401E-4"/>
    <n v="26.35"/>
    <n v="4"/>
    <x v="1"/>
  </r>
  <r>
    <x v="161"/>
    <n v="5.3081446255385502E-2"/>
    <n v="28.92"/>
    <n v="4"/>
    <x v="1"/>
  </r>
  <r>
    <x v="162"/>
    <n v="9.3925079862164695E-2"/>
    <n v="36.5"/>
    <n v="4"/>
    <x v="1"/>
  </r>
  <r>
    <x v="163"/>
    <n v="8.5404461622494696E-2"/>
    <n v="44.139999000000003"/>
    <n v="4"/>
    <x v="1"/>
  </r>
  <r>
    <x v="164"/>
    <n v="-0.109931197571492"/>
    <n v="46.349997999999999"/>
    <n v="4"/>
    <x v="0"/>
  </r>
  <r>
    <x v="165"/>
    <n v="-8.5657342928314395E-2"/>
    <n v="44.84"/>
    <n v="4"/>
    <x v="0"/>
  </r>
  <r>
    <x v="166"/>
    <n v="7.8215768970539799E-3"/>
    <n v="40"/>
    <n v="4"/>
    <x v="1"/>
  </r>
  <r>
    <x v="167"/>
    <n v="-7.4849042580645203E-2"/>
    <n v="55.279998999999997"/>
    <n v="4"/>
    <x v="0"/>
  </r>
  <r>
    <x v="168"/>
    <n v="-0.16942452376742001"/>
    <n v="59.889999000000003"/>
    <n v="4"/>
    <x v="0"/>
  </r>
  <r>
    <x v="169"/>
    <n v="-9.0791433779084593E-2"/>
    <n v="39.389999000000003"/>
    <n v="4"/>
    <x v="0"/>
  </r>
  <r>
    <x v="170"/>
    <n v="1.2190464532379999E-2"/>
    <n v="20.65"/>
    <n v="3"/>
    <x v="1"/>
  </r>
  <r>
    <x v="171"/>
    <n v="-9.8593710937500099E-3"/>
    <n v="22.940000999999999"/>
    <n v="3"/>
    <x v="0"/>
  </r>
  <r>
    <x v="172"/>
    <n v="-8.5962384902803599E-2"/>
    <n v="23.950001"/>
    <n v="4"/>
    <x v="0"/>
  </r>
  <r>
    <x v="173"/>
    <n v="1.06741816575771E-2"/>
    <n v="17.829999999999998"/>
    <n v="2"/>
    <x v="1"/>
  </r>
  <r>
    <x v="174"/>
    <n v="4.7546697913198897E-2"/>
    <n v="20.790001"/>
    <n v="3"/>
    <x v="1"/>
  </r>
  <r>
    <x v="175"/>
    <n v="-5.95962361452984E-3"/>
    <n v="25.610001"/>
    <n v="4"/>
    <x v="0"/>
  </r>
  <r>
    <x v="176"/>
    <n v="-3.4761192772624502E-2"/>
    <n v="26.540001"/>
    <n v="4"/>
    <x v="0"/>
  </r>
  <r>
    <x v="177"/>
    <n v="-6.1163431935936402E-2"/>
    <n v="26.200001"/>
    <n v="4"/>
    <x v="0"/>
  </r>
  <r>
    <x v="178"/>
    <n v="-8.6285090339686104E-3"/>
    <n v="22.5"/>
    <n v="3"/>
    <x v="0"/>
  </r>
  <r>
    <x v="179"/>
    <n v="-4.4043417224814398E-2"/>
    <n v="22.870000999999998"/>
    <n v="3"/>
    <x v="0"/>
  </r>
  <r>
    <x v="180"/>
    <n v="1.48223383003112E-2"/>
    <n v="18.530000999999999"/>
    <n v="3"/>
    <x v="1"/>
  </r>
  <r>
    <x v="181"/>
    <n v="3.5794008343299502E-2"/>
    <n v="18"/>
    <n v="2"/>
    <x v="1"/>
  </r>
  <r>
    <x v="182"/>
    <n v="1.2863571531556799E-2"/>
    <n v="23.379999000000002"/>
    <n v="3"/>
    <x v="1"/>
  </r>
  <r>
    <x v="183"/>
    <n v="-3.1981878316802499E-2"/>
    <n v="23.52"/>
    <n v="3"/>
    <x v="0"/>
  </r>
  <r>
    <x v="184"/>
    <n v="-1.7816322202167601E-2"/>
    <n v="16.23"/>
    <n v="2"/>
    <x v="0"/>
  </r>
  <r>
    <x v="185"/>
    <n v="3.2549228709934902E-2"/>
    <n v="13.05"/>
    <n v="1"/>
    <x v="1"/>
  </r>
  <r>
    <x v="186"/>
    <n v="4.3290690602424201E-2"/>
    <n v="14.22"/>
    <n v="2"/>
    <x v="1"/>
  </r>
  <r>
    <x v="187"/>
    <n v="9.9799828968305491E-3"/>
    <n v="14.64"/>
    <n v="2"/>
    <x v="1"/>
  </r>
  <r>
    <x v="188"/>
    <n v="-2.1846176033528199E-2"/>
    <n v="15.42"/>
    <n v="2"/>
    <x v="0"/>
  </r>
  <r>
    <x v="189"/>
    <n v="1.4059042735039801E-2"/>
    <n v="10.42"/>
    <n v="1"/>
    <x v="1"/>
  </r>
  <r>
    <x v="190"/>
    <n v="1.26157828526599E-2"/>
    <n v="11.56"/>
    <n v="1"/>
    <x v="1"/>
  </r>
  <r>
    <x v="191"/>
    <n v="1.64666567278202E-2"/>
    <n v="10.91"/>
    <n v="1"/>
    <x v="1"/>
  </r>
  <r>
    <x v="192"/>
    <n v="3.1508002961554198E-2"/>
    <n v="11.1"/>
    <n v="1"/>
    <x v="1"/>
  </r>
  <r>
    <x v="193"/>
    <n v="2.45662985125095E-2"/>
    <n v="11.98"/>
    <n v="1"/>
    <x v="1"/>
  </r>
  <r>
    <x v="194"/>
    <n v="2.12741930323481E-2"/>
    <n v="12.31"/>
    <n v="1"/>
    <x v="1"/>
  </r>
  <r>
    <x v="195"/>
    <n v="5.0858787979908299E-3"/>
    <n v="14.95"/>
    <n v="2"/>
    <x v="1"/>
  </r>
  <r>
    <x v="196"/>
    <n v="8.6596227782509403E-5"/>
    <n v="13.08"/>
    <n v="1"/>
    <x v="1"/>
  </r>
  <r>
    <x v="197"/>
    <n v="-3.0916916141150899E-2"/>
    <n v="16.440000999999999"/>
    <n v="2"/>
    <x v="0"/>
  </r>
  <r>
    <x v="198"/>
    <n v="1.21556527379414E-2"/>
    <n v="11.59"/>
    <n v="1"/>
    <x v="1"/>
  </r>
  <r>
    <x v="199"/>
    <n v="1.10958104592496E-2"/>
    <n v="11.39"/>
    <n v="1"/>
    <x v="1"/>
  </r>
  <r>
    <x v="200"/>
    <n v="4.53157630725398E-4"/>
    <n v="12.34"/>
    <n v="1"/>
    <x v="1"/>
  </r>
  <r>
    <x v="201"/>
    <n v="2.5466771348641601E-2"/>
    <n v="12.95"/>
    <n v="1"/>
    <x v="1"/>
  </r>
  <r>
    <x v="202"/>
    <n v="-9.5234899241847205E-4"/>
    <n v="12.07"/>
    <n v="1"/>
    <x v="0"/>
  </r>
  <r>
    <x v="203"/>
    <n v="3.5186095929726498E-2"/>
    <n v="12.06"/>
    <n v="1"/>
    <x v="1"/>
  </r>
  <r>
    <x v="204"/>
    <n v="-1.7740780066319399E-2"/>
    <n v="15.32"/>
    <n v="2"/>
    <x v="0"/>
  </r>
  <r>
    <x v="205"/>
    <n v="6.9490246947603298E-3"/>
    <n v="11.92"/>
    <n v="1"/>
    <x v="1"/>
  </r>
  <r>
    <x v="206"/>
    <n v="-1.12221048744966E-2"/>
    <n v="12.6"/>
    <n v="1"/>
    <x v="0"/>
  </r>
  <r>
    <x v="207"/>
    <n v="3.5968287193812301E-2"/>
    <n v="11.57"/>
    <n v="1"/>
    <x v="1"/>
  </r>
  <r>
    <x v="208"/>
    <n v="-1.42714225765839E-4"/>
    <n v="12.04"/>
    <n v="1"/>
    <x v="0"/>
  </r>
  <r>
    <x v="209"/>
    <n v="2.9952046262565798E-2"/>
    <n v="13.29"/>
    <n v="1"/>
    <x v="1"/>
  </r>
  <r>
    <x v="210"/>
    <n v="-2.0108581881679299E-2"/>
    <n v="15.31"/>
    <n v="2"/>
    <x v="0"/>
  </r>
  <r>
    <x v="211"/>
    <n v="-1.9117655748441001E-2"/>
    <n v="14.02"/>
    <n v="2"/>
    <x v="0"/>
  </r>
  <r>
    <x v="212"/>
    <n v="1.8903346078316601E-2"/>
    <n v="12.08"/>
    <n v="1"/>
    <x v="1"/>
  </r>
  <r>
    <x v="213"/>
    <n v="-2.5290467099494601E-2"/>
    <n v="12.82"/>
    <n v="1"/>
    <x v="0"/>
  </r>
  <r>
    <x v="214"/>
    <n v="3.24582131440454E-2"/>
    <n v="13.29"/>
    <n v="1"/>
    <x v="1"/>
  </r>
  <r>
    <x v="215"/>
    <n v="3.8594936198152401E-2"/>
    <n v="13.24"/>
    <n v="1"/>
    <x v="1"/>
  </r>
  <r>
    <x v="216"/>
    <n v="1.4014243586487E-2"/>
    <n v="16.27"/>
    <n v="2"/>
    <x v="1"/>
  </r>
  <r>
    <x v="217"/>
    <n v="9.3638756915515008E-3"/>
    <n v="13.34"/>
    <n v="1"/>
    <x v="1"/>
  </r>
  <r>
    <x v="218"/>
    <n v="2.28734984055223E-3"/>
    <n v="15.29"/>
    <n v="2"/>
    <x v="1"/>
  </r>
  <r>
    <x v="219"/>
    <n v="-3.4290519411905002E-2"/>
    <n v="15.32"/>
    <n v="2"/>
    <x v="0"/>
  </r>
  <r>
    <x v="220"/>
    <n v="1.7988998669195701E-2"/>
    <n v="14.34"/>
    <n v="2"/>
    <x v="1"/>
  </r>
  <r>
    <x v="221"/>
    <n v="1.2083450201310301E-2"/>
    <n v="15.5"/>
    <n v="2"/>
    <x v="1"/>
  </r>
  <r>
    <x v="222"/>
    <n v="-1.6790751862298701E-2"/>
    <n v="17.190000999999999"/>
    <n v="2"/>
    <x v="0"/>
  </r>
  <r>
    <x v="223"/>
    <n v="-1.6358919214261199E-2"/>
    <n v="16.739999999999998"/>
    <n v="2"/>
    <x v="0"/>
  </r>
  <r>
    <x v="224"/>
    <n v="1.22089732735895E-2"/>
    <n v="14.55"/>
    <n v="2"/>
    <x v="1"/>
  </r>
  <r>
    <x v="225"/>
    <n v="1.7276387006114599E-2"/>
    <n v="16.629999000000002"/>
    <n v="2"/>
    <x v="1"/>
  </r>
  <r>
    <x v="226"/>
    <n v="5.0765541001239298E-2"/>
    <n v="18.309999000000001"/>
    <n v="3"/>
    <x v="1"/>
  </r>
  <r>
    <x v="227"/>
    <n v="7.1285038478854403E-3"/>
    <n v="16.32"/>
    <n v="2"/>
    <x v="1"/>
  </r>
  <r>
    <x v="228"/>
    <n v="5.4961486384010702E-2"/>
    <n v="16.100000000000001"/>
    <n v="2"/>
    <x v="1"/>
  </r>
  <r>
    <x v="229"/>
    <n v="-1.1944364520745199E-2"/>
    <n v="22.719999000000001"/>
    <n v="3"/>
    <x v="0"/>
  </r>
  <r>
    <x v="230"/>
    <n v="1.7873203376464399E-2"/>
    <n v="18.629999000000002"/>
    <n v="3"/>
    <x v="1"/>
  </r>
  <r>
    <x v="231"/>
    <n v="1.62237024114931E-2"/>
    <n v="19.489999999999998"/>
    <n v="3"/>
    <x v="1"/>
  </r>
  <r>
    <x v="232"/>
    <n v="1.13222145251615E-2"/>
    <n v="19.52"/>
    <n v="3"/>
    <x v="1"/>
  </r>
  <r>
    <x v="233"/>
    <n v="5.0898709664177998E-2"/>
    <n v="19.469999000000001"/>
    <n v="3"/>
    <x v="1"/>
  </r>
  <r>
    <x v="234"/>
    <n v="8.1044106872726104E-2"/>
    <n v="21.209999"/>
    <n v="3"/>
    <x v="1"/>
  </r>
  <r>
    <x v="235"/>
    <n v="8.3575685661514392E-3"/>
    <n v="29.15"/>
    <n v="4"/>
    <x v="1"/>
  </r>
  <r>
    <x v="236"/>
    <n v="-1.7003608502929399E-2"/>
    <n v="29.629999000000002"/>
    <n v="4"/>
    <x v="0"/>
  </r>
  <r>
    <x v="237"/>
    <n v="-2.74146925599522E-2"/>
    <n v="31.17"/>
    <n v="4"/>
    <x v="0"/>
  </r>
  <r>
    <x v="238"/>
    <n v="-6.0332572674290597E-2"/>
    <n v="28.620000999999998"/>
    <n v="4"/>
    <x v="0"/>
  </r>
  <r>
    <x v="239"/>
    <n v="5.7069620923617899E-2"/>
    <n v="27.5"/>
    <n v="4"/>
    <x v="1"/>
  </r>
  <r>
    <x v="240"/>
    <n v="8.6448801016809906E-2"/>
    <n v="31.139999"/>
    <n v="4"/>
    <x v="1"/>
  </r>
  <r>
    <x v="241"/>
    <n v="-0.110024318261519"/>
    <n v="39.689999"/>
    <n v="4"/>
    <x v="0"/>
  </r>
  <r>
    <x v="242"/>
    <n v="4.8814330800193203E-3"/>
    <n v="32.639999000000003"/>
    <n v="4"/>
    <x v="1"/>
  </r>
  <r>
    <x v="243"/>
    <n v="-7.9004274966125304E-2"/>
    <n v="32.029998999999997"/>
    <n v="4"/>
    <x v="0"/>
  </r>
  <r>
    <x v="244"/>
    <n v="-7.2455354417573697E-2"/>
    <n v="25.4"/>
    <n v="4"/>
    <x v="0"/>
  </r>
  <r>
    <x v="245"/>
    <n v="-9.0814810760454501E-3"/>
    <n v="19.98"/>
    <n v="3"/>
    <x v="0"/>
  </r>
  <r>
    <x v="246"/>
    <n v="-6.1417626159139899E-2"/>
    <n v="21.91"/>
    <n v="3"/>
    <x v="0"/>
  </r>
  <r>
    <x v="247"/>
    <n v="3.67388936188391E-2"/>
    <n v="17.399999999999999"/>
    <n v="2"/>
    <x v="1"/>
  </r>
  <r>
    <x v="248"/>
    <n v="-2.0766211305560299E-2"/>
    <n v="21.59"/>
    <n v="3"/>
    <x v="0"/>
  </r>
  <r>
    <x v="249"/>
    <n v="-1.55738325597943E-2"/>
    <n v="21.09"/>
    <n v="3"/>
    <x v="0"/>
  </r>
  <r>
    <x v="250"/>
    <n v="7.5738341929156797E-3"/>
    <n v="23.799999"/>
    <n v="3"/>
    <x v="1"/>
  </r>
  <r>
    <x v="251"/>
    <n v="7.5175904263053497E-2"/>
    <n v="23.84"/>
    <n v="4"/>
    <x v="1"/>
  </r>
  <r>
    <x v="252"/>
    <n v="1.8099111445277798E-2"/>
    <n v="33.560001"/>
    <n v="4"/>
    <x v="1"/>
  </r>
  <r>
    <x v="253"/>
    <n v="-8.1723406019716199E-2"/>
    <n v="31.93"/>
    <n v="4"/>
    <x v="0"/>
  </r>
  <r>
    <x v="254"/>
    <n v="-6.4108406563714707E-2"/>
    <n v="24.92"/>
    <n v="4"/>
    <x v="0"/>
  </r>
  <r>
    <x v="255"/>
    <n v="-1.0740150072934201E-2"/>
    <n v="21.620000999999998"/>
    <n v="3"/>
    <x v="0"/>
  </r>
  <r>
    <x v="256"/>
    <n v="-2.5035389109833502E-2"/>
    <n v="19.059999000000001"/>
    <n v="3"/>
    <x v="0"/>
  </r>
  <r>
    <x v="257"/>
    <n v="5.0901871196495901E-3"/>
    <n v="22.639999"/>
    <n v="3"/>
    <x v="1"/>
  </r>
  <r>
    <x v="258"/>
    <n v="7.6814361759009797E-2"/>
    <n v="25.48"/>
    <n v="4"/>
    <x v="1"/>
  </r>
  <r>
    <x v="259"/>
    <n v="-6.4204710540895493E-2"/>
    <n v="28.639999"/>
    <n v="4"/>
    <x v="0"/>
  </r>
  <r>
    <x v="260"/>
    <n v="-9.2290735848999994E-2"/>
    <n v="28.35"/>
    <n v="4"/>
    <x v="0"/>
  </r>
  <r>
    <x v="261"/>
    <n v="3.4636577086329501E-2"/>
    <n v="22.02"/>
    <n v="3"/>
    <x v="1"/>
  </r>
  <r>
    <x v="262"/>
    <n v="4.0534455291978402E-3"/>
    <n v="26.85"/>
    <n v="4"/>
    <x v="1"/>
  </r>
  <r>
    <x v="263"/>
    <n v="-8.0068609961069903E-2"/>
    <n v="29.65"/>
    <n v="4"/>
    <x v="0"/>
  </r>
  <r>
    <x v="264"/>
    <n v="-4.9494858723608797E-3"/>
    <n v="23.629999000000002"/>
    <n v="3"/>
    <x v="0"/>
  </r>
  <r>
    <x v="265"/>
    <n v="-5.3482974745611297E-2"/>
    <n v="20.57"/>
    <n v="3"/>
    <x v="0"/>
  </r>
  <r>
    <x v="266"/>
    <n v="6.0699105184235998E-2"/>
    <n v="16.84"/>
    <n v="2"/>
    <x v="1"/>
  </r>
  <r>
    <x v="267"/>
    <n v="-1.6341276221772699E-2"/>
    <n v="20.74"/>
    <n v="3"/>
    <x v="0"/>
  </r>
  <r>
    <x v="268"/>
    <n v="2.3933549608901299E-2"/>
    <n v="19.540001"/>
    <n v="3"/>
    <x v="1"/>
  </r>
  <r>
    <x v="269"/>
    <n v="-2.1915050512993601E-2"/>
    <n v="23.65"/>
    <n v="3"/>
    <x v="0"/>
  </r>
  <r>
    <x v="270"/>
    <n v="-3.0795755551931401E-2"/>
    <n v="26.200001"/>
    <n v="4"/>
    <x v="0"/>
  </r>
  <r>
    <x v="271"/>
    <n v="9.6719828269732397E-2"/>
    <n v="24.110001"/>
    <n v="4"/>
    <x v="1"/>
  </r>
  <r>
    <x v="272"/>
    <n v="-2.0108083261058299E-2"/>
    <n v="23.370000999999998"/>
    <n v="3"/>
    <x v="0"/>
  </r>
  <r>
    <x v="273"/>
    <n v="-5.0903548749361899E-2"/>
    <n v="24.950001"/>
    <n v="4"/>
    <x v="0"/>
  </r>
  <r>
    <x v="274"/>
    <n v="5.7843894876779399E-2"/>
    <n v="24.639999"/>
    <n v="4"/>
    <x v="1"/>
  </r>
  <r>
    <x v="275"/>
    <n v="1.9061858621249601E-2"/>
    <n v="24.18"/>
    <n v="4"/>
    <x v="1"/>
  </r>
  <r>
    <x v="276"/>
    <n v="6.2539541625965298E-2"/>
    <n v="22.200001"/>
    <n v="3"/>
    <x v="1"/>
  </r>
  <r>
    <x v="277"/>
    <n v="-2.85517922684916E-2"/>
    <n v="25.41"/>
    <n v="4"/>
    <x v="0"/>
  </r>
  <r>
    <x v="278"/>
    <n v="-6.2540920445004504E-3"/>
    <n v="24.450001"/>
    <n v="4"/>
    <x v="0"/>
  </r>
  <r>
    <x v="279"/>
    <n v="-3.2046092218893797E-2"/>
    <n v="24.639999"/>
    <n v="4"/>
    <x v="0"/>
  </r>
  <r>
    <x v="280"/>
    <n v="5.4438331016794198E-2"/>
    <n v="21.09"/>
    <n v="3"/>
    <x v="1"/>
  </r>
  <r>
    <x v="281"/>
    <n v="-2.4970480872686801E-2"/>
    <n v="25.389999"/>
    <n v="4"/>
    <x v="0"/>
  </r>
  <r>
    <x v="282"/>
    <n v="3.7944027915545402E-2"/>
    <n v="25.07"/>
    <n v="4"/>
    <x v="1"/>
  </r>
  <r>
    <x v="283"/>
    <n v="3.8794215360158799E-2"/>
    <n v="23.26"/>
    <n v="3"/>
    <x v="1"/>
  </r>
  <r>
    <x v="284"/>
    <n v="-3.2282562686194102E-2"/>
    <n v="27.879999000000002"/>
    <n v="4"/>
    <x v="0"/>
  </r>
  <r>
    <x v="285"/>
    <n v="4.1009441536725297E-2"/>
    <n v="26.25"/>
    <n v="4"/>
    <x v="1"/>
  </r>
  <r>
    <x v="286"/>
    <n v="5.63752865757359E-2"/>
    <n v="24.42"/>
    <n v="4"/>
    <x v="1"/>
  </r>
  <r>
    <x v="287"/>
    <n v="5.91259963396253E-2"/>
    <n v="26.01"/>
    <n v="4"/>
    <x v="1"/>
  </r>
  <r>
    <x v="288"/>
    <n v="8.0294228372442406E-2"/>
    <n v="28.049999"/>
    <n v="4"/>
    <x v="1"/>
  </r>
  <r>
    <x v="289"/>
    <n v="6.2395515617718902E-2"/>
    <n v="40.950001"/>
    <n v="4"/>
    <x v="1"/>
  </r>
  <r>
    <x v="290"/>
    <n v="-0.14579671855670701"/>
    <n v="44.279998999999997"/>
    <n v="4"/>
    <x v="0"/>
  </r>
  <r>
    <x v="291"/>
    <n v="-1.1615327025789501E-2"/>
    <n v="24.799999"/>
    <n v="4"/>
    <x v="0"/>
  </r>
  <r>
    <x v="292"/>
    <n v="3.9438241075214098E-2"/>
    <n v="19.709999"/>
    <n v="3"/>
    <x v="1"/>
  </r>
  <r>
    <x v="293"/>
    <n v="-1.8826223521475099E-2"/>
    <n v="21.32"/>
    <n v="3"/>
    <x v="0"/>
  </r>
  <r>
    <x v="294"/>
    <n v="9.0764692534604004E-3"/>
    <n v="21.18"/>
    <n v="3"/>
    <x v="1"/>
  </r>
  <r>
    <x v="295"/>
    <n v="4.9945714161429497E-2"/>
    <n v="24.219999000000001"/>
    <n v="4"/>
    <x v="1"/>
  </r>
  <r>
    <x v="296"/>
    <n v="7.0449193043797195E-2"/>
    <n v="18.549999"/>
    <n v="3"/>
    <x v="1"/>
  </r>
  <r>
    <x v="297"/>
    <n v="1.01501767989975E-2"/>
    <n v="21.469999000000001"/>
    <n v="3"/>
    <x v="1"/>
  </r>
  <r>
    <x v="298"/>
    <n v="1.5731597888257998E-2"/>
    <n v="24.01"/>
    <n v="4"/>
    <x v="1"/>
  </r>
  <r>
    <x v="299"/>
    <n v="4.4586854893763801E-2"/>
    <n v="27.43"/>
    <n v="4"/>
    <x v="1"/>
  </r>
  <r>
    <x v="300"/>
    <n v="-3.4477697196337802E-2"/>
    <n v="35.090000000000003"/>
    <n v="4"/>
    <x v="0"/>
  </r>
  <r>
    <x v="301"/>
    <n v="5.3153589937912499E-2"/>
    <n v="22.91"/>
    <n v="3"/>
    <x v="1"/>
  </r>
  <r>
    <x v="302"/>
    <n v="-5.7465631833399297E-2"/>
    <n v="24.76"/>
    <n v="4"/>
    <x v="0"/>
  </r>
  <r>
    <x v="303"/>
    <n v="7.8145809507889102E-2"/>
    <n v="21.48"/>
    <n v="3"/>
    <x v="1"/>
  </r>
  <r>
    <x v="304"/>
    <n v="4.3452615574897498E-2"/>
    <n v="21.530000999999999"/>
    <n v="3"/>
    <x v="1"/>
  </r>
  <r>
    <x v="305"/>
    <n v="5.8576884241924997E-2"/>
    <n v="19.190000999999999"/>
    <n v="3"/>
    <x v="1"/>
  </r>
  <r>
    <x v="306"/>
    <n v="5.8405579422057E-2"/>
    <n v="20.059999000000001"/>
    <n v="3"/>
    <x v="1"/>
  </r>
  <r>
    <x v="307"/>
    <n v="-4.2614010396426399E-2"/>
    <n v="22.139999"/>
    <n v="3"/>
    <x v="0"/>
  </r>
  <r>
    <x v="308"/>
    <n v="5.9275900071804602E-3"/>
    <n v="21.1"/>
    <n v="3"/>
    <x v="1"/>
  </r>
  <r>
    <x v="309"/>
    <n v="6.1317039194819199E-2"/>
    <n v="19.469999000000001"/>
    <n v="3"/>
    <x v="1"/>
  </r>
  <r>
    <x v="310"/>
    <n v="-2.1505415404998202E-2"/>
    <n v="20.92"/>
    <n v="3"/>
    <x v="0"/>
  </r>
  <r>
    <x v="311"/>
    <n v="7.3376151732636993E-2"/>
    <n v="17.139999"/>
    <n v="2"/>
    <x v="1"/>
  </r>
  <r>
    <x v="312"/>
    <n v="2.61010032390308E-2"/>
    <n v="18.110001"/>
    <n v="3"/>
    <x v="1"/>
  </r>
  <r>
    <x v="313"/>
    <n v="5.4203327569492199E-2"/>
    <n v="16.950001"/>
    <n v="2"/>
    <x v="1"/>
  </r>
  <r>
    <x v="314"/>
    <n v="1.8813935110919298E-2"/>
    <n v="17.010000000000002"/>
    <n v="2"/>
    <x v="1"/>
  </r>
  <r>
    <x v="315"/>
    <n v="-4.5748017194667499E-2"/>
    <n v="19.459999"/>
    <n v="3"/>
    <x v="0"/>
  </r>
  <r>
    <x v="316"/>
    <n v="2.2567103229369501E-3"/>
    <n v="13.68"/>
    <n v="1"/>
    <x v="1"/>
  </r>
  <r>
    <x v="317"/>
    <n v="2.2853405672084999E-2"/>
    <n v="16.07"/>
    <n v="2"/>
    <x v="1"/>
  </r>
  <r>
    <x v="318"/>
    <n v="1.34314221533696E-2"/>
    <n v="15.83"/>
    <n v="2"/>
    <x v="1"/>
  </r>
  <r>
    <x v="319"/>
    <n v="7.9165670805803091E-3"/>
    <n v="18.879999000000002"/>
    <n v="3"/>
    <x v="1"/>
  </r>
  <r>
    <x v="320"/>
    <n v="6.9337015523502901E-3"/>
    <n v="17.040001"/>
    <n v="2"/>
    <x v="1"/>
  </r>
  <r>
    <x v="321"/>
    <n v="3.2617387086717201E-2"/>
    <n v="12.53"/>
    <n v="1"/>
    <x v="1"/>
  </r>
  <r>
    <x v="322"/>
    <n v="1.7443874138492799E-2"/>
    <n v="12.52"/>
    <n v="1"/>
    <x v="1"/>
  </r>
  <r>
    <x v="323"/>
    <n v="4.1049002579535802E-2"/>
    <n v="11.58"/>
    <n v="1"/>
    <x v="1"/>
  </r>
  <r>
    <x v="324"/>
    <n v="-4.9793349436904099E-3"/>
    <n v="13.83"/>
    <n v="1"/>
    <x v="0"/>
  </r>
  <r>
    <x v="325"/>
    <n v="4.0097472413171298E-2"/>
    <n v="12.74"/>
    <n v="1"/>
    <x v="1"/>
  </r>
  <r>
    <x v="326"/>
    <n v="-3.2023805401637501E-4"/>
    <n v="11.52"/>
    <n v="1"/>
    <x v="0"/>
  </r>
  <r>
    <x v="327"/>
    <n v="3.1776040385497903E-2"/>
    <n v="13.49"/>
    <n v="1"/>
    <x v="1"/>
  </r>
  <r>
    <x v="328"/>
    <n v="2.1278544224437399E-2"/>
    <n v="11.38"/>
    <n v="1"/>
    <x v="1"/>
  </r>
  <r>
    <x v="329"/>
    <n v="3.6311711839953402E-2"/>
    <n v="12.85"/>
    <n v="1"/>
    <x v="1"/>
  </r>
  <r>
    <x v="330"/>
    <n v="2.7960358793799302E-2"/>
    <n v="11.75"/>
    <n v="1"/>
    <x v="1"/>
  </r>
  <r>
    <x v="331"/>
    <n v="2.7329193438646801E-2"/>
    <n v="13.37"/>
    <n v="1"/>
    <x v="1"/>
  </r>
  <r>
    <x v="332"/>
    <n v="3.6074149761991602E-2"/>
    <n v="11.75"/>
    <n v="1"/>
    <x v="1"/>
  </r>
  <r>
    <x v="333"/>
    <n v="2.4277710860833E-2"/>
    <n v="11.96"/>
    <n v="1"/>
    <x v="1"/>
  </r>
  <r>
    <x v="334"/>
    <n v="1.22991182864991E-2"/>
    <n v="13.2"/>
    <n v="1"/>
    <x v="1"/>
  </r>
  <r>
    <x v="335"/>
    <n v="-3.9504612602884202E-2"/>
    <n v="15.95"/>
    <n v="2"/>
    <x v="0"/>
  </r>
  <r>
    <x v="336"/>
    <n v="2.0833816402291601E-2"/>
    <n v="14.56"/>
    <n v="2"/>
    <x v="1"/>
  </r>
  <r>
    <x v="337"/>
    <n v="-2.68775353188823E-2"/>
    <n v="14.28"/>
    <n v="2"/>
    <x v="0"/>
  </r>
  <r>
    <x v="338"/>
    <n v="3.7598698607805597E-2"/>
    <n v="11.97"/>
    <n v="1"/>
    <x v="1"/>
  </r>
  <r>
    <x v="339"/>
    <n v="3.1489907818193802E-2"/>
    <n v="11.13"/>
    <n v="1"/>
    <x v="1"/>
  </r>
  <r>
    <x v="340"/>
    <n v="-2.67908236582695E-2"/>
    <n v="14.97"/>
    <n v="2"/>
    <x v="0"/>
  </r>
  <r>
    <x v="341"/>
    <n v="1.23971434441716E-2"/>
    <n v="13.03"/>
    <n v="1"/>
    <x v="1"/>
  </r>
  <r>
    <x v="342"/>
    <n v="1.1530643889981601E-2"/>
    <n v="13.77"/>
    <n v="1"/>
    <x v="1"/>
  </r>
  <r>
    <x v="343"/>
    <n v="-4.5746511353774701E-2"/>
    <n v="20.450001"/>
    <n v="3"/>
    <x v="0"/>
  </r>
  <r>
    <x v="344"/>
    <n v="-3.00449958486637E-2"/>
    <n v="14.87"/>
    <n v="2"/>
    <x v="0"/>
  </r>
  <r>
    <x v="345"/>
    <n v="3.2500745224549397E-2"/>
    <n v="10.63"/>
    <n v="1"/>
    <x v="1"/>
  </r>
  <r>
    <x v="346"/>
    <n v="1.0091173280450901E-2"/>
    <n v="11.66"/>
    <n v="1"/>
    <x v="1"/>
  </r>
  <r>
    <x v="347"/>
    <n v="-1.2910626013377001E-2"/>
    <n v="13.76"/>
    <n v="1"/>
    <x v="0"/>
  </r>
  <r>
    <x v="348"/>
    <n v="1.9392922963742801E-2"/>
    <n v="11.46"/>
    <n v="1"/>
    <x v="1"/>
  </r>
  <r>
    <x v="349"/>
    <n v="-9.9879304080935406E-3"/>
    <n v="12.99"/>
    <n v="1"/>
    <x v="0"/>
  </r>
  <r>
    <x v="350"/>
    <n v="3.4431956860375902E-2"/>
    <n v="11.85"/>
    <n v="1"/>
    <x v="1"/>
  </r>
  <r>
    <x v="351"/>
    <n v="-5.3270459355138104E-3"/>
    <n v="11.73"/>
    <n v="1"/>
    <x v="0"/>
  </r>
  <r>
    <x v="352"/>
    <n v="7.55230010638819E-4"/>
    <n v="11.26"/>
    <n v="1"/>
    <x v="1"/>
  </r>
  <r>
    <x v="353"/>
    <n v="2.2717462810525099E-2"/>
    <n v="13.47"/>
    <n v="1"/>
    <x v="1"/>
  </r>
  <r>
    <x v="354"/>
    <n v="-2.54168102144962E-2"/>
    <n v="12.42"/>
    <n v="1"/>
    <x v="0"/>
  </r>
  <r>
    <x v="355"/>
    <n v="1.8697297817929399E-2"/>
    <n v="12.53"/>
    <n v="1"/>
    <x v="1"/>
  </r>
  <r>
    <x v="356"/>
    <n v="1.0483627354217699E-2"/>
    <n v="13.16"/>
    <n v="1"/>
    <x v="1"/>
  </r>
  <r>
    <x v="357"/>
    <n v="7.0459894503542798E-3"/>
    <n v="12.42"/>
    <n v="1"/>
    <x v="1"/>
  </r>
  <r>
    <x v="358"/>
    <n v="1.01077661744602E-2"/>
    <n v="12.57"/>
    <n v="1"/>
    <x v="1"/>
  </r>
  <r>
    <x v="359"/>
    <n v="3.02618066586238E-2"/>
    <n v="13.01"/>
    <n v="1"/>
    <x v="1"/>
  </r>
  <r>
    <x v="360"/>
    <n v="2.1062829709799199E-3"/>
    <n v="16.149999999999999"/>
    <n v="2"/>
    <x v="1"/>
  </r>
  <r>
    <x v="361"/>
    <n v="9.1055938195434595E-3"/>
    <n v="14.28"/>
    <n v="2"/>
    <x v="1"/>
  </r>
  <r>
    <x v="362"/>
    <n v="-2.3997530034600301E-2"/>
    <n v="13.58"/>
    <n v="1"/>
    <x v="0"/>
  </r>
  <r>
    <x v="363"/>
    <n v="3.9373684053008097E-2"/>
    <n v="13.17"/>
    <n v="1"/>
    <x v="1"/>
  </r>
  <r>
    <x v="364"/>
    <n v="-1.7358832059340301E-2"/>
    <n v="13.35"/>
    <n v="1"/>
    <x v="0"/>
  </r>
  <r>
    <x v="365"/>
    <n v="9.6395707538854403E-4"/>
    <n v="13.86"/>
    <n v="2"/>
    <x v="1"/>
  </r>
  <r>
    <x v="366"/>
    <n v="2.78927145686407E-2"/>
    <n v="15.53"/>
    <n v="2"/>
    <x v="1"/>
  </r>
  <r>
    <x v="367"/>
    <n v="-2.1831862704186199E-2"/>
    <n v="16.18"/>
    <n v="2"/>
    <x v="0"/>
  </r>
  <r>
    <x v="368"/>
    <n v="9.5895420754186205E-3"/>
    <n v="16.68"/>
    <n v="2"/>
    <x v="1"/>
  </r>
  <r>
    <x v="369"/>
    <n v="-1.9923750460799899E-2"/>
    <n v="17.399999999999999"/>
    <n v="2"/>
    <x v="0"/>
  </r>
  <r>
    <x v="370"/>
    <n v="0.1115878548276"/>
    <n v="19.309999000000001"/>
    <n v="3"/>
    <x v="1"/>
  </r>
  <r>
    <x v="371"/>
    <n v="-4.3903708684304897E-2"/>
    <n v="20.260000000000002"/>
    <n v="3"/>
    <x v="0"/>
  </r>
  <r>
    <x v="372"/>
    <n v="1.1834237037883701E-2"/>
    <n v="15.48"/>
    <n v="2"/>
    <x v="1"/>
  </r>
  <r>
    <x v="373"/>
    <n v="-1.9143737536368399E-2"/>
    <n v="15.85"/>
    <n v="2"/>
    <x v="0"/>
  </r>
  <r>
    <x v="374"/>
    <n v="1.96487842997797E-2"/>
    <n v="14.46"/>
    <n v="2"/>
    <x v="1"/>
  </r>
  <r>
    <x v="375"/>
    <n v="4.4859343195825498E-2"/>
    <n v="15.18"/>
    <n v="2"/>
    <x v="1"/>
  </r>
  <r>
    <x v="376"/>
    <n v="-4.7892629152718302E-2"/>
    <n v="19.549999"/>
    <n v="3"/>
    <x v="0"/>
  </r>
  <r>
    <x v="377"/>
    <n v="3.8604974568177998E-2"/>
    <n v="15.93"/>
    <n v="2"/>
    <x v="1"/>
  </r>
  <r>
    <x v="378"/>
    <n v="3.1979905037093898E-4"/>
    <n v="18.239999999999998"/>
    <n v="3"/>
    <x v="1"/>
  </r>
  <r>
    <x v="379"/>
    <n v="2.22028328236583E-2"/>
    <n v="16.879999000000002"/>
    <n v="2"/>
    <x v="1"/>
  </r>
  <r>
    <x v="380"/>
    <n v="6.7281174863978596E-2"/>
    <n v="21.23"/>
    <n v="3"/>
    <x v="1"/>
  </r>
  <r>
    <x v="381"/>
    <n v="4.1517751676101597E-2"/>
    <n v="20.91"/>
    <n v="3"/>
    <x v="1"/>
  </r>
  <r>
    <x v="382"/>
    <n v="2.4827757355757599E-2"/>
    <n v="26.379999000000002"/>
    <n v="4"/>
    <x v="1"/>
  </r>
  <r>
    <x v="383"/>
    <n v="5.9934213815789401E-2"/>
    <n v="22.16"/>
    <n v="3"/>
    <x v="1"/>
  </r>
  <r>
    <x v="384"/>
    <n v="-6.6982129729734599E-3"/>
    <n v="30.040001"/>
    <n v="4"/>
    <x v="0"/>
  </r>
  <r>
    <x v="385"/>
    <n v="-5.1184307112997998E-2"/>
    <n v="29.110001"/>
    <n v="4"/>
    <x v="0"/>
  </r>
  <r>
    <x v="386"/>
    <n v="-9.43141838154853E-2"/>
    <n v="29.9"/>
    <n v="4"/>
    <x v="0"/>
  </r>
  <r>
    <x v="387"/>
    <n v="-5.2231580846174904E-3"/>
    <n v="21.110001"/>
    <n v="3"/>
    <x v="0"/>
  </r>
  <r>
    <x v="388"/>
    <n v="-8.8863657565815303E-3"/>
    <n v="15.5"/>
    <n v="2"/>
    <x v="0"/>
  </r>
  <r>
    <x v="389"/>
    <n v="9.1989190156802597E-2"/>
    <n v="17.370000999999998"/>
    <n v="2"/>
    <x v="1"/>
  </r>
  <r>
    <x v="390"/>
    <n v="-2.6887138748678398E-2"/>
    <n v="19.52"/>
    <n v="3"/>
    <x v="0"/>
  </r>
  <r>
    <x v="391"/>
    <n v="2.4254983989199001E-2"/>
    <n v="19.73"/>
    <n v="3"/>
    <x v="1"/>
  </r>
  <r>
    <x v="392"/>
    <n v="8.5390425155207304E-3"/>
    <n v="21.99"/>
    <n v="3"/>
    <x v="1"/>
  </r>
  <r>
    <x v="393"/>
    <n v="-6.8817225277032601E-2"/>
    <n v="25.360001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D0034-2675-4B0A-9E9A-311CD748005A}" name="PivotTable2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5">
  <location ref="M4:P160" firstHeaderRow="1" firstDataRow="2" firstDataCol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showAll="0"/>
    <pivotField axis="axisCol" showAll="0">
      <items count="3">
        <item x="1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multipleItemSelectionAllowed="1" showAll="0">
      <items count="3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x="9"/>
        <item x="10"/>
        <item x="11"/>
        <item x="12"/>
        <item x="13"/>
        <item x="14"/>
        <item h="1" sd="0" x="15"/>
        <item h="1" sd="0" x="16"/>
        <item h="1" sd="0" x="17"/>
        <item h="1" sd="0" x="18"/>
        <item x="19"/>
        <item x="20"/>
        <item h="1" x="21"/>
        <item x="22"/>
        <item h="1" sd="0" x="23"/>
        <item h="1" sd="0" x="24"/>
        <item h="1" sd="0" x="25"/>
        <item x="26"/>
        <item h="1" x="27"/>
        <item h="1" x="28"/>
        <item x="29"/>
        <item h="1" x="30"/>
        <item h="1" x="31"/>
        <item h="1" x="32"/>
        <item x="33"/>
        <item h="1" x="34"/>
        <item t="default"/>
      </items>
    </pivotField>
  </pivotFields>
  <rowFields count="2">
    <field x="6"/>
    <field x="0"/>
  </rowFields>
  <rowItems count="155"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Returns" fld="1" baseField="0" baseItem="0"/>
  </dataFields>
  <chartFormats count="62">
    <chartFormat chart="0" format="0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4" count="1" selected="0">
            <x v="0"/>
          </reference>
          <reference field="6" count="1" selected="0">
            <x v="33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  <reference field="6" count="1" selected="0">
            <x v="29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  <reference field="6" count="1" selected="0">
            <x v="3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  <reference field="6" count="1" selected="0">
            <x v="32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0"/>
          </reference>
          <reference field="6" count="1" selected="0">
            <x v="29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0"/>
          </reference>
          <reference field="6" count="1" selected="0">
            <x v="32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  <reference field="6" count="1" selected="0">
            <x v="29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  <reference field="6" count="1" selected="0">
            <x v="3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  <reference field="6" count="1" selected="0">
            <x v="31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  <reference field="6" count="1" selected="0">
            <x v="32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  <reference field="6" count="1" selected="0">
            <x v="3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1"/>
          </reference>
          <reference field="6" count="1" selected="0">
            <x v="3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  <reference field="6" count="1" selected="0">
            <x v="30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  <reference field="6" count="1" selected="0">
            <x v="32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1"/>
          </reference>
          <reference field="6" count="1" selected="0">
            <x v="32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8FE6C-7DDC-4743-9B98-F4E7E42EBE3D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6">
  <location ref="N4:Q289" firstHeaderRow="1" firstDataRow="2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axis="axisCol" showAll="0">
      <items count="3">
        <item x="1"/>
        <item x="0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multipleItemSelectionAllowed="1" showAll="0" sortType="ascending">
      <items count="98">
        <item h="1" x="0"/>
        <item h="1" x="96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h="1" x="23"/>
        <item x="24"/>
        <item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x="46"/>
        <item x="47"/>
        <item x="48"/>
        <item x="49"/>
        <item x="50"/>
        <item x="51"/>
        <item h="1" x="52"/>
        <item h="1" x="53"/>
        <item x="54"/>
        <item x="55"/>
        <item x="56"/>
        <item h="1" x="57"/>
        <item h="1" x="58"/>
        <item h="1" x="59"/>
        <item h="1" x="60"/>
        <item x="61"/>
        <item x="62"/>
        <item x="63"/>
        <item x="64"/>
        <item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x="81"/>
        <item x="82"/>
        <item h="1" sd="0" x="83"/>
        <item h="1" sd="0" x="84"/>
        <item h="1" sd="0" x="85"/>
        <item h="1" sd="0" x="86"/>
        <item h="1" sd="0" x="87"/>
        <item h="1" sd="0" x="88"/>
        <item h="1" sd="0" x="89"/>
        <item h="1" sd="0" x="90"/>
        <item h="1" x="91"/>
        <item h="1" x="92"/>
        <item h="1" x="93"/>
        <item x="94"/>
        <item x="95"/>
        <item t="default"/>
      </items>
    </pivotField>
  </pivotFields>
  <rowFields count="2">
    <field x="4"/>
    <field x="0"/>
  </rowFields>
  <rowItems count="284"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turns" fld="1" baseField="0" baseItem="0" numFmtId="10"/>
  </dataFields>
  <formats count="6">
    <format dxfId="48">
      <pivotArea outline="0" collapsedLevelsAreSubtotals="1" fieldPosition="0">
        <references count="1">
          <reference field="2" count="0" selected="0"/>
        </references>
      </pivotArea>
    </format>
    <format dxfId="47">
      <pivotArea outline="0" collapsedLevelsAreSubtotals="1" fieldPosition="0"/>
    </format>
    <format dxfId="46">
      <pivotArea field="2" type="button" dataOnly="0" labelOnly="1" outline="0" axis="axisCol" fieldPosition="0"/>
    </format>
    <format dxfId="45">
      <pivotArea type="topRight" dataOnly="0" labelOnly="1" outline="0" fieldPosition="0"/>
    </format>
    <format dxfId="44">
      <pivotArea dataOnly="0" labelOnly="1" fieldPosition="0">
        <references count="1">
          <reference field="2" count="0"/>
        </references>
      </pivotArea>
    </format>
    <format dxfId="43">
      <pivotArea dataOnly="0" labelOnly="1" grandCol="1" outline="0" fieldPosition="0"/>
    </format>
  </formats>
  <chartFormats count="64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  <reference field="4" count="1" selected="0">
            <x v="9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  <reference field="4" count="1" selected="0">
            <x v="93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  <reference field="4" count="1" selected="0">
            <x v="9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53F2A-7A87-4EC8-8A34-E469BF57D09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97:V170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/>
    <pivotField axis="axisRow" showAll="0">
      <items count="13">
        <item x="9"/>
        <item x="8"/>
        <item x="7"/>
        <item x="6"/>
        <item x="5"/>
        <item x="4"/>
        <item x="3"/>
        <item x="2"/>
        <item x="1"/>
        <item x="0"/>
        <item x="11"/>
        <item x="10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36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x="0"/>
        <item x="34"/>
        <item t="default"/>
      </items>
    </pivotField>
  </pivotFields>
  <rowFields count="2">
    <field x="6"/>
    <field x="4"/>
  </rowFields>
  <rowItems count="7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eturns" fld="1" subtotal="average" baseField="3" baseItem="0" numFmtId="164"/>
    <dataField name="StdDev of Returns" fld="1" subtotal="stdDev" baseField="3" baseItem="0" numFmtId="164"/>
    <dataField name="Average of Positive" fld="5" subtotal="average" baseField="4" baseItem="0" numFmtId="169"/>
  </dataFields>
  <formats count="4">
    <format dxfId="52">
      <pivotArea collapsedLevelsAreSubtotals="1" fieldPosition="0">
        <references count="1">
          <reference field="6" count="0"/>
        </references>
      </pivotArea>
    </format>
    <format dxfId="51">
      <pivotArea grandRow="1" outline="0" collapsedLevelsAreSubtotals="1" fieldPosition="0"/>
    </format>
    <format dxfId="50">
      <pivotArea outline="0" fieldPosition="0">
        <references count="1">
          <reference field="4294967294" count="1">
            <x v="2"/>
          </reference>
        </references>
      </pivotArea>
    </format>
    <format dxfId="4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3D8611-1038-4536-96EF-1A479451A28F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7">
  <location ref="N4:Q289" firstHeaderRow="1" firstDataRow="2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axis="axisCol" showAll="0">
      <items count="3">
        <item x="1"/>
        <item x="0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multipleItemSelectionAllowed="1" showAll="0" sortType="ascending">
      <items count="98">
        <item h="1" x="0"/>
        <item h="1" x="96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h="1" x="23"/>
        <item x="24"/>
        <item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x="46"/>
        <item x="47"/>
        <item x="48"/>
        <item x="49"/>
        <item x="50"/>
        <item x="51"/>
        <item h="1" x="52"/>
        <item h="1" x="53"/>
        <item x="54"/>
        <item x="55"/>
        <item x="56"/>
        <item h="1" x="57"/>
        <item h="1" x="58"/>
        <item h="1" x="59"/>
        <item h="1" x="60"/>
        <item x="61"/>
        <item x="62"/>
        <item x="63"/>
        <item x="64"/>
        <item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x="81"/>
        <item x="82"/>
        <item h="1" sd="0" x="83"/>
        <item h="1" sd="0" x="84"/>
        <item h="1" sd="0" x="85"/>
        <item h="1" sd="0" x="86"/>
        <item h="1" sd="0" x="87"/>
        <item h="1" sd="0" x="88"/>
        <item h="1" sd="0" x="89"/>
        <item h="1" sd="0" x="90"/>
        <item h="1" x="91"/>
        <item h="1" x="92"/>
        <item h="1" x="93"/>
        <item x="94"/>
        <item x="95"/>
        <item t="default"/>
      </items>
    </pivotField>
  </pivotFields>
  <rowFields count="2">
    <field x="4"/>
    <field x="0"/>
  </rowFields>
  <rowItems count="284"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turns" fld="1" baseField="0" baseItem="0" numFmtId="10"/>
  </dataFields>
  <formats count="6">
    <format dxfId="38">
      <pivotArea outline="0" collapsedLevelsAreSubtotals="1" fieldPosition="0">
        <references count="1">
          <reference field="2" count="0" selected="0"/>
        </references>
      </pivotArea>
    </format>
    <format dxfId="37">
      <pivotArea outline="0" collapsedLevelsAreSubtotals="1" fieldPosition="0"/>
    </format>
    <format dxfId="36">
      <pivotArea field="2" type="button" dataOnly="0" labelOnly="1" outline="0" axis="axisCol" fieldPosition="0"/>
    </format>
    <format dxfId="35">
      <pivotArea type="topRight" dataOnly="0" labelOnly="1" outline="0" fieldPosition="0"/>
    </format>
    <format dxfId="34">
      <pivotArea dataOnly="0" labelOnly="1" fieldPosition="0">
        <references count="1">
          <reference field="2" count="0"/>
        </references>
      </pivotArea>
    </format>
    <format dxfId="33">
      <pivotArea dataOnly="0" labelOnly="1" grandCol="1" outline="0" fieldPosition="0"/>
    </format>
  </formats>
  <chartFormats count="66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  <reference field="4" count="1" selected="0">
            <x v="9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  <reference field="4" count="1" selected="0">
            <x v="93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  <reference field="4" count="1" selected="0">
            <x v="9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EB82F-67C2-4E5D-B1B1-6B7ECF0AFDC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97:V227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showAll="0"/>
    <pivotField axis="axisRow" showAll="0">
      <items count="11">
        <item x="9"/>
        <item x="8"/>
        <item x="7"/>
        <item x="6"/>
        <item x="3"/>
        <item x="0"/>
        <item x="1"/>
        <item x="2"/>
        <item x="4"/>
        <item x="5"/>
        <item t="default"/>
      </items>
    </pivotField>
    <pivotField dataField="1" showAll="0"/>
    <pivotField axis="axisRow" showAll="0" sortType="ascending">
      <items count="13">
        <item x="8"/>
        <item x="7"/>
        <item x="6"/>
        <item x="5"/>
        <item x="4"/>
        <item x="3"/>
        <item x="2"/>
        <item x="1"/>
        <item x="0"/>
        <item x="11"/>
        <item x="10"/>
        <item x="9"/>
        <item t="default"/>
      </items>
    </pivotField>
    <pivotField showAll="0">
      <items count="7">
        <item sd="0" x="1"/>
        <item sd="0" x="2"/>
        <item sd="0" x="3"/>
        <item sd="0" x="4"/>
        <item x="5"/>
        <item x="0"/>
        <item t="default"/>
      </items>
    </pivotField>
    <pivotField showAll="0">
      <items count="36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x="34"/>
        <item x="0"/>
        <item t="default"/>
      </items>
    </pivotField>
  </pivotFields>
  <rowFields count="2">
    <field x="6"/>
    <field x="4"/>
  </rowFields>
  <rowItems count="130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eturns" fld="1" subtotal="average" baseField="3" baseItem="0" numFmtId="164"/>
    <dataField name="StdDev of Returns" fld="1" subtotal="stdDev" baseField="3" baseItem="0" numFmtId="164"/>
    <dataField name="Average of Positive" fld="5" subtotal="average" baseField="4" baseItem="0" numFmtId="169"/>
  </dataFields>
  <formats count="4">
    <format dxfId="42">
      <pivotArea collapsedLevelsAreSubtotals="1" fieldPosition="0">
        <references count="1">
          <reference field="6" count="0"/>
        </references>
      </pivotArea>
    </format>
    <format dxfId="41">
      <pivotArea grandRow="1" outline="0" collapsedLevelsAreSubtotals="1" fieldPosition="0"/>
    </format>
    <format dxfId="40">
      <pivotArea outline="0" fieldPosition="0">
        <references count="1">
          <reference field="4294967294" count="1">
            <x v="2"/>
          </reference>
        </references>
      </pivotArea>
    </format>
    <format dxfId="3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605D6-E08C-4432-977D-78C1F446358D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5">
  <location ref="L4:O289" firstHeaderRow="1" firstDataRow="2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axis="axisCol" showAll="0">
      <items count="3">
        <item x="1"/>
        <item x="0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multipleItemSelectionAllowed="1" showAll="0" sortType="ascending">
      <items count="98">
        <item h="1" x="0"/>
        <item h="1" x="96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h="1" x="23"/>
        <item x="24"/>
        <item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x="46"/>
        <item x="47"/>
        <item x="48"/>
        <item x="49"/>
        <item x="50"/>
        <item x="51"/>
        <item h="1" x="52"/>
        <item h="1" x="53"/>
        <item x="54"/>
        <item x="55"/>
        <item x="56"/>
        <item h="1" x="57"/>
        <item h="1" x="58"/>
        <item h="1" x="59"/>
        <item h="1" x="60"/>
        <item x="61"/>
        <item x="62"/>
        <item x="63"/>
        <item x="64"/>
        <item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x="81"/>
        <item x="82"/>
        <item h="1" sd="0" x="83"/>
        <item h="1" sd="0" x="84"/>
        <item h="1" sd="0" x="85"/>
        <item h="1" sd="0" x="86"/>
        <item h="1" sd="0" x="87"/>
        <item h="1" sd="0" x="88"/>
        <item h="1" sd="0" x="89"/>
        <item h="1" sd="0" x="90"/>
        <item h="1" x="91"/>
        <item h="1" x="92"/>
        <item h="1" x="93"/>
        <item x="94"/>
        <item x="95"/>
        <item t="default"/>
      </items>
    </pivotField>
  </pivotFields>
  <rowFields count="2">
    <field x="4"/>
    <field x="0"/>
  </rowFields>
  <rowItems count="284"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turns" fld="1" baseField="0" baseItem="0" numFmtId="10"/>
  </dataFields>
  <formats count="6">
    <format dxfId="29">
      <pivotArea outline="0" collapsedLevelsAreSubtotals="1" fieldPosition="0">
        <references count="1">
          <reference field="2" count="0" selected="0"/>
        </references>
      </pivotArea>
    </format>
    <format dxfId="28">
      <pivotArea outline="0" collapsedLevelsAreSubtotals="1" fieldPosition="0"/>
    </format>
    <format dxfId="27">
      <pivotArea field="2" type="button" dataOnly="0" labelOnly="1" outline="0" axis="axisCol" fieldPosition="0"/>
    </format>
    <format dxfId="26">
      <pivotArea type="topRight" dataOnly="0" labelOnly="1" outline="0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Col="1" outline="0" fieldPosition="0"/>
    </format>
  </formats>
  <chartFormats count="6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  <reference field="4" count="1" selected="0">
            <x v="9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2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3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4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  <reference field="4" count="1" selected="0">
            <x v="95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  <reference field="4" count="1" selected="0">
            <x v="93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  <reference field="4" count="1" selected="0">
            <x v="9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  <reference field="4" count="1" selected="0">
            <x v="9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  <reference field="4" count="1" selected="0">
            <x v="94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  <reference field="4" count="1" selected="0">
            <x v="95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  <reference field="4" count="1" selected="0">
            <x v="92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51025-AA99-4135-A458-6A0C453CD50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97:T110" firstHeaderRow="0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dataField="1" showAll="0"/>
    <pivotField axis="axisRow" showAll="0">
      <items count="13">
        <item x="8"/>
        <item x="7"/>
        <item x="6"/>
        <item x="5"/>
        <item x="4"/>
        <item x="3"/>
        <item x="2"/>
        <item x="1"/>
        <item x="0"/>
        <item x="11"/>
        <item x="10"/>
        <item x="9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9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x="96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eturns" fld="1" subtotal="average" baseField="3" baseItem="0"/>
    <dataField name="StdDev of Returns" fld="1" subtotal="stdDev" baseField="3" baseItem="0"/>
    <dataField name="Average of Positive" fld="3" subtotal="average" baseField="4" baseItem="0" numFmtId="169"/>
  </dataFields>
  <formats count="3">
    <format dxfId="32">
      <pivotArea collapsedLevelsAreSubtotals="1" fieldPosition="0">
        <references count="1">
          <reference field="4" count="0"/>
        </references>
      </pivotArea>
    </format>
    <format dxfId="31">
      <pivotArea grandRow="1" outline="0" collapsedLevelsAreSubtotals="1" fieldPosition="0"/>
    </format>
    <format dxfId="3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4CDA3-68AD-4017-B4EC-26F18D5A1248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4">
  <location ref="M3:P67" firstHeaderRow="1" firstDataRow="2" firstDataCol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showAll="0"/>
    <pivotField axis="axisCol" showAll="0">
      <items count="3">
        <item x="1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multipleItemSelectionAllowed="1" showAll="0">
      <items count="3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x="29"/>
        <item x="30"/>
        <item x="31"/>
        <item x="32"/>
        <item x="33"/>
        <item sd="0" x="34"/>
        <item t="default"/>
      </items>
    </pivotField>
  </pivotFields>
  <rowFields count="2">
    <field x="6"/>
    <field x="0"/>
  </rowFields>
  <rowItems count="63">
    <i>
      <x v="2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Returns" fld="1" baseField="0" baseItem="0"/>
  </dataFields>
  <chartFormats count="60">
    <chartFormat chart="0" format="0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4" count="1" selected="0">
            <x v="0"/>
          </reference>
          <reference field="6" count="1" selected="0">
            <x v="33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  <reference field="6" count="1" selected="0">
            <x v="29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  <reference field="6" count="1" selected="0">
            <x v="3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0"/>
          </reference>
          <reference field="6" count="1" selected="0">
            <x v="32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0"/>
          </reference>
          <reference field="6" count="1" selected="0">
            <x v="29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0"/>
          </reference>
          <reference field="6" count="1" selected="0">
            <x v="32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  <reference field="6" count="1" selected="0">
            <x v="29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0"/>
          </reference>
          <reference field="6" count="1" selected="0">
            <x v="3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  <reference field="6" count="1" selected="0">
            <x v="30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  <reference field="6" count="1" selected="0">
            <x v="31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0"/>
          </reference>
          <reference field="6" count="1" selected="0">
            <x v="32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  <reference field="6" count="1" selected="0">
            <x v="3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1"/>
          </reference>
          <reference field="6" count="1" selected="0">
            <x v="3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  <reference field="6" count="1" selected="0">
            <x v="30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  <reference field="6" count="1" selected="0">
            <x v="32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4" count="1" selected="0">
            <x v="1"/>
          </reference>
          <reference field="6" count="1" selected="0">
            <x v="33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4" count="1" selected="0">
            <x v="1"/>
          </reference>
          <reference field="6" count="1" selected="0">
            <x v="31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4" count="1" selected="0">
            <x v="1"/>
          </reference>
          <reference field="6" count="1" selected="0">
            <x v="32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4" count="1" selected="0">
            <x v="1"/>
          </reference>
          <reference field="6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B4788-D382-4886-AC37-B02C5F13CDF9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H62:K159" firstHeaderRow="1" firstDataRow="2" firstDataCol="1"/>
  <pivotFields count="3">
    <pivotField axis="axisRow" numFmtId="14" showAll="0">
      <items count="97"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m="1" x="95"/>
        <item x="0"/>
        <item t="default"/>
      </items>
    </pivotField>
    <pivotField dataField="1" numFmtId="164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turns" fld="1" baseField="0" baseItem="0"/>
  </dataFields>
  <chartFormats count="4">
    <chartFormat chart="0" format="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D9" sqref="D9"/>
    </sheetView>
  </sheetViews>
  <sheetFormatPr defaultRowHeight="15" x14ac:dyDescent="0.25"/>
  <cols>
    <col min="1" max="1" width="15.5703125" bestFit="1" customWidth="1"/>
    <col min="2" max="2" width="9.85546875" customWidth="1"/>
    <col min="3" max="3" width="8" bestFit="1" customWidth="1"/>
    <col min="4" max="4" width="5.5703125" customWidth="1"/>
    <col min="5" max="5" width="12.5703125" customWidth="1"/>
    <col min="7" max="7" width="15.5703125" bestFit="1" customWidth="1"/>
    <col min="8" max="8" width="9.85546875" customWidth="1"/>
    <col min="9" max="9" width="8" bestFit="1" customWidth="1"/>
    <col min="10" max="10" width="8.140625" customWidth="1"/>
    <col min="11" max="11" width="11.42578125" bestFit="1" customWidth="1"/>
  </cols>
  <sheetData>
    <row r="1" spans="1:15" x14ac:dyDescent="0.25">
      <c r="A1" s="1" t="s">
        <v>0</v>
      </c>
      <c r="B1">
        <v>1000</v>
      </c>
      <c r="C1" s="1" t="s">
        <v>1</v>
      </c>
      <c r="D1">
        <f>$B$1/100</f>
        <v>10</v>
      </c>
      <c r="E1" s="1" t="s">
        <v>19</v>
      </c>
      <c r="F1" s="7">
        <v>377.39</v>
      </c>
      <c r="G1" s="13">
        <f>$F$1*0.991</f>
        <v>373.99349000000001</v>
      </c>
      <c r="H1" s="12">
        <f>$F$1*1.009</f>
        <v>380.78650999999996</v>
      </c>
      <c r="I1" s="52" t="s">
        <v>20</v>
      </c>
      <c r="J1" s="52"/>
      <c r="K1" s="13">
        <f>$F$1*0.982</f>
        <v>370.59697999999997</v>
      </c>
      <c r="L1" s="12">
        <f>$F$1*1.017</f>
        <v>383.80562999999995</v>
      </c>
    </row>
    <row r="2" spans="1:15" x14ac:dyDescent="0.25">
      <c r="A2" s="7"/>
      <c r="C2" s="7"/>
      <c r="F2" s="7"/>
      <c r="G2" s="7">
        <v>380</v>
      </c>
      <c r="H2">
        <v>380</v>
      </c>
      <c r="I2" s="7"/>
      <c r="K2" s="13">
        <f>$F$1*(1+'Prob Table'!M5)</f>
        <v>371.47437212404998</v>
      </c>
      <c r="L2" s="13">
        <f>$F$1*('Prob Table'!M4+1)</f>
        <v>383.27187071783999</v>
      </c>
    </row>
    <row r="3" spans="1:15" x14ac:dyDescent="0.25">
      <c r="A3" s="7"/>
      <c r="C3" s="7"/>
      <c r="E3" s="14"/>
      <c r="F3" s="14"/>
      <c r="G3" s="14">
        <f>G2/$F$1-1</f>
        <v>6.9159225204695751E-3</v>
      </c>
      <c r="H3" s="14">
        <f>H2/$F$1-1</f>
        <v>6.9159225204695751E-3</v>
      </c>
      <c r="I3" s="7"/>
    </row>
    <row r="4" spans="1:15" x14ac:dyDescent="0.25">
      <c r="A4" s="7"/>
      <c r="C4" s="7"/>
      <c r="I4" s="7"/>
    </row>
    <row r="5" spans="1:15" x14ac:dyDescent="0.25">
      <c r="A5" s="8" t="s">
        <v>14</v>
      </c>
      <c r="B5" s="9" t="s">
        <v>11</v>
      </c>
      <c r="C5" s="9" t="s">
        <v>5</v>
      </c>
      <c r="D5" s="9" t="s">
        <v>10</v>
      </c>
      <c r="E5" s="9" t="s">
        <v>17</v>
      </c>
      <c r="G5" s="8" t="s">
        <v>15</v>
      </c>
      <c r="H5" s="9" t="s">
        <v>11</v>
      </c>
      <c r="I5" s="9" t="s">
        <v>5</v>
      </c>
      <c r="J5" s="9" t="s">
        <v>10</v>
      </c>
      <c r="K5" s="9" t="s">
        <v>18</v>
      </c>
      <c r="M5" s="10" t="s">
        <v>16</v>
      </c>
    </row>
    <row r="6" spans="1:15" x14ac:dyDescent="0.25">
      <c r="A6">
        <v>1</v>
      </c>
      <c r="B6" s="18">
        <v>7.38</v>
      </c>
      <c r="C6">
        <f t="shared" ref="C6:C10" si="0">B6-B7</f>
        <v>0.67999999999999972</v>
      </c>
      <c r="D6" s="5">
        <f t="shared" ref="D6:D11" si="1">(C6-0.024)*$D$1*100</f>
        <v>655.99999999999966</v>
      </c>
      <c r="E6" s="18"/>
      <c r="G6">
        <v>1</v>
      </c>
      <c r="H6" s="18">
        <v>3.8</v>
      </c>
      <c r="J6" s="5"/>
      <c r="K6" s="18"/>
      <c r="M6" s="16">
        <f>C6+I12</f>
        <v>1.3599999999999994</v>
      </c>
      <c r="N6" s="19">
        <f>D6+J12</f>
        <v>1311.9999999999993</v>
      </c>
    </row>
    <row r="7" spans="1:15" x14ac:dyDescent="0.25">
      <c r="A7">
        <v>2</v>
      </c>
      <c r="B7">
        <v>6.7</v>
      </c>
      <c r="C7">
        <f t="shared" si="0"/>
        <v>0.66000000000000014</v>
      </c>
      <c r="D7" s="5">
        <f t="shared" si="1"/>
        <v>636.00000000000011</v>
      </c>
      <c r="E7" s="3">
        <f>D7-D6</f>
        <v>-19.999999999999545</v>
      </c>
      <c r="G7">
        <v>2</v>
      </c>
      <c r="H7">
        <v>4.28</v>
      </c>
      <c r="I7">
        <f t="shared" ref="I7" si="2">H7-H6</f>
        <v>0.48000000000000043</v>
      </c>
      <c r="J7" s="5">
        <f t="shared" ref="J7" si="3">(I7-0.024)*$D$1*100</f>
        <v>456.0000000000004</v>
      </c>
      <c r="K7" s="3">
        <f t="shared" ref="K7:K9" si="4">J7-J8</f>
        <v>-39.999999999999147</v>
      </c>
      <c r="M7" s="16">
        <f>C7+I11</f>
        <v>1.2999999999999998</v>
      </c>
      <c r="N7" s="19">
        <f>D7+J11</f>
        <v>1251.9999999999998</v>
      </c>
      <c r="O7" s="6">
        <f>N7-N6</f>
        <v>-59.999999999999545</v>
      </c>
    </row>
    <row r="8" spans="1:15" x14ac:dyDescent="0.25">
      <c r="A8">
        <v>3</v>
      </c>
      <c r="B8">
        <v>6.04</v>
      </c>
      <c r="C8">
        <f t="shared" si="0"/>
        <v>0.62999999999999989</v>
      </c>
      <c r="D8" s="5">
        <f t="shared" si="1"/>
        <v>605.99999999999989</v>
      </c>
      <c r="E8" s="3">
        <f>D8-D7</f>
        <v>-30.000000000000227</v>
      </c>
      <c r="G8">
        <v>3</v>
      </c>
      <c r="H8">
        <v>4.8</v>
      </c>
      <c r="I8">
        <f>H8-H7</f>
        <v>0.51999999999999957</v>
      </c>
      <c r="J8" s="5">
        <f>(I8-0.024)*$D$1*100</f>
        <v>495.99999999999955</v>
      </c>
      <c r="K8" s="3">
        <f t="shared" si="4"/>
        <v>-60.000000000000455</v>
      </c>
      <c r="M8" s="16">
        <f>C8+I10</f>
        <v>1.2300000000000004</v>
      </c>
      <c r="N8" s="19">
        <f>D8+J10</f>
        <v>1182.0000000000005</v>
      </c>
      <c r="O8" s="6">
        <f>N8-N7</f>
        <v>-69.999999999999318</v>
      </c>
    </row>
    <row r="9" spans="1:15" x14ac:dyDescent="0.25">
      <c r="A9">
        <v>4</v>
      </c>
      <c r="B9">
        <v>5.41</v>
      </c>
      <c r="C9">
        <f t="shared" si="0"/>
        <v>0.58999999999999986</v>
      </c>
      <c r="D9" s="5">
        <f t="shared" si="1"/>
        <v>565.99999999999989</v>
      </c>
      <c r="E9" s="3">
        <f>D9-D8</f>
        <v>-40</v>
      </c>
      <c r="G9">
        <v>4</v>
      </c>
      <c r="H9">
        <v>5.38</v>
      </c>
      <c r="I9">
        <f>H9-H8</f>
        <v>0.58000000000000007</v>
      </c>
      <c r="J9" s="5">
        <f>(I9-0.024)*$D$1*100</f>
        <v>556</v>
      </c>
      <c r="K9" s="3">
        <f t="shared" si="4"/>
        <v>-20.000000000000455</v>
      </c>
      <c r="M9" s="16">
        <f>C9+I9</f>
        <v>1.17</v>
      </c>
      <c r="N9" s="19">
        <f>D9+J9</f>
        <v>1122</v>
      </c>
      <c r="O9" s="6">
        <f>N9-N8</f>
        <v>-60.000000000000455</v>
      </c>
    </row>
    <row r="10" spans="1:15" x14ac:dyDescent="0.25">
      <c r="A10">
        <v>5</v>
      </c>
      <c r="B10">
        <v>4.82</v>
      </c>
      <c r="C10">
        <f t="shared" si="0"/>
        <v>0.55000000000000071</v>
      </c>
      <c r="D10" s="5">
        <f t="shared" si="1"/>
        <v>526.00000000000068</v>
      </c>
      <c r="E10" s="3">
        <f>D10-D9</f>
        <v>-39.999999999999204</v>
      </c>
      <c r="G10">
        <v>5</v>
      </c>
      <c r="H10">
        <v>5.98</v>
      </c>
      <c r="I10">
        <f>H10-H9</f>
        <v>0.60000000000000053</v>
      </c>
      <c r="J10" s="5">
        <f>(I10-0.024)*$D$1*100</f>
        <v>576.00000000000045</v>
      </c>
      <c r="K10" s="3">
        <f>J10-J11</f>
        <v>-39.999999999999204</v>
      </c>
      <c r="M10" s="16">
        <f>C10+I8</f>
        <v>1.0700000000000003</v>
      </c>
      <c r="N10" s="19">
        <f>D10+J8</f>
        <v>1022.0000000000002</v>
      </c>
      <c r="O10" s="6">
        <f>N10-N9</f>
        <v>-99.999999999999773</v>
      </c>
    </row>
    <row r="11" spans="1:15" x14ac:dyDescent="0.25">
      <c r="A11">
        <v>6</v>
      </c>
      <c r="B11">
        <v>4.2699999999999996</v>
      </c>
      <c r="C11">
        <f>B11-B12</f>
        <v>0.50999999999999979</v>
      </c>
      <c r="D11" s="5">
        <f t="shared" si="1"/>
        <v>485.99999999999977</v>
      </c>
      <c r="E11" s="3">
        <f>D11-D10</f>
        <v>-40.000000000000909</v>
      </c>
      <c r="G11">
        <v>6</v>
      </c>
      <c r="H11">
        <v>6.62</v>
      </c>
      <c r="I11">
        <f>H11-H10</f>
        <v>0.63999999999999968</v>
      </c>
      <c r="J11" s="5">
        <f>(I11-0.024)*$D$1*100</f>
        <v>615.99999999999966</v>
      </c>
      <c r="K11" s="3">
        <f>J11-J12</f>
        <v>-40</v>
      </c>
      <c r="M11" s="16">
        <f>C11+I7</f>
        <v>0.99000000000000021</v>
      </c>
      <c r="N11" s="19">
        <f>D11+J7</f>
        <v>942.00000000000023</v>
      </c>
      <c r="O11" s="6">
        <f>N11-N10</f>
        <v>-80</v>
      </c>
    </row>
    <row r="12" spans="1:15" x14ac:dyDescent="0.25">
      <c r="A12">
        <v>7</v>
      </c>
      <c r="B12">
        <v>3.76</v>
      </c>
      <c r="D12" s="4"/>
      <c r="E12" s="2"/>
      <c r="G12">
        <v>7</v>
      </c>
      <c r="H12">
        <v>7.3</v>
      </c>
      <c r="I12">
        <f>H12-H11</f>
        <v>0.67999999999999972</v>
      </c>
      <c r="J12" s="5">
        <f>(I12-0.024)*$D$1*100</f>
        <v>655.99999999999966</v>
      </c>
      <c r="K12" s="11">
        <v>-100</v>
      </c>
    </row>
    <row r="14" spans="1:15" x14ac:dyDescent="0.25">
      <c r="A14">
        <v>0.2</v>
      </c>
      <c r="B14" s="15">
        <f>I11+D10</f>
        <v>526.64000000000067</v>
      </c>
      <c r="C14" s="6">
        <f>D10+J11</f>
        <v>1142.0000000000005</v>
      </c>
      <c r="F14" s="6"/>
      <c r="G14" s="6"/>
      <c r="I14">
        <v>412</v>
      </c>
      <c r="J14">
        <v>420</v>
      </c>
      <c r="K14">
        <f>K17*13*100</f>
        <v>728.00000000000011</v>
      </c>
    </row>
    <row r="15" spans="1:15" x14ac:dyDescent="0.25">
      <c r="A15">
        <f>A14*$C$15</f>
        <v>0.27</v>
      </c>
      <c r="B15" s="13">
        <f>B14*$C$15</f>
        <v>710.96400000000096</v>
      </c>
      <c r="C15">
        <v>1.35</v>
      </c>
      <c r="F15" s="13">
        <f>C10+I8</f>
        <v>1.0700000000000003</v>
      </c>
      <c r="G15" s="6"/>
      <c r="H15">
        <v>414.7</v>
      </c>
      <c r="I15" s="17">
        <f>I14/$H15-1</f>
        <v>-6.5107306486617E-3</v>
      </c>
      <c r="J15" s="17">
        <f>J14/$H15-1</f>
        <v>1.278032312515065E-2</v>
      </c>
      <c r="L15">
        <v>1.44</v>
      </c>
    </row>
    <row r="16" spans="1:15" x14ac:dyDescent="0.25">
      <c r="F16" s="13">
        <f>1-I8</f>
        <v>0.48000000000000043</v>
      </c>
      <c r="G16" s="6"/>
      <c r="I16">
        <v>0.9</v>
      </c>
      <c r="J16">
        <f>I16-I17</f>
        <v>0.21999999999999997</v>
      </c>
      <c r="K16">
        <f>L16-L15</f>
        <v>0.34000000000000008</v>
      </c>
      <c r="L16">
        <v>1.78</v>
      </c>
    </row>
    <row r="17" spans="1:14" x14ac:dyDescent="0.25">
      <c r="F17" s="13">
        <f>F15-F16</f>
        <v>0.58999999999999986</v>
      </c>
      <c r="I17">
        <v>0.68</v>
      </c>
      <c r="J17">
        <f>J16*13</f>
        <v>2.8599999999999994</v>
      </c>
      <c r="K17">
        <f>K16+J16</f>
        <v>0.56000000000000005</v>
      </c>
    </row>
    <row r="18" spans="1:14" x14ac:dyDescent="0.25">
      <c r="F18" s="6"/>
    </row>
    <row r="19" spans="1:14" x14ac:dyDescent="0.25">
      <c r="F19" s="6"/>
    </row>
    <row r="20" spans="1:14" x14ac:dyDescent="0.25">
      <c r="F20" s="6"/>
    </row>
    <row r="21" spans="1:14" x14ac:dyDescent="0.25">
      <c r="A21">
        <v>1.7000000000000001E-2</v>
      </c>
      <c r="B21">
        <v>0.02</v>
      </c>
      <c r="D21" s="20">
        <v>2.1999999999999999E-2</v>
      </c>
      <c r="M21" t="s">
        <v>10</v>
      </c>
      <c r="N21">
        <f>K14+K22</f>
        <v>1028</v>
      </c>
    </row>
    <row r="22" spans="1:14" x14ac:dyDescent="0.25">
      <c r="A22" s="20">
        <v>0.18461910000000001</v>
      </c>
      <c r="B22" s="20">
        <v>0.13422500000000001</v>
      </c>
      <c r="C22" t="s">
        <v>21</v>
      </c>
      <c r="D22" s="20">
        <v>0.10914740000000001</v>
      </c>
      <c r="I22">
        <v>414</v>
      </c>
      <c r="J22">
        <v>422</v>
      </c>
      <c r="K22">
        <f>K25*6*100</f>
        <v>299.99999999999989</v>
      </c>
      <c r="N22">
        <f>16*4.8</f>
        <v>76.8</v>
      </c>
    </row>
    <row r="23" spans="1:14" x14ac:dyDescent="0.25">
      <c r="A23" s="20">
        <v>0.23574970000000001</v>
      </c>
      <c r="B23" s="20">
        <v>0.18184629999999999</v>
      </c>
      <c r="C23" t="s">
        <v>22</v>
      </c>
      <c r="D23" s="20">
        <v>0.15148700000000001</v>
      </c>
      <c r="H23">
        <v>416.7</v>
      </c>
      <c r="I23" s="17">
        <f>I22/$H23-1</f>
        <v>-6.4794816414686096E-3</v>
      </c>
      <c r="J23" s="17">
        <f>J22/$H23-1</f>
        <v>1.2718982481401575E-2</v>
      </c>
      <c r="L23">
        <v>1.34</v>
      </c>
      <c r="N23">
        <f>N21-N22</f>
        <v>951.2</v>
      </c>
    </row>
    <row r="24" spans="1:14" x14ac:dyDescent="0.25">
      <c r="I24">
        <v>0.7</v>
      </c>
      <c r="J24">
        <f>I24-I25</f>
        <v>0.19999999999999996</v>
      </c>
      <c r="K24">
        <f>L24-L23</f>
        <v>0.29999999999999982</v>
      </c>
      <c r="L24">
        <v>1.64</v>
      </c>
    </row>
    <row r="25" spans="1:14" x14ac:dyDescent="0.25">
      <c r="I25">
        <v>0.5</v>
      </c>
      <c r="K25">
        <f>K24+J24</f>
        <v>0.49999999999999978</v>
      </c>
    </row>
  </sheetData>
  <mergeCells count="1">
    <mergeCell ref="I1:J1"/>
  </mergeCells>
  <conditionalFormatting sqref="K7:K12">
    <cfRule type="expression" dxfId="23" priority="4">
      <formula>$K7&gt;=$K8</formula>
    </cfRule>
  </conditionalFormatting>
  <conditionalFormatting sqref="K7:K11">
    <cfRule type="expression" dxfId="22" priority="3">
      <formula>$K7&lt;$K8</formula>
    </cfRule>
  </conditionalFormatting>
  <conditionalFormatting sqref="E7:E12">
    <cfRule type="expression" dxfId="21" priority="14">
      <formula>$E7&lt;$E8</formula>
    </cfRule>
    <cfRule type="expression" dxfId="20" priority="15">
      <formula>$E7&gt;=$E8</formula>
    </cfRule>
  </conditionalFormatting>
  <conditionalFormatting sqref="O6:O11">
    <cfRule type="expression" dxfId="19" priority="1">
      <formula>$O6&lt;$O7</formula>
    </cfRule>
    <cfRule type="expression" dxfId="18" priority="2">
      <formula>$O6&gt;=$O7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1"/>
  <sheetViews>
    <sheetView workbookViewId="0">
      <selection activeCell="J8" sqref="J8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8.42578125" hidden="1" customWidth="1"/>
    <col min="4" max="4" width="10" hidden="1" customWidth="1"/>
    <col min="5" max="5" width="10.140625" bestFit="1" customWidth="1"/>
    <col min="6" max="6" width="13.42578125" hidden="1" customWidth="1"/>
    <col min="7" max="7" width="9" hidden="1" customWidth="1"/>
    <col min="8" max="8" width="10.5703125" customWidth="1"/>
    <col min="9" max="9" width="10.5703125" hidden="1" customWidth="1"/>
    <col min="10" max="10" width="10" bestFit="1" customWidth="1"/>
    <col min="11" max="11" width="9.140625" hidden="1" customWidth="1"/>
  </cols>
  <sheetData>
    <row r="2" spans="1:13" x14ac:dyDescent="0.25">
      <c r="A2" t="s">
        <v>36</v>
      </c>
      <c r="B2" s="14"/>
      <c r="C2" s="14"/>
      <c r="D2" s="14"/>
      <c r="E2" s="14">
        <v>-2.7050979999999999E-2</v>
      </c>
      <c r="F2" s="14"/>
      <c r="G2" s="14"/>
      <c r="H2" s="14"/>
      <c r="I2" s="14"/>
      <c r="J2" s="14">
        <v>-3.796273E-2</v>
      </c>
    </row>
    <row r="3" spans="1:13" x14ac:dyDescent="0.25">
      <c r="A3" t="s">
        <v>35</v>
      </c>
      <c r="B3" s="14">
        <v>2.434352E-2</v>
      </c>
      <c r="C3" s="14"/>
      <c r="D3" s="14"/>
      <c r="E3" s="14"/>
      <c r="F3" s="14"/>
      <c r="G3" s="14"/>
      <c r="H3" s="14">
        <v>3.4288319999999997E-2</v>
      </c>
      <c r="I3" s="14"/>
      <c r="J3" s="14"/>
    </row>
    <row r="4" spans="1:13" x14ac:dyDescent="0.25">
      <c r="A4" t="s">
        <v>27</v>
      </c>
      <c r="B4" s="14">
        <v>5.1863680000000002E-3</v>
      </c>
      <c r="C4" s="14"/>
      <c r="D4" s="14"/>
      <c r="E4" s="14">
        <v>5.6876840000000001E-3</v>
      </c>
      <c r="H4" s="14">
        <v>7.2693410000000003E-3</v>
      </c>
      <c r="I4" s="14"/>
      <c r="J4" s="14">
        <v>8.2362089999999995E-3</v>
      </c>
      <c r="L4" s="21">
        <f>AVERAGE(B5:B6)+B4</f>
        <v>1.0709667500000001E-2</v>
      </c>
      <c r="M4" s="21">
        <f>(H5+H6)/2+H4</f>
        <v>1.5585656E-2</v>
      </c>
    </row>
    <row r="5" spans="1:13" x14ac:dyDescent="0.25">
      <c r="A5" t="s">
        <v>26</v>
      </c>
      <c r="B5" s="14">
        <v>4.8092170000000002E-3</v>
      </c>
      <c r="C5" s="14"/>
      <c r="D5" s="14"/>
      <c r="E5" s="14">
        <v>-4.7929840000000001E-3</v>
      </c>
      <c r="H5" s="14">
        <v>7.4348039999999997E-3</v>
      </c>
      <c r="I5" s="14"/>
      <c r="J5" s="14">
        <v>-7.4388960000000004E-3</v>
      </c>
      <c r="L5" s="21">
        <f>AVERAGE(E5:E6)-E4</f>
        <v>-1.1315959E-2</v>
      </c>
      <c r="M5" s="21">
        <f>(J5+L6/2)-J4</f>
        <v>-1.5675105000000002E-2</v>
      </c>
    </row>
    <row r="6" spans="1:13" x14ac:dyDescent="0.25">
      <c r="A6" t="s">
        <v>25</v>
      </c>
      <c r="B6" s="14">
        <v>6.2373819999999996E-3</v>
      </c>
      <c r="C6" s="14"/>
      <c r="D6" s="14"/>
      <c r="E6" s="14">
        <v>-6.4635659999999996E-3</v>
      </c>
      <c r="H6" s="14">
        <v>9.1978259999999992E-3</v>
      </c>
      <c r="I6" s="14"/>
      <c r="J6" s="14">
        <v>-9.7199980000000005E-3</v>
      </c>
    </row>
    <row r="7" spans="1:13" x14ac:dyDescent="0.25">
      <c r="A7" t="s">
        <v>31</v>
      </c>
      <c r="B7" t="s">
        <v>30</v>
      </c>
      <c r="C7" t="s">
        <v>28</v>
      </c>
      <c r="D7" t="s">
        <v>32</v>
      </c>
      <c r="E7" t="s">
        <v>33</v>
      </c>
      <c r="F7" t="s">
        <v>29</v>
      </c>
      <c r="G7" t="s">
        <v>34</v>
      </c>
      <c r="H7" t="s">
        <v>23</v>
      </c>
      <c r="I7" t="s">
        <v>37</v>
      </c>
      <c r="J7" t="s">
        <v>24</v>
      </c>
    </row>
    <row r="8" spans="1:13" x14ac:dyDescent="0.25">
      <c r="A8">
        <v>0.1</v>
      </c>
      <c r="B8" s="17">
        <v>0.89005909999999999</v>
      </c>
      <c r="C8" s="17">
        <f>1-B8</f>
        <v>0.10994090000000001</v>
      </c>
      <c r="D8" s="17">
        <f>SUM(C$8:C8)</f>
        <v>0.10994090000000001</v>
      </c>
      <c r="E8" s="17">
        <v>0.88282380000000005</v>
      </c>
      <c r="F8" s="17">
        <f>1-E8</f>
        <v>0.11717619999999995</v>
      </c>
      <c r="G8" s="17">
        <f>SUM(F$8:F8)</f>
        <v>0.11717619999999995</v>
      </c>
      <c r="H8" s="14">
        <v>0.92785899999999999</v>
      </c>
      <c r="I8" s="14">
        <f>1-H8</f>
        <v>7.2141000000000011E-2</v>
      </c>
      <c r="J8" s="14">
        <v>0.92122040000000005</v>
      </c>
      <c r="K8" s="21">
        <f>1-J8</f>
        <v>7.877959999999995E-2</v>
      </c>
    </row>
    <row r="9" spans="1:13" x14ac:dyDescent="0.25">
      <c r="A9">
        <v>0.2</v>
      </c>
      <c r="B9" s="17">
        <v>0.77172700000000005</v>
      </c>
      <c r="C9" s="17">
        <f>B8-B9</f>
        <v>0.11833209999999994</v>
      </c>
      <c r="D9" s="17">
        <f>SUM(C$8:C9)</f>
        <v>0.22827299999999995</v>
      </c>
      <c r="E9" s="17">
        <v>0.76140419999999998</v>
      </c>
      <c r="F9" s="17">
        <f>E8-E9</f>
        <v>0.12141960000000007</v>
      </c>
      <c r="G9" s="17">
        <f>SUM(F$8:F9)</f>
        <v>0.23859580000000002</v>
      </c>
      <c r="H9" s="14">
        <v>0.85721409999999998</v>
      </c>
      <c r="I9" s="14">
        <f t="shared" ref="I9:I31" si="0">1-H9</f>
        <v>0.14278590000000002</v>
      </c>
      <c r="J9" s="14">
        <v>0.84204849999999998</v>
      </c>
      <c r="K9" s="21">
        <f t="shared" ref="K9:K31" si="1">1-J9</f>
        <v>0.15795150000000002</v>
      </c>
    </row>
    <row r="10" spans="1:13" x14ac:dyDescent="0.25">
      <c r="A10">
        <v>0.3</v>
      </c>
      <c r="B10" s="17">
        <v>0.66461170000000003</v>
      </c>
      <c r="C10" s="17">
        <f>B9-B10</f>
        <v>0.10711530000000002</v>
      </c>
      <c r="D10" s="17">
        <f>SUM(C$8:C10)</f>
        <v>0.33538829999999997</v>
      </c>
      <c r="E10" s="17">
        <v>0.65300409999999998</v>
      </c>
      <c r="F10" s="17">
        <f t="shared" ref="F10:F31" si="2">E9-E10</f>
        <v>0.1084001</v>
      </c>
      <c r="G10" s="17">
        <f>SUM(F$8:F10)</f>
        <v>0.34699590000000002</v>
      </c>
      <c r="H10" s="14">
        <v>0.78374339999999998</v>
      </c>
      <c r="I10" s="14">
        <f t="shared" si="0"/>
        <v>0.21625660000000002</v>
      </c>
      <c r="J10" s="14">
        <v>0.76944959999999996</v>
      </c>
      <c r="K10" s="21">
        <f t="shared" si="1"/>
        <v>0.23055040000000004</v>
      </c>
    </row>
    <row r="11" spans="1:13" x14ac:dyDescent="0.25">
      <c r="A11">
        <v>0.4</v>
      </c>
      <c r="B11" s="17">
        <v>0.57333679999999998</v>
      </c>
      <c r="C11" s="17">
        <f>B10-B11</f>
        <v>9.1274900000000048E-2</v>
      </c>
      <c r="D11" s="17">
        <f>SUM(C$8:C11)</f>
        <v>0.42666320000000002</v>
      </c>
      <c r="E11" s="17">
        <v>0.55945610000000001</v>
      </c>
      <c r="F11" s="17">
        <f t="shared" si="2"/>
        <v>9.3547999999999965E-2</v>
      </c>
      <c r="G11" s="17">
        <f>SUM(F$8:F11)</f>
        <v>0.44054389999999999</v>
      </c>
      <c r="H11" s="14">
        <v>0.71633979999999997</v>
      </c>
      <c r="I11" s="14">
        <f t="shared" si="0"/>
        <v>0.28366020000000003</v>
      </c>
      <c r="J11" s="14">
        <v>0.69881289999999996</v>
      </c>
      <c r="K11" s="21">
        <f t="shared" si="1"/>
        <v>0.30118710000000004</v>
      </c>
    </row>
    <row r="12" spans="1:13" x14ac:dyDescent="0.25">
      <c r="A12">
        <v>0.5</v>
      </c>
      <c r="B12" s="17">
        <v>0.484288</v>
      </c>
      <c r="C12" s="17">
        <f t="shared" ref="C12:C31" si="3">B11-B12</f>
        <v>8.9048799999999984E-2</v>
      </c>
      <c r="D12" s="17">
        <f>SUM(C$8:C12)</f>
        <v>0.51571199999999995</v>
      </c>
      <c r="E12" s="17">
        <v>0.48471409999999998</v>
      </c>
      <c r="F12" s="17">
        <f t="shared" si="2"/>
        <v>7.4742000000000031E-2</v>
      </c>
      <c r="G12" s="17">
        <f>SUM(F$8:F12)</f>
        <v>0.51528590000000007</v>
      </c>
      <c r="H12" s="14">
        <v>0.6530918</v>
      </c>
      <c r="I12" s="14">
        <f t="shared" si="0"/>
        <v>0.3469082</v>
      </c>
      <c r="J12" s="14">
        <v>0.63337580000000004</v>
      </c>
      <c r="K12" s="21">
        <f t="shared" si="1"/>
        <v>0.36662419999999996</v>
      </c>
    </row>
    <row r="13" spans="1:13" x14ac:dyDescent="0.25">
      <c r="A13">
        <v>0.6</v>
      </c>
      <c r="B13" s="17">
        <v>0.41005219999999998</v>
      </c>
      <c r="C13" s="17">
        <f t="shared" si="3"/>
        <v>7.4235800000000018E-2</v>
      </c>
      <c r="D13" s="17">
        <f>SUM(C$8:C13)</f>
        <v>0.58994780000000002</v>
      </c>
      <c r="E13" s="17">
        <v>0.41421540000000001</v>
      </c>
      <c r="F13" s="17">
        <f t="shared" si="2"/>
        <v>7.049869999999997E-2</v>
      </c>
      <c r="G13" s="17">
        <f>SUM(F$8:F13)</f>
        <v>0.58578459999999999</v>
      </c>
      <c r="H13" s="14">
        <v>0.58784910000000001</v>
      </c>
      <c r="I13" s="14">
        <f t="shared" si="0"/>
        <v>0.41215089999999999</v>
      </c>
      <c r="J13" s="14">
        <v>0.57765129999999998</v>
      </c>
      <c r="K13" s="21">
        <f t="shared" si="1"/>
        <v>0.42234870000000002</v>
      </c>
    </row>
    <row r="14" spans="1:13" x14ac:dyDescent="0.25">
      <c r="A14">
        <v>0.7</v>
      </c>
      <c r="B14" s="17">
        <v>0.3483175</v>
      </c>
      <c r="C14" s="17">
        <f t="shared" si="3"/>
        <v>6.1734699999999976E-2</v>
      </c>
      <c r="D14" s="17">
        <f>SUM(C$8:C14)</f>
        <v>0.65168249999999994</v>
      </c>
      <c r="E14" s="17">
        <v>0.35220370000000001</v>
      </c>
      <c r="F14" s="17">
        <f t="shared" si="2"/>
        <v>6.2011700000000003E-2</v>
      </c>
      <c r="G14" s="17">
        <f>SUM(F$8:F14)</f>
        <v>0.64779629999999999</v>
      </c>
      <c r="H14" s="14">
        <v>0.52318819999999999</v>
      </c>
      <c r="I14" s="14">
        <f t="shared" si="0"/>
        <v>0.47681180000000001</v>
      </c>
      <c r="J14" s="14">
        <v>0.52506620000000004</v>
      </c>
      <c r="K14" s="21">
        <f t="shared" si="1"/>
        <v>0.47493379999999996</v>
      </c>
    </row>
    <row r="15" spans="1:13" x14ac:dyDescent="0.25">
      <c r="A15">
        <v>0.8</v>
      </c>
      <c r="B15" s="17">
        <v>0.29206270000000001</v>
      </c>
      <c r="C15" s="17">
        <f t="shared" si="3"/>
        <v>5.6254799999999994E-2</v>
      </c>
      <c r="D15" s="17">
        <f>SUM(C$8:C15)</f>
        <v>0.70793729999999999</v>
      </c>
      <c r="E15" s="17">
        <v>0.30311510000000003</v>
      </c>
      <c r="F15" s="17">
        <f t="shared" si="2"/>
        <v>4.9088599999999982E-2</v>
      </c>
      <c r="G15" s="17">
        <f>SUM(F$8:F15)</f>
        <v>0.69688489999999992</v>
      </c>
      <c r="H15" s="14">
        <v>0.46833439999999998</v>
      </c>
      <c r="I15" s="14">
        <f t="shared" si="0"/>
        <v>0.53166559999999996</v>
      </c>
      <c r="J15" s="14">
        <v>0.47130379999999999</v>
      </c>
      <c r="K15" s="21">
        <f t="shared" si="1"/>
        <v>0.52869619999999995</v>
      </c>
    </row>
    <row r="16" spans="1:13" x14ac:dyDescent="0.25">
      <c r="A16">
        <v>0.9</v>
      </c>
      <c r="B16" s="17">
        <v>0.24368519999999999</v>
      </c>
      <c r="C16" s="17">
        <f t="shared" si="3"/>
        <v>4.8377500000000018E-2</v>
      </c>
      <c r="D16" s="17">
        <f>SUM(C$8:C16)</f>
        <v>0.75631479999999995</v>
      </c>
      <c r="E16" s="17">
        <v>0.25826979999999999</v>
      </c>
      <c r="F16" s="17">
        <f t="shared" si="2"/>
        <v>4.4845300000000032E-2</v>
      </c>
      <c r="G16" s="17">
        <f>SUM(F$8:F16)</f>
        <v>0.7417301999999999</v>
      </c>
      <c r="H16" s="14">
        <v>0.42046210000000001</v>
      </c>
      <c r="I16" s="14">
        <f t="shared" si="0"/>
        <v>0.57953790000000005</v>
      </c>
      <c r="J16" s="14">
        <v>0.42646909999999999</v>
      </c>
      <c r="K16" s="21">
        <f t="shared" si="1"/>
        <v>0.57353089999999995</v>
      </c>
    </row>
    <row r="17" spans="1:11" x14ac:dyDescent="0.25">
      <c r="A17">
        <v>1</v>
      </c>
      <c r="B17" s="17">
        <v>0.2053258</v>
      </c>
      <c r="C17" s="17">
        <f t="shared" si="3"/>
        <v>3.8359399999999988E-2</v>
      </c>
      <c r="D17" s="17">
        <f>SUM(C$8:C17)</f>
        <v>0.7946742</v>
      </c>
      <c r="E17" s="17">
        <v>0.22056129999999999</v>
      </c>
      <c r="F17" s="17">
        <f t="shared" si="2"/>
        <v>3.7708500000000006E-2</v>
      </c>
      <c r="G17" s="17">
        <f>SUM(F$8:F17)</f>
        <v>0.77943869999999993</v>
      </c>
      <c r="H17" s="14">
        <v>0.37200800000000001</v>
      </c>
      <c r="I17" s="14">
        <f t="shared" si="0"/>
        <v>0.62799199999999999</v>
      </c>
      <c r="J17" s="14">
        <v>0.38771709999999998</v>
      </c>
      <c r="K17" s="21">
        <f t="shared" si="1"/>
        <v>0.61228290000000007</v>
      </c>
    </row>
    <row r="18" spans="1:11" x14ac:dyDescent="0.25">
      <c r="A18">
        <v>1.1000000000000001</v>
      </c>
      <c r="B18" s="17">
        <v>0.17176130000000001</v>
      </c>
      <c r="C18" s="17">
        <f t="shared" si="3"/>
        <v>3.3564499999999997E-2</v>
      </c>
      <c r="D18" s="17">
        <f>SUM(C$8:C18)</f>
        <v>0.82823869999999999</v>
      </c>
      <c r="E18" s="17">
        <v>0.18622820000000001</v>
      </c>
      <c r="F18" s="17">
        <f t="shared" si="2"/>
        <v>3.4333099999999978E-2</v>
      </c>
      <c r="G18" s="17">
        <f>SUM(F$8:F18)</f>
        <v>0.81377179999999993</v>
      </c>
      <c r="H18" s="14">
        <v>0.32870680000000002</v>
      </c>
      <c r="I18" s="14">
        <f t="shared" si="0"/>
        <v>0.67129320000000003</v>
      </c>
      <c r="J18" s="14">
        <v>0.34788580000000002</v>
      </c>
      <c r="K18" s="21">
        <f t="shared" si="1"/>
        <v>0.65211419999999998</v>
      </c>
    </row>
    <row r="19" spans="1:11" x14ac:dyDescent="0.25">
      <c r="A19">
        <v>1.2</v>
      </c>
      <c r="B19" s="17">
        <v>0.14230670000000001</v>
      </c>
      <c r="C19" s="17">
        <f t="shared" si="3"/>
        <v>2.9454599999999997E-2</v>
      </c>
      <c r="D19" s="17">
        <f>SUM(C$8:C19)</f>
        <v>0.85769329999999999</v>
      </c>
      <c r="E19" s="17">
        <v>0.15980330000000001</v>
      </c>
      <c r="F19" s="17">
        <f t="shared" si="2"/>
        <v>2.6424900000000001E-2</v>
      </c>
      <c r="G19" s="17">
        <f>SUM(F$8:F19)</f>
        <v>0.84019669999999991</v>
      </c>
      <c r="H19" s="14">
        <v>0.2874003</v>
      </c>
      <c r="I19" s="14">
        <f t="shared" si="0"/>
        <v>0.71259969999999995</v>
      </c>
      <c r="J19" s="14">
        <v>0.31295990000000001</v>
      </c>
      <c r="K19" s="21">
        <f t="shared" si="1"/>
        <v>0.68704009999999993</v>
      </c>
    </row>
    <row r="20" spans="1:11" x14ac:dyDescent="0.25">
      <c r="A20">
        <v>1.3</v>
      </c>
      <c r="B20" s="17">
        <v>0.1196164</v>
      </c>
      <c r="C20" s="17">
        <f t="shared" si="3"/>
        <v>2.269030000000001E-2</v>
      </c>
      <c r="D20" s="17">
        <f>SUM(C$8:C20)</f>
        <v>0.88038360000000004</v>
      </c>
      <c r="E20" s="17">
        <v>0.13762179999999999</v>
      </c>
      <c r="F20" s="17">
        <f t="shared" si="2"/>
        <v>2.2181500000000021E-2</v>
      </c>
      <c r="G20" s="17">
        <f>SUM(F$8:F20)</f>
        <v>0.86237819999999998</v>
      </c>
      <c r="H20" s="14">
        <v>0.25141289999999999</v>
      </c>
      <c r="I20" s="14">
        <f t="shared" si="0"/>
        <v>0.74858709999999995</v>
      </c>
      <c r="J20" s="14">
        <v>0.28176200000000001</v>
      </c>
      <c r="K20" s="21">
        <f t="shared" si="1"/>
        <v>0.71823799999999993</v>
      </c>
    </row>
    <row r="21" spans="1:11" x14ac:dyDescent="0.25">
      <c r="A21">
        <v>1.4</v>
      </c>
      <c r="B21" s="17">
        <v>9.7867969999999999E-2</v>
      </c>
      <c r="C21" s="17">
        <f t="shared" si="3"/>
        <v>2.1748429999999999E-2</v>
      </c>
      <c r="D21" s="17">
        <f>SUM(C$8:C21)</f>
        <v>0.90213203000000008</v>
      </c>
      <c r="E21" s="17">
        <v>0.115826</v>
      </c>
      <c r="F21" s="17">
        <f t="shared" si="2"/>
        <v>2.179579999999999E-2</v>
      </c>
      <c r="G21" s="17">
        <f>SUM(F$8:F21)</f>
        <v>0.88417400000000002</v>
      </c>
      <c r="H21" s="14">
        <v>0.220246</v>
      </c>
      <c r="I21" s="14">
        <f t="shared" si="0"/>
        <v>0.77975400000000006</v>
      </c>
      <c r="J21" s="14">
        <v>0.25213380000000002</v>
      </c>
      <c r="K21" s="21">
        <f t="shared" si="1"/>
        <v>0.74786620000000004</v>
      </c>
    </row>
    <row r="22" spans="1:11" x14ac:dyDescent="0.25">
      <c r="A22">
        <v>1.5</v>
      </c>
      <c r="B22" s="17">
        <v>7.9715729999999999E-2</v>
      </c>
      <c r="C22" s="17">
        <f t="shared" si="3"/>
        <v>1.815224E-2</v>
      </c>
      <c r="D22" s="17">
        <f>SUM(C$8:C22)</f>
        <v>0.92028427000000013</v>
      </c>
      <c r="E22" s="17">
        <v>9.8080819999999999E-2</v>
      </c>
      <c r="F22" s="17">
        <f t="shared" si="2"/>
        <v>1.7745179999999999E-2</v>
      </c>
      <c r="G22" s="17">
        <f>SUM(F$8:F22)</f>
        <v>0.90191918000000004</v>
      </c>
      <c r="H22" s="14">
        <v>0.19182179999999999</v>
      </c>
      <c r="I22" s="14">
        <f t="shared" si="0"/>
        <v>0.80817819999999996</v>
      </c>
      <c r="J22" s="14">
        <v>0.22299620000000001</v>
      </c>
      <c r="K22" s="21">
        <f t="shared" si="1"/>
        <v>0.77700380000000002</v>
      </c>
    </row>
    <row r="23" spans="1:11" x14ac:dyDescent="0.25">
      <c r="A23">
        <v>1.6</v>
      </c>
      <c r="B23" s="17">
        <v>6.4731570000000002E-2</v>
      </c>
      <c r="C23" s="17">
        <f t="shared" si="3"/>
        <v>1.4984159999999996E-2</v>
      </c>
      <c r="D23" s="17">
        <f>SUM(C$8:C23)</f>
        <v>0.93526843000000015</v>
      </c>
      <c r="E23" s="17">
        <v>8.1010700000000005E-2</v>
      </c>
      <c r="F23" s="17">
        <f t="shared" si="2"/>
        <v>1.7070119999999994E-2</v>
      </c>
      <c r="G23" s="17">
        <f>SUM(F$8:F23)</f>
        <v>0.91898930000000001</v>
      </c>
      <c r="H23" s="14">
        <v>0.1678856</v>
      </c>
      <c r="I23" s="14">
        <f t="shared" si="0"/>
        <v>0.83211440000000003</v>
      </c>
      <c r="J23" s="14">
        <v>0.20043169999999999</v>
      </c>
      <c r="K23" s="21">
        <f t="shared" si="1"/>
        <v>0.79956830000000001</v>
      </c>
    </row>
    <row r="24" spans="1:11" x14ac:dyDescent="0.25">
      <c r="A24">
        <v>1.7</v>
      </c>
      <c r="B24" s="17">
        <v>5.1117389999999999E-2</v>
      </c>
      <c r="C24" s="17">
        <f t="shared" si="3"/>
        <v>1.3614180000000004E-2</v>
      </c>
      <c r="D24" s="17">
        <f>SUM(C$8:C24)</f>
        <v>0.94888261000000018</v>
      </c>
      <c r="E24" s="17">
        <v>6.7798239999999996E-2</v>
      </c>
      <c r="F24" s="17">
        <f t="shared" si="2"/>
        <v>1.3212460000000009E-2</v>
      </c>
      <c r="G24" s="17">
        <f>SUM(F$8:F24)</f>
        <v>0.93220175999999999</v>
      </c>
      <c r="H24" s="14">
        <v>0.14710770000000001</v>
      </c>
      <c r="I24" s="14">
        <f t="shared" si="0"/>
        <v>0.85289229999999994</v>
      </c>
      <c r="J24" s="14">
        <v>0.18071229999999999</v>
      </c>
      <c r="K24" s="21">
        <f t="shared" si="1"/>
        <v>0.81928770000000006</v>
      </c>
    </row>
    <row r="25" spans="1:11" x14ac:dyDescent="0.25">
      <c r="A25">
        <v>1.8</v>
      </c>
      <c r="B25" s="17">
        <v>4.0071919999999997E-2</v>
      </c>
      <c r="C25" s="17">
        <f t="shared" si="3"/>
        <v>1.1045470000000002E-2</v>
      </c>
      <c r="D25" s="17">
        <f>SUM(C$8:C25)</f>
        <v>0.95992808000000018</v>
      </c>
      <c r="E25" s="17">
        <v>5.6611050000000003E-2</v>
      </c>
      <c r="F25" s="17">
        <f t="shared" si="2"/>
        <v>1.1187189999999993E-2</v>
      </c>
      <c r="G25" s="17">
        <f>SUM(F$8:F25)</f>
        <v>0.94338895</v>
      </c>
      <c r="H25" s="14">
        <v>0.12857379999999999</v>
      </c>
      <c r="I25" s="14">
        <f t="shared" si="0"/>
        <v>0.87142620000000004</v>
      </c>
      <c r="J25" s="14">
        <v>0.16128719999999999</v>
      </c>
      <c r="K25" s="21">
        <f t="shared" si="1"/>
        <v>0.83871280000000004</v>
      </c>
    </row>
    <row r="26" spans="1:11" x14ac:dyDescent="0.25">
      <c r="A26">
        <v>1.9</v>
      </c>
      <c r="B26" s="17">
        <v>3.2023290000000003E-2</v>
      </c>
      <c r="C26" s="17">
        <f t="shared" si="3"/>
        <v>8.0486299999999941E-3</v>
      </c>
      <c r="D26" s="17">
        <f>SUM(C$8:C26)</f>
        <v>0.96797671000000018</v>
      </c>
      <c r="E26" s="17">
        <v>4.494165E-2</v>
      </c>
      <c r="F26" s="17">
        <f t="shared" si="2"/>
        <v>1.1669400000000003E-2</v>
      </c>
      <c r="G26" s="17">
        <f>SUM(F$8:F26)</f>
        <v>0.95505835000000006</v>
      </c>
      <c r="H26" s="14">
        <v>0.11153589999999999</v>
      </c>
      <c r="I26" s="14">
        <f t="shared" si="0"/>
        <v>0.88846409999999998</v>
      </c>
      <c r="J26" s="14">
        <v>0.14303930000000001</v>
      </c>
      <c r="K26" s="21">
        <f t="shared" si="1"/>
        <v>0.85696070000000002</v>
      </c>
    </row>
    <row r="27" spans="1:11" x14ac:dyDescent="0.25">
      <c r="A27">
        <v>2</v>
      </c>
      <c r="B27" s="17">
        <v>2.3546540000000001E-2</v>
      </c>
      <c r="C27" s="17">
        <f t="shared" si="3"/>
        <v>8.4767500000000016E-3</v>
      </c>
      <c r="D27" s="17">
        <f>SUM(C$8:C27)</f>
        <v>0.97645346000000022</v>
      </c>
      <c r="E27" s="17">
        <v>3.7612109999999997E-2</v>
      </c>
      <c r="F27" s="17">
        <f t="shared" si="2"/>
        <v>7.3295400000000024E-3</v>
      </c>
      <c r="G27" s="17">
        <f>SUM(F$8:F27)</f>
        <v>0.96238789000000002</v>
      </c>
      <c r="H27" s="14">
        <v>9.6326460000000003E-2</v>
      </c>
      <c r="I27" s="14">
        <f t="shared" si="0"/>
        <v>0.90367354</v>
      </c>
      <c r="J27" s="14">
        <v>0.1243991</v>
      </c>
      <c r="K27" s="21">
        <f t="shared" si="1"/>
        <v>0.87560090000000002</v>
      </c>
    </row>
    <row r="28" spans="1:11" x14ac:dyDescent="0.25">
      <c r="A28">
        <v>2.1</v>
      </c>
      <c r="B28" s="17">
        <v>1.7124750000000001E-2</v>
      </c>
      <c r="C28" s="17">
        <f t="shared" si="3"/>
        <v>6.4217900000000001E-3</v>
      </c>
      <c r="D28" s="17">
        <f>SUM(C$8:C28)</f>
        <v>0.9828752500000002</v>
      </c>
      <c r="E28" s="17">
        <v>2.9414599999999999E-2</v>
      </c>
      <c r="F28" s="17">
        <f t="shared" si="2"/>
        <v>8.1975099999999981E-3</v>
      </c>
      <c r="G28" s="17">
        <f>SUM(F$8:F28)</f>
        <v>0.97058540000000004</v>
      </c>
      <c r="H28" s="14">
        <v>8.3444149999999995E-2</v>
      </c>
      <c r="I28" s="14">
        <f t="shared" si="0"/>
        <v>0.91655584999999995</v>
      </c>
      <c r="J28" s="14">
        <v>0.1085058</v>
      </c>
      <c r="K28" s="21">
        <f t="shared" si="1"/>
        <v>0.89149420000000001</v>
      </c>
    </row>
    <row r="29" spans="1:11" x14ac:dyDescent="0.25">
      <c r="A29">
        <v>2.2000000000000002</v>
      </c>
      <c r="B29" s="17">
        <v>1.121671E-2</v>
      </c>
      <c r="C29" s="17">
        <f t="shared" si="3"/>
        <v>5.9080400000000016E-3</v>
      </c>
      <c r="D29" s="17">
        <f>SUM(C$8:C29)</f>
        <v>0.9887832900000002</v>
      </c>
      <c r="E29" s="17">
        <v>2.324236E-2</v>
      </c>
      <c r="F29" s="17">
        <f t="shared" si="2"/>
        <v>6.172239999999999E-3</v>
      </c>
      <c r="G29" s="17">
        <f>SUM(F$8:F29)</f>
        <v>0.97675764000000009</v>
      </c>
      <c r="H29" s="14">
        <v>7.1891620000000003E-2</v>
      </c>
      <c r="I29" s="14">
        <f t="shared" si="0"/>
        <v>0.92810837999999996</v>
      </c>
      <c r="J29" s="14">
        <v>9.643873E-2</v>
      </c>
      <c r="K29" s="21">
        <f t="shared" si="1"/>
        <v>0.90356126999999997</v>
      </c>
    </row>
    <row r="30" spans="1:11" x14ac:dyDescent="0.25">
      <c r="A30">
        <v>2.2999999999999998</v>
      </c>
      <c r="B30" s="17">
        <v>5.2230499999999999E-3</v>
      </c>
      <c r="C30" s="17">
        <f t="shared" si="3"/>
        <v>5.9936599999999996E-3</v>
      </c>
      <c r="D30" s="17">
        <f>SUM(C$8:C30)</f>
        <v>0.99477695000000022</v>
      </c>
      <c r="E30" s="17">
        <v>1.687723E-2</v>
      </c>
      <c r="F30" s="17">
        <f t="shared" si="2"/>
        <v>6.3651300000000001E-3</v>
      </c>
      <c r="G30" s="17">
        <f>SUM(F$8:F30)</f>
        <v>0.98312277000000015</v>
      </c>
      <c r="H30" s="14">
        <v>6.0920879999999997E-2</v>
      </c>
      <c r="I30" s="14">
        <f t="shared" si="0"/>
        <v>0.93907912000000004</v>
      </c>
      <c r="J30" s="14">
        <v>8.5548910000000006E-2</v>
      </c>
      <c r="K30" s="21">
        <f t="shared" si="1"/>
        <v>0.91445109000000002</v>
      </c>
    </row>
    <row r="31" spans="1:11" x14ac:dyDescent="0.25">
      <c r="A31">
        <v>2.4</v>
      </c>
      <c r="B31" s="17">
        <v>1.4556040000000001E-3</v>
      </c>
      <c r="C31" s="17">
        <f t="shared" si="3"/>
        <v>3.7674459999999998E-3</v>
      </c>
      <c r="D31" s="17">
        <f>SUM(C$8:C31)</f>
        <v>0.99854439600000022</v>
      </c>
      <c r="E31" s="17">
        <v>1.2440929999999999E-2</v>
      </c>
      <c r="F31" s="17">
        <f t="shared" si="2"/>
        <v>4.4363000000000007E-3</v>
      </c>
      <c r="G31" s="17">
        <f>SUM(F$8:F31)</f>
        <v>0.98755907000000009</v>
      </c>
      <c r="H31" s="14">
        <v>5.3357710000000003E-2</v>
      </c>
      <c r="I31" s="14">
        <f t="shared" si="0"/>
        <v>0.94664229</v>
      </c>
      <c r="J31" s="14">
        <v>7.4659080000000003E-2</v>
      </c>
      <c r="K31" s="21">
        <f t="shared" si="1"/>
        <v>0.92534092000000001</v>
      </c>
    </row>
  </sheetData>
  <conditionalFormatting sqref="B8:B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E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H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J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28"/>
  <sheetViews>
    <sheetView topLeftCell="A4" zoomScale="85" zoomScaleNormal="85" workbookViewId="0">
      <selection activeCell="F84" sqref="F84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6.28515625" bestFit="1" customWidth="1"/>
    <col min="4" max="4" width="10.140625" bestFit="1" customWidth="1"/>
    <col min="5" max="5" width="10" bestFit="1" customWidth="1"/>
    <col min="6" max="9" width="10" customWidth="1"/>
    <col min="10" max="10" width="10.5703125" customWidth="1"/>
    <col min="11" max="12" width="12" bestFit="1" customWidth="1"/>
    <col min="20" max="20" width="11" bestFit="1" customWidth="1"/>
    <col min="27" max="28" width="12" bestFit="1" customWidth="1"/>
  </cols>
  <sheetData>
    <row r="1" spans="1:31" x14ac:dyDescent="0.25">
      <c r="A1" t="s">
        <v>38</v>
      </c>
      <c r="B1">
        <v>15.12</v>
      </c>
      <c r="C1" t="s">
        <v>27</v>
      </c>
      <c r="D1" s="14">
        <v>5.2493130000000002E-3</v>
      </c>
      <c r="E1" t="s">
        <v>26</v>
      </c>
      <c r="F1" s="14">
        <v>1.006084E-3</v>
      </c>
      <c r="G1" t="s">
        <v>25</v>
      </c>
      <c r="H1" s="14">
        <v>1.2590800000000001E-3</v>
      </c>
      <c r="I1" s="14"/>
      <c r="Q1">
        <v>15.12</v>
      </c>
      <c r="R1" t="s">
        <v>39</v>
      </c>
      <c r="S1">
        <v>21.12</v>
      </c>
      <c r="T1" t="s">
        <v>27</v>
      </c>
      <c r="U1" s="14">
        <v>8.5271129999999994E-3</v>
      </c>
      <c r="V1" t="s">
        <v>26</v>
      </c>
      <c r="W1" s="14">
        <v>6.1269679999999998E-4</v>
      </c>
      <c r="X1" t="s">
        <v>25</v>
      </c>
      <c r="Y1" s="14">
        <v>6.8253590000000005E-4</v>
      </c>
    </row>
    <row r="2" spans="1:31" x14ac:dyDescent="0.25">
      <c r="A2" t="s">
        <v>51</v>
      </c>
      <c r="C2" t="s">
        <v>27</v>
      </c>
      <c r="D2" s="14">
        <v>7.2834170000000004E-3</v>
      </c>
      <c r="E2" t="s">
        <v>26</v>
      </c>
      <c r="F2" s="14">
        <v>2.1658699999999999E-3</v>
      </c>
      <c r="G2" t="s">
        <v>25</v>
      </c>
      <c r="H2" s="14">
        <v>2.3706560000000001E-3</v>
      </c>
      <c r="I2" s="14"/>
      <c r="T2" t="s">
        <v>27</v>
      </c>
      <c r="U2" s="14">
        <v>1.184876E-2</v>
      </c>
      <c r="V2" t="s">
        <v>26</v>
      </c>
      <c r="W2" s="14">
        <v>1.3452399999999999E-3</v>
      </c>
      <c r="X2" t="s">
        <v>25</v>
      </c>
      <c r="Y2" s="14">
        <v>1.4076659999999999E-3</v>
      </c>
    </row>
    <row r="3" spans="1:31" x14ac:dyDescent="0.25">
      <c r="A3" t="s">
        <v>55</v>
      </c>
      <c r="C3" t="s">
        <v>27</v>
      </c>
      <c r="D3" s="14">
        <v>8.9027440000000006E-3</v>
      </c>
      <c r="E3" t="s">
        <v>26</v>
      </c>
      <c r="F3" s="14">
        <v>3.1779149999999999E-3</v>
      </c>
      <c r="G3" t="s">
        <v>25</v>
      </c>
      <c r="H3" s="14">
        <v>3.417556E-3</v>
      </c>
      <c r="I3" s="14"/>
      <c r="T3" t="s">
        <v>27</v>
      </c>
      <c r="U3" s="14">
        <v>1.428514E-2</v>
      </c>
      <c r="V3" t="s">
        <v>26</v>
      </c>
      <c r="W3" s="14">
        <v>2.2173240000000001E-3</v>
      </c>
      <c r="X3" t="s">
        <v>25</v>
      </c>
      <c r="Y3" s="14">
        <v>2.0116399999999999E-3</v>
      </c>
      <c r="AB3" t="s">
        <v>61</v>
      </c>
      <c r="AC3" t="s">
        <v>60</v>
      </c>
      <c r="AD3" t="s">
        <v>55</v>
      </c>
      <c r="AE3" t="s">
        <v>64</v>
      </c>
    </row>
    <row r="4" spans="1:31" x14ac:dyDescent="0.25">
      <c r="A4" t="s">
        <v>64</v>
      </c>
      <c r="C4" t="s">
        <v>27</v>
      </c>
      <c r="D4" s="14">
        <v>1.1155190000000001E-2</v>
      </c>
      <c r="E4" t="s">
        <v>26</v>
      </c>
      <c r="F4" s="14">
        <v>5.2811469999999999E-3</v>
      </c>
      <c r="G4" t="s">
        <v>25</v>
      </c>
      <c r="H4" s="14">
        <v>5.4581229999999996E-3</v>
      </c>
      <c r="I4" s="14"/>
      <c r="L4" t="s">
        <v>61</v>
      </c>
      <c r="M4" t="s">
        <v>60</v>
      </c>
      <c r="N4" t="s">
        <v>55</v>
      </c>
      <c r="O4" t="s">
        <v>63</v>
      </c>
      <c r="T4" t="s">
        <v>27</v>
      </c>
      <c r="U4" s="14">
        <v>1.795952E-2</v>
      </c>
      <c r="V4" t="s">
        <v>26</v>
      </c>
      <c r="W4" s="14">
        <v>3.2414900000000001E-3</v>
      </c>
      <c r="X4" t="s">
        <v>25</v>
      </c>
      <c r="Y4" s="14"/>
      <c r="AA4" s="14">
        <v>3.0933699999999998E-3</v>
      </c>
    </row>
    <row r="5" spans="1:31" x14ac:dyDescent="0.25">
      <c r="A5" t="s">
        <v>27</v>
      </c>
      <c r="B5" s="14">
        <v>3.7215210000000002E-3</v>
      </c>
      <c r="C5" s="14">
        <v>3.1012430000000001E-3</v>
      </c>
      <c r="D5" s="14">
        <v>5.080981E-3</v>
      </c>
      <c r="E5" s="14">
        <v>4.2163189999999996E-3</v>
      </c>
      <c r="F5" s="14">
        <v>6.2360030000000004E-3</v>
      </c>
      <c r="G5" s="14">
        <v>5.0675820000000002E-3</v>
      </c>
      <c r="H5" s="14">
        <v>7.946537E-3</v>
      </c>
      <c r="I5" s="14">
        <v>6.1317259999999997E-3</v>
      </c>
      <c r="K5" s="21" t="s">
        <v>40</v>
      </c>
      <c r="L5">
        <v>1645</v>
      </c>
      <c r="M5">
        <v>1739</v>
      </c>
      <c r="N5">
        <v>1820</v>
      </c>
      <c r="O5">
        <v>1900</v>
      </c>
      <c r="Q5" t="s">
        <v>27</v>
      </c>
      <c r="R5" s="14">
        <v>7.6885E-3</v>
      </c>
      <c r="S5" s="14">
        <v>6.8649749999999997E-3</v>
      </c>
      <c r="T5" s="14">
        <v>7.6885E-3</v>
      </c>
      <c r="U5" s="14">
        <v>6.8649749999999997E-3</v>
      </c>
      <c r="V5" s="14">
        <v>9.0823729999999995E-3</v>
      </c>
      <c r="W5" s="14">
        <v>8.1694490000000005E-3</v>
      </c>
      <c r="X5" s="14">
        <v>1.1752479999999999E-2</v>
      </c>
      <c r="Y5" s="14">
        <v>9.7412869999999995E-3</v>
      </c>
      <c r="AA5" s="21" t="s">
        <v>40</v>
      </c>
      <c r="AB5">
        <v>1458</v>
      </c>
      <c r="AC5">
        <v>1522</v>
      </c>
      <c r="AD5">
        <v>1547</v>
      </c>
      <c r="AE5">
        <v>1570</v>
      </c>
    </row>
    <row r="6" spans="1:31" x14ac:dyDescent="0.25">
      <c r="A6" t="s">
        <v>26</v>
      </c>
      <c r="B6" s="14">
        <v>3.557864E-3</v>
      </c>
      <c r="C6" s="14">
        <v>-2.6794520000000001E-3</v>
      </c>
      <c r="D6" s="14">
        <v>5.5228899999999999E-3</v>
      </c>
      <c r="E6" s="14">
        <v>-3.8530600000000002E-3</v>
      </c>
      <c r="F6" s="14">
        <v>6.9654440000000003E-3</v>
      </c>
      <c r="G6" s="14">
        <v>-4.7677869999999999E-3</v>
      </c>
      <c r="H6" s="14">
        <v>9.5503970000000004E-3</v>
      </c>
      <c r="I6" s="14">
        <v>-5.313506E-3</v>
      </c>
      <c r="K6" s="21" t="s">
        <v>41</v>
      </c>
      <c r="L6">
        <v>1097</v>
      </c>
      <c r="M6">
        <v>1001</v>
      </c>
      <c r="N6">
        <v>924</v>
      </c>
      <c r="O6">
        <v>844</v>
      </c>
      <c r="Q6" t="s">
        <v>26</v>
      </c>
      <c r="R6" s="14">
        <v>8.0256990000000007E-3</v>
      </c>
      <c r="S6" s="14">
        <v>-7.4329519999999996E-3</v>
      </c>
      <c r="T6" s="14">
        <v>8.0256990000000007E-3</v>
      </c>
      <c r="U6" s="14">
        <v>-7.4329519999999996E-3</v>
      </c>
      <c r="V6" s="14">
        <v>9.7981619999999991E-3</v>
      </c>
      <c r="W6" s="14">
        <v>-9.6245549999999999E-3</v>
      </c>
      <c r="X6" s="14">
        <v>1.280094E-2</v>
      </c>
      <c r="Y6" s="14">
        <v>-1.207312E-2</v>
      </c>
      <c r="AA6" s="21" t="s">
        <v>41</v>
      </c>
      <c r="AB6">
        <v>1284</v>
      </c>
      <c r="AC6">
        <v>1221</v>
      </c>
      <c r="AD6">
        <v>1195</v>
      </c>
      <c r="AE6">
        <v>1174</v>
      </c>
    </row>
    <row r="7" spans="1:31" x14ac:dyDescent="0.25">
      <c r="A7" t="s">
        <v>25</v>
      </c>
      <c r="B7" s="14">
        <v>4.4673680000000002E-3</v>
      </c>
      <c r="C7" s="14">
        <v>-3.5466680000000002E-3</v>
      </c>
      <c r="D7" s="14">
        <v>6.5438079999999999E-3</v>
      </c>
      <c r="E7" s="14">
        <v>-4.8720990000000004E-3</v>
      </c>
      <c r="F7" s="14">
        <v>8.1873859999999996E-3</v>
      </c>
      <c r="G7" s="14">
        <v>-5.9775640000000003E-3</v>
      </c>
      <c r="H7" s="14">
        <v>1.100343E-2</v>
      </c>
      <c r="I7" s="14">
        <v>-7.0189170000000004E-3</v>
      </c>
      <c r="K7" t="s">
        <v>42</v>
      </c>
      <c r="L7" s="13">
        <f>L5/L6</f>
        <v>1.4995442114858706</v>
      </c>
      <c r="M7" s="13">
        <f>M5/M6</f>
        <v>1.7372627372627372</v>
      </c>
      <c r="N7" s="13">
        <f>N5/N6</f>
        <v>1.9696969696969697</v>
      </c>
      <c r="O7" s="13">
        <f>O5/O6</f>
        <v>2.2511848341232228</v>
      </c>
      <c r="P7" s="13"/>
      <c r="Q7" t="s">
        <v>25</v>
      </c>
      <c r="R7" s="14">
        <v>9.7428649999999999E-3</v>
      </c>
      <c r="S7" s="14">
        <v>-8.9823200000000002E-3</v>
      </c>
      <c r="T7" s="14">
        <v>9.7428649999999999E-3</v>
      </c>
      <c r="U7" s="14">
        <v>-8.9823200000000002E-3</v>
      </c>
      <c r="V7" s="14">
        <v>1.1975090000000001E-2</v>
      </c>
      <c r="W7" s="14">
        <v>-1.0884970000000001E-2</v>
      </c>
      <c r="X7" s="14">
        <v>1.5410510000000001E-2</v>
      </c>
      <c r="Y7" s="14">
        <v>-1.337845E-2</v>
      </c>
      <c r="AA7" t="s">
        <v>42</v>
      </c>
      <c r="AB7" s="13">
        <f>AB5/AB6</f>
        <v>1.1355140186915889</v>
      </c>
      <c r="AC7" s="13">
        <f>AC5/AC6</f>
        <v>1.2465192465192465</v>
      </c>
      <c r="AD7" s="13">
        <f>AD5/AD6</f>
        <v>1.294560669456067</v>
      </c>
      <c r="AE7" s="13">
        <f>AE5/AE6</f>
        <v>1.3373083475298126</v>
      </c>
    </row>
    <row r="8" spans="1:31" x14ac:dyDescent="0.25">
      <c r="A8" t="s">
        <v>31</v>
      </c>
      <c r="B8" t="s">
        <v>30</v>
      </c>
      <c r="C8" t="s">
        <v>33</v>
      </c>
      <c r="D8" t="s">
        <v>23</v>
      </c>
      <c r="E8" t="s">
        <v>24</v>
      </c>
      <c r="F8" t="s">
        <v>58</v>
      </c>
      <c r="G8" t="s">
        <v>59</v>
      </c>
      <c r="H8" t="s">
        <v>65</v>
      </c>
      <c r="I8" t="s">
        <v>66</v>
      </c>
      <c r="J8" s="21" t="s">
        <v>53</v>
      </c>
      <c r="K8" t="s">
        <v>54</v>
      </c>
      <c r="L8" s="17">
        <f>L5/SUM(L5:L6)</f>
        <v>0.59992706053975198</v>
      </c>
      <c r="M8" s="17">
        <f>M5/SUM(M5:M6)</f>
        <v>0.63467153284671529</v>
      </c>
      <c r="N8" s="17">
        <f>N5/SUM(N5:N6)</f>
        <v>0.66326530612244894</v>
      </c>
      <c r="O8" s="17">
        <f>O5/SUM(O5:O6)</f>
        <v>0.69241982507288635</v>
      </c>
      <c r="Q8" t="s">
        <v>31</v>
      </c>
      <c r="R8" t="s">
        <v>30</v>
      </c>
      <c r="S8" t="s">
        <v>33</v>
      </c>
      <c r="T8" t="s">
        <v>23</v>
      </c>
      <c r="U8" t="s">
        <v>24</v>
      </c>
      <c r="V8" t="s">
        <v>58</v>
      </c>
      <c r="W8" t="s">
        <v>59</v>
      </c>
      <c r="X8" t="s">
        <v>65</v>
      </c>
      <c r="Y8" t="s">
        <v>66</v>
      </c>
      <c r="Z8" s="21" t="s">
        <v>53</v>
      </c>
      <c r="AA8" t="s">
        <v>54</v>
      </c>
      <c r="AB8" s="17">
        <f>AB5/SUM(AB5:AB6)</f>
        <v>0.53172866520787743</v>
      </c>
      <c r="AC8" s="17">
        <f>AC5/SUM(AC5:AC6)</f>
        <v>0.55486693401385345</v>
      </c>
      <c r="AD8" s="17">
        <f>AD5/SUM(AD5:AD6)</f>
        <v>0.56418672501823486</v>
      </c>
      <c r="AE8" s="17">
        <f>AE5/SUM(AE5:AE6)</f>
        <v>0.57215743440233235</v>
      </c>
    </row>
    <row r="9" spans="1:31" x14ac:dyDescent="0.25">
      <c r="A9">
        <v>0.1</v>
      </c>
      <c r="B9" s="17">
        <v>0.83515819999999996</v>
      </c>
      <c r="C9" s="17">
        <v>0.793072</v>
      </c>
      <c r="D9" s="14">
        <v>0.89936749999999999</v>
      </c>
      <c r="E9" s="14">
        <v>0.84915079999999998</v>
      </c>
      <c r="F9" s="14">
        <v>0.92252749999999994</v>
      </c>
      <c r="G9" s="14">
        <v>0.88419910000000002</v>
      </c>
      <c r="H9" s="14">
        <v>0.95157890000000001</v>
      </c>
      <c r="I9" s="14">
        <v>0.89336490000000002</v>
      </c>
      <c r="J9" s="25">
        <f t="shared" ref="J9:J39" si="0">($A9/100+1)*$M$66</f>
        <v>398.17777999999993</v>
      </c>
      <c r="K9" s="25">
        <f t="shared" ref="K9:K39" si="1">(1-$A9/100)*$M$66</f>
        <v>397.38221999999996</v>
      </c>
      <c r="L9" s="17">
        <f>L6/SUM(L5:L6)</f>
        <v>0.40007293946024797</v>
      </c>
      <c r="M9" s="17">
        <f>M6/SUM(M5:M6)</f>
        <v>0.36532846715328465</v>
      </c>
      <c r="N9" s="17">
        <f>N6/SUM(N5:N6)</f>
        <v>0.33673469387755101</v>
      </c>
      <c r="O9" s="17">
        <f>O6/SUM(O5:O6)</f>
        <v>0.3075801749271137</v>
      </c>
      <c r="Q9">
        <v>0.1</v>
      </c>
      <c r="R9" s="17">
        <v>0.8943759</v>
      </c>
      <c r="S9" s="17">
        <v>0.88161990000000001</v>
      </c>
      <c r="T9" s="14">
        <v>0.92904070000000005</v>
      </c>
      <c r="U9" s="14">
        <v>0.92219490000000004</v>
      </c>
      <c r="V9" s="14">
        <v>0.96315450000000002</v>
      </c>
      <c r="W9" s="14">
        <v>0.92552299999999998</v>
      </c>
      <c r="X9" s="14">
        <v>0.95796179999999997</v>
      </c>
      <c r="Y9" s="14">
        <v>0.94804089999999996</v>
      </c>
      <c r="Z9" s="25">
        <f t="shared" ref="Z9:Z39" si="2">($A9/100+1)*$M$66</f>
        <v>398.17777999999993</v>
      </c>
      <c r="AA9" s="25">
        <f t="shared" ref="AA9:AA39" si="3">(1-$A9/100)*$M$66</f>
        <v>397.38221999999996</v>
      </c>
      <c r="AB9" s="17">
        <f>AB6/SUM(AB5:AB6)</f>
        <v>0.46827133479212252</v>
      </c>
      <c r="AC9" s="17">
        <f>AC6/SUM(AC5:AC6)</f>
        <v>0.44513306598614655</v>
      </c>
      <c r="AD9" s="17">
        <f>AD6/SUM(AD5:AD6)</f>
        <v>0.43581327498176514</v>
      </c>
      <c r="AE9" s="17">
        <f>AE6/SUM(AE5:AE6)</f>
        <v>0.42784256559766765</v>
      </c>
    </row>
    <row r="10" spans="1:31" x14ac:dyDescent="0.25">
      <c r="A10">
        <v>0.2</v>
      </c>
      <c r="B10" s="17">
        <v>0.68065690000000001</v>
      </c>
      <c r="C10" s="17">
        <v>0.60255239999999999</v>
      </c>
      <c r="D10" s="14">
        <v>0.80391029999999997</v>
      </c>
      <c r="E10" s="14">
        <v>0.7112887</v>
      </c>
      <c r="F10" s="14">
        <v>0.84505490000000005</v>
      </c>
      <c r="G10" s="14">
        <v>0.75757580000000002</v>
      </c>
      <c r="H10" s="14">
        <v>0.9005263</v>
      </c>
      <c r="I10" s="14">
        <v>0.78317539999999997</v>
      </c>
      <c r="J10" s="25">
        <f t="shared" si="0"/>
        <v>398.57556</v>
      </c>
      <c r="K10" s="25">
        <f t="shared" si="1"/>
        <v>396.98443999999995</v>
      </c>
      <c r="Q10">
        <v>0.2</v>
      </c>
      <c r="R10" s="17">
        <v>0.79561040000000005</v>
      </c>
      <c r="S10" s="17">
        <v>0.76090340000000001</v>
      </c>
      <c r="T10" s="14">
        <v>0.86662289999999997</v>
      </c>
      <c r="U10" s="14">
        <v>0.85421789999999997</v>
      </c>
      <c r="V10" s="14">
        <v>0.89592760000000005</v>
      </c>
      <c r="W10" s="14">
        <v>0.87112970000000001</v>
      </c>
      <c r="X10" s="14">
        <v>0.91974520000000004</v>
      </c>
      <c r="Y10" s="14">
        <v>0.89863709999999997</v>
      </c>
      <c r="Z10" s="25">
        <f t="shared" si="2"/>
        <v>398.57556</v>
      </c>
      <c r="AA10" s="25">
        <f t="shared" si="3"/>
        <v>396.98443999999995</v>
      </c>
    </row>
    <row r="11" spans="1:31" x14ac:dyDescent="0.25">
      <c r="A11">
        <v>0.3</v>
      </c>
      <c r="B11" s="17">
        <v>0.55352800000000002</v>
      </c>
      <c r="C11" s="17">
        <v>0.45031910000000003</v>
      </c>
      <c r="D11" s="14">
        <v>0.70557789999999998</v>
      </c>
      <c r="E11" s="14">
        <v>0.58341659999999995</v>
      </c>
      <c r="F11" s="14">
        <v>0.76923079999999999</v>
      </c>
      <c r="G11" s="14">
        <v>0.66233770000000003</v>
      </c>
      <c r="H11" s="14">
        <v>0.84578949999999997</v>
      </c>
      <c r="I11" s="14">
        <v>0.67772509999999997</v>
      </c>
      <c r="J11" s="25">
        <f t="shared" si="0"/>
        <v>398.97333999999995</v>
      </c>
      <c r="K11" s="25">
        <f t="shared" si="1"/>
        <v>396.58665999999999</v>
      </c>
      <c r="Q11">
        <v>0.3</v>
      </c>
      <c r="R11" s="17">
        <v>0.69547329999999996</v>
      </c>
      <c r="S11" s="17">
        <v>0.65342679999999997</v>
      </c>
      <c r="T11" s="14">
        <v>0.80880419999999997</v>
      </c>
      <c r="U11" s="14">
        <v>0.78460280000000004</v>
      </c>
      <c r="V11" s="14">
        <v>0.85067870000000001</v>
      </c>
      <c r="W11" s="14">
        <v>0.81840999999999997</v>
      </c>
      <c r="X11" s="14">
        <v>0.88152870000000005</v>
      </c>
      <c r="Y11" s="14">
        <v>0.85519590000000001</v>
      </c>
      <c r="Z11" s="25">
        <f t="shared" si="2"/>
        <v>398.97333999999995</v>
      </c>
      <c r="AA11" s="25">
        <f t="shared" si="3"/>
        <v>396.58665999999999</v>
      </c>
    </row>
    <row r="12" spans="1:31" x14ac:dyDescent="0.25">
      <c r="A12">
        <v>0.4</v>
      </c>
      <c r="B12" s="17">
        <v>0.45863749999999998</v>
      </c>
      <c r="C12" s="17">
        <v>0.32816770000000001</v>
      </c>
      <c r="D12" s="14">
        <v>0.62277170000000004</v>
      </c>
      <c r="E12" s="14">
        <v>0.48151850000000002</v>
      </c>
      <c r="F12" s="14">
        <v>0.70439560000000001</v>
      </c>
      <c r="G12" s="14">
        <v>0.56493510000000002</v>
      </c>
      <c r="H12" s="14">
        <v>0.78947369999999994</v>
      </c>
      <c r="I12" s="14">
        <v>0.59123219999999999</v>
      </c>
      <c r="J12" s="25">
        <f t="shared" si="0"/>
        <v>399.37111999999996</v>
      </c>
      <c r="K12" s="25">
        <f t="shared" si="1"/>
        <v>396.18887999999998</v>
      </c>
      <c r="Q12">
        <v>0.4</v>
      </c>
      <c r="R12" s="17">
        <v>0.6056241</v>
      </c>
      <c r="S12" s="17">
        <v>0.56542060000000005</v>
      </c>
      <c r="T12" s="14">
        <v>0.74572930000000004</v>
      </c>
      <c r="U12" s="14">
        <v>0.72235870000000002</v>
      </c>
      <c r="V12" s="14">
        <v>0.80025860000000004</v>
      </c>
      <c r="W12" s="14">
        <v>0.76485360000000002</v>
      </c>
      <c r="X12" s="14">
        <v>0.8452229</v>
      </c>
      <c r="Y12" s="14">
        <v>0.81345829999999997</v>
      </c>
      <c r="Z12" s="25">
        <f t="shared" si="2"/>
        <v>399.37111999999996</v>
      </c>
      <c r="AA12" s="25">
        <f t="shared" si="3"/>
        <v>396.18887999999998</v>
      </c>
    </row>
    <row r="13" spans="1:31" x14ac:dyDescent="0.25">
      <c r="A13">
        <v>0.5</v>
      </c>
      <c r="B13" s="17">
        <v>0.35644769999999998</v>
      </c>
      <c r="C13" s="17">
        <v>0.247949</v>
      </c>
      <c r="D13" s="14">
        <v>0.53824039999999995</v>
      </c>
      <c r="E13" s="14">
        <v>0.38361640000000002</v>
      </c>
      <c r="F13" s="14">
        <v>0.64560439999999997</v>
      </c>
      <c r="G13" s="14">
        <v>0.47835499999999997</v>
      </c>
      <c r="H13" s="14">
        <v>0.74</v>
      </c>
      <c r="I13" s="14">
        <v>0.51658769999999998</v>
      </c>
      <c r="J13" s="25">
        <f t="shared" si="0"/>
        <v>399.76889999999992</v>
      </c>
      <c r="K13" s="25">
        <f t="shared" si="1"/>
        <v>395.79109999999997</v>
      </c>
      <c r="Q13">
        <v>0.5</v>
      </c>
      <c r="R13" s="17">
        <v>0.53223589999999998</v>
      </c>
      <c r="S13" s="17">
        <v>0.4945483</v>
      </c>
      <c r="T13" s="14">
        <v>0.6885677</v>
      </c>
      <c r="U13" s="14">
        <v>0.65192470000000002</v>
      </c>
      <c r="V13" s="14">
        <v>0.75436329999999996</v>
      </c>
      <c r="W13" s="14">
        <v>0.70962340000000002</v>
      </c>
      <c r="X13" s="14">
        <v>0.80828029999999995</v>
      </c>
      <c r="Y13" s="14">
        <v>0.76916519999999999</v>
      </c>
      <c r="Z13" s="25">
        <f t="shared" si="2"/>
        <v>399.76889999999992</v>
      </c>
      <c r="AA13" s="25">
        <f t="shared" si="3"/>
        <v>395.79109999999997</v>
      </c>
    </row>
    <row r="14" spans="1:31" x14ac:dyDescent="0.25">
      <c r="A14">
        <v>0.6</v>
      </c>
      <c r="B14" s="17">
        <v>0.28284670000000001</v>
      </c>
      <c r="C14" s="17">
        <v>0.1941659</v>
      </c>
      <c r="D14" s="14">
        <v>0.4565842</v>
      </c>
      <c r="E14" s="14">
        <v>0.3086913</v>
      </c>
      <c r="F14" s="14">
        <v>0.57362639999999998</v>
      </c>
      <c r="G14" s="14">
        <v>0.39177489999999998</v>
      </c>
      <c r="H14" s="14">
        <v>0.68315789999999998</v>
      </c>
      <c r="I14" s="14">
        <v>0.45260660000000003</v>
      </c>
      <c r="J14" s="25">
        <f t="shared" si="0"/>
        <v>400.16667999999999</v>
      </c>
      <c r="K14" s="25">
        <f t="shared" si="1"/>
        <v>395.39331999999996</v>
      </c>
      <c r="Q14">
        <v>0.6</v>
      </c>
      <c r="R14" s="17">
        <v>0.46844989999999997</v>
      </c>
      <c r="S14" s="17">
        <v>0.42757010000000001</v>
      </c>
      <c r="T14" s="14">
        <v>0.61169510000000005</v>
      </c>
      <c r="U14" s="14">
        <v>0.58722359999999996</v>
      </c>
      <c r="V14" s="14">
        <v>0.70652879999999996</v>
      </c>
      <c r="W14" s="14">
        <v>0.66861919999999997</v>
      </c>
      <c r="X14" s="14">
        <v>0.76050960000000001</v>
      </c>
      <c r="Y14" s="14">
        <v>0.72657579999999999</v>
      </c>
      <c r="Z14" s="25">
        <f t="shared" si="2"/>
        <v>400.16667999999999</v>
      </c>
      <c r="AA14" s="25">
        <f t="shared" si="3"/>
        <v>395.39331999999996</v>
      </c>
    </row>
    <row r="15" spans="1:31" x14ac:dyDescent="0.25">
      <c r="A15">
        <v>0.7</v>
      </c>
      <c r="B15" s="17">
        <v>0.2208029</v>
      </c>
      <c r="C15" s="17">
        <v>0.14585229999999999</v>
      </c>
      <c r="D15" s="14">
        <v>0.3887292</v>
      </c>
      <c r="E15" s="14">
        <v>0.24975020000000001</v>
      </c>
      <c r="F15" s="14">
        <v>0.49395600000000001</v>
      </c>
      <c r="G15" s="14">
        <v>0.32142860000000001</v>
      </c>
      <c r="H15" s="14">
        <v>0.62526320000000002</v>
      </c>
      <c r="I15" s="14">
        <v>0.39336490000000002</v>
      </c>
      <c r="J15" s="25">
        <f t="shared" si="0"/>
        <v>400.56445999999994</v>
      </c>
      <c r="K15" s="25">
        <f t="shared" si="1"/>
        <v>394.99553999999995</v>
      </c>
      <c r="Q15">
        <v>0.7</v>
      </c>
      <c r="R15" s="17">
        <v>0.40672150000000001</v>
      </c>
      <c r="S15" s="17">
        <v>0.35903429999999997</v>
      </c>
      <c r="T15" s="14">
        <v>0.55124839999999997</v>
      </c>
      <c r="U15" s="14">
        <v>0.53562650000000001</v>
      </c>
      <c r="V15" s="14">
        <v>0.64318030000000004</v>
      </c>
      <c r="W15" s="14">
        <v>0.61255230000000005</v>
      </c>
      <c r="X15" s="14">
        <v>0.72420379999999995</v>
      </c>
      <c r="Y15" s="14">
        <v>0.68824529999999995</v>
      </c>
      <c r="Z15" s="25">
        <f t="shared" si="2"/>
        <v>400.56445999999994</v>
      </c>
      <c r="AA15" s="25">
        <f t="shared" si="3"/>
        <v>394.99553999999995</v>
      </c>
    </row>
    <row r="16" spans="1:31" x14ac:dyDescent="0.25">
      <c r="A16">
        <v>0.8</v>
      </c>
      <c r="B16" s="17">
        <v>0.16849149999999999</v>
      </c>
      <c r="C16" s="17">
        <v>0.1002735</v>
      </c>
      <c r="D16" s="14">
        <v>0.32317420000000002</v>
      </c>
      <c r="E16" s="14">
        <v>0.18881120000000001</v>
      </c>
      <c r="F16" s="14">
        <v>0.4357143</v>
      </c>
      <c r="G16" s="14">
        <v>0.267316</v>
      </c>
      <c r="H16" s="14">
        <v>0.57684210000000002</v>
      </c>
      <c r="I16" s="14">
        <v>0.34834120000000002</v>
      </c>
      <c r="J16" s="25">
        <f t="shared" si="0"/>
        <v>400.96223999999995</v>
      </c>
      <c r="K16" s="25">
        <f t="shared" si="1"/>
        <v>394.59775999999999</v>
      </c>
      <c r="Q16">
        <v>0.8</v>
      </c>
      <c r="R16" s="17">
        <v>0.35116599999999998</v>
      </c>
      <c r="S16" s="17">
        <v>0.30763239999999997</v>
      </c>
      <c r="T16" s="14">
        <v>0.5019711</v>
      </c>
      <c r="U16" s="14">
        <v>0.47010649999999998</v>
      </c>
      <c r="V16" s="14">
        <v>0.59405300000000005</v>
      </c>
      <c r="W16" s="14">
        <v>0.57071130000000003</v>
      </c>
      <c r="X16" s="14">
        <v>0.68407640000000003</v>
      </c>
      <c r="Y16" s="14">
        <v>0.64735949999999998</v>
      </c>
      <c r="Z16" s="25">
        <f t="shared" si="2"/>
        <v>400.96223999999995</v>
      </c>
      <c r="AA16" s="25">
        <f t="shared" si="3"/>
        <v>394.59775999999999</v>
      </c>
    </row>
    <row r="17" spans="1:27" x14ac:dyDescent="0.25">
      <c r="A17">
        <v>0.9</v>
      </c>
      <c r="B17" s="17">
        <v>0.12287099999999999</v>
      </c>
      <c r="C17" s="17">
        <v>6.7456699999999994E-2</v>
      </c>
      <c r="D17" s="14">
        <v>0.27314549999999999</v>
      </c>
      <c r="E17" s="14">
        <v>0.13786209999999999</v>
      </c>
      <c r="F17" s="14">
        <v>0.37802200000000002</v>
      </c>
      <c r="G17" s="14">
        <v>0.219697</v>
      </c>
      <c r="H17" s="14">
        <v>0.52736839999999996</v>
      </c>
      <c r="I17" s="14">
        <v>0.30094789999999999</v>
      </c>
      <c r="J17" s="25">
        <f t="shared" si="0"/>
        <v>401.36001999999991</v>
      </c>
      <c r="K17" s="25">
        <f t="shared" si="1"/>
        <v>394.19997999999998</v>
      </c>
      <c r="Q17">
        <v>0.9</v>
      </c>
      <c r="R17" s="17">
        <v>0.2956104</v>
      </c>
      <c r="S17" s="17">
        <v>0.2554517</v>
      </c>
      <c r="T17" s="14">
        <v>0.46123520000000001</v>
      </c>
      <c r="U17" s="14">
        <v>0.42342340000000001</v>
      </c>
      <c r="V17" s="14">
        <v>0.54751130000000003</v>
      </c>
      <c r="W17" s="14">
        <v>0.52887030000000002</v>
      </c>
      <c r="X17" s="14">
        <v>0.64713379999999998</v>
      </c>
      <c r="Y17" s="14">
        <v>0.60988070000000005</v>
      </c>
      <c r="Z17" s="25">
        <f t="shared" si="2"/>
        <v>401.36001999999991</v>
      </c>
      <c r="AA17" s="25">
        <f t="shared" si="3"/>
        <v>394.19997999999998</v>
      </c>
    </row>
    <row r="18" spans="1:27" x14ac:dyDescent="0.25">
      <c r="A18">
        <v>1</v>
      </c>
      <c r="B18" s="17">
        <v>8.8199509999999995E-2</v>
      </c>
      <c r="C18" s="17">
        <v>4.7402010000000001E-2</v>
      </c>
      <c r="D18" s="14">
        <v>0.21966649999999999</v>
      </c>
      <c r="E18" s="14">
        <v>0.10489510000000001</v>
      </c>
      <c r="F18" s="14">
        <v>0.32582420000000001</v>
      </c>
      <c r="G18" s="14">
        <v>0.1839827</v>
      </c>
      <c r="H18" s="14">
        <v>0.47315790000000002</v>
      </c>
      <c r="I18" s="14">
        <v>0.2476303</v>
      </c>
      <c r="J18" s="25">
        <f t="shared" si="0"/>
        <v>401.75779999999997</v>
      </c>
      <c r="K18" s="25">
        <f t="shared" si="1"/>
        <v>393.80219999999997</v>
      </c>
      <c r="Q18">
        <v>1</v>
      </c>
      <c r="R18" s="17">
        <v>0.25171470000000001</v>
      </c>
      <c r="S18" s="17">
        <v>0.20872270000000001</v>
      </c>
      <c r="T18" s="14">
        <v>0.40538760000000001</v>
      </c>
      <c r="U18" s="14">
        <v>0.38329239999999998</v>
      </c>
      <c r="V18" s="14">
        <v>0.48998059999999999</v>
      </c>
      <c r="W18" s="14">
        <v>0.48284519999999997</v>
      </c>
      <c r="X18" s="14">
        <v>0.61719749999999995</v>
      </c>
      <c r="Y18" s="14">
        <v>0.57410559999999999</v>
      </c>
      <c r="Z18" s="25">
        <f t="shared" si="2"/>
        <v>401.75779999999997</v>
      </c>
      <c r="AA18" s="25">
        <f t="shared" si="3"/>
        <v>393.80219999999997</v>
      </c>
    </row>
    <row r="19" spans="1:27" x14ac:dyDescent="0.25">
      <c r="A19">
        <v>1.1000000000000001</v>
      </c>
      <c r="B19" s="17">
        <v>6.4476889999999995E-2</v>
      </c>
      <c r="C19" s="17">
        <v>3.1905200000000002E-2</v>
      </c>
      <c r="D19" s="14">
        <v>0.17653820000000001</v>
      </c>
      <c r="E19" s="14">
        <v>8.3916080000000004E-2</v>
      </c>
      <c r="F19" s="14">
        <v>0.27582420000000002</v>
      </c>
      <c r="G19" s="14">
        <v>0.14718609999999999</v>
      </c>
      <c r="H19" s="14">
        <v>0.43631579999999998</v>
      </c>
      <c r="I19" s="14">
        <v>0.2120853</v>
      </c>
      <c r="J19" s="25">
        <f t="shared" si="0"/>
        <v>402.15557999999993</v>
      </c>
      <c r="K19" s="25">
        <f t="shared" si="1"/>
        <v>393.40441999999996</v>
      </c>
      <c r="Q19">
        <v>1.1000000000000001</v>
      </c>
      <c r="R19" s="17">
        <v>0.20576130000000001</v>
      </c>
      <c r="S19" s="17">
        <v>0.1728972</v>
      </c>
      <c r="T19" s="14">
        <v>0.35611039999999999</v>
      </c>
      <c r="U19" s="14">
        <v>0.33251429999999998</v>
      </c>
      <c r="V19" s="14">
        <v>0.4537815</v>
      </c>
      <c r="W19" s="14">
        <v>0.43096230000000002</v>
      </c>
      <c r="X19" s="14">
        <v>0.57197450000000005</v>
      </c>
      <c r="Y19" s="14">
        <v>0.54429300000000003</v>
      </c>
      <c r="Z19" s="25">
        <f t="shared" si="2"/>
        <v>402.15557999999993</v>
      </c>
      <c r="AA19" s="25">
        <f t="shared" si="3"/>
        <v>393.40441999999996</v>
      </c>
    </row>
    <row r="20" spans="1:27" x14ac:dyDescent="0.25">
      <c r="A20">
        <v>1.2</v>
      </c>
      <c r="B20" s="17">
        <v>4.7445260000000003E-2</v>
      </c>
      <c r="C20" s="17">
        <v>1.914312E-2</v>
      </c>
      <c r="D20" s="14">
        <v>0.14261070000000001</v>
      </c>
      <c r="E20" s="14">
        <v>7.0929069999999997E-2</v>
      </c>
      <c r="F20" s="14">
        <v>0.23186809999999999</v>
      </c>
      <c r="G20" s="14">
        <v>0.1179654</v>
      </c>
      <c r="H20" s="14">
        <v>0.39421050000000002</v>
      </c>
      <c r="I20" s="14">
        <v>0.18127960000000001</v>
      </c>
      <c r="J20" s="25">
        <f t="shared" si="0"/>
        <v>402.55336</v>
      </c>
      <c r="K20" s="25">
        <f t="shared" si="1"/>
        <v>393.00663999999995</v>
      </c>
      <c r="Q20">
        <v>1.2</v>
      </c>
      <c r="R20" s="17">
        <v>0.1680384</v>
      </c>
      <c r="S20" s="17">
        <v>0.1479751</v>
      </c>
      <c r="T20" s="14">
        <v>0.31208940000000002</v>
      </c>
      <c r="U20" s="14">
        <v>0.2850123</v>
      </c>
      <c r="V20" s="14">
        <v>0.41111829999999999</v>
      </c>
      <c r="W20" s="14">
        <v>0.38577410000000001</v>
      </c>
      <c r="X20" s="14">
        <v>0.53439490000000001</v>
      </c>
      <c r="Y20" s="14">
        <v>0.50340720000000005</v>
      </c>
      <c r="Z20" s="25">
        <f t="shared" si="2"/>
        <v>402.55336</v>
      </c>
      <c r="AA20" s="25">
        <f t="shared" si="3"/>
        <v>393.00663999999995</v>
      </c>
    </row>
    <row r="21" spans="1:27" x14ac:dyDescent="0.25">
      <c r="A21">
        <v>1.3</v>
      </c>
      <c r="B21" s="17">
        <v>3.2846720000000003E-2</v>
      </c>
      <c r="C21" s="17">
        <v>1.276208E-2</v>
      </c>
      <c r="D21" s="14">
        <v>0.1138585</v>
      </c>
      <c r="E21" s="14">
        <v>5.7942059999999997E-2</v>
      </c>
      <c r="F21" s="14">
        <v>0.1906593</v>
      </c>
      <c r="G21" s="14">
        <v>9.4155840000000005E-2</v>
      </c>
      <c r="H21" s="14">
        <v>0.35210530000000001</v>
      </c>
      <c r="I21" s="14">
        <v>0.15047389999999999</v>
      </c>
      <c r="J21" s="25">
        <f t="shared" si="0"/>
        <v>402.95113999999995</v>
      </c>
      <c r="K21" s="25">
        <f t="shared" si="1"/>
        <v>392.60885999999999</v>
      </c>
      <c r="Q21">
        <v>1.3</v>
      </c>
      <c r="R21" s="17">
        <v>0.13923179999999999</v>
      </c>
      <c r="S21" s="17">
        <v>0.12616820000000001</v>
      </c>
      <c r="T21" s="14">
        <v>0.2759527</v>
      </c>
      <c r="U21" s="14">
        <v>0.25716630000000001</v>
      </c>
      <c r="V21" s="14">
        <v>0.37944410000000001</v>
      </c>
      <c r="W21" s="14">
        <v>0.34811720000000002</v>
      </c>
      <c r="X21" s="14">
        <v>0.48980889999999999</v>
      </c>
      <c r="Y21" s="14">
        <v>0.45315159999999999</v>
      </c>
      <c r="Z21" s="25">
        <f t="shared" si="2"/>
        <v>402.95113999999995</v>
      </c>
      <c r="AA21" s="25">
        <f t="shared" si="3"/>
        <v>392.60885999999999</v>
      </c>
    </row>
    <row r="22" spans="1:27" x14ac:dyDescent="0.25">
      <c r="A22">
        <v>1.4</v>
      </c>
      <c r="B22" s="17">
        <v>2.1289539999999999E-2</v>
      </c>
      <c r="C22" s="17">
        <v>7.292616E-3</v>
      </c>
      <c r="D22" s="14">
        <v>9.2006900000000003E-2</v>
      </c>
      <c r="E22" s="14">
        <v>4.7952050000000003E-2</v>
      </c>
      <c r="F22" s="14">
        <v>0.15769230000000001</v>
      </c>
      <c r="G22" s="14">
        <v>7.9004329999999998E-2</v>
      </c>
      <c r="H22" s="14">
        <v>0.31157889999999999</v>
      </c>
      <c r="I22" s="14">
        <v>0.12559239999999999</v>
      </c>
      <c r="J22" s="25">
        <f t="shared" si="0"/>
        <v>403.34891999999996</v>
      </c>
      <c r="K22" s="25">
        <f t="shared" si="1"/>
        <v>392.21107999999998</v>
      </c>
      <c r="Q22">
        <v>1.4</v>
      </c>
      <c r="R22" s="17">
        <v>0.1124829</v>
      </c>
      <c r="S22" s="17">
        <v>9.9688470000000001E-2</v>
      </c>
      <c r="T22" s="14">
        <v>0.2470434</v>
      </c>
      <c r="U22" s="14">
        <v>0.22194920000000001</v>
      </c>
      <c r="V22" s="14">
        <v>0.3406593</v>
      </c>
      <c r="W22" s="14">
        <v>0.30962339999999999</v>
      </c>
      <c r="X22" s="14">
        <v>0.45668789999999998</v>
      </c>
      <c r="Y22" s="14">
        <v>0.41908010000000001</v>
      </c>
      <c r="Z22" s="25">
        <f t="shared" si="2"/>
        <v>403.34891999999996</v>
      </c>
      <c r="AA22" s="25">
        <f t="shared" si="3"/>
        <v>392.21107999999998</v>
      </c>
    </row>
    <row r="23" spans="1:27" x14ac:dyDescent="0.25">
      <c r="A23">
        <v>1.5</v>
      </c>
      <c r="B23" s="17">
        <v>1.581509E-2</v>
      </c>
      <c r="C23" s="17">
        <v>3.646308E-3</v>
      </c>
      <c r="D23" s="14">
        <v>6.8430130000000006E-2</v>
      </c>
      <c r="E23" s="14">
        <v>3.2967030000000001E-2</v>
      </c>
      <c r="F23" s="14">
        <v>0.13406589999999999</v>
      </c>
      <c r="G23" s="14">
        <v>6.4935060000000003E-2</v>
      </c>
      <c r="H23" s="14">
        <v>0.2747368</v>
      </c>
      <c r="I23" s="14">
        <v>0.1172986</v>
      </c>
      <c r="J23" s="25">
        <f t="shared" si="0"/>
        <v>403.74669999999992</v>
      </c>
      <c r="K23" s="25">
        <f t="shared" si="1"/>
        <v>391.81329999999997</v>
      </c>
      <c r="Q23">
        <v>1.5</v>
      </c>
      <c r="R23" s="17">
        <v>8.5048009999999993E-2</v>
      </c>
      <c r="S23" s="17">
        <v>7.7881619999999999E-2</v>
      </c>
      <c r="T23" s="14">
        <v>0.2135348</v>
      </c>
      <c r="U23" s="14">
        <v>0.1842752</v>
      </c>
      <c r="V23" s="14">
        <v>0.30252099999999998</v>
      </c>
      <c r="W23" s="14">
        <v>0.26778239999999998</v>
      </c>
      <c r="X23" s="14">
        <v>0.42547770000000001</v>
      </c>
      <c r="Y23" s="14">
        <v>0.38841569999999997</v>
      </c>
      <c r="Z23" s="25">
        <f t="shared" si="2"/>
        <v>403.74669999999992</v>
      </c>
      <c r="AA23" s="25">
        <f t="shared" si="3"/>
        <v>391.81329999999997</v>
      </c>
    </row>
    <row r="24" spans="1:27" x14ac:dyDescent="0.25">
      <c r="A24">
        <v>1.6</v>
      </c>
      <c r="B24" s="17">
        <v>1.2773720000000001E-2</v>
      </c>
      <c r="C24" s="17">
        <v>1.823154E-3</v>
      </c>
      <c r="D24" s="14">
        <v>5.347901E-2</v>
      </c>
      <c r="E24" s="14">
        <v>2.7972029999999998E-2</v>
      </c>
      <c r="F24" s="14">
        <v>0.1164835</v>
      </c>
      <c r="G24" s="14">
        <v>5.0865800000000003E-2</v>
      </c>
      <c r="H24" s="14">
        <v>0.23263159999999999</v>
      </c>
      <c r="I24" s="14">
        <v>9.478673E-2</v>
      </c>
      <c r="J24" s="25">
        <f t="shared" si="0"/>
        <v>404.14447999999999</v>
      </c>
      <c r="K24" s="25">
        <f t="shared" si="1"/>
        <v>391.41551999999996</v>
      </c>
      <c r="Q24">
        <v>1.6</v>
      </c>
      <c r="R24" s="17">
        <v>6.9958850000000003E-2</v>
      </c>
      <c r="S24" s="17">
        <v>5.6853580000000001E-2</v>
      </c>
      <c r="T24" s="14">
        <v>0.18265439999999999</v>
      </c>
      <c r="U24" s="14">
        <v>0.15642919999999999</v>
      </c>
      <c r="V24" s="14">
        <v>0.27601809999999999</v>
      </c>
      <c r="W24" s="14">
        <v>0.23347280000000001</v>
      </c>
      <c r="X24" s="14">
        <v>0.3936306</v>
      </c>
      <c r="Y24" s="14">
        <v>0.34497440000000001</v>
      </c>
      <c r="Z24" s="25">
        <f t="shared" si="2"/>
        <v>404.14447999999999</v>
      </c>
      <c r="AA24" s="25">
        <f t="shared" si="3"/>
        <v>391.41551999999996</v>
      </c>
    </row>
    <row r="25" spans="1:27" x14ac:dyDescent="0.25">
      <c r="A25">
        <v>1.7</v>
      </c>
      <c r="B25" s="17">
        <v>6.6909980000000001E-3</v>
      </c>
      <c r="C25" s="17">
        <v>1.823154E-3</v>
      </c>
      <c r="D25" s="14">
        <v>4.1978149999999999E-2</v>
      </c>
      <c r="E25" s="14">
        <v>1.9980020000000001E-2</v>
      </c>
      <c r="F25" s="14">
        <v>9.2857140000000005E-2</v>
      </c>
      <c r="G25" s="14">
        <v>4.3290040000000002E-2</v>
      </c>
      <c r="H25" s="14">
        <v>0.20210529999999999</v>
      </c>
      <c r="I25" s="14">
        <v>8.8862559999999993E-2</v>
      </c>
      <c r="J25" s="25">
        <f t="shared" si="0"/>
        <v>404.54225999999994</v>
      </c>
      <c r="K25" s="25">
        <f t="shared" si="1"/>
        <v>391.01773999999995</v>
      </c>
      <c r="Q25">
        <v>1.7</v>
      </c>
      <c r="R25" s="17">
        <v>5.6241430000000002E-2</v>
      </c>
      <c r="S25" s="17">
        <v>4.361371E-2</v>
      </c>
      <c r="T25" s="14">
        <v>0.1596583</v>
      </c>
      <c r="U25" s="14">
        <v>0.12776409999999999</v>
      </c>
      <c r="V25" s="14">
        <v>0.24175820000000001</v>
      </c>
      <c r="W25" s="14">
        <v>0.2083682</v>
      </c>
      <c r="X25" s="14">
        <v>0.36560510000000002</v>
      </c>
      <c r="Y25" s="14">
        <v>0.31431009999999998</v>
      </c>
      <c r="Z25" s="25">
        <f t="shared" si="2"/>
        <v>404.54225999999994</v>
      </c>
      <c r="AA25" s="25">
        <f t="shared" si="3"/>
        <v>391.01773999999995</v>
      </c>
    </row>
    <row r="26" spans="1:27" x14ac:dyDescent="0.25">
      <c r="A26">
        <v>1.8</v>
      </c>
      <c r="B26" s="17">
        <v>3.649635E-3</v>
      </c>
      <c r="C26" s="17">
        <v>1.823154E-3</v>
      </c>
      <c r="D26" s="14">
        <v>3.0477290000000001E-2</v>
      </c>
      <c r="E26" s="14">
        <v>1.298701E-2</v>
      </c>
      <c r="F26" s="14">
        <v>7.4175820000000003E-2</v>
      </c>
      <c r="G26" s="14">
        <v>3.4632030000000001E-2</v>
      </c>
      <c r="H26" s="14">
        <v>0.1731579</v>
      </c>
      <c r="I26" s="14">
        <v>7.3459720000000006E-2</v>
      </c>
      <c r="J26" s="25">
        <f t="shared" si="0"/>
        <v>404.94003999999995</v>
      </c>
      <c r="K26" s="25">
        <f t="shared" si="1"/>
        <v>390.61995999999999</v>
      </c>
      <c r="Q26">
        <v>1.8</v>
      </c>
      <c r="R26" s="17">
        <v>4.3895749999999997E-2</v>
      </c>
      <c r="S26" s="17">
        <v>3.4267909999999999E-2</v>
      </c>
      <c r="T26" s="14">
        <v>0.1399474</v>
      </c>
      <c r="U26" s="14">
        <v>0.1105651</v>
      </c>
      <c r="V26" s="14">
        <v>0.21978020000000001</v>
      </c>
      <c r="W26" s="14">
        <v>0.1866109</v>
      </c>
      <c r="X26" s="14">
        <v>0.33885349999999997</v>
      </c>
      <c r="Y26" s="14">
        <v>0.2802385</v>
      </c>
      <c r="Z26" s="25">
        <f t="shared" si="2"/>
        <v>404.94003999999995</v>
      </c>
      <c r="AA26" s="25">
        <f t="shared" si="3"/>
        <v>390.61995999999999</v>
      </c>
    </row>
    <row r="27" spans="1:27" x14ac:dyDescent="0.25">
      <c r="A27">
        <v>1.9</v>
      </c>
      <c r="B27" s="17">
        <v>2.4330900000000002E-3</v>
      </c>
      <c r="C27" s="17">
        <v>9.11577E-4</v>
      </c>
      <c r="D27" s="14">
        <v>2.12766E-2</v>
      </c>
      <c r="E27" s="14">
        <v>8.9910089999999995E-3</v>
      </c>
      <c r="F27" s="14">
        <v>6.2087910000000003E-2</v>
      </c>
      <c r="G27" s="14">
        <v>2.8138529999999998E-2</v>
      </c>
      <c r="H27" s="14">
        <v>0.15368419999999999</v>
      </c>
      <c r="I27" s="14">
        <v>5.9241710000000003E-2</v>
      </c>
      <c r="J27" s="25">
        <f t="shared" si="0"/>
        <v>405.33781999999991</v>
      </c>
      <c r="K27" s="25">
        <f t="shared" si="1"/>
        <v>390.22217999999998</v>
      </c>
      <c r="Q27">
        <v>1.9</v>
      </c>
      <c r="R27" s="17">
        <v>3.703704E-2</v>
      </c>
      <c r="S27" s="17">
        <v>2.7258569999999999E-2</v>
      </c>
      <c r="T27" s="14">
        <v>0.1222076</v>
      </c>
      <c r="U27" s="14">
        <v>8.5995089999999996E-2</v>
      </c>
      <c r="V27" s="14">
        <v>0.19780220000000001</v>
      </c>
      <c r="W27" s="14">
        <v>0.1556485</v>
      </c>
      <c r="X27" s="14">
        <v>0.3089172</v>
      </c>
      <c r="Y27" s="14">
        <v>0.25042589999999998</v>
      </c>
      <c r="Z27" s="25">
        <f t="shared" si="2"/>
        <v>405.33781999999991</v>
      </c>
      <c r="AA27" s="25">
        <f t="shared" si="3"/>
        <v>390.22217999999998</v>
      </c>
    </row>
    <row r="28" spans="1:27" x14ac:dyDescent="0.25">
      <c r="A28">
        <v>2</v>
      </c>
      <c r="B28" s="17">
        <v>1.824818E-3</v>
      </c>
      <c r="C28" s="17">
        <v>0</v>
      </c>
      <c r="D28" s="14">
        <v>1.667625E-2</v>
      </c>
      <c r="E28" s="14">
        <v>5.9940059999999996E-3</v>
      </c>
      <c r="F28" s="14">
        <v>5.2747250000000002E-2</v>
      </c>
      <c r="G28" s="14">
        <v>2.5974029999999999E-2</v>
      </c>
      <c r="H28" s="14">
        <v>0.13421050000000001</v>
      </c>
      <c r="I28" s="14">
        <v>5.0947869999999999E-2</v>
      </c>
      <c r="J28" s="25">
        <f t="shared" si="0"/>
        <v>405.73559999999998</v>
      </c>
      <c r="K28" s="25">
        <f t="shared" si="1"/>
        <v>389.82439999999997</v>
      </c>
      <c r="Q28">
        <v>2</v>
      </c>
      <c r="R28" s="17">
        <v>2.674897E-2</v>
      </c>
      <c r="S28" s="17">
        <v>2.2585669999999999E-2</v>
      </c>
      <c r="T28" s="14">
        <v>0.1044678</v>
      </c>
      <c r="U28" s="14">
        <v>7.3710070000000003E-2</v>
      </c>
      <c r="V28" s="14">
        <v>0.17970269999999999</v>
      </c>
      <c r="W28" s="14">
        <v>0.13640169999999999</v>
      </c>
      <c r="X28" s="14">
        <v>0.27707009999999999</v>
      </c>
      <c r="Y28" s="14">
        <v>0.22487219999999999</v>
      </c>
      <c r="Z28" s="25">
        <f t="shared" si="2"/>
        <v>405.73559999999998</v>
      </c>
      <c r="AA28" s="25">
        <f t="shared" si="3"/>
        <v>389.82439999999997</v>
      </c>
    </row>
    <row r="29" spans="1:27" x14ac:dyDescent="0.25">
      <c r="A29">
        <v>2.1</v>
      </c>
      <c r="B29" s="17">
        <v>1.2165450000000001E-3</v>
      </c>
      <c r="C29" s="17">
        <v>0</v>
      </c>
      <c r="D29" s="14">
        <v>1.035078E-2</v>
      </c>
      <c r="E29" s="14">
        <v>4.9950050000000003E-3</v>
      </c>
      <c r="F29" s="14">
        <v>4.3406590000000002E-2</v>
      </c>
      <c r="G29" s="14">
        <v>1.9480520000000001E-2</v>
      </c>
      <c r="H29" s="14">
        <v>0.1173684</v>
      </c>
      <c r="I29" s="14">
        <v>4.383886E-2</v>
      </c>
      <c r="J29" s="25">
        <f t="shared" si="0"/>
        <v>406.13337999999993</v>
      </c>
      <c r="K29" s="25">
        <f t="shared" si="1"/>
        <v>389.42661999999996</v>
      </c>
      <c r="Q29">
        <v>2.1</v>
      </c>
      <c r="R29" s="17">
        <v>2.3319619999999999E-2</v>
      </c>
      <c r="S29" s="17">
        <v>1.713396E-2</v>
      </c>
      <c r="T29" s="14">
        <v>9.3955319999999995E-2</v>
      </c>
      <c r="U29" s="14">
        <v>5.8149060000000002E-2</v>
      </c>
      <c r="V29" s="14">
        <v>0.1635423</v>
      </c>
      <c r="W29" s="14">
        <v>0.1205021</v>
      </c>
      <c r="X29" s="14">
        <v>0.25859870000000001</v>
      </c>
      <c r="Y29" s="14">
        <v>0.20102210000000001</v>
      </c>
      <c r="Z29" s="25">
        <f t="shared" si="2"/>
        <v>406.13337999999993</v>
      </c>
      <c r="AA29" s="25">
        <f t="shared" si="3"/>
        <v>389.42661999999996</v>
      </c>
    </row>
    <row r="30" spans="1:27" x14ac:dyDescent="0.25">
      <c r="A30">
        <v>2.2000000000000002</v>
      </c>
      <c r="B30" s="17">
        <v>6.0827250000000004E-4</v>
      </c>
      <c r="C30" s="17">
        <v>0</v>
      </c>
      <c r="D30" s="14">
        <v>9.2006899999999992E-3</v>
      </c>
      <c r="E30" s="14">
        <v>3.996004E-3</v>
      </c>
      <c r="F30" s="14">
        <v>3.4615380000000001E-2</v>
      </c>
      <c r="G30" s="14">
        <v>1.515152E-2</v>
      </c>
      <c r="H30" s="14">
        <v>0.10105260000000001</v>
      </c>
      <c r="I30" s="14">
        <v>3.1990520000000001E-2</v>
      </c>
      <c r="J30" s="25">
        <f t="shared" si="0"/>
        <v>406.53116</v>
      </c>
      <c r="K30" s="25">
        <f t="shared" si="1"/>
        <v>389.02883999999995</v>
      </c>
      <c r="Q30">
        <v>2.2000000000000002</v>
      </c>
      <c r="R30" s="17">
        <v>1.5775029999999999E-2</v>
      </c>
      <c r="S30" s="17">
        <v>1.479751E-2</v>
      </c>
      <c r="T30" s="14">
        <v>7.621551E-2</v>
      </c>
      <c r="U30" s="14">
        <v>4.9959049999999998E-2</v>
      </c>
      <c r="V30" s="14">
        <v>0.14350360000000001</v>
      </c>
      <c r="W30" s="14">
        <v>0.1037657</v>
      </c>
      <c r="X30" s="14">
        <v>0.2433121</v>
      </c>
      <c r="Y30" s="14">
        <v>0.18143100000000001</v>
      </c>
      <c r="Z30" s="25">
        <f t="shared" si="2"/>
        <v>406.53116</v>
      </c>
      <c r="AA30" s="25">
        <f t="shared" si="3"/>
        <v>389.02883999999995</v>
      </c>
    </row>
    <row r="31" spans="1:27" x14ac:dyDescent="0.25">
      <c r="A31">
        <v>2.2999999999999998</v>
      </c>
      <c r="B31" s="17">
        <v>6.0827250000000004E-4</v>
      </c>
      <c r="C31" s="17">
        <v>0</v>
      </c>
      <c r="D31" s="14">
        <v>8.6256470000000002E-3</v>
      </c>
      <c r="E31" s="14">
        <v>2.9970029999999998E-3</v>
      </c>
      <c r="F31" s="14">
        <v>2.3626370000000001E-2</v>
      </c>
      <c r="G31" s="14">
        <v>1.190476E-2</v>
      </c>
      <c r="H31" s="14">
        <v>8.4210530000000006E-2</v>
      </c>
      <c r="I31" s="14">
        <v>2.725118E-2</v>
      </c>
      <c r="J31" s="25">
        <f t="shared" si="0"/>
        <v>406.92893999999995</v>
      </c>
      <c r="K31" s="25">
        <f t="shared" si="1"/>
        <v>388.63105999999999</v>
      </c>
      <c r="Q31">
        <v>2.2999999999999998</v>
      </c>
      <c r="R31" s="17">
        <v>1.028807E-2</v>
      </c>
      <c r="S31" s="17">
        <v>1.090343E-2</v>
      </c>
      <c r="T31" s="14">
        <v>6.7017080000000007E-2</v>
      </c>
      <c r="U31" s="14">
        <v>4.4226040000000001E-2</v>
      </c>
      <c r="V31" s="14">
        <v>0.12798970000000001</v>
      </c>
      <c r="W31" s="14">
        <v>8.7029289999999995E-2</v>
      </c>
      <c r="X31" s="14">
        <v>0.2312102</v>
      </c>
      <c r="Y31" s="14">
        <v>0.16269169999999999</v>
      </c>
      <c r="Z31" s="25">
        <f t="shared" si="2"/>
        <v>406.92893999999995</v>
      </c>
      <c r="AA31" s="25">
        <f t="shared" si="3"/>
        <v>388.63105999999999</v>
      </c>
    </row>
    <row r="32" spans="1:27" x14ac:dyDescent="0.25">
      <c r="A32">
        <v>2.4</v>
      </c>
      <c r="B32" s="17">
        <v>6.0827250000000004E-4</v>
      </c>
      <c r="C32" s="17">
        <v>0</v>
      </c>
      <c r="D32" s="14">
        <v>5.1753880000000004E-3</v>
      </c>
      <c r="E32" s="14">
        <v>9.9900100000000001E-4</v>
      </c>
      <c r="F32" s="14">
        <v>2.0329670000000001E-2</v>
      </c>
      <c r="G32" s="14">
        <v>6.4935059999999996E-3</v>
      </c>
      <c r="H32" s="14">
        <v>7.0526320000000003E-2</v>
      </c>
      <c r="I32" s="14">
        <v>2.251185E-2</v>
      </c>
      <c r="J32" s="25">
        <f t="shared" si="0"/>
        <v>407.32671999999997</v>
      </c>
      <c r="K32" s="25">
        <f t="shared" si="1"/>
        <v>388.23327999999998</v>
      </c>
      <c r="Q32">
        <v>2.4</v>
      </c>
      <c r="R32" s="17">
        <v>7.5445820000000002E-3</v>
      </c>
      <c r="S32" s="17">
        <v>8.5669779999999994E-3</v>
      </c>
      <c r="T32" s="14">
        <v>5.7161629999999998E-2</v>
      </c>
      <c r="U32" s="14">
        <v>3.7674039999999999E-2</v>
      </c>
      <c r="V32" s="14">
        <v>0.10859729999999999</v>
      </c>
      <c r="W32" s="14">
        <v>7.7824270000000001E-2</v>
      </c>
      <c r="X32" s="14">
        <v>0.21082799999999999</v>
      </c>
      <c r="Y32" s="14">
        <v>0.14650769999999999</v>
      </c>
      <c r="Z32" s="25">
        <f t="shared" si="2"/>
        <v>407.32671999999997</v>
      </c>
      <c r="AA32" s="25">
        <f t="shared" si="3"/>
        <v>388.23327999999998</v>
      </c>
    </row>
    <row r="33" spans="1:27" x14ac:dyDescent="0.25">
      <c r="A33">
        <v>2.5</v>
      </c>
      <c r="B33" s="17">
        <v>6.0827250000000004E-4</v>
      </c>
      <c r="C33" s="17">
        <v>0</v>
      </c>
      <c r="D33" s="14">
        <v>4.0253019999999997E-3</v>
      </c>
      <c r="E33" s="14">
        <v>0</v>
      </c>
      <c r="F33" s="14">
        <v>1.7032970000000001E-2</v>
      </c>
      <c r="G33" s="14">
        <v>4.329004E-3</v>
      </c>
      <c r="H33" s="14">
        <v>5.789474E-2</v>
      </c>
      <c r="I33" s="14">
        <v>1.303318E-2</v>
      </c>
      <c r="J33" s="25">
        <f t="shared" si="0"/>
        <v>407.72449999999992</v>
      </c>
      <c r="K33" s="25">
        <f t="shared" si="1"/>
        <v>387.83549999999997</v>
      </c>
      <c r="Q33">
        <v>2.5</v>
      </c>
      <c r="R33" s="17">
        <v>5.4869680000000001E-3</v>
      </c>
      <c r="S33" s="17">
        <v>5.4517130000000004E-3</v>
      </c>
      <c r="T33" s="14">
        <v>4.5992119999999997E-2</v>
      </c>
      <c r="U33" s="14">
        <v>2.9484030000000001E-2</v>
      </c>
      <c r="V33" s="14">
        <v>0.10084029999999999</v>
      </c>
      <c r="W33" s="14">
        <v>6.6945610000000003E-2</v>
      </c>
      <c r="X33" s="14">
        <v>0.19872609999999999</v>
      </c>
      <c r="Y33" s="14">
        <v>0.1260647</v>
      </c>
      <c r="Z33" s="25">
        <f t="shared" si="2"/>
        <v>407.72449999999992</v>
      </c>
      <c r="AA33" s="25">
        <f t="shared" si="3"/>
        <v>387.83549999999997</v>
      </c>
    </row>
    <row r="34" spans="1:27" x14ac:dyDescent="0.25">
      <c r="A34">
        <v>2.6</v>
      </c>
      <c r="B34" s="17">
        <v>0</v>
      </c>
      <c r="C34" s="17">
        <v>0</v>
      </c>
      <c r="D34" s="14">
        <v>3.4502589999999998E-3</v>
      </c>
      <c r="E34" s="14"/>
      <c r="F34" s="14">
        <v>1.373626E-2</v>
      </c>
      <c r="G34" s="14">
        <v>2.164502E-3</v>
      </c>
      <c r="H34" s="14">
        <v>4.6842109999999999E-2</v>
      </c>
      <c r="I34" s="14">
        <v>1.0663509999999999E-2</v>
      </c>
      <c r="J34" s="25">
        <f t="shared" si="0"/>
        <v>408.12227999999999</v>
      </c>
      <c r="K34" s="25">
        <f t="shared" si="1"/>
        <v>387.43771999999996</v>
      </c>
      <c r="Q34">
        <v>2.6</v>
      </c>
      <c r="R34" s="17">
        <v>4.8010969999999998E-3</v>
      </c>
      <c r="S34" s="17">
        <v>3.1152649999999999E-3</v>
      </c>
      <c r="T34" s="14">
        <v>3.8764779999999999E-2</v>
      </c>
      <c r="U34" s="14">
        <v>2.3751020000000001E-2</v>
      </c>
      <c r="V34" s="14">
        <v>8.8558499999999998E-2</v>
      </c>
      <c r="W34" s="14">
        <v>5.9414229999999998E-2</v>
      </c>
      <c r="X34" s="14">
        <v>0.18280250000000001</v>
      </c>
      <c r="Y34" s="14">
        <v>0.1124361</v>
      </c>
      <c r="Z34" s="25">
        <f t="shared" si="2"/>
        <v>408.12227999999999</v>
      </c>
      <c r="AA34" s="25">
        <f t="shared" si="3"/>
        <v>387.43771999999996</v>
      </c>
    </row>
    <row r="35" spans="1:27" x14ac:dyDescent="0.25">
      <c r="A35">
        <v>2.7</v>
      </c>
      <c r="B35" s="17"/>
      <c r="C35" s="17"/>
      <c r="D35" s="14">
        <v>3.4502589999999998E-3</v>
      </c>
      <c r="E35" s="14"/>
      <c r="F35" s="14">
        <v>1.098901E-2</v>
      </c>
      <c r="G35" s="14">
        <v>1.082251E-3</v>
      </c>
      <c r="H35" s="14">
        <v>4.1578950000000003E-2</v>
      </c>
      <c r="I35" s="14">
        <v>5.9241709999999998E-3</v>
      </c>
      <c r="J35" s="25">
        <f t="shared" si="0"/>
        <v>408.52005999999994</v>
      </c>
      <c r="K35" s="25">
        <f t="shared" si="1"/>
        <v>387.03993999999994</v>
      </c>
      <c r="Q35">
        <v>2.7</v>
      </c>
      <c r="R35" s="17">
        <v>4.8010969999999998E-3</v>
      </c>
      <c r="S35" s="17">
        <v>3.1152649999999999E-3</v>
      </c>
      <c r="T35" s="14">
        <v>3.0223389999999999E-2</v>
      </c>
      <c r="U35" s="14">
        <v>1.8837019999999999E-2</v>
      </c>
      <c r="V35" s="14">
        <v>8.015514E-2</v>
      </c>
      <c r="W35" s="14">
        <v>5.1046029999999999E-2</v>
      </c>
      <c r="X35" s="14">
        <v>0.16878979999999999</v>
      </c>
      <c r="Y35" s="14">
        <v>9.7955710000000001E-2</v>
      </c>
      <c r="Z35" s="25">
        <f t="shared" si="2"/>
        <v>408.52005999999994</v>
      </c>
      <c r="AA35" s="25">
        <f t="shared" si="3"/>
        <v>387.03993999999994</v>
      </c>
    </row>
    <row r="36" spans="1:27" x14ac:dyDescent="0.25">
      <c r="A36">
        <v>2.8</v>
      </c>
      <c r="B36" s="17"/>
      <c r="C36" s="17"/>
      <c r="D36" s="14">
        <v>1.7251289999999999E-3</v>
      </c>
      <c r="E36" s="14"/>
      <c r="F36" s="14">
        <v>8.7912089999999995E-3</v>
      </c>
      <c r="G36" s="14">
        <v>1.082251E-3</v>
      </c>
      <c r="H36" s="14">
        <v>3.4736839999999998E-2</v>
      </c>
      <c r="I36" s="14">
        <v>5.9241709999999998E-3</v>
      </c>
      <c r="J36" s="25">
        <f t="shared" si="0"/>
        <v>408.91783999999996</v>
      </c>
      <c r="K36" s="25">
        <f t="shared" si="1"/>
        <v>386.64215999999999</v>
      </c>
      <c r="Q36">
        <v>2.8</v>
      </c>
      <c r="R36" s="17">
        <v>3.4293549999999998E-3</v>
      </c>
      <c r="S36" s="17">
        <v>2.336449E-3</v>
      </c>
      <c r="T36" s="14">
        <v>2.4310120000000001E-2</v>
      </c>
      <c r="U36" s="14">
        <v>1.6380019999999999E-2</v>
      </c>
      <c r="V36" s="14">
        <v>7.1105370000000001E-2</v>
      </c>
      <c r="W36" s="14">
        <v>4.351464E-2</v>
      </c>
      <c r="X36" s="14">
        <v>0.15286620000000001</v>
      </c>
      <c r="Y36" s="14">
        <v>8.2623509999999997E-2</v>
      </c>
      <c r="Z36" s="25">
        <f t="shared" si="2"/>
        <v>408.91783999999996</v>
      </c>
      <c r="AA36" s="25">
        <f t="shared" si="3"/>
        <v>386.64215999999999</v>
      </c>
    </row>
    <row r="37" spans="1:27" x14ac:dyDescent="0.25">
      <c r="A37">
        <v>2.9</v>
      </c>
      <c r="B37" s="17"/>
      <c r="C37" s="17"/>
      <c r="D37" s="14">
        <v>1.150086E-3</v>
      </c>
      <c r="E37" s="14"/>
      <c r="F37" s="14">
        <v>7.1428569999999999E-3</v>
      </c>
      <c r="G37" s="14">
        <v>0</v>
      </c>
      <c r="H37" s="14">
        <v>2.894737E-2</v>
      </c>
      <c r="I37" s="14">
        <v>4.7393360000000002E-3</v>
      </c>
      <c r="J37" s="25">
        <f t="shared" si="0"/>
        <v>409.31561999999991</v>
      </c>
      <c r="K37" s="25">
        <f t="shared" si="1"/>
        <v>386.24437999999998</v>
      </c>
      <c r="Q37">
        <v>2.9</v>
      </c>
      <c r="R37" s="17">
        <v>2.743484E-3</v>
      </c>
      <c r="S37" s="17">
        <v>2.336449E-3</v>
      </c>
      <c r="T37" s="14">
        <v>1.9710910000000002E-2</v>
      </c>
      <c r="U37" s="14">
        <v>1.392301E-2</v>
      </c>
      <c r="V37" s="14">
        <v>6.1409180000000001E-2</v>
      </c>
      <c r="W37" s="14">
        <v>3.5983260000000003E-2</v>
      </c>
      <c r="X37" s="14">
        <v>0.1363057</v>
      </c>
      <c r="Y37" s="14">
        <v>7.1550260000000004E-2</v>
      </c>
      <c r="Z37" s="25">
        <f t="shared" si="2"/>
        <v>409.31561999999991</v>
      </c>
      <c r="AA37" s="25">
        <f t="shared" si="3"/>
        <v>386.24437999999998</v>
      </c>
    </row>
    <row r="38" spans="1:27" x14ac:dyDescent="0.25">
      <c r="A38">
        <v>3</v>
      </c>
      <c r="B38" s="17"/>
      <c r="C38" s="17"/>
      <c r="D38" s="14">
        <v>1.150086E-3</v>
      </c>
      <c r="E38" s="14"/>
      <c r="F38" s="14">
        <v>5.4945050000000002E-3</v>
      </c>
      <c r="G38" s="14">
        <v>0</v>
      </c>
      <c r="H38" s="14">
        <v>2.6315789999999999E-2</v>
      </c>
      <c r="I38" s="14">
        <v>2.3696680000000001E-3</v>
      </c>
      <c r="J38" s="25">
        <f t="shared" si="0"/>
        <v>409.71339999999998</v>
      </c>
      <c r="K38" s="25">
        <f t="shared" si="1"/>
        <v>385.84659999999997</v>
      </c>
      <c r="Q38">
        <v>3</v>
      </c>
      <c r="R38" s="17">
        <v>1.371742E-3</v>
      </c>
      <c r="S38" s="17">
        <v>2.336449E-3</v>
      </c>
      <c r="T38" s="14">
        <v>1.6425760000000001E-2</v>
      </c>
      <c r="U38" s="14">
        <v>8.1900080000000004E-3</v>
      </c>
      <c r="V38" s="14">
        <v>4.7834519999999998E-2</v>
      </c>
      <c r="W38" s="14">
        <v>3.0962340000000001E-2</v>
      </c>
      <c r="X38" s="14">
        <v>0.12292989999999999</v>
      </c>
      <c r="Y38" s="14">
        <v>6.3884159999999995E-2</v>
      </c>
      <c r="Z38" s="25">
        <f t="shared" si="2"/>
        <v>409.71339999999998</v>
      </c>
      <c r="AA38" s="25">
        <f t="shared" si="3"/>
        <v>385.84659999999997</v>
      </c>
    </row>
    <row r="39" spans="1:27" x14ac:dyDescent="0.25">
      <c r="A39">
        <v>3.1</v>
      </c>
      <c r="B39" s="17"/>
      <c r="C39" s="17"/>
      <c r="D39" s="14">
        <v>1.150086E-3</v>
      </c>
      <c r="E39" s="14"/>
      <c r="F39" s="14">
        <v>4.9450550000000003E-3</v>
      </c>
      <c r="G39" s="14">
        <v>0</v>
      </c>
      <c r="H39" s="14">
        <v>2.0526320000000001E-2</v>
      </c>
      <c r="I39" s="14">
        <v>0</v>
      </c>
      <c r="J39" s="25">
        <f t="shared" si="0"/>
        <v>410.11117999999993</v>
      </c>
      <c r="K39" s="25">
        <f t="shared" si="1"/>
        <v>385.44881999999996</v>
      </c>
      <c r="Q39">
        <v>3.1</v>
      </c>
      <c r="R39" s="17">
        <v>1.371742E-3</v>
      </c>
      <c r="S39" s="17">
        <v>1.557632E-3</v>
      </c>
      <c r="T39" s="14">
        <v>1.379763E-2</v>
      </c>
      <c r="U39" s="14">
        <v>5.7330059999999997E-3</v>
      </c>
      <c r="V39" s="14">
        <v>3.943116E-2</v>
      </c>
      <c r="W39" s="14">
        <v>2.3430960000000001E-2</v>
      </c>
      <c r="X39" s="14">
        <v>0.110828</v>
      </c>
      <c r="Y39" s="14">
        <v>5.7069849999999998E-2</v>
      </c>
      <c r="Z39" s="25">
        <f t="shared" si="2"/>
        <v>410.11117999999993</v>
      </c>
      <c r="AA39" s="25">
        <f t="shared" si="3"/>
        <v>385.44881999999996</v>
      </c>
    </row>
    <row r="40" spans="1:27" x14ac:dyDescent="0.25">
      <c r="A40">
        <v>3.2</v>
      </c>
      <c r="B40" s="17"/>
      <c r="C40" s="17"/>
      <c r="D40" s="14"/>
      <c r="E40" s="14"/>
      <c r="F40" s="14"/>
      <c r="G40" s="14"/>
      <c r="H40" s="14">
        <v>1.631579E-2</v>
      </c>
      <c r="I40" s="14"/>
      <c r="J40" s="25">
        <f t="shared" ref="J40:J60" si="4">($A40/100+1)*$M$66</f>
        <v>410.50896</v>
      </c>
      <c r="K40" s="25">
        <f t="shared" ref="K40:K60" si="5">(1-$A40/100)*$M$66</f>
        <v>385.05103999999994</v>
      </c>
      <c r="Q40">
        <v>3.2</v>
      </c>
      <c r="R40" s="17"/>
      <c r="S40" s="17"/>
      <c r="T40" s="14"/>
      <c r="U40" s="14"/>
      <c r="V40" s="14"/>
      <c r="W40" s="14"/>
      <c r="X40" s="14">
        <v>0.1</v>
      </c>
      <c r="Y40" s="14">
        <v>5.0255540000000001E-2</v>
      </c>
      <c r="Z40" s="25">
        <f t="shared" ref="Z40:Z60" si="6">($A40/100+1)*$M$66</f>
        <v>410.50896</v>
      </c>
      <c r="AA40" s="25">
        <f t="shared" ref="AA40:AA60" si="7">(1-$A40/100)*$M$66</f>
        <v>385.05103999999994</v>
      </c>
    </row>
    <row r="41" spans="1:27" x14ac:dyDescent="0.25">
      <c r="A41">
        <v>3.3</v>
      </c>
      <c r="B41" s="17"/>
      <c r="C41" s="17"/>
      <c r="D41" s="14"/>
      <c r="E41" s="14"/>
      <c r="F41" s="14"/>
      <c r="G41" s="14"/>
      <c r="H41" s="14">
        <v>1.4736839999999999E-2</v>
      </c>
      <c r="I41" s="14"/>
      <c r="J41" s="25">
        <f t="shared" si="4"/>
        <v>410.90673999999996</v>
      </c>
      <c r="K41" s="25">
        <f t="shared" si="5"/>
        <v>384.65325999999999</v>
      </c>
      <c r="Q41">
        <v>3.3</v>
      </c>
      <c r="R41" s="17"/>
      <c r="S41" s="17"/>
      <c r="T41" s="14"/>
      <c r="U41" s="14"/>
      <c r="V41" s="14"/>
      <c r="W41" s="14"/>
      <c r="X41" s="14">
        <v>8.6624199999999998E-2</v>
      </c>
      <c r="Y41" s="14">
        <v>4.1737650000000001E-2</v>
      </c>
      <c r="Z41" s="25">
        <f t="shared" si="6"/>
        <v>410.90673999999996</v>
      </c>
      <c r="AA41" s="25">
        <f t="shared" si="7"/>
        <v>384.65325999999999</v>
      </c>
    </row>
    <row r="42" spans="1:27" x14ac:dyDescent="0.25">
      <c r="A42">
        <v>3.4</v>
      </c>
      <c r="B42" s="17"/>
      <c r="C42" s="17"/>
      <c r="D42" s="14"/>
      <c r="E42" s="14"/>
      <c r="F42" s="14"/>
      <c r="G42" s="14"/>
      <c r="H42" s="14">
        <v>1.368421E-2</v>
      </c>
      <c r="I42" s="14"/>
      <c r="J42" s="25">
        <f t="shared" si="4"/>
        <v>411.30451999999997</v>
      </c>
      <c r="K42" s="25">
        <f t="shared" si="5"/>
        <v>384.25547999999998</v>
      </c>
      <c r="Q42">
        <v>3.4</v>
      </c>
      <c r="R42" s="17"/>
      <c r="S42" s="17"/>
      <c r="T42" s="14"/>
      <c r="U42" s="14"/>
      <c r="V42" s="14"/>
      <c r="W42" s="14"/>
      <c r="X42" s="14">
        <v>7.7707010000000007E-2</v>
      </c>
      <c r="Y42" s="14">
        <v>3.7478709999999998E-2</v>
      </c>
      <c r="Z42" s="25">
        <f t="shared" si="6"/>
        <v>411.30451999999997</v>
      </c>
      <c r="AA42" s="25">
        <f t="shared" si="7"/>
        <v>384.25547999999998</v>
      </c>
    </row>
    <row r="43" spans="1:27" x14ac:dyDescent="0.25">
      <c r="A43">
        <v>3.5</v>
      </c>
      <c r="B43" s="17"/>
      <c r="C43" s="17"/>
      <c r="D43" s="14"/>
      <c r="E43" s="14"/>
      <c r="F43" s="14"/>
      <c r="G43" s="14"/>
      <c r="H43" s="14">
        <v>1.052632E-2</v>
      </c>
      <c r="I43" s="14"/>
      <c r="J43" s="25">
        <f t="shared" si="4"/>
        <v>411.70229999999992</v>
      </c>
      <c r="K43" s="25">
        <f t="shared" si="5"/>
        <v>383.85769999999997</v>
      </c>
      <c r="Q43">
        <v>3.5</v>
      </c>
      <c r="R43" s="17"/>
      <c r="S43" s="17"/>
      <c r="T43" s="14"/>
      <c r="U43" s="14"/>
      <c r="V43" s="14"/>
      <c r="W43" s="14"/>
      <c r="X43" s="14">
        <v>7.1337579999999998E-2</v>
      </c>
      <c r="Y43" s="14">
        <v>2.981261E-2</v>
      </c>
      <c r="Z43" s="25">
        <f t="shared" si="6"/>
        <v>411.70229999999992</v>
      </c>
      <c r="AA43" s="25">
        <f t="shared" si="7"/>
        <v>383.85769999999997</v>
      </c>
    </row>
    <row r="44" spans="1:27" x14ac:dyDescent="0.25">
      <c r="A44">
        <v>3.6</v>
      </c>
      <c r="B44" s="17"/>
      <c r="C44" s="17"/>
      <c r="D44" s="14"/>
      <c r="E44" s="14"/>
      <c r="F44" s="14"/>
      <c r="G44" s="14"/>
      <c r="H44" s="14">
        <v>6.8421050000000002E-3</v>
      </c>
      <c r="I44" s="14"/>
      <c r="J44" s="25">
        <f t="shared" si="4"/>
        <v>412.10007999999999</v>
      </c>
      <c r="K44" s="25">
        <f t="shared" si="5"/>
        <v>383.45991999999995</v>
      </c>
      <c r="Q44">
        <v>3.6</v>
      </c>
      <c r="R44" s="17"/>
      <c r="S44" s="17"/>
      <c r="T44" s="14"/>
      <c r="U44" s="14"/>
      <c r="V44" s="14"/>
      <c r="W44" s="14"/>
      <c r="X44" s="14">
        <v>6.1783440000000002E-2</v>
      </c>
      <c r="Y44" s="14">
        <v>2.7257239999999999E-2</v>
      </c>
      <c r="Z44" s="25">
        <f t="shared" si="6"/>
        <v>412.10007999999999</v>
      </c>
      <c r="AA44" s="25">
        <f t="shared" si="7"/>
        <v>383.45991999999995</v>
      </c>
    </row>
    <row r="45" spans="1:27" x14ac:dyDescent="0.25">
      <c r="A45">
        <v>3.7</v>
      </c>
      <c r="B45" s="17"/>
      <c r="C45" s="17"/>
      <c r="D45" s="14"/>
      <c r="E45" s="14"/>
      <c r="F45" s="14"/>
      <c r="G45" s="14"/>
      <c r="H45" s="14">
        <v>5.7894740000000002E-3</v>
      </c>
      <c r="I45" s="14"/>
      <c r="J45" s="25">
        <f t="shared" si="4"/>
        <v>412.49785999999995</v>
      </c>
      <c r="K45" s="25">
        <f t="shared" si="5"/>
        <v>383.06213999999994</v>
      </c>
      <c r="Q45">
        <v>3.7</v>
      </c>
      <c r="R45" s="17"/>
      <c r="S45" s="17"/>
      <c r="T45" s="14"/>
      <c r="U45" s="14"/>
      <c r="V45" s="14"/>
      <c r="W45" s="14"/>
      <c r="X45" s="14">
        <v>5.6687899999999999E-2</v>
      </c>
      <c r="Y45" s="14">
        <v>2.4701870000000001E-2</v>
      </c>
      <c r="Z45" s="25">
        <f t="shared" si="6"/>
        <v>412.49785999999995</v>
      </c>
      <c r="AA45" s="25">
        <f t="shared" si="7"/>
        <v>383.06213999999994</v>
      </c>
    </row>
    <row r="46" spans="1:27" x14ac:dyDescent="0.25">
      <c r="A46">
        <v>3.8</v>
      </c>
      <c r="B46" s="17"/>
      <c r="C46" s="17"/>
      <c r="D46" s="14"/>
      <c r="E46" s="14"/>
      <c r="F46" s="14"/>
      <c r="G46" s="14"/>
      <c r="H46" s="14">
        <v>5.2631580000000004E-3</v>
      </c>
      <c r="I46" s="14"/>
      <c r="J46" s="25">
        <f t="shared" si="4"/>
        <v>412.89563999999996</v>
      </c>
      <c r="K46" s="25">
        <f t="shared" si="5"/>
        <v>382.66435999999999</v>
      </c>
      <c r="Q46">
        <v>3.8</v>
      </c>
      <c r="R46" s="17"/>
      <c r="S46" s="17"/>
      <c r="T46" s="14"/>
      <c r="U46" s="14"/>
      <c r="V46" s="14"/>
      <c r="W46" s="14"/>
      <c r="X46" s="14">
        <v>4.9681530000000002E-2</v>
      </c>
      <c r="Y46" s="14">
        <v>2.2146510000000001E-2</v>
      </c>
      <c r="Z46" s="25">
        <f t="shared" si="6"/>
        <v>412.89563999999996</v>
      </c>
      <c r="AA46" s="25">
        <f t="shared" si="7"/>
        <v>382.66435999999999</v>
      </c>
    </row>
    <row r="47" spans="1:27" x14ac:dyDescent="0.25">
      <c r="A47">
        <v>3.9</v>
      </c>
      <c r="B47" s="17"/>
      <c r="C47" s="17"/>
      <c r="D47" s="14"/>
      <c r="E47" s="14"/>
      <c r="F47" s="14"/>
      <c r="G47" s="14"/>
      <c r="H47" s="14">
        <v>3.6842110000000002E-3</v>
      </c>
      <c r="I47" s="14"/>
      <c r="J47" s="25">
        <f t="shared" si="4"/>
        <v>413.29341999999997</v>
      </c>
      <c r="K47" s="25">
        <f t="shared" si="5"/>
        <v>382.26657999999998</v>
      </c>
      <c r="Q47">
        <v>3.9</v>
      </c>
      <c r="R47" s="17"/>
      <c r="S47" s="17"/>
      <c r="T47" s="14"/>
      <c r="U47" s="14"/>
      <c r="V47" s="14"/>
      <c r="W47" s="14"/>
      <c r="X47" s="14">
        <v>4.3312099999999999E-2</v>
      </c>
      <c r="Y47" s="14">
        <v>1.959114E-2</v>
      </c>
      <c r="Z47" s="25">
        <f t="shared" si="6"/>
        <v>413.29341999999997</v>
      </c>
      <c r="AA47" s="25">
        <f t="shared" si="7"/>
        <v>382.26657999999998</v>
      </c>
    </row>
    <row r="48" spans="1:27" x14ac:dyDescent="0.25">
      <c r="A48">
        <v>4</v>
      </c>
      <c r="B48" s="17"/>
      <c r="C48" s="17"/>
      <c r="D48" s="14"/>
      <c r="E48" s="14"/>
      <c r="F48" s="14"/>
      <c r="G48" s="14"/>
      <c r="H48" s="14">
        <v>2.6315790000000002E-3</v>
      </c>
      <c r="I48" s="14"/>
      <c r="J48" s="25">
        <f t="shared" si="4"/>
        <v>413.69119999999998</v>
      </c>
      <c r="K48" s="25">
        <f t="shared" si="5"/>
        <v>381.86879999999996</v>
      </c>
      <c r="Q48">
        <v>4</v>
      </c>
      <c r="R48" s="17"/>
      <c r="S48" s="17"/>
      <c r="T48" s="14"/>
      <c r="U48" s="14"/>
      <c r="V48" s="14"/>
      <c r="W48" s="14"/>
      <c r="X48" s="14">
        <v>3.9490450000000003E-2</v>
      </c>
      <c r="Y48" s="14">
        <v>1.703578E-2</v>
      </c>
      <c r="Z48" s="25">
        <f t="shared" si="6"/>
        <v>413.69119999999998</v>
      </c>
      <c r="AA48" s="25">
        <f t="shared" si="7"/>
        <v>381.86879999999996</v>
      </c>
    </row>
    <row r="49" spans="1:27" x14ac:dyDescent="0.25">
      <c r="A49">
        <v>4.0999999999999996</v>
      </c>
      <c r="B49" s="17"/>
      <c r="C49" s="17"/>
      <c r="D49" s="14"/>
      <c r="E49" s="14"/>
      <c r="F49" s="14"/>
      <c r="G49" s="14"/>
      <c r="H49" s="14">
        <v>2.6315790000000002E-3</v>
      </c>
      <c r="I49" s="14"/>
      <c r="J49" s="25">
        <f t="shared" si="4"/>
        <v>414.08897999999994</v>
      </c>
      <c r="K49" s="25">
        <f t="shared" si="5"/>
        <v>381.47101999999995</v>
      </c>
      <c r="Q49">
        <v>4.0999999999999996</v>
      </c>
      <c r="R49" s="17"/>
      <c r="S49" s="17"/>
      <c r="T49" s="14"/>
      <c r="U49" s="14"/>
      <c r="V49" s="14"/>
      <c r="W49" s="14"/>
      <c r="X49" s="14">
        <v>3.5668789999999999E-2</v>
      </c>
      <c r="Y49" s="14">
        <v>1.3628619999999999E-2</v>
      </c>
      <c r="Z49" s="25">
        <f t="shared" si="6"/>
        <v>414.08897999999994</v>
      </c>
      <c r="AA49" s="25">
        <f t="shared" si="7"/>
        <v>381.47101999999995</v>
      </c>
    </row>
    <row r="50" spans="1:27" x14ac:dyDescent="0.25">
      <c r="A50">
        <v>4.2</v>
      </c>
      <c r="B50" s="17"/>
      <c r="C50" s="17"/>
      <c r="D50" s="14"/>
      <c r="E50" s="14"/>
      <c r="F50" s="14"/>
      <c r="G50" s="14"/>
      <c r="H50" s="14">
        <v>2.6315790000000002E-3</v>
      </c>
      <c r="I50" s="14"/>
      <c r="J50" s="25">
        <f t="shared" si="4"/>
        <v>414.48676</v>
      </c>
      <c r="K50" s="25">
        <f t="shared" si="5"/>
        <v>381.07323999999994</v>
      </c>
      <c r="Q50">
        <v>4.2</v>
      </c>
      <c r="R50" s="17"/>
      <c r="S50" s="17"/>
      <c r="T50" s="14"/>
      <c r="U50" s="14"/>
      <c r="V50" s="14"/>
      <c r="W50" s="14"/>
      <c r="X50" s="14">
        <v>3.1210189999999999E-2</v>
      </c>
      <c r="Y50" s="14">
        <v>1.107325E-2</v>
      </c>
      <c r="Z50" s="25">
        <f t="shared" si="6"/>
        <v>414.48676</v>
      </c>
      <c r="AA50" s="25">
        <f t="shared" si="7"/>
        <v>381.07323999999994</v>
      </c>
    </row>
    <row r="51" spans="1:27" x14ac:dyDescent="0.25">
      <c r="A51">
        <v>4.3</v>
      </c>
      <c r="B51" s="17"/>
      <c r="C51" s="17"/>
      <c r="D51" s="14"/>
      <c r="E51" s="14"/>
      <c r="F51" s="14"/>
      <c r="G51" s="14"/>
      <c r="H51" s="14">
        <v>1.052632E-3</v>
      </c>
      <c r="I51" s="14"/>
      <c r="J51" s="25">
        <f t="shared" si="4"/>
        <v>414.88453999999996</v>
      </c>
      <c r="K51" s="25">
        <f t="shared" si="5"/>
        <v>380.67545999999999</v>
      </c>
      <c r="Q51">
        <v>4.3</v>
      </c>
      <c r="R51" s="17"/>
      <c r="S51" s="17"/>
      <c r="T51" s="14"/>
      <c r="U51" s="14"/>
      <c r="V51" s="14"/>
      <c r="W51" s="14"/>
      <c r="X51" s="14">
        <v>2.8662420000000001E-2</v>
      </c>
      <c r="Y51" s="14">
        <v>8.5178879999999995E-3</v>
      </c>
      <c r="Z51" s="25">
        <f t="shared" si="6"/>
        <v>414.88453999999996</v>
      </c>
      <c r="AA51" s="25">
        <f t="shared" si="7"/>
        <v>380.67545999999999</v>
      </c>
    </row>
    <row r="52" spans="1:27" x14ac:dyDescent="0.25">
      <c r="A52">
        <v>4.4000000000000004</v>
      </c>
      <c r="B52" s="17"/>
      <c r="C52" s="17"/>
      <c r="D52" s="14"/>
      <c r="E52" s="14"/>
      <c r="F52" s="14"/>
      <c r="G52" s="14"/>
      <c r="H52" s="14">
        <v>1.052632E-3</v>
      </c>
      <c r="I52" s="14"/>
      <c r="J52" s="25">
        <f t="shared" si="4"/>
        <v>415.28231999999997</v>
      </c>
      <c r="K52" s="25">
        <f t="shared" si="5"/>
        <v>380.27767999999998</v>
      </c>
      <c r="Q52">
        <v>4.4000000000000004</v>
      </c>
      <c r="R52" s="17"/>
      <c r="S52" s="17"/>
      <c r="T52" s="14"/>
      <c r="U52" s="14"/>
      <c r="V52" s="14"/>
      <c r="W52" s="14"/>
      <c r="X52" s="14">
        <v>2.4203820000000001E-2</v>
      </c>
      <c r="Y52" s="14">
        <v>5.1107330000000001E-3</v>
      </c>
      <c r="Z52" s="25">
        <f t="shared" si="6"/>
        <v>415.28231999999997</v>
      </c>
      <c r="AA52" s="25">
        <f t="shared" si="7"/>
        <v>380.27767999999998</v>
      </c>
    </row>
    <row r="53" spans="1:27" x14ac:dyDescent="0.25">
      <c r="A53">
        <v>4.5</v>
      </c>
      <c r="B53" s="17"/>
      <c r="C53" s="17"/>
      <c r="D53" s="14"/>
      <c r="E53" s="14"/>
      <c r="F53" s="14"/>
      <c r="G53" s="14"/>
      <c r="H53" s="14">
        <v>1.052632E-3</v>
      </c>
      <c r="I53" s="14"/>
      <c r="J53" s="25">
        <f t="shared" si="4"/>
        <v>415.68009999999992</v>
      </c>
      <c r="K53" s="25">
        <f t="shared" si="5"/>
        <v>379.87989999999996</v>
      </c>
      <c r="Q53">
        <v>4.5</v>
      </c>
      <c r="R53" s="17"/>
      <c r="S53" s="17"/>
      <c r="T53" s="14"/>
      <c r="U53" s="14"/>
      <c r="V53" s="14"/>
      <c r="W53" s="14"/>
      <c r="X53" s="14">
        <v>2.165605E-2</v>
      </c>
      <c r="Y53" s="14">
        <v>3.4071549999999998E-3</v>
      </c>
      <c r="Z53" s="25">
        <f t="shared" si="6"/>
        <v>415.68009999999992</v>
      </c>
      <c r="AA53" s="25">
        <f t="shared" si="7"/>
        <v>379.87989999999996</v>
      </c>
    </row>
    <row r="54" spans="1:27" x14ac:dyDescent="0.25">
      <c r="A54">
        <v>4.5999999999999996</v>
      </c>
      <c r="B54" s="17"/>
      <c r="C54" s="17"/>
      <c r="D54" s="14"/>
      <c r="E54" s="14"/>
      <c r="F54" s="14"/>
      <c r="G54" s="14"/>
      <c r="H54" s="14">
        <v>1.052632E-3</v>
      </c>
      <c r="I54" s="14"/>
      <c r="J54" s="25">
        <f t="shared" si="4"/>
        <v>416.07787999999999</v>
      </c>
      <c r="K54" s="25">
        <f t="shared" si="5"/>
        <v>379.48211999999995</v>
      </c>
      <c r="Q54">
        <v>4.5999999999999996</v>
      </c>
      <c r="R54" s="17"/>
      <c r="S54" s="17"/>
      <c r="T54" s="14"/>
      <c r="U54" s="14"/>
      <c r="V54" s="14"/>
      <c r="W54" s="14"/>
      <c r="X54" s="14">
        <v>1.8471339999999999E-2</v>
      </c>
      <c r="Y54" s="14">
        <v>2.5553659999999999E-3</v>
      </c>
      <c r="Z54" s="25">
        <f t="shared" si="6"/>
        <v>416.07787999999999</v>
      </c>
      <c r="AA54" s="25">
        <f t="shared" si="7"/>
        <v>379.48211999999995</v>
      </c>
    </row>
    <row r="55" spans="1:27" x14ac:dyDescent="0.25">
      <c r="A55">
        <v>4.7</v>
      </c>
      <c r="B55" s="17"/>
      <c r="C55" s="17"/>
      <c r="D55" s="14"/>
      <c r="E55" s="14"/>
      <c r="F55" s="14"/>
      <c r="G55" s="14"/>
      <c r="H55" s="14">
        <v>5.2631580000000002E-4</v>
      </c>
      <c r="I55" s="14"/>
      <c r="J55" s="25">
        <f t="shared" si="4"/>
        <v>416.47565999999995</v>
      </c>
      <c r="K55" s="25">
        <f t="shared" si="5"/>
        <v>379.08433999999994</v>
      </c>
      <c r="Q55">
        <v>4.7</v>
      </c>
      <c r="R55" s="17"/>
      <c r="S55" s="17"/>
      <c r="T55" s="14"/>
      <c r="U55" s="14"/>
      <c r="V55" s="14"/>
      <c r="W55" s="14"/>
      <c r="X55" s="14">
        <v>1.5923570000000001E-2</v>
      </c>
      <c r="Y55" s="14">
        <v>2.5553659999999999E-3</v>
      </c>
      <c r="Z55" s="25">
        <f t="shared" si="6"/>
        <v>416.47565999999995</v>
      </c>
      <c r="AA55" s="25">
        <f t="shared" si="7"/>
        <v>379.08433999999994</v>
      </c>
    </row>
    <row r="56" spans="1:27" x14ac:dyDescent="0.25">
      <c r="A56">
        <v>4.8</v>
      </c>
      <c r="B56" s="17"/>
      <c r="C56" s="17"/>
      <c r="D56" s="14"/>
      <c r="E56" s="14"/>
      <c r="F56" s="14"/>
      <c r="G56" s="14"/>
      <c r="H56" s="14">
        <v>5.2631580000000002E-4</v>
      </c>
      <c r="I56" s="14"/>
      <c r="J56" s="25">
        <f t="shared" si="4"/>
        <v>416.87344000000002</v>
      </c>
      <c r="K56" s="25">
        <f t="shared" si="5"/>
        <v>378.68655999999993</v>
      </c>
      <c r="Q56">
        <v>4.8</v>
      </c>
      <c r="R56" s="17"/>
      <c r="S56" s="17"/>
      <c r="T56" s="14"/>
      <c r="U56" s="14"/>
      <c r="V56" s="14"/>
      <c r="W56" s="14"/>
      <c r="X56" s="14">
        <v>1.33758E-2</v>
      </c>
      <c r="Y56" s="14">
        <v>1.7035780000000001E-3</v>
      </c>
      <c r="Z56" s="25">
        <f t="shared" si="6"/>
        <v>416.87344000000002</v>
      </c>
      <c r="AA56" s="25">
        <f t="shared" si="7"/>
        <v>378.68655999999993</v>
      </c>
    </row>
    <row r="57" spans="1:27" x14ac:dyDescent="0.25">
      <c r="A57">
        <v>4.9000000000000004</v>
      </c>
      <c r="B57" s="17"/>
      <c r="C57" s="17"/>
      <c r="D57" s="14"/>
      <c r="E57" s="14"/>
      <c r="F57" s="14"/>
      <c r="G57" s="14"/>
      <c r="H57" s="14">
        <v>5.2631580000000002E-4</v>
      </c>
      <c r="I57" s="14"/>
      <c r="J57" s="25">
        <f t="shared" si="4"/>
        <v>417.27121999999997</v>
      </c>
      <c r="K57" s="25">
        <f t="shared" si="5"/>
        <v>378.28877999999997</v>
      </c>
      <c r="Q57">
        <v>4.9000000000000004</v>
      </c>
      <c r="R57" s="17"/>
      <c r="S57" s="17"/>
      <c r="T57" s="14"/>
      <c r="U57" s="14"/>
      <c r="V57" s="14"/>
      <c r="W57" s="14"/>
      <c r="X57" s="14">
        <v>1.146497E-2</v>
      </c>
      <c r="Y57" s="14">
        <v>1.7035780000000001E-3</v>
      </c>
      <c r="Z57" s="25">
        <f t="shared" si="6"/>
        <v>417.27121999999997</v>
      </c>
      <c r="AA57" s="25">
        <f t="shared" si="7"/>
        <v>378.28877999999997</v>
      </c>
    </row>
    <row r="58" spans="1:27" x14ac:dyDescent="0.25">
      <c r="A58">
        <v>5</v>
      </c>
      <c r="B58" s="17"/>
      <c r="C58" s="17"/>
      <c r="D58" s="14"/>
      <c r="E58" s="14"/>
      <c r="F58" s="14"/>
      <c r="G58" s="14"/>
      <c r="H58" s="14">
        <v>5.2631580000000002E-4</v>
      </c>
      <c r="I58" s="14"/>
      <c r="J58" s="25">
        <f t="shared" si="4"/>
        <v>417.66899999999998</v>
      </c>
      <c r="K58" s="25">
        <f t="shared" si="5"/>
        <v>377.89099999999996</v>
      </c>
      <c r="Q58">
        <v>5</v>
      </c>
      <c r="R58" s="17"/>
      <c r="S58" s="17"/>
      <c r="T58" s="14"/>
      <c r="U58" s="14"/>
      <c r="V58" s="14"/>
      <c r="W58" s="14"/>
      <c r="X58" s="14">
        <v>1.0828030000000001E-2</v>
      </c>
      <c r="Y58" s="14">
        <v>8.5178879999999997E-4</v>
      </c>
      <c r="Z58" s="25">
        <f t="shared" si="6"/>
        <v>417.66899999999998</v>
      </c>
      <c r="AA58" s="25">
        <f t="shared" si="7"/>
        <v>377.89099999999996</v>
      </c>
    </row>
    <row r="59" spans="1:27" x14ac:dyDescent="0.25">
      <c r="A59">
        <v>5.0999999999999996</v>
      </c>
      <c r="B59" s="17"/>
      <c r="C59" s="17"/>
      <c r="D59" s="14"/>
      <c r="E59" s="14"/>
      <c r="F59" s="14"/>
      <c r="G59" s="14"/>
      <c r="H59" s="14">
        <v>5.2631580000000002E-4</v>
      </c>
      <c r="I59" s="14"/>
      <c r="J59" s="25">
        <f t="shared" si="4"/>
        <v>418.06677999999994</v>
      </c>
      <c r="K59" s="25">
        <f t="shared" si="5"/>
        <v>377.49321999999995</v>
      </c>
      <c r="Q59">
        <v>5.0999999999999996</v>
      </c>
      <c r="R59" s="17"/>
      <c r="S59" s="17"/>
      <c r="T59" s="14"/>
      <c r="U59" s="14"/>
      <c r="V59" s="14"/>
      <c r="W59" s="14"/>
      <c r="X59" s="14">
        <v>1.019108E-2</v>
      </c>
      <c r="Y59" s="14">
        <v>8.5178879999999997E-4</v>
      </c>
      <c r="Z59" s="25">
        <f t="shared" si="6"/>
        <v>418.06677999999994</v>
      </c>
      <c r="AA59" s="25">
        <f t="shared" si="7"/>
        <v>377.49321999999995</v>
      </c>
    </row>
    <row r="60" spans="1:27" x14ac:dyDescent="0.25">
      <c r="A60">
        <v>5.2</v>
      </c>
      <c r="B60" s="17"/>
      <c r="C60" s="17"/>
      <c r="D60" s="14"/>
      <c r="E60" s="14"/>
      <c r="F60" s="14"/>
      <c r="G60" s="14"/>
      <c r="H60" s="14">
        <v>5.2631580000000002E-4</v>
      </c>
      <c r="I60" s="14"/>
      <c r="J60" s="25">
        <f t="shared" si="4"/>
        <v>418.46456000000001</v>
      </c>
      <c r="K60" s="25">
        <f t="shared" si="5"/>
        <v>377.09543999999994</v>
      </c>
      <c r="Q60">
        <v>5.2</v>
      </c>
      <c r="R60" s="17"/>
      <c r="S60" s="17"/>
      <c r="T60" s="14"/>
      <c r="U60" s="14"/>
      <c r="V60" s="14"/>
      <c r="W60" s="14"/>
      <c r="X60" s="14">
        <v>8.2802550000000003E-3</v>
      </c>
      <c r="Y60" s="14">
        <v>0</v>
      </c>
      <c r="Z60" s="25">
        <f t="shared" si="6"/>
        <v>418.46456000000001</v>
      </c>
      <c r="AA60" s="25">
        <f t="shared" si="7"/>
        <v>377.09543999999994</v>
      </c>
    </row>
    <row r="61" spans="1:27" x14ac:dyDescent="0.25">
      <c r="B61" s="17"/>
      <c r="C61" s="17"/>
      <c r="D61" s="14"/>
      <c r="E61" s="14"/>
      <c r="F61" s="14"/>
      <c r="G61" s="14"/>
      <c r="H61" s="14"/>
      <c r="I61" s="14"/>
      <c r="J61" s="25"/>
      <c r="K61" s="25"/>
      <c r="R61" s="17"/>
      <c r="S61" s="17"/>
      <c r="T61" s="14"/>
      <c r="U61" s="14"/>
      <c r="V61" s="14"/>
      <c r="W61" s="14"/>
      <c r="X61" s="14"/>
      <c r="Y61" s="14"/>
      <c r="Z61" s="25"/>
      <c r="AA61" s="25"/>
    </row>
    <row r="62" spans="1:27" x14ac:dyDescent="0.25">
      <c r="B62" s="17"/>
      <c r="C62" s="17"/>
      <c r="D62" s="14"/>
      <c r="E62" s="14"/>
      <c r="F62" s="14"/>
      <c r="G62" s="14"/>
      <c r="H62" s="14"/>
      <c r="I62" s="14"/>
      <c r="J62" s="25"/>
      <c r="K62" s="25"/>
      <c r="R62" s="17"/>
      <c r="S62" s="17"/>
      <c r="T62" s="14"/>
      <c r="U62" s="14"/>
      <c r="V62" s="14"/>
      <c r="W62" s="14"/>
      <c r="X62" s="14"/>
      <c r="Y62" s="14"/>
      <c r="Z62" s="25"/>
      <c r="AA62" s="25"/>
    </row>
    <row r="63" spans="1:27" x14ac:dyDescent="0.25">
      <c r="B63" s="17"/>
      <c r="C63" s="17"/>
      <c r="D63" s="14"/>
      <c r="E63" s="14"/>
      <c r="F63" s="14"/>
      <c r="G63" s="14"/>
      <c r="H63" s="14"/>
      <c r="I63" s="14"/>
      <c r="J63" s="25"/>
      <c r="K63" s="25"/>
      <c r="R63" s="17"/>
      <c r="S63" s="17"/>
      <c r="T63" s="14"/>
      <c r="U63" s="14"/>
      <c r="V63" s="14"/>
      <c r="W63" s="14"/>
      <c r="X63" s="14"/>
      <c r="Y63" s="14"/>
      <c r="Z63" s="25"/>
      <c r="AA63" s="25"/>
    </row>
    <row r="64" spans="1:27" x14ac:dyDescent="0.25">
      <c r="B64" s="17"/>
      <c r="C64" s="17"/>
      <c r="D64" s="14"/>
      <c r="E64" s="14"/>
      <c r="F64" s="14"/>
      <c r="G64" s="14"/>
      <c r="H64" s="14"/>
      <c r="I64" s="14"/>
      <c r="J64" s="25"/>
      <c r="K64" s="25"/>
      <c r="R64" s="17"/>
      <c r="S64" s="17"/>
      <c r="T64" s="14"/>
      <c r="U64" s="14"/>
      <c r="V64" s="14"/>
      <c r="W64" s="14"/>
      <c r="X64" s="14"/>
      <c r="Y64" s="14"/>
      <c r="Z64" s="25"/>
      <c r="AA64" s="25"/>
    </row>
    <row r="65" spans="1:41" x14ac:dyDescent="0.25">
      <c r="B65" s="17"/>
      <c r="C65" s="17"/>
      <c r="D65" s="14"/>
      <c r="E65" s="14"/>
      <c r="F65" s="14"/>
      <c r="G65" s="14"/>
      <c r="H65" s="14"/>
      <c r="I65" s="14"/>
      <c r="J65" s="25"/>
      <c r="K65" s="25"/>
      <c r="R65" s="17"/>
      <c r="S65" s="17"/>
      <c r="T65" s="14"/>
      <c r="U65" s="14"/>
      <c r="V65" s="14"/>
      <c r="W65" s="14"/>
      <c r="X65" s="14"/>
      <c r="Y65" s="14"/>
      <c r="Z65" s="25"/>
      <c r="AA65" s="25"/>
    </row>
    <row r="66" spans="1:41" x14ac:dyDescent="0.25">
      <c r="L66" t="s">
        <v>19</v>
      </c>
      <c r="M66" s="7">
        <v>397.78</v>
      </c>
      <c r="N66" s="7"/>
      <c r="O66" s="7"/>
      <c r="P66" s="7"/>
      <c r="AK66" s="14"/>
      <c r="AM66" s="14"/>
      <c r="AO66" s="14"/>
    </row>
    <row r="67" spans="1:41" x14ac:dyDescent="0.25">
      <c r="AK67" s="14"/>
      <c r="AM67" s="14"/>
      <c r="AO67" s="14"/>
    </row>
    <row r="68" spans="1:41" x14ac:dyDescent="0.25">
      <c r="B68">
        <f>AVERAGE(A69,C69)</f>
        <v>51.905000000000001</v>
      </c>
      <c r="T68" s="13">
        <f>AVERAGE(S69,U69)</f>
        <v>33.512500000000003</v>
      </c>
      <c r="AH68" s="14"/>
      <c r="AI68" s="14"/>
      <c r="AJ68" s="14"/>
      <c r="AK68" s="14"/>
      <c r="AL68" s="21"/>
    </row>
    <row r="69" spans="1:41" x14ac:dyDescent="0.25">
      <c r="A69">
        <v>21.12</v>
      </c>
      <c r="B69" t="s">
        <v>43</v>
      </c>
      <c r="C69">
        <v>82.69</v>
      </c>
      <c r="D69" t="s">
        <v>27</v>
      </c>
      <c r="E69" s="14">
        <v>1.7109320000000001E-2</v>
      </c>
      <c r="F69" t="s">
        <v>26</v>
      </c>
      <c r="G69" s="14">
        <v>-6.0008469999999999E-4</v>
      </c>
      <c r="H69" t="s">
        <v>25</v>
      </c>
      <c r="I69" s="14">
        <v>-8.5401810000000004E-4</v>
      </c>
      <c r="S69">
        <v>15.12</v>
      </c>
      <c r="T69" t="s">
        <v>52</v>
      </c>
      <c r="U69">
        <v>51.905000000000001</v>
      </c>
      <c r="V69" t="s">
        <v>27</v>
      </c>
      <c r="W69" s="14">
        <v>1.28182165E-2</v>
      </c>
      <c r="X69" s="14"/>
      <c r="Y69" s="14"/>
      <c r="Z69" t="s">
        <v>26</v>
      </c>
      <c r="AA69" s="14">
        <v>6.3060499999999936E-6</v>
      </c>
      <c r="AB69" t="s">
        <v>25</v>
      </c>
      <c r="AC69" s="14">
        <v>-8.5741099999999998E-5</v>
      </c>
      <c r="AH69" s="14"/>
      <c r="AI69" s="14"/>
      <c r="AJ69" s="14"/>
      <c r="AK69" s="14"/>
      <c r="AL69" s="21"/>
    </row>
    <row r="70" spans="1:41" x14ac:dyDescent="0.25">
      <c r="A70" t="s">
        <v>51</v>
      </c>
      <c r="D70" t="s">
        <v>27</v>
      </c>
      <c r="E70" s="14">
        <v>2.2809099999999999E-2</v>
      </c>
      <c r="F70" t="s">
        <v>26</v>
      </c>
      <c r="G70" s="14">
        <v>-1.410903E-3</v>
      </c>
      <c r="H70" t="s">
        <v>25</v>
      </c>
      <c r="I70" s="14">
        <v>-1.62108E-3</v>
      </c>
      <c r="V70" t="s">
        <v>27</v>
      </c>
      <c r="W70" s="14">
        <v>1.7328929999999999E-2</v>
      </c>
      <c r="X70" s="14"/>
      <c r="Y70" s="14"/>
      <c r="Z70" t="s">
        <v>26</v>
      </c>
      <c r="AA70" s="14">
        <v>-3.2831500000000046E-5</v>
      </c>
      <c r="AB70" t="s">
        <v>25</v>
      </c>
      <c r="AC70" s="14">
        <v>-1.0670700000000005E-4</v>
      </c>
      <c r="AH70" s="14"/>
      <c r="AI70" s="14"/>
      <c r="AJ70" s="14"/>
      <c r="AK70" s="14"/>
      <c r="AM70" s="13"/>
    </row>
    <row r="71" spans="1:41" x14ac:dyDescent="0.25">
      <c r="A71" t="s">
        <v>62</v>
      </c>
      <c r="D71" t="s">
        <v>27</v>
      </c>
      <c r="E71" s="14">
        <v>2.7306750000000001E-2</v>
      </c>
      <c r="F71" t="s">
        <v>26</v>
      </c>
      <c r="G71" s="14">
        <v>-1.9042009999999999E-3</v>
      </c>
      <c r="H71" t="s">
        <v>25</v>
      </c>
      <c r="I71" s="14">
        <v>-2.2355000000000001E-3</v>
      </c>
      <c r="V71" t="s">
        <v>27</v>
      </c>
      <c r="W71" s="14">
        <f>AVERAGE(E71,U3)</f>
        <v>2.0795945E-2</v>
      </c>
      <c r="X71" s="14"/>
      <c r="Y71" s="14"/>
      <c r="Z71" t="s">
        <v>26</v>
      </c>
      <c r="AA71" s="14">
        <f>AVERAGE(G71,W3)</f>
        <v>1.5656150000000011E-4</v>
      </c>
      <c r="AB71" t="s">
        <v>25</v>
      </c>
      <c r="AC71" s="14">
        <f>AVERAGE(I71,Y3)</f>
        <v>-1.119300000000001E-4</v>
      </c>
      <c r="AH71" s="14"/>
      <c r="AI71" s="14"/>
      <c r="AJ71" s="14"/>
      <c r="AK71" s="14"/>
      <c r="AM71" s="13"/>
    </row>
    <row r="72" spans="1:41" x14ac:dyDescent="0.25">
      <c r="A72" t="s">
        <v>64</v>
      </c>
      <c r="D72" t="s">
        <v>27</v>
      </c>
      <c r="E72" s="14">
        <v>3.4389980000000001E-2</v>
      </c>
      <c r="F72" t="s">
        <v>26</v>
      </c>
      <c r="G72" s="14">
        <v>-3.2625140000000002E-3</v>
      </c>
      <c r="H72" t="s">
        <v>25</v>
      </c>
      <c r="I72" s="14">
        <v>-3.2780909999999999E-3</v>
      </c>
      <c r="L72" t="s">
        <v>61</v>
      </c>
      <c r="M72" t="s">
        <v>60</v>
      </c>
      <c r="N72" t="s">
        <v>55</v>
      </c>
      <c r="O72" t="s">
        <v>64</v>
      </c>
      <c r="W72" s="14"/>
      <c r="X72" s="14"/>
      <c r="Y72" s="14"/>
      <c r="AA72" s="14"/>
      <c r="AC72" s="14"/>
      <c r="AH72" s="14"/>
      <c r="AI72" s="14"/>
      <c r="AJ72" s="14"/>
      <c r="AK72" s="14"/>
      <c r="AM72" s="13"/>
    </row>
    <row r="73" spans="1:41" x14ac:dyDescent="0.25">
      <c r="A73" t="s">
        <v>27</v>
      </c>
      <c r="B73" s="14">
        <v>1.188294E-2</v>
      </c>
      <c r="C73" s="14">
        <v>1.2048339999999999E-2</v>
      </c>
      <c r="D73" s="14">
        <v>1.4683430000000001E-2</v>
      </c>
      <c r="E73" s="14">
        <v>1.5356069999999999E-2</v>
      </c>
      <c r="F73" s="14">
        <v>1.7200960000000001E-2</v>
      </c>
      <c r="G73" s="14">
        <v>1.8371169999999999E-2</v>
      </c>
      <c r="H73" s="14">
        <v>2.134374E-2</v>
      </c>
      <c r="I73" s="14">
        <v>2.351634E-2</v>
      </c>
      <c r="K73" s="21" t="s">
        <v>40</v>
      </c>
      <c r="L73">
        <v>1307</v>
      </c>
      <c r="M73">
        <v>1293</v>
      </c>
      <c r="N73">
        <v>1296</v>
      </c>
      <c r="O73">
        <v>1263</v>
      </c>
      <c r="S73" t="s">
        <v>27</v>
      </c>
      <c r="T73" s="14">
        <v>9.7857199999999995E-3</v>
      </c>
      <c r="U73" s="14">
        <v>9.4566575E-3</v>
      </c>
      <c r="V73" s="14">
        <v>1.1185965000000001E-2</v>
      </c>
      <c r="W73" s="14">
        <v>1.1110522499999999E-2</v>
      </c>
      <c r="X73" s="14"/>
      <c r="Y73" s="14"/>
      <c r="Z73" s="21">
        <f t="shared" ref="Z73:AA75" si="8">AVERAGE(F73,V5)</f>
        <v>1.31416665E-2</v>
      </c>
      <c r="AA73" s="21">
        <f t="shared" si="8"/>
        <v>1.3270309500000001E-2</v>
      </c>
      <c r="AB73" s="21" t="s">
        <v>40</v>
      </c>
      <c r="AC73" s="6">
        <v>1407.5</v>
      </c>
      <c r="AD73" s="6">
        <v>1421.5</v>
      </c>
    </row>
    <row r="74" spans="1:41" x14ac:dyDescent="0.25">
      <c r="A74" t="s">
        <v>26</v>
      </c>
      <c r="B74" s="14">
        <v>8.6627719999999991E-3</v>
      </c>
      <c r="C74" s="14">
        <v>-9.4017019999999996E-3</v>
      </c>
      <c r="D74" s="14">
        <v>1.2721359999999999E-2</v>
      </c>
      <c r="E74" s="14">
        <v>-1.4792970000000001E-2</v>
      </c>
      <c r="F74" s="14">
        <v>1.540006E-2</v>
      </c>
      <c r="G74" s="14">
        <v>-1.8027459999999999E-2</v>
      </c>
      <c r="H74" s="14">
        <v>1.999018E-2</v>
      </c>
      <c r="I74" s="14">
        <v>-2.2501119999999999E-2</v>
      </c>
      <c r="K74" s="21" t="s">
        <v>41</v>
      </c>
      <c r="L74">
        <v>1434</v>
      </c>
      <c r="M74">
        <v>1448</v>
      </c>
      <c r="N74">
        <v>1447</v>
      </c>
      <c r="O74">
        <v>1481</v>
      </c>
      <c r="S74" t="s">
        <v>26</v>
      </c>
      <c r="T74" s="14">
        <v>8.3442354999999999E-3</v>
      </c>
      <c r="U74" s="14">
        <v>-8.4173269999999988E-3</v>
      </c>
      <c r="V74" s="14">
        <v>1.0373529499999999E-2</v>
      </c>
      <c r="W74" s="14">
        <v>-1.1112961000000001E-2</v>
      </c>
      <c r="X74" s="14"/>
      <c r="Y74" s="14"/>
      <c r="Z74" s="21">
        <f t="shared" si="8"/>
        <v>1.2599111E-2</v>
      </c>
      <c r="AA74" s="21">
        <f t="shared" si="8"/>
        <v>-1.3826007499999999E-2</v>
      </c>
      <c r="AB74" s="21" t="s">
        <v>41</v>
      </c>
      <c r="AC74" s="6">
        <v>1334.5</v>
      </c>
      <c r="AD74">
        <v>1321</v>
      </c>
    </row>
    <row r="75" spans="1:41" x14ac:dyDescent="0.25">
      <c r="A75" t="s">
        <v>25</v>
      </c>
      <c r="B75" s="14">
        <v>1.194596E-2</v>
      </c>
      <c r="C75" s="14">
        <v>-1.254681E-2</v>
      </c>
      <c r="D75" s="14">
        <v>1.6527759999999999E-2</v>
      </c>
      <c r="E75" s="14">
        <v>-1.782831E-2</v>
      </c>
      <c r="F75" s="14">
        <v>1.9619190000000002E-2</v>
      </c>
      <c r="G75" s="14">
        <v>-2.180957E-2</v>
      </c>
      <c r="H75" s="14">
        <v>2.4844189999999999E-2</v>
      </c>
      <c r="I75" s="14">
        <v>-2.726083E-2</v>
      </c>
      <c r="K75" t="s">
        <v>42</v>
      </c>
      <c r="L75" s="13">
        <f>L73/L74</f>
        <v>0.91143654114365413</v>
      </c>
      <c r="M75" s="13">
        <f>M73/M74</f>
        <v>0.89295580110497241</v>
      </c>
      <c r="N75" s="13">
        <f>N73/N74</f>
        <v>0.89564616447823087</v>
      </c>
      <c r="O75" s="13">
        <f>O73/O74</f>
        <v>0.85280216070222825</v>
      </c>
      <c r="P75" s="13"/>
      <c r="S75" t="s">
        <v>25</v>
      </c>
      <c r="T75" s="14">
        <v>1.0844412500000001E-2</v>
      </c>
      <c r="U75" s="14">
        <v>-1.0764565E-2</v>
      </c>
      <c r="V75" s="14">
        <v>1.3135312499999999E-2</v>
      </c>
      <c r="W75" s="14">
        <v>-1.3405315000000001E-2</v>
      </c>
      <c r="X75" s="14"/>
      <c r="Y75" s="14"/>
      <c r="Z75" s="21">
        <f t="shared" si="8"/>
        <v>1.5797140000000001E-2</v>
      </c>
      <c r="AA75" s="21">
        <f t="shared" si="8"/>
        <v>-1.6347270000000001E-2</v>
      </c>
      <c r="AB75" t="s">
        <v>42</v>
      </c>
      <c r="AC75" s="13">
        <v>1.0697375238121094</v>
      </c>
      <c r="AD75" s="13">
        <v>1.095103416967149</v>
      </c>
      <c r="AH75" s="14"/>
      <c r="AJ75" s="14"/>
      <c r="AL75" s="14"/>
    </row>
    <row r="76" spans="1:41" x14ac:dyDescent="0.25">
      <c r="A76" t="s">
        <v>31</v>
      </c>
      <c r="B76" t="s">
        <v>30</v>
      </c>
      <c r="C76" t="s">
        <v>33</v>
      </c>
      <c r="D76" t="s">
        <v>23</v>
      </c>
      <c r="E76" t="s">
        <v>24</v>
      </c>
      <c r="F76" t="s">
        <v>58</v>
      </c>
      <c r="G76" t="s">
        <v>59</v>
      </c>
      <c r="H76" t="s">
        <v>65</v>
      </c>
      <c r="I76" t="s">
        <v>66</v>
      </c>
      <c r="J76" s="21" t="s">
        <v>53</v>
      </c>
      <c r="K76" t="s">
        <v>54</v>
      </c>
      <c r="L76" s="17">
        <f>L73/SUM(L73:L74)</f>
        <v>0.47683327252827434</v>
      </c>
      <c r="M76" s="17">
        <f>M73/SUM(M73:M74)</f>
        <v>0.47172564757387814</v>
      </c>
      <c r="N76" s="17">
        <f>N73/SUM(N73:N74)</f>
        <v>0.47247539190667154</v>
      </c>
      <c r="O76" s="17">
        <f>O73/SUM(O73:O74)</f>
        <v>0.46027696793002915</v>
      </c>
      <c r="S76" t="s">
        <v>31</v>
      </c>
      <c r="T76" t="s">
        <v>30</v>
      </c>
      <c r="U76" t="s">
        <v>33</v>
      </c>
      <c r="V76" t="s">
        <v>23</v>
      </c>
      <c r="W76" t="s">
        <v>24</v>
      </c>
      <c r="Z76" t="s">
        <v>58</v>
      </c>
      <c r="AA76" t="s">
        <v>59</v>
      </c>
      <c r="AB76" s="21" t="s">
        <v>53</v>
      </c>
      <c r="AC76" t="s">
        <v>54</v>
      </c>
      <c r="AH76" s="14"/>
      <c r="AJ76" s="14"/>
      <c r="AL76" s="14"/>
    </row>
    <row r="77" spans="1:41" x14ac:dyDescent="0.25">
      <c r="A77">
        <v>0.1</v>
      </c>
      <c r="B77" s="17">
        <v>0.93501529999999999</v>
      </c>
      <c r="C77" s="17">
        <v>0.93435749999999995</v>
      </c>
      <c r="D77" s="14">
        <v>0.95591649999999995</v>
      </c>
      <c r="E77" s="14">
        <v>0.96616020000000002</v>
      </c>
      <c r="F77" s="14">
        <v>0.96682100000000004</v>
      </c>
      <c r="G77" s="14">
        <v>0.97581200000000001</v>
      </c>
      <c r="H77" s="14">
        <v>0.97149640000000004</v>
      </c>
      <c r="I77" s="14">
        <v>0.97839299999999996</v>
      </c>
      <c r="J77" s="25">
        <f t="shared" ref="J77:J128" si="9">($A77/100+1)*$M$66</f>
        <v>398.17777999999993</v>
      </c>
      <c r="K77" s="25">
        <f>(1-$A77/100)*$M$66</f>
        <v>397.38221999999996</v>
      </c>
      <c r="L77" s="17">
        <f>L74/SUM(L73:L74)</f>
        <v>0.52316672747172566</v>
      </c>
      <c r="M77" s="17">
        <f>M74/SUM(M73:M74)</f>
        <v>0.52827435242612186</v>
      </c>
      <c r="N77" s="17">
        <f>N74/SUM(N73:N74)</f>
        <v>0.52752460809332846</v>
      </c>
      <c r="O77" s="17">
        <f>O74/SUM(O73:O74)</f>
        <v>0.53972303206997085</v>
      </c>
      <c r="S77">
        <v>0.1</v>
      </c>
      <c r="T77" s="17">
        <v>0.91469559999999994</v>
      </c>
      <c r="U77" s="17">
        <v>0.90798869999999998</v>
      </c>
      <c r="V77" s="14">
        <v>0.94247860000000006</v>
      </c>
      <c r="W77" s="14">
        <v>0.94417755000000003</v>
      </c>
      <c r="X77" s="14"/>
      <c r="Y77" s="14"/>
      <c r="Z77" s="14">
        <f t="shared" ref="Z77:Z107" si="10">AVERAGE(V9,F77)</f>
        <v>0.96498775000000003</v>
      </c>
      <c r="AA77" s="14">
        <f t="shared" ref="AA77:AA107" si="11">AVERAGE(W9,G77)</f>
        <v>0.9506675</v>
      </c>
      <c r="AB77" s="25">
        <f t="shared" ref="AB77:AB107" si="12">($A77/100+1)*$M$66</f>
        <v>398.17777999999993</v>
      </c>
      <c r="AC77" s="25">
        <f t="shared" ref="AC77:AC107" si="13">(1-$A77/100)*$M$66</f>
        <v>397.38221999999996</v>
      </c>
      <c r="AF77" s="14"/>
      <c r="AG77" s="14"/>
      <c r="AH77" s="14"/>
      <c r="AI77" s="21"/>
    </row>
    <row r="78" spans="1:41" x14ac:dyDescent="0.25">
      <c r="A78">
        <v>0.2</v>
      </c>
      <c r="B78" s="17">
        <v>0.8761468</v>
      </c>
      <c r="C78" s="17">
        <v>0.87150839999999996</v>
      </c>
      <c r="D78" s="14">
        <v>0.90796600000000005</v>
      </c>
      <c r="E78" s="14">
        <v>0.92748620000000004</v>
      </c>
      <c r="F78" s="14">
        <v>0.93132720000000002</v>
      </c>
      <c r="G78" s="14">
        <v>0.94678649999999998</v>
      </c>
      <c r="H78" s="14">
        <v>0.94220110000000001</v>
      </c>
      <c r="I78" s="14">
        <v>0.95746120000000001</v>
      </c>
      <c r="J78" s="25">
        <f t="shared" si="9"/>
        <v>398.57556</v>
      </c>
      <c r="K78" s="25">
        <f>(1-$A78/100)*$M$66</f>
        <v>396.98443999999995</v>
      </c>
      <c r="S78">
        <v>0.2</v>
      </c>
      <c r="T78" s="17">
        <v>0.83587860000000003</v>
      </c>
      <c r="U78" s="17">
        <v>0.81620589999999993</v>
      </c>
      <c r="V78" s="14">
        <v>0.88729444999999996</v>
      </c>
      <c r="W78" s="14">
        <v>0.89085205000000001</v>
      </c>
      <c r="X78" s="14"/>
      <c r="Y78" s="14"/>
      <c r="Z78" s="14">
        <f t="shared" si="10"/>
        <v>0.91362739999999998</v>
      </c>
      <c r="AA78" s="14">
        <f t="shared" si="11"/>
        <v>0.90895809999999999</v>
      </c>
      <c r="AB78" s="25">
        <f t="shared" si="12"/>
        <v>398.57556</v>
      </c>
      <c r="AC78" s="25">
        <f t="shared" si="13"/>
        <v>396.98443999999995</v>
      </c>
      <c r="AF78" s="14"/>
      <c r="AG78" s="14"/>
      <c r="AH78" s="14"/>
      <c r="AI78" s="21"/>
    </row>
    <row r="79" spans="1:41" x14ac:dyDescent="0.25">
      <c r="A79">
        <v>0.3</v>
      </c>
      <c r="B79" s="17">
        <v>0.8134557</v>
      </c>
      <c r="C79" s="17">
        <v>0.80935749999999995</v>
      </c>
      <c r="D79" s="14">
        <v>0.86465579999999997</v>
      </c>
      <c r="E79" s="14">
        <v>0.88674030000000004</v>
      </c>
      <c r="F79" s="14">
        <v>0.89583330000000005</v>
      </c>
      <c r="G79" s="14">
        <v>0.91499649999999999</v>
      </c>
      <c r="H79" s="14">
        <v>0.91528109999999996</v>
      </c>
      <c r="I79" s="14">
        <v>0.92910199999999998</v>
      </c>
      <c r="J79" s="25">
        <f t="shared" si="9"/>
        <v>398.97333999999995</v>
      </c>
      <c r="K79" s="25">
        <f>(1-$A79/100)*$M$66</f>
        <v>396.58665999999999</v>
      </c>
      <c r="S79">
        <v>0.3</v>
      </c>
      <c r="T79" s="17">
        <v>0.75446449999999998</v>
      </c>
      <c r="U79" s="17">
        <v>0.73139215000000002</v>
      </c>
      <c r="V79" s="14">
        <v>0.83672999999999997</v>
      </c>
      <c r="W79" s="14">
        <v>0.83567155000000004</v>
      </c>
      <c r="X79" s="14"/>
      <c r="Y79" s="14"/>
      <c r="Z79" s="14">
        <f t="shared" si="10"/>
        <v>0.87325600000000003</v>
      </c>
      <c r="AA79" s="14">
        <f t="shared" si="11"/>
        <v>0.86670325000000004</v>
      </c>
      <c r="AB79" s="25">
        <f t="shared" si="12"/>
        <v>398.97333999999995</v>
      </c>
      <c r="AC79" s="25">
        <f t="shared" si="13"/>
        <v>396.58665999999999</v>
      </c>
      <c r="AF79" s="14"/>
      <c r="AG79" s="14"/>
      <c r="AH79" s="14"/>
      <c r="AJ79" s="13"/>
    </row>
    <row r="80" spans="1:41" x14ac:dyDescent="0.25">
      <c r="A80">
        <v>0.4</v>
      </c>
      <c r="B80" s="17">
        <v>0.75535169999999996</v>
      </c>
      <c r="C80" s="17">
        <v>0.7583799</v>
      </c>
      <c r="D80" s="14">
        <v>0.82134569999999996</v>
      </c>
      <c r="E80" s="14">
        <v>0.85082869999999999</v>
      </c>
      <c r="F80" s="14">
        <v>0.85493830000000004</v>
      </c>
      <c r="G80" s="14">
        <v>0.88873530000000001</v>
      </c>
      <c r="H80" s="14">
        <v>0.89073630000000004</v>
      </c>
      <c r="I80" s="14">
        <v>0.90479410000000005</v>
      </c>
      <c r="J80" s="25">
        <f t="shared" si="9"/>
        <v>399.37111999999996</v>
      </c>
      <c r="K80" s="25">
        <f>(1-$A80/100)*$M$66</f>
        <v>396.18887999999998</v>
      </c>
      <c r="S80">
        <v>0.4</v>
      </c>
      <c r="T80" s="17">
        <v>0.68048789999999992</v>
      </c>
      <c r="U80" s="17">
        <v>0.66190024999999997</v>
      </c>
      <c r="V80" s="14">
        <v>0.7835375</v>
      </c>
      <c r="W80" s="14">
        <v>0.78659370000000006</v>
      </c>
      <c r="X80" s="14"/>
      <c r="Y80" s="14"/>
      <c r="Z80" s="14">
        <f t="shared" si="10"/>
        <v>0.82759844999999999</v>
      </c>
      <c r="AA80" s="14">
        <f t="shared" si="11"/>
        <v>0.82679444999999996</v>
      </c>
      <c r="AB80" s="25">
        <f t="shared" si="12"/>
        <v>399.37111999999996</v>
      </c>
      <c r="AC80" s="25">
        <f t="shared" si="13"/>
        <v>396.18887999999998</v>
      </c>
      <c r="AF80" s="14"/>
      <c r="AG80" s="14"/>
      <c r="AI80" s="23"/>
      <c r="AJ80" s="23"/>
      <c r="AK80" s="23"/>
      <c r="AL80" s="23"/>
    </row>
    <row r="81" spans="1:38" x14ac:dyDescent="0.25">
      <c r="A81">
        <v>0.5</v>
      </c>
      <c r="B81" s="17">
        <v>0.69266059999999996</v>
      </c>
      <c r="C81" s="17">
        <v>0.70670390000000005</v>
      </c>
      <c r="D81" s="14">
        <v>0.78035580000000004</v>
      </c>
      <c r="E81" s="14">
        <v>0.81698899999999997</v>
      </c>
      <c r="F81" s="14">
        <v>0.82175929999999997</v>
      </c>
      <c r="G81" s="14">
        <v>0.85625430000000002</v>
      </c>
      <c r="H81" s="14">
        <v>0.8709422</v>
      </c>
      <c r="I81" s="14">
        <v>0.87778529999999999</v>
      </c>
      <c r="J81" s="25">
        <f t="shared" si="9"/>
        <v>399.76889999999992</v>
      </c>
      <c r="K81" s="25">
        <f t="shared" ref="K81:K128" si="14">(1-$A81/100)*$M$66</f>
        <v>395.79109999999997</v>
      </c>
      <c r="S81">
        <v>0.5</v>
      </c>
      <c r="T81" s="17">
        <v>0.61244824999999992</v>
      </c>
      <c r="U81" s="17">
        <v>0.60062610000000005</v>
      </c>
      <c r="V81" s="14">
        <v>0.73446175000000002</v>
      </c>
      <c r="W81" s="14">
        <v>0.73445684999999994</v>
      </c>
      <c r="X81" s="14"/>
      <c r="Y81" s="14"/>
      <c r="Z81" s="14">
        <f t="shared" si="10"/>
        <v>0.78806129999999996</v>
      </c>
      <c r="AA81" s="14">
        <f t="shared" si="11"/>
        <v>0.78293885000000008</v>
      </c>
      <c r="AB81" s="25">
        <f t="shared" si="12"/>
        <v>399.76889999999992</v>
      </c>
      <c r="AC81" s="25">
        <f t="shared" si="13"/>
        <v>395.79109999999997</v>
      </c>
      <c r="AF81" s="24"/>
      <c r="AG81" s="24"/>
      <c r="AH81" s="24"/>
      <c r="AI81" s="24"/>
      <c r="AJ81" s="24"/>
      <c r="AK81" s="24"/>
      <c r="AL81" s="24"/>
    </row>
    <row r="82" spans="1:38" x14ac:dyDescent="0.25">
      <c r="A82">
        <v>0.6</v>
      </c>
      <c r="B82" s="17">
        <v>0.62691129999999995</v>
      </c>
      <c r="C82" s="17">
        <v>0.65083800000000003</v>
      </c>
      <c r="D82" s="14">
        <v>0.74709979999999998</v>
      </c>
      <c r="E82" s="14">
        <v>0.78107729999999997</v>
      </c>
      <c r="F82" s="14">
        <v>0.78780859999999997</v>
      </c>
      <c r="G82" s="14">
        <v>0.82170010000000004</v>
      </c>
      <c r="H82" s="14">
        <v>0.84323040000000005</v>
      </c>
      <c r="I82" s="14">
        <v>0.85077650000000005</v>
      </c>
      <c r="J82" s="25">
        <f t="shared" si="9"/>
        <v>400.16667999999999</v>
      </c>
      <c r="K82" s="25">
        <f t="shared" si="14"/>
        <v>395.39331999999996</v>
      </c>
      <c r="S82">
        <v>0.6</v>
      </c>
      <c r="T82" s="17">
        <v>0.54768059999999996</v>
      </c>
      <c r="U82" s="17">
        <v>0.53920405000000005</v>
      </c>
      <c r="V82" s="14">
        <v>0.67939744999999996</v>
      </c>
      <c r="W82" s="14">
        <v>0.68415044999999997</v>
      </c>
      <c r="X82" s="14"/>
      <c r="Y82" s="14"/>
      <c r="Z82" s="14">
        <f t="shared" si="10"/>
        <v>0.74716870000000002</v>
      </c>
      <c r="AA82" s="14">
        <f t="shared" si="11"/>
        <v>0.74515964999999995</v>
      </c>
      <c r="AB82" s="25">
        <f t="shared" si="12"/>
        <v>400.16667999999999</v>
      </c>
      <c r="AC82" s="25">
        <f t="shared" si="13"/>
        <v>395.39331999999996</v>
      </c>
      <c r="AF82" s="24"/>
      <c r="AG82" s="24"/>
      <c r="AH82" s="24"/>
      <c r="AI82" s="24"/>
      <c r="AJ82" s="24"/>
      <c r="AK82" s="24"/>
      <c r="AL82" s="24"/>
    </row>
    <row r="83" spans="1:38" x14ac:dyDescent="0.25">
      <c r="A83">
        <v>0.7</v>
      </c>
      <c r="B83" s="17">
        <v>0.57645259999999998</v>
      </c>
      <c r="C83" s="17">
        <v>0.60474859999999997</v>
      </c>
      <c r="D83" s="14">
        <v>0.71771079999999998</v>
      </c>
      <c r="E83" s="14">
        <v>0.74102210000000002</v>
      </c>
      <c r="F83" s="14">
        <v>0.75771599999999995</v>
      </c>
      <c r="G83" s="14">
        <v>0.79267449999999995</v>
      </c>
      <c r="H83" s="14">
        <v>0.81393510000000002</v>
      </c>
      <c r="I83" s="14">
        <v>0.83119509999999996</v>
      </c>
      <c r="J83" s="25">
        <f t="shared" si="9"/>
        <v>400.56445999999994</v>
      </c>
      <c r="K83" s="25">
        <f t="shared" si="14"/>
        <v>394.99553999999995</v>
      </c>
      <c r="S83">
        <v>0.7</v>
      </c>
      <c r="T83" s="17">
        <v>0.49158705000000003</v>
      </c>
      <c r="U83" s="17">
        <v>0.48189145</v>
      </c>
      <c r="V83" s="14">
        <v>0.63447959999999992</v>
      </c>
      <c r="W83" s="14">
        <v>0.63832430000000007</v>
      </c>
      <c r="X83" s="14"/>
      <c r="Y83" s="14"/>
      <c r="Z83" s="14">
        <f t="shared" si="10"/>
        <v>0.70044814999999994</v>
      </c>
      <c r="AA83" s="14">
        <f t="shared" si="11"/>
        <v>0.70261339999999994</v>
      </c>
      <c r="AB83" s="25">
        <f t="shared" si="12"/>
        <v>400.56445999999994</v>
      </c>
      <c r="AC83" s="25">
        <f t="shared" si="13"/>
        <v>394.99553999999995</v>
      </c>
      <c r="AF83" s="24"/>
      <c r="AG83" s="24"/>
      <c r="AH83" s="24"/>
      <c r="AI83" s="24"/>
      <c r="AJ83" s="24"/>
      <c r="AK83" s="24"/>
      <c r="AL83" s="24"/>
    </row>
    <row r="84" spans="1:38" x14ac:dyDescent="0.25">
      <c r="A84">
        <v>0.8</v>
      </c>
      <c r="B84" s="17">
        <v>0.53058099999999997</v>
      </c>
      <c r="C84" s="17">
        <v>0.56005590000000005</v>
      </c>
      <c r="D84" s="14">
        <v>0.67594739999999998</v>
      </c>
      <c r="E84" s="14">
        <v>0.70856350000000001</v>
      </c>
      <c r="F84" s="14">
        <v>0.73148150000000001</v>
      </c>
      <c r="G84" s="14">
        <v>0.76503109999999996</v>
      </c>
      <c r="H84" s="14">
        <v>0.78384799999999999</v>
      </c>
      <c r="I84" s="14">
        <v>0.80418639999999997</v>
      </c>
      <c r="J84" s="25">
        <f t="shared" si="9"/>
        <v>400.96223999999995</v>
      </c>
      <c r="K84" s="25">
        <f t="shared" si="14"/>
        <v>394.59775999999999</v>
      </c>
      <c r="S84">
        <v>0.8</v>
      </c>
      <c r="T84" s="17">
        <v>0.44087349999999997</v>
      </c>
      <c r="U84" s="17">
        <v>0.43384414999999998</v>
      </c>
      <c r="V84" s="14">
        <v>0.58895925000000005</v>
      </c>
      <c r="W84" s="14">
        <v>0.58933499999999994</v>
      </c>
      <c r="X84" s="14"/>
      <c r="Y84" s="14"/>
      <c r="Z84" s="14">
        <f t="shared" si="10"/>
        <v>0.66276725000000003</v>
      </c>
      <c r="AA84" s="14">
        <f t="shared" si="11"/>
        <v>0.6678712</v>
      </c>
      <c r="AB84" s="25">
        <f t="shared" si="12"/>
        <v>400.96223999999995</v>
      </c>
      <c r="AC84" s="25">
        <f t="shared" si="13"/>
        <v>394.59775999999999</v>
      </c>
      <c r="AF84" s="24"/>
      <c r="AG84" s="24"/>
      <c r="AH84" s="24"/>
      <c r="AI84" s="24"/>
      <c r="AJ84" s="24"/>
      <c r="AK84" s="24"/>
      <c r="AL84" s="24"/>
    </row>
    <row r="85" spans="1:38" x14ac:dyDescent="0.25">
      <c r="A85">
        <v>0.9</v>
      </c>
      <c r="B85" s="17">
        <v>0.48929660000000003</v>
      </c>
      <c r="C85" s="17">
        <v>0.5083799</v>
      </c>
      <c r="D85" s="14">
        <v>0.6372776</v>
      </c>
      <c r="E85" s="14">
        <v>0.67472379999999998</v>
      </c>
      <c r="F85" s="14">
        <v>0.69598769999999999</v>
      </c>
      <c r="G85" s="14">
        <v>0.73600549999999998</v>
      </c>
      <c r="H85" s="14">
        <v>0.75851150000000001</v>
      </c>
      <c r="I85" s="14">
        <v>0.78392980000000001</v>
      </c>
      <c r="J85" s="25">
        <f t="shared" si="9"/>
        <v>401.36001999999991</v>
      </c>
      <c r="K85" s="25">
        <f t="shared" si="14"/>
        <v>394.19997999999998</v>
      </c>
      <c r="S85">
        <v>0.9</v>
      </c>
      <c r="T85" s="17">
        <v>0.39245350000000001</v>
      </c>
      <c r="U85" s="17">
        <v>0.38191580000000003</v>
      </c>
      <c r="V85" s="14">
        <v>0.54925639999999998</v>
      </c>
      <c r="W85" s="14">
        <v>0.54907360000000005</v>
      </c>
      <c r="X85" s="14"/>
      <c r="Y85" s="14"/>
      <c r="Z85" s="14">
        <f t="shared" si="10"/>
        <v>0.62174949999999995</v>
      </c>
      <c r="AA85" s="14">
        <f t="shared" si="11"/>
        <v>0.6324379</v>
      </c>
      <c r="AB85" s="25">
        <f t="shared" si="12"/>
        <v>401.36001999999991</v>
      </c>
      <c r="AC85" s="25">
        <f t="shared" si="13"/>
        <v>394.19997999999998</v>
      </c>
      <c r="AF85" s="24"/>
      <c r="AG85" s="24"/>
      <c r="AH85" s="24"/>
      <c r="AI85" s="24"/>
      <c r="AJ85" s="24"/>
      <c r="AK85" s="24"/>
      <c r="AL85" s="24"/>
    </row>
    <row r="86" spans="1:38" x14ac:dyDescent="0.25">
      <c r="A86">
        <v>1</v>
      </c>
      <c r="B86" s="17">
        <v>0.45107029999999998</v>
      </c>
      <c r="C86" s="17">
        <v>0.47974860000000003</v>
      </c>
      <c r="D86" s="14">
        <v>0.60634180000000004</v>
      </c>
      <c r="E86" s="14">
        <v>0.64848070000000002</v>
      </c>
      <c r="F86" s="14">
        <v>0.66666669999999995</v>
      </c>
      <c r="G86" s="14">
        <v>0.71665509999999999</v>
      </c>
      <c r="H86" s="14">
        <v>0.73634200000000005</v>
      </c>
      <c r="I86" s="14">
        <v>0.75827140000000004</v>
      </c>
      <c r="J86" s="25">
        <f t="shared" si="9"/>
        <v>401.75779999999997</v>
      </c>
      <c r="K86" s="25">
        <f t="shared" si="14"/>
        <v>393.80219999999997</v>
      </c>
      <c r="S86">
        <v>1</v>
      </c>
      <c r="T86" s="17">
        <v>0.3513925</v>
      </c>
      <c r="U86" s="17">
        <v>0.34423565</v>
      </c>
      <c r="V86" s="14">
        <v>0.50586470000000006</v>
      </c>
      <c r="W86" s="14">
        <v>0.51588655000000005</v>
      </c>
      <c r="X86" s="14"/>
      <c r="Y86" s="14"/>
      <c r="Z86" s="14">
        <f t="shared" si="10"/>
        <v>0.57832364999999997</v>
      </c>
      <c r="AA86" s="14">
        <f t="shared" si="11"/>
        <v>0.59975014999999998</v>
      </c>
      <c r="AB86" s="25">
        <f t="shared" si="12"/>
        <v>401.75779999999997</v>
      </c>
      <c r="AC86" s="25">
        <f t="shared" si="13"/>
        <v>393.80219999999997</v>
      </c>
      <c r="AF86" s="24"/>
      <c r="AG86" s="24"/>
      <c r="AH86" s="24"/>
      <c r="AI86" s="24"/>
      <c r="AJ86" s="24"/>
      <c r="AK86" s="24"/>
      <c r="AL86" s="24"/>
    </row>
    <row r="87" spans="1:38" x14ac:dyDescent="0.25">
      <c r="A87">
        <v>1.1000000000000001</v>
      </c>
      <c r="B87" s="17">
        <v>0.41284399999999999</v>
      </c>
      <c r="C87" s="17">
        <v>0.44413409999999998</v>
      </c>
      <c r="D87" s="14">
        <v>0.56380509999999995</v>
      </c>
      <c r="E87" s="14">
        <v>0.62223759999999995</v>
      </c>
      <c r="F87" s="14">
        <v>0.63348769999999999</v>
      </c>
      <c r="G87" s="14">
        <v>0.6903939</v>
      </c>
      <c r="H87" s="14">
        <v>0.71496440000000006</v>
      </c>
      <c r="I87" s="14">
        <v>0.73531400000000002</v>
      </c>
      <c r="J87" s="25">
        <f t="shared" si="9"/>
        <v>402.15557999999993</v>
      </c>
      <c r="K87" s="25">
        <f t="shared" si="14"/>
        <v>393.40441999999996</v>
      </c>
      <c r="S87">
        <v>1.1000000000000001</v>
      </c>
      <c r="T87" s="17">
        <v>0.30930265000000001</v>
      </c>
      <c r="U87" s="17">
        <v>0.30851564999999997</v>
      </c>
      <c r="V87" s="14">
        <v>0.45995774999999994</v>
      </c>
      <c r="W87" s="14">
        <v>0.47737594999999999</v>
      </c>
      <c r="X87" s="14"/>
      <c r="Y87" s="14"/>
      <c r="Z87" s="14">
        <f t="shared" si="10"/>
        <v>0.54363459999999997</v>
      </c>
      <c r="AA87" s="14">
        <f t="shared" si="11"/>
        <v>0.56067810000000007</v>
      </c>
      <c r="AB87" s="25">
        <f t="shared" si="12"/>
        <v>402.15557999999993</v>
      </c>
      <c r="AC87" s="25">
        <f t="shared" si="13"/>
        <v>393.40441999999996</v>
      </c>
      <c r="AF87" s="24"/>
      <c r="AG87" s="24"/>
      <c r="AH87" s="24"/>
      <c r="AI87" s="24"/>
      <c r="AJ87" s="24"/>
      <c r="AK87" s="24"/>
      <c r="AL87" s="24"/>
    </row>
    <row r="88" spans="1:38" x14ac:dyDescent="0.25">
      <c r="A88">
        <v>1.2</v>
      </c>
      <c r="B88" s="17">
        <v>0.3761468</v>
      </c>
      <c r="C88" s="17">
        <v>0.40712290000000001</v>
      </c>
      <c r="D88" s="14">
        <v>0.52513529999999997</v>
      </c>
      <c r="E88" s="14">
        <v>0.59323199999999998</v>
      </c>
      <c r="F88" s="14">
        <v>0.60030859999999997</v>
      </c>
      <c r="G88" s="14">
        <v>0.66205939999999996</v>
      </c>
      <c r="H88" s="14">
        <v>0.6935867</v>
      </c>
      <c r="I88" s="14">
        <v>0.71640780000000004</v>
      </c>
      <c r="J88" s="25">
        <f t="shared" si="9"/>
        <v>402.55336</v>
      </c>
      <c r="K88" s="25">
        <f t="shared" si="14"/>
        <v>393.00663999999995</v>
      </c>
      <c r="S88">
        <v>1.2</v>
      </c>
      <c r="T88" s="17">
        <v>0.27209260000000002</v>
      </c>
      <c r="U88" s="17">
        <v>0.27754899999999999</v>
      </c>
      <c r="V88" s="14">
        <v>0.41861234999999997</v>
      </c>
      <c r="W88" s="14">
        <v>0.43912214999999999</v>
      </c>
      <c r="X88" s="14"/>
      <c r="Y88" s="14"/>
      <c r="Z88" s="14">
        <f t="shared" si="10"/>
        <v>0.50571345000000001</v>
      </c>
      <c r="AA88" s="14">
        <f t="shared" si="11"/>
        <v>0.52391674999999993</v>
      </c>
      <c r="AB88" s="25">
        <f t="shared" si="12"/>
        <v>402.55336</v>
      </c>
      <c r="AC88" s="25">
        <f t="shared" si="13"/>
        <v>393.00663999999995</v>
      </c>
      <c r="AF88" s="24"/>
      <c r="AG88" s="24"/>
      <c r="AH88" s="24"/>
      <c r="AI88" s="24"/>
      <c r="AJ88" s="24"/>
      <c r="AK88" s="24"/>
      <c r="AL88" s="24"/>
    </row>
    <row r="89" spans="1:38" x14ac:dyDescent="0.25">
      <c r="A89">
        <v>1.3</v>
      </c>
      <c r="B89" s="17">
        <v>0.34327220000000003</v>
      </c>
      <c r="C89" s="17">
        <v>0.3722067</v>
      </c>
      <c r="D89" s="14">
        <v>0.48801240000000001</v>
      </c>
      <c r="E89" s="14">
        <v>0.56077350000000004</v>
      </c>
      <c r="F89" s="14">
        <v>0.56944439999999996</v>
      </c>
      <c r="G89" s="14">
        <v>0.62888739999999999</v>
      </c>
      <c r="H89" s="14">
        <v>0.67062549999999999</v>
      </c>
      <c r="I89" s="14">
        <v>0.6948008</v>
      </c>
      <c r="J89" s="25">
        <f t="shared" si="9"/>
        <v>402.95113999999995</v>
      </c>
      <c r="K89" s="25">
        <f t="shared" si="14"/>
        <v>392.60885999999999</v>
      </c>
      <c r="S89">
        <v>1.3</v>
      </c>
      <c r="T89" s="17">
        <v>0.24125200000000002</v>
      </c>
      <c r="U89" s="17">
        <v>0.24918745</v>
      </c>
      <c r="V89" s="14">
        <v>0.38198255000000003</v>
      </c>
      <c r="W89" s="14">
        <v>0.4089699</v>
      </c>
      <c r="X89" s="14"/>
      <c r="Y89" s="14"/>
      <c r="Z89" s="14">
        <f t="shared" si="10"/>
        <v>0.47444425000000001</v>
      </c>
      <c r="AA89" s="14">
        <f t="shared" si="11"/>
        <v>0.4885023</v>
      </c>
      <c r="AB89" s="25">
        <f t="shared" si="12"/>
        <v>402.95113999999995</v>
      </c>
      <c r="AC89" s="25">
        <f t="shared" si="13"/>
        <v>392.60885999999999</v>
      </c>
      <c r="AF89" s="14"/>
      <c r="AG89" s="14"/>
      <c r="AI89" s="23"/>
      <c r="AJ89" s="23"/>
      <c r="AK89" s="23"/>
      <c r="AL89" s="23"/>
    </row>
    <row r="90" spans="1:38" x14ac:dyDescent="0.25">
      <c r="A90">
        <v>1.4</v>
      </c>
      <c r="B90" s="17">
        <v>0.30581039999999998</v>
      </c>
      <c r="C90" s="17">
        <v>0.3449721</v>
      </c>
      <c r="D90" s="14">
        <v>0.45630320000000002</v>
      </c>
      <c r="E90" s="14">
        <v>0.52693369999999995</v>
      </c>
      <c r="F90" s="14">
        <v>0.5393519</v>
      </c>
      <c r="G90" s="14">
        <v>0.59917069999999995</v>
      </c>
      <c r="H90" s="14">
        <v>0.65003960000000005</v>
      </c>
      <c r="I90" s="14">
        <v>0.67319379999999995</v>
      </c>
      <c r="J90" s="25">
        <f t="shared" si="9"/>
        <v>403.34891999999996</v>
      </c>
      <c r="K90" s="25">
        <f t="shared" si="14"/>
        <v>392.21107999999998</v>
      </c>
      <c r="S90">
        <v>1.4</v>
      </c>
      <c r="T90" s="17">
        <v>0.20914664999999999</v>
      </c>
      <c r="U90" s="17">
        <v>0.22233028500000002</v>
      </c>
      <c r="V90" s="14">
        <v>0.35167330000000002</v>
      </c>
      <c r="W90" s="14">
        <v>0.37444144999999995</v>
      </c>
      <c r="X90" s="14"/>
      <c r="Y90" s="14"/>
      <c r="Z90" s="14">
        <f t="shared" si="10"/>
        <v>0.4400056</v>
      </c>
      <c r="AA90" s="14">
        <f t="shared" si="11"/>
        <v>0.45439704999999997</v>
      </c>
      <c r="AB90" s="25">
        <f t="shared" si="12"/>
        <v>403.34891999999996</v>
      </c>
      <c r="AC90" s="25">
        <f t="shared" si="13"/>
        <v>392.21107999999998</v>
      </c>
      <c r="AF90" s="14"/>
      <c r="AG90" s="14"/>
      <c r="AI90" s="23"/>
      <c r="AJ90" s="23"/>
      <c r="AK90" s="23"/>
      <c r="AL90" s="23"/>
    </row>
    <row r="91" spans="1:38" x14ac:dyDescent="0.25">
      <c r="A91">
        <v>1.5</v>
      </c>
      <c r="B91" s="17">
        <v>0.27752290000000002</v>
      </c>
      <c r="C91" s="17">
        <v>0.31843579999999999</v>
      </c>
      <c r="D91" s="14">
        <v>0.43310130000000002</v>
      </c>
      <c r="E91" s="14">
        <v>0.4917127</v>
      </c>
      <c r="F91" s="14">
        <v>0.51080250000000005</v>
      </c>
      <c r="G91" s="14">
        <v>0.57774709999999996</v>
      </c>
      <c r="H91" s="14">
        <v>0.62153599999999998</v>
      </c>
      <c r="I91" s="14">
        <v>0.65631329999999999</v>
      </c>
      <c r="J91" s="25">
        <f t="shared" si="9"/>
        <v>403.74669999999992</v>
      </c>
      <c r="K91" s="25">
        <f t="shared" si="14"/>
        <v>391.81329999999997</v>
      </c>
      <c r="S91">
        <v>1.5</v>
      </c>
      <c r="T91" s="17">
        <v>0.18128545500000001</v>
      </c>
      <c r="U91" s="17">
        <v>0.19815870999999999</v>
      </c>
      <c r="V91" s="14">
        <v>0.32331805000000002</v>
      </c>
      <c r="W91" s="14">
        <v>0.33799394999999999</v>
      </c>
      <c r="X91" s="14"/>
      <c r="Y91" s="14"/>
      <c r="Z91" s="14">
        <f t="shared" si="10"/>
        <v>0.40666175000000004</v>
      </c>
      <c r="AA91" s="14">
        <f t="shared" si="11"/>
        <v>0.42276474999999997</v>
      </c>
      <c r="AB91" s="25">
        <f t="shared" si="12"/>
        <v>403.74669999999992</v>
      </c>
      <c r="AC91" s="25">
        <f t="shared" si="13"/>
        <v>391.81329999999997</v>
      </c>
      <c r="AF91" s="14"/>
      <c r="AG91" s="14"/>
      <c r="AI91" s="23"/>
      <c r="AJ91" s="23"/>
      <c r="AK91" s="23"/>
      <c r="AL91" s="23"/>
    </row>
    <row r="92" spans="1:38" x14ac:dyDescent="0.25">
      <c r="A92">
        <v>1.6</v>
      </c>
      <c r="B92" s="17">
        <v>0.24617739999999999</v>
      </c>
      <c r="C92" s="17">
        <v>0.29050280000000001</v>
      </c>
      <c r="D92" s="14">
        <v>0.40835270000000001</v>
      </c>
      <c r="E92" s="14">
        <v>0.45994479999999999</v>
      </c>
      <c r="F92" s="14">
        <v>0.48225309999999999</v>
      </c>
      <c r="G92" s="14">
        <v>0.55632340000000002</v>
      </c>
      <c r="H92" s="14">
        <v>0.59224069999999995</v>
      </c>
      <c r="I92" s="14">
        <v>0.63133019999999995</v>
      </c>
      <c r="J92" s="25">
        <f t="shared" si="9"/>
        <v>404.14447999999999</v>
      </c>
      <c r="K92" s="25">
        <f t="shared" si="14"/>
        <v>391.41551999999996</v>
      </c>
      <c r="S92">
        <v>1.6</v>
      </c>
      <c r="T92" s="17">
        <v>0.158068125</v>
      </c>
      <c r="U92" s="17">
        <v>0.17367819000000001</v>
      </c>
      <c r="V92" s="14">
        <v>0.29550355</v>
      </c>
      <c r="W92" s="14">
        <v>0.30818699999999999</v>
      </c>
      <c r="X92" s="14"/>
      <c r="Y92" s="14"/>
      <c r="Z92" s="14">
        <f t="shared" si="10"/>
        <v>0.37913560000000002</v>
      </c>
      <c r="AA92" s="14">
        <f t="shared" si="11"/>
        <v>0.39489810000000003</v>
      </c>
      <c r="AB92" s="25">
        <f t="shared" si="12"/>
        <v>404.14447999999999</v>
      </c>
      <c r="AC92" s="25">
        <f t="shared" si="13"/>
        <v>391.41551999999996</v>
      </c>
      <c r="AF92" s="14"/>
      <c r="AG92" s="14"/>
      <c r="AI92" s="23"/>
      <c r="AJ92" s="23"/>
      <c r="AK92" s="23"/>
      <c r="AL92" s="23"/>
    </row>
    <row r="93" spans="1:38" x14ac:dyDescent="0.25">
      <c r="A93">
        <v>1.7</v>
      </c>
      <c r="B93" s="17">
        <v>0.22094800000000001</v>
      </c>
      <c r="C93" s="17">
        <v>0.26396649999999999</v>
      </c>
      <c r="D93" s="14">
        <v>0.37819029999999998</v>
      </c>
      <c r="E93" s="14">
        <v>0.43232039999999999</v>
      </c>
      <c r="F93" s="14">
        <v>0.46296300000000001</v>
      </c>
      <c r="G93" s="14">
        <v>0.52937109999999998</v>
      </c>
      <c r="H93" s="14">
        <v>0.57165480000000002</v>
      </c>
      <c r="I93" s="14">
        <v>0.61174879999999998</v>
      </c>
      <c r="J93" s="25">
        <f t="shared" si="9"/>
        <v>404.54225999999994</v>
      </c>
      <c r="K93" s="25">
        <f t="shared" si="14"/>
        <v>391.01773999999995</v>
      </c>
      <c r="S93">
        <v>1.7</v>
      </c>
      <c r="T93" s="17">
        <v>0.13859471500000001</v>
      </c>
      <c r="U93" s="17">
        <v>0.15379010500000001</v>
      </c>
      <c r="V93" s="14">
        <v>0.26892430000000001</v>
      </c>
      <c r="W93" s="14">
        <v>0.28004224999999999</v>
      </c>
      <c r="X93" s="14"/>
      <c r="Y93" s="14"/>
      <c r="Z93" s="14">
        <f t="shared" si="10"/>
        <v>0.35236060000000002</v>
      </c>
      <c r="AA93" s="14">
        <f t="shared" si="11"/>
        <v>0.36886964999999999</v>
      </c>
      <c r="AB93" s="25">
        <f t="shared" si="12"/>
        <v>404.54225999999994</v>
      </c>
      <c r="AC93" s="25">
        <f t="shared" si="13"/>
        <v>391.01773999999995</v>
      </c>
      <c r="AF93" s="14"/>
      <c r="AG93" s="14"/>
      <c r="AI93" s="23"/>
      <c r="AJ93" s="23"/>
      <c r="AK93" s="23"/>
      <c r="AL93" s="23"/>
    </row>
    <row r="94" spans="1:38" x14ac:dyDescent="0.25">
      <c r="A94">
        <v>1.8</v>
      </c>
      <c r="B94" s="17">
        <v>0.20030580000000001</v>
      </c>
      <c r="C94" s="17">
        <v>0.23882680000000001</v>
      </c>
      <c r="D94" s="14">
        <v>0.34880119999999998</v>
      </c>
      <c r="E94" s="14">
        <v>0.39986189999999999</v>
      </c>
      <c r="F94" s="14">
        <v>0.43904320000000002</v>
      </c>
      <c r="G94" s="14">
        <v>0.50103660000000005</v>
      </c>
      <c r="H94" s="14">
        <v>0.54631830000000003</v>
      </c>
      <c r="I94" s="14">
        <v>0.59149220000000002</v>
      </c>
      <c r="J94" s="25">
        <f t="shared" si="9"/>
        <v>404.94003999999995</v>
      </c>
      <c r="K94" s="25">
        <f t="shared" si="14"/>
        <v>390.61995999999999</v>
      </c>
      <c r="S94">
        <v>1.8</v>
      </c>
      <c r="T94" s="17">
        <v>0.12210077499999999</v>
      </c>
      <c r="U94" s="17">
        <v>0.13654735500000001</v>
      </c>
      <c r="V94" s="14">
        <v>0.24437429999999999</v>
      </c>
      <c r="W94" s="14">
        <v>0.25521349999999998</v>
      </c>
      <c r="X94" s="14"/>
      <c r="Y94" s="14"/>
      <c r="Z94" s="14">
        <f t="shared" si="10"/>
        <v>0.32941170000000003</v>
      </c>
      <c r="AA94" s="14">
        <f t="shared" si="11"/>
        <v>0.34382375000000004</v>
      </c>
      <c r="AB94" s="25">
        <f t="shared" si="12"/>
        <v>404.94003999999995</v>
      </c>
      <c r="AC94" s="25">
        <f t="shared" si="13"/>
        <v>390.61995999999999</v>
      </c>
      <c r="AF94" s="14"/>
      <c r="AG94" s="14"/>
      <c r="AI94" s="23"/>
      <c r="AJ94" s="23"/>
      <c r="AK94" s="23"/>
      <c r="AL94" s="23"/>
    </row>
    <row r="95" spans="1:38" x14ac:dyDescent="0.25">
      <c r="A95">
        <v>1.9</v>
      </c>
      <c r="B95" s="17">
        <v>0.18348619999999999</v>
      </c>
      <c r="C95" s="17">
        <v>0.20949719999999999</v>
      </c>
      <c r="D95" s="14">
        <v>0.33023979999999997</v>
      </c>
      <c r="E95" s="14">
        <v>0.37638120000000003</v>
      </c>
      <c r="F95" s="14">
        <v>0.4089506</v>
      </c>
      <c r="G95" s="14">
        <v>0.47201110000000002</v>
      </c>
      <c r="H95" s="14">
        <v>0.52177359999999995</v>
      </c>
      <c r="I95" s="14">
        <v>0.57056039999999997</v>
      </c>
      <c r="J95" s="25">
        <f t="shared" si="9"/>
        <v>405.33781999999991</v>
      </c>
      <c r="K95" s="25">
        <f t="shared" si="14"/>
        <v>390.22217999999998</v>
      </c>
      <c r="S95">
        <v>1.9</v>
      </c>
      <c r="T95" s="17">
        <v>0.11026161999999999</v>
      </c>
      <c r="U95" s="17">
        <v>0.118377885</v>
      </c>
      <c r="V95" s="14">
        <v>0.22622369999999997</v>
      </c>
      <c r="W95" s="14">
        <v>0.23118814500000001</v>
      </c>
      <c r="X95" s="14"/>
      <c r="Y95" s="14"/>
      <c r="Z95" s="14">
        <f t="shared" si="10"/>
        <v>0.30337639999999999</v>
      </c>
      <c r="AA95" s="14">
        <f t="shared" si="11"/>
        <v>0.31382979999999999</v>
      </c>
      <c r="AB95" s="25">
        <f t="shared" si="12"/>
        <v>405.33781999999991</v>
      </c>
      <c r="AC95" s="25">
        <f t="shared" si="13"/>
        <v>390.22217999999998</v>
      </c>
      <c r="AF95" s="14"/>
      <c r="AG95" s="14"/>
      <c r="AI95" s="23"/>
      <c r="AJ95" s="23"/>
      <c r="AK95" s="23"/>
      <c r="AL95" s="23"/>
    </row>
    <row r="96" spans="1:38" x14ac:dyDescent="0.25">
      <c r="A96">
        <v>2</v>
      </c>
      <c r="B96" s="17">
        <v>0.1666667</v>
      </c>
      <c r="C96" s="17">
        <v>0.1927374</v>
      </c>
      <c r="D96" s="14">
        <v>0.30935810000000002</v>
      </c>
      <c r="E96" s="14">
        <v>0.34461330000000001</v>
      </c>
      <c r="F96" s="14">
        <v>0.38888889999999998</v>
      </c>
      <c r="G96" s="14">
        <v>0.44989630000000003</v>
      </c>
      <c r="H96" s="14">
        <v>0.4996041</v>
      </c>
      <c r="I96" s="14">
        <v>0.54760299999999995</v>
      </c>
      <c r="J96" s="25">
        <f t="shared" si="9"/>
        <v>405.73559999999998</v>
      </c>
      <c r="K96" s="25">
        <f t="shared" si="14"/>
        <v>389.82439999999997</v>
      </c>
      <c r="S96">
        <v>2</v>
      </c>
      <c r="T96" s="17">
        <v>9.6707835000000006E-2</v>
      </c>
      <c r="U96" s="17">
        <v>0.107661535</v>
      </c>
      <c r="V96" s="14">
        <v>0.20691295000000001</v>
      </c>
      <c r="W96" s="14">
        <v>0.20916168500000001</v>
      </c>
      <c r="X96" s="14"/>
      <c r="Y96" s="14"/>
      <c r="Z96" s="14">
        <f t="shared" si="10"/>
        <v>0.28429579999999999</v>
      </c>
      <c r="AA96" s="14">
        <f t="shared" si="11"/>
        <v>0.29314899999999999</v>
      </c>
      <c r="AB96" s="25">
        <f t="shared" si="12"/>
        <v>405.73559999999998</v>
      </c>
      <c r="AC96" s="25">
        <f t="shared" si="13"/>
        <v>389.82439999999997</v>
      </c>
      <c r="AF96" s="14"/>
      <c r="AG96" s="14"/>
      <c r="AI96" s="23"/>
      <c r="AJ96" s="23"/>
      <c r="AK96" s="23"/>
      <c r="AL96" s="23"/>
    </row>
    <row r="97" spans="1:38" x14ac:dyDescent="0.25">
      <c r="A97">
        <v>2.1</v>
      </c>
      <c r="B97" s="17">
        <v>0.15825690000000001</v>
      </c>
      <c r="C97" s="17">
        <v>0.1752793</v>
      </c>
      <c r="D97" s="14">
        <v>0.28383599999999998</v>
      </c>
      <c r="E97" s="14">
        <v>0.31491710000000001</v>
      </c>
      <c r="F97" s="14">
        <v>0.37191360000000001</v>
      </c>
      <c r="G97" s="14">
        <v>0.43054599999999998</v>
      </c>
      <c r="H97" s="14">
        <v>0.47505940000000002</v>
      </c>
      <c r="I97" s="14">
        <v>0.52802159999999998</v>
      </c>
      <c r="J97" s="25">
        <f t="shared" si="9"/>
        <v>406.13337999999993</v>
      </c>
      <c r="K97" s="25">
        <f t="shared" si="14"/>
        <v>389.42661999999996</v>
      </c>
      <c r="S97">
        <v>2.1</v>
      </c>
      <c r="T97" s="17">
        <v>9.078826000000001E-2</v>
      </c>
      <c r="U97" s="17">
        <v>9.6206630000000001E-2</v>
      </c>
      <c r="V97" s="14">
        <v>0.18889565999999999</v>
      </c>
      <c r="W97" s="14">
        <v>0.18653308000000002</v>
      </c>
      <c r="X97" s="14"/>
      <c r="Y97" s="14"/>
      <c r="Z97" s="14">
        <f t="shared" si="10"/>
        <v>0.26772794999999999</v>
      </c>
      <c r="AA97" s="14">
        <f t="shared" si="11"/>
        <v>0.27552405000000002</v>
      </c>
      <c r="AB97" s="25">
        <f t="shared" si="12"/>
        <v>406.13337999999993</v>
      </c>
      <c r="AC97" s="25">
        <f t="shared" si="13"/>
        <v>389.42661999999996</v>
      </c>
      <c r="AF97" s="14"/>
      <c r="AG97" s="14"/>
      <c r="AI97" s="23"/>
      <c r="AJ97" s="23"/>
      <c r="AK97" s="23"/>
      <c r="AL97" s="23"/>
    </row>
    <row r="98" spans="1:38" x14ac:dyDescent="0.25">
      <c r="A98">
        <v>2.2000000000000002</v>
      </c>
      <c r="B98" s="17">
        <v>0.1444954</v>
      </c>
      <c r="C98" s="17">
        <v>0.16061449999999999</v>
      </c>
      <c r="D98" s="14">
        <v>0.26759470000000002</v>
      </c>
      <c r="E98" s="14">
        <v>0.29212709999999997</v>
      </c>
      <c r="F98" s="14">
        <v>0.34799380000000002</v>
      </c>
      <c r="G98" s="14">
        <v>0.41050449999999999</v>
      </c>
      <c r="H98" s="14">
        <v>0.4513064</v>
      </c>
      <c r="I98" s="14">
        <v>0.51046590000000003</v>
      </c>
      <c r="J98" s="25">
        <f t="shared" si="9"/>
        <v>406.53116</v>
      </c>
      <c r="K98" s="25">
        <f t="shared" si="14"/>
        <v>389.02883999999995</v>
      </c>
      <c r="S98">
        <v>2.2000000000000002</v>
      </c>
      <c r="T98" s="17">
        <v>8.0135214999999996E-2</v>
      </c>
      <c r="U98" s="17">
        <v>8.7706005000000004E-2</v>
      </c>
      <c r="V98" s="14">
        <v>0.171905105</v>
      </c>
      <c r="W98" s="14">
        <v>0.17104307499999999</v>
      </c>
      <c r="X98" s="14"/>
      <c r="Y98" s="14"/>
      <c r="Z98" s="14">
        <f t="shared" si="10"/>
        <v>0.24574870000000001</v>
      </c>
      <c r="AA98" s="14">
        <f t="shared" si="11"/>
        <v>0.25713510000000001</v>
      </c>
      <c r="AB98" s="25">
        <f t="shared" si="12"/>
        <v>406.53116</v>
      </c>
      <c r="AC98" s="25">
        <f t="shared" si="13"/>
        <v>389.02883999999995</v>
      </c>
      <c r="AF98" s="14"/>
      <c r="AG98" s="14"/>
      <c r="AI98" s="23"/>
      <c r="AJ98" s="23"/>
      <c r="AK98" s="23"/>
      <c r="AL98" s="23"/>
    </row>
    <row r="99" spans="1:38" x14ac:dyDescent="0.25">
      <c r="A99">
        <v>2.2999999999999998</v>
      </c>
      <c r="B99" s="17">
        <v>0.1269113</v>
      </c>
      <c r="C99" s="17">
        <v>0.1438547</v>
      </c>
      <c r="D99" s="14">
        <v>0.24671309999999999</v>
      </c>
      <c r="E99" s="14">
        <v>0.2638122</v>
      </c>
      <c r="F99" s="14">
        <v>0.33024690000000001</v>
      </c>
      <c r="G99" s="14">
        <v>0.38217000000000001</v>
      </c>
      <c r="H99" s="14">
        <v>0.42913699999999999</v>
      </c>
      <c r="I99" s="14">
        <v>0.48548279999999999</v>
      </c>
      <c r="J99" s="25">
        <f t="shared" si="9"/>
        <v>406.92893999999995</v>
      </c>
      <c r="K99" s="25">
        <f t="shared" si="14"/>
        <v>388.63105999999999</v>
      </c>
      <c r="S99">
        <v>2.2999999999999998</v>
      </c>
      <c r="T99" s="17">
        <v>6.8599685000000007E-2</v>
      </c>
      <c r="U99" s="17">
        <v>7.7379064999999997E-2</v>
      </c>
      <c r="V99" s="14">
        <v>0.15686508999999998</v>
      </c>
      <c r="W99" s="14">
        <v>0.15401912000000001</v>
      </c>
      <c r="X99" s="14"/>
      <c r="Y99" s="14"/>
      <c r="Z99" s="14">
        <f t="shared" si="10"/>
        <v>0.2291183</v>
      </c>
      <c r="AA99" s="14">
        <f t="shared" si="11"/>
        <v>0.234599645</v>
      </c>
      <c r="AB99" s="25">
        <f t="shared" si="12"/>
        <v>406.92893999999995</v>
      </c>
      <c r="AC99" s="25">
        <f t="shared" si="13"/>
        <v>388.63105999999999</v>
      </c>
      <c r="AF99" s="14"/>
      <c r="AG99" s="14"/>
      <c r="AI99" s="23"/>
      <c r="AJ99" s="23"/>
      <c r="AK99" s="23"/>
      <c r="AL99" s="23"/>
    </row>
    <row r="100" spans="1:38" x14ac:dyDescent="0.25">
      <c r="A100">
        <v>2.4</v>
      </c>
      <c r="B100" s="17">
        <v>0.11314979999999999</v>
      </c>
      <c r="C100" s="17">
        <v>0.1305866</v>
      </c>
      <c r="D100" s="14">
        <v>0.23743230000000001</v>
      </c>
      <c r="E100" s="14">
        <v>0.2389503</v>
      </c>
      <c r="F100" s="14">
        <v>0.30864200000000003</v>
      </c>
      <c r="G100" s="14">
        <v>0.36489290000000002</v>
      </c>
      <c r="H100" s="14">
        <v>0.40775929999999999</v>
      </c>
      <c r="I100" s="14">
        <v>0.47332879999999999</v>
      </c>
      <c r="J100" s="25">
        <f t="shared" si="9"/>
        <v>407.32671999999997</v>
      </c>
      <c r="K100" s="25">
        <f t="shared" si="14"/>
        <v>388.23327999999998</v>
      </c>
      <c r="S100">
        <v>2.4</v>
      </c>
      <c r="T100" s="17">
        <v>6.0347190999999994E-2</v>
      </c>
      <c r="U100" s="17">
        <v>6.9576789E-2</v>
      </c>
      <c r="V100" s="14">
        <v>0.147296965</v>
      </c>
      <c r="W100" s="14">
        <v>0.13831217000000001</v>
      </c>
      <c r="X100" s="14"/>
      <c r="Y100" s="14"/>
      <c r="Z100" s="14">
        <f t="shared" si="10"/>
        <v>0.20861965000000002</v>
      </c>
      <c r="AA100" s="14">
        <f t="shared" si="11"/>
        <v>0.221358585</v>
      </c>
      <c r="AB100" s="25">
        <f t="shared" si="12"/>
        <v>407.32671999999997</v>
      </c>
      <c r="AC100" s="25">
        <f t="shared" si="13"/>
        <v>388.23327999999998</v>
      </c>
      <c r="AF100" s="14"/>
      <c r="AG100" s="14"/>
      <c r="AI100" s="23"/>
      <c r="AJ100" s="23"/>
      <c r="AK100" s="23"/>
      <c r="AL100" s="23"/>
    </row>
    <row r="101" spans="1:38" x14ac:dyDescent="0.25">
      <c r="A101">
        <v>2.5</v>
      </c>
      <c r="B101" s="17">
        <v>0.10168199999999999</v>
      </c>
      <c r="C101" s="17">
        <v>0.1145251</v>
      </c>
      <c r="D101" s="14">
        <v>0.22351119999999999</v>
      </c>
      <c r="E101" s="14">
        <v>0.2230663</v>
      </c>
      <c r="F101" s="14">
        <v>0.29012349999999998</v>
      </c>
      <c r="G101" s="14">
        <v>0.34001379999999998</v>
      </c>
      <c r="H101" s="14">
        <v>0.38400630000000002</v>
      </c>
      <c r="I101" s="14">
        <v>0.4550979</v>
      </c>
      <c r="J101" s="25">
        <f t="shared" si="9"/>
        <v>407.72449999999992</v>
      </c>
      <c r="K101" s="25">
        <f t="shared" si="14"/>
        <v>387.83549999999997</v>
      </c>
      <c r="S101">
        <v>2.5</v>
      </c>
      <c r="T101" s="17">
        <v>5.3584483999999995E-2</v>
      </c>
      <c r="U101" s="17">
        <v>5.9988406500000001E-2</v>
      </c>
      <c r="V101" s="14">
        <v>0.13475166</v>
      </c>
      <c r="W101" s="14">
        <v>0.12627516499999999</v>
      </c>
      <c r="X101" s="14"/>
      <c r="Y101" s="14"/>
      <c r="Z101" s="14">
        <f t="shared" si="10"/>
        <v>0.19548189999999999</v>
      </c>
      <c r="AA101" s="14">
        <f t="shared" si="11"/>
        <v>0.20347970499999998</v>
      </c>
      <c r="AB101" s="25">
        <f t="shared" si="12"/>
        <v>407.72449999999992</v>
      </c>
      <c r="AC101" s="25">
        <f t="shared" si="13"/>
        <v>387.83549999999997</v>
      </c>
      <c r="AF101" s="14"/>
      <c r="AG101" s="14"/>
      <c r="AI101" s="23"/>
      <c r="AJ101" s="23"/>
      <c r="AK101" s="23"/>
      <c r="AL101" s="23"/>
    </row>
    <row r="102" spans="1:38" x14ac:dyDescent="0.25">
      <c r="A102">
        <v>2.6</v>
      </c>
      <c r="B102" s="17">
        <v>9.1743119999999997E-2</v>
      </c>
      <c r="C102" s="17">
        <v>0.1019553</v>
      </c>
      <c r="D102" s="14">
        <v>0.20881669999999999</v>
      </c>
      <c r="E102" s="14">
        <v>0.20856350000000001</v>
      </c>
      <c r="F102" s="14">
        <v>0.27160489999999998</v>
      </c>
      <c r="G102" s="14">
        <v>0.31444369999999999</v>
      </c>
      <c r="H102" s="14">
        <v>0.36817100000000003</v>
      </c>
      <c r="I102" s="14">
        <v>0.43551649999999997</v>
      </c>
      <c r="J102" s="25">
        <f t="shared" si="9"/>
        <v>408.12227999999999</v>
      </c>
      <c r="K102" s="25">
        <f t="shared" si="14"/>
        <v>387.43771999999996</v>
      </c>
      <c r="S102">
        <v>2.6</v>
      </c>
      <c r="T102" s="17">
        <v>4.8272108500000001E-2</v>
      </c>
      <c r="U102" s="17">
        <v>5.2535282500000002E-2</v>
      </c>
      <c r="V102" s="14">
        <v>0.12379074</v>
      </c>
      <c r="W102" s="14">
        <v>0.11615726000000001</v>
      </c>
      <c r="X102" s="14"/>
      <c r="Y102" s="14"/>
      <c r="Z102" s="14">
        <f t="shared" si="10"/>
        <v>0.18008169999999998</v>
      </c>
      <c r="AA102" s="14">
        <f t="shared" si="11"/>
        <v>0.186928965</v>
      </c>
      <c r="AB102" s="25">
        <f t="shared" si="12"/>
        <v>408.12227999999999</v>
      </c>
      <c r="AC102" s="25">
        <f t="shared" si="13"/>
        <v>387.43771999999996</v>
      </c>
      <c r="AF102" s="14"/>
      <c r="AG102" s="14"/>
      <c r="AI102" s="23"/>
      <c r="AJ102" s="23"/>
      <c r="AK102" s="23"/>
      <c r="AL102" s="23"/>
    </row>
    <row r="103" spans="1:38" x14ac:dyDescent="0.25">
      <c r="A103">
        <v>2.7</v>
      </c>
      <c r="B103" s="17">
        <v>8.4097859999999997E-2</v>
      </c>
      <c r="C103" s="17">
        <v>9.7067039999999993E-2</v>
      </c>
      <c r="D103" s="14">
        <v>0.19566900000000001</v>
      </c>
      <c r="E103" s="14">
        <v>0.19337019999999999</v>
      </c>
      <c r="F103" s="14">
        <v>0.25617279999999998</v>
      </c>
      <c r="G103" s="14">
        <v>0.29302</v>
      </c>
      <c r="H103" s="14">
        <v>0.35233569999999997</v>
      </c>
      <c r="I103" s="14">
        <v>0.41255910000000001</v>
      </c>
      <c r="J103" s="25">
        <f t="shared" si="9"/>
        <v>408.52005999999994</v>
      </c>
      <c r="K103" s="25">
        <f t="shared" si="14"/>
        <v>387.03993999999994</v>
      </c>
      <c r="S103">
        <v>2.7</v>
      </c>
      <c r="T103" s="17">
        <v>4.44494785E-2</v>
      </c>
      <c r="U103" s="17">
        <v>5.00911525E-2</v>
      </c>
      <c r="V103" s="14">
        <v>0.112946195</v>
      </c>
      <c r="W103" s="14">
        <v>0.10610361</v>
      </c>
      <c r="X103" s="14"/>
      <c r="Y103" s="14"/>
      <c r="Z103" s="14">
        <f t="shared" si="10"/>
        <v>0.16816397</v>
      </c>
      <c r="AA103" s="14">
        <f t="shared" si="11"/>
        <v>0.17203301500000001</v>
      </c>
      <c r="AB103" s="25">
        <f t="shared" si="12"/>
        <v>408.52005999999994</v>
      </c>
      <c r="AC103" s="25">
        <f t="shared" si="13"/>
        <v>387.03993999999994</v>
      </c>
      <c r="AF103" s="14"/>
      <c r="AG103" s="14"/>
      <c r="AI103" s="23"/>
      <c r="AJ103" s="23"/>
      <c r="AK103" s="23"/>
      <c r="AL103" s="23"/>
    </row>
    <row r="104" spans="1:38" x14ac:dyDescent="0.25">
      <c r="A104">
        <v>2.8</v>
      </c>
      <c r="B104" s="17">
        <v>8.1039760000000002E-2</v>
      </c>
      <c r="C104" s="17">
        <v>9.0083800000000006E-2</v>
      </c>
      <c r="D104" s="14">
        <v>0.1802011</v>
      </c>
      <c r="E104" s="14">
        <v>0.18024860000000001</v>
      </c>
      <c r="F104" s="14">
        <v>0.242284</v>
      </c>
      <c r="G104" s="14">
        <v>0.27090530000000002</v>
      </c>
      <c r="H104" s="14">
        <v>0.33174979999999998</v>
      </c>
      <c r="I104" s="14">
        <v>0.3950034</v>
      </c>
      <c r="J104" s="25">
        <f t="shared" si="9"/>
        <v>408.91783999999996</v>
      </c>
      <c r="K104" s="25">
        <f t="shared" si="14"/>
        <v>386.64215999999999</v>
      </c>
      <c r="S104">
        <v>2.8</v>
      </c>
      <c r="T104" s="17">
        <v>4.2234557499999999E-2</v>
      </c>
      <c r="U104" s="17">
        <v>4.6210124500000005E-2</v>
      </c>
      <c r="V104" s="14">
        <v>0.10225561</v>
      </c>
      <c r="W104" s="14">
        <v>9.8314310000000002E-2</v>
      </c>
      <c r="X104" s="14"/>
      <c r="Y104" s="14"/>
      <c r="Z104" s="14">
        <f t="shared" si="10"/>
        <v>0.156694685</v>
      </c>
      <c r="AA104" s="14">
        <f t="shared" si="11"/>
        <v>0.15720997</v>
      </c>
      <c r="AB104" s="25">
        <f t="shared" si="12"/>
        <v>408.91783999999996</v>
      </c>
      <c r="AC104" s="25">
        <f t="shared" si="13"/>
        <v>386.64215999999999</v>
      </c>
      <c r="AF104" s="14"/>
      <c r="AG104" s="14"/>
      <c r="AI104" s="23"/>
      <c r="AJ104" s="23"/>
      <c r="AK104" s="23"/>
      <c r="AL104" s="23"/>
    </row>
    <row r="105" spans="1:38" x14ac:dyDescent="0.25">
      <c r="A105">
        <v>2.9</v>
      </c>
      <c r="B105" s="17">
        <v>7.3394500000000001E-2</v>
      </c>
      <c r="C105" s="17">
        <v>8.2402230000000007E-2</v>
      </c>
      <c r="D105" s="14">
        <v>0.162413</v>
      </c>
      <c r="E105" s="14">
        <v>0.16919890000000001</v>
      </c>
      <c r="F105" s="14">
        <v>0.2268519</v>
      </c>
      <c r="G105" s="14">
        <v>0.25224600000000003</v>
      </c>
      <c r="H105" s="14">
        <v>0.32066509999999998</v>
      </c>
      <c r="I105" s="14">
        <v>0.3774477</v>
      </c>
      <c r="J105" s="25">
        <f t="shared" si="9"/>
        <v>409.31561999999991</v>
      </c>
      <c r="K105" s="25">
        <f t="shared" si="14"/>
        <v>386.24437999999998</v>
      </c>
      <c r="S105">
        <v>2.9</v>
      </c>
      <c r="T105" s="17">
        <v>3.8068992000000003E-2</v>
      </c>
      <c r="U105" s="17">
        <v>4.2369339500000006E-2</v>
      </c>
      <c r="V105" s="14">
        <v>9.1061955E-2</v>
      </c>
      <c r="W105" s="14">
        <v>9.1560954999999999E-2</v>
      </c>
      <c r="X105" s="14"/>
      <c r="Y105" s="14"/>
      <c r="Z105" s="14">
        <f t="shared" si="10"/>
        <v>0.14413054</v>
      </c>
      <c r="AA105" s="14">
        <f t="shared" si="11"/>
        <v>0.14411463000000002</v>
      </c>
      <c r="AB105" s="25">
        <f t="shared" si="12"/>
        <v>409.31561999999991</v>
      </c>
      <c r="AC105" s="25">
        <f t="shared" si="13"/>
        <v>386.24437999999998</v>
      </c>
      <c r="AF105" s="14"/>
      <c r="AG105" s="14"/>
      <c r="AI105" s="23"/>
      <c r="AJ105" s="23"/>
      <c r="AK105" s="23"/>
      <c r="AL105" s="23"/>
    </row>
    <row r="106" spans="1:38" x14ac:dyDescent="0.25">
      <c r="A106">
        <v>3</v>
      </c>
      <c r="B106" s="17">
        <v>6.574924E-2</v>
      </c>
      <c r="C106" s="17">
        <v>6.9832400000000003E-2</v>
      </c>
      <c r="D106" s="14">
        <v>0.14539830000000001</v>
      </c>
      <c r="E106" s="14">
        <v>0.1533149</v>
      </c>
      <c r="F106" s="14">
        <v>0.2137346</v>
      </c>
      <c r="G106" s="14">
        <v>0.23635110000000001</v>
      </c>
      <c r="H106" s="14">
        <v>0.30878860000000002</v>
      </c>
      <c r="I106" s="14">
        <v>0.36326809999999998</v>
      </c>
      <c r="J106" s="25">
        <f t="shared" si="9"/>
        <v>409.71339999999998</v>
      </c>
      <c r="K106" s="25">
        <f t="shared" si="14"/>
        <v>385.84659999999997</v>
      </c>
      <c r="S106">
        <v>3</v>
      </c>
      <c r="T106" s="17">
        <v>3.3560490999999998E-2</v>
      </c>
      <c r="U106" s="17">
        <v>3.6084424500000004E-2</v>
      </c>
      <c r="V106" s="14">
        <v>8.091203000000001E-2</v>
      </c>
      <c r="W106" s="14">
        <v>8.0752454000000001E-2</v>
      </c>
      <c r="X106" s="14"/>
      <c r="Y106" s="14"/>
      <c r="Z106" s="14">
        <f t="shared" si="10"/>
        <v>0.13078455999999999</v>
      </c>
      <c r="AA106" s="14">
        <f t="shared" si="11"/>
        <v>0.13365672000000001</v>
      </c>
      <c r="AB106" s="25">
        <f t="shared" si="12"/>
        <v>409.71339999999998</v>
      </c>
      <c r="AC106" s="25">
        <f t="shared" si="13"/>
        <v>385.84659999999997</v>
      </c>
      <c r="AF106" s="14"/>
      <c r="AG106" s="14"/>
      <c r="AI106" s="23"/>
      <c r="AJ106" s="23"/>
      <c r="AK106" s="23"/>
      <c r="AL106" s="23"/>
    </row>
    <row r="107" spans="1:38" x14ac:dyDescent="0.25">
      <c r="A107">
        <v>3.1</v>
      </c>
      <c r="B107" s="17">
        <v>6.3455659999999997E-2</v>
      </c>
      <c r="C107" s="17">
        <v>6.1452510000000002E-2</v>
      </c>
      <c r="D107" s="14">
        <v>0.1353442</v>
      </c>
      <c r="E107" s="14">
        <v>0.13812150000000001</v>
      </c>
      <c r="F107" s="14">
        <v>0.19984569999999999</v>
      </c>
      <c r="G107" s="14">
        <v>0.22114719999999999</v>
      </c>
      <c r="H107" s="14">
        <v>0.2961203</v>
      </c>
      <c r="I107" s="14">
        <v>0.34233629999999998</v>
      </c>
      <c r="J107" s="25">
        <f t="shared" si="9"/>
        <v>410.11117999999993</v>
      </c>
      <c r="K107" s="25">
        <f t="shared" si="14"/>
        <v>385.44881999999996</v>
      </c>
      <c r="S107">
        <v>3.1</v>
      </c>
      <c r="T107" s="17">
        <v>3.2413700999999996E-2</v>
      </c>
      <c r="U107" s="17">
        <v>3.1505071000000003E-2</v>
      </c>
      <c r="V107" s="14">
        <v>7.4570915000000002E-2</v>
      </c>
      <c r="W107" s="14">
        <v>7.192725300000001E-2</v>
      </c>
      <c r="X107" s="14"/>
      <c r="Y107" s="14"/>
      <c r="Z107" s="14">
        <f t="shared" si="10"/>
        <v>0.11963842999999999</v>
      </c>
      <c r="AA107" s="14">
        <f t="shared" si="11"/>
        <v>0.12228907999999999</v>
      </c>
      <c r="AB107" s="25">
        <f t="shared" si="12"/>
        <v>410.11117999999993</v>
      </c>
      <c r="AC107" s="25">
        <f t="shared" si="13"/>
        <v>385.44881999999996</v>
      </c>
      <c r="AF107" s="14"/>
      <c r="AG107" s="14"/>
      <c r="AI107" s="23"/>
      <c r="AJ107" s="23"/>
      <c r="AK107" s="23"/>
      <c r="AL107" s="23"/>
    </row>
    <row r="108" spans="1:38" x14ac:dyDescent="0.25">
      <c r="A108">
        <v>3.2</v>
      </c>
      <c r="F108" s="14">
        <v>0.1899614</v>
      </c>
      <c r="G108" s="14">
        <v>0.20703930000000001</v>
      </c>
      <c r="H108" s="14">
        <v>0.28820269999999998</v>
      </c>
      <c r="I108" s="14">
        <v>0.33018229999999998</v>
      </c>
      <c r="J108" s="25">
        <f t="shared" si="9"/>
        <v>410.50896</v>
      </c>
      <c r="K108" s="25">
        <f t="shared" si="14"/>
        <v>385.05103999999994</v>
      </c>
    </row>
    <row r="109" spans="1:38" x14ac:dyDescent="0.25">
      <c r="A109">
        <v>3.3</v>
      </c>
      <c r="F109" s="14">
        <v>0.17915059999999999</v>
      </c>
      <c r="G109" s="14">
        <v>0.19668740000000001</v>
      </c>
      <c r="H109" s="14">
        <v>0.27315909999999999</v>
      </c>
      <c r="I109" s="14">
        <v>0.31262659999999998</v>
      </c>
      <c r="J109" s="25">
        <f t="shared" si="9"/>
        <v>410.90673999999996</v>
      </c>
      <c r="K109" s="25">
        <f t="shared" si="14"/>
        <v>384.65325999999999</v>
      </c>
    </row>
    <row r="110" spans="1:38" x14ac:dyDescent="0.25">
      <c r="A110">
        <v>3.4</v>
      </c>
      <c r="F110" s="14">
        <v>0.16370660000000001</v>
      </c>
      <c r="G110" s="14">
        <v>0.18702550000000001</v>
      </c>
      <c r="H110" s="14">
        <v>0.26524150000000002</v>
      </c>
      <c r="I110" s="14">
        <v>0.29844700000000002</v>
      </c>
      <c r="J110" s="25">
        <f t="shared" si="9"/>
        <v>411.30451999999997</v>
      </c>
      <c r="K110" s="25">
        <f t="shared" si="14"/>
        <v>384.25547999999998</v>
      </c>
    </row>
    <row r="111" spans="1:38" x14ac:dyDescent="0.25">
      <c r="A111">
        <v>3.5</v>
      </c>
      <c r="F111" s="14">
        <v>0.1544402</v>
      </c>
      <c r="G111" s="14">
        <v>0.17460319999999999</v>
      </c>
      <c r="H111" s="14">
        <v>0.25178149999999999</v>
      </c>
      <c r="I111" s="14">
        <v>0.28021610000000002</v>
      </c>
      <c r="J111" s="25">
        <f t="shared" si="9"/>
        <v>411.70229999999992</v>
      </c>
      <c r="K111" s="25">
        <f t="shared" si="14"/>
        <v>383.85769999999997</v>
      </c>
    </row>
    <row r="112" spans="1:38" x14ac:dyDescent="0.25">
      <c r="A112">
        <v>3.6</v>
      </c>
      <c r="F112" s="14">
        <v>0.14054050000000001</v>
      </c>
      <c r="G112" s="14">
        <v>0.15873019999999999</v>
      </c>
      <c r="H112" s="14">
        <v>0.23515440000000001</v>
      </c>
      <c r="I112" s="14">
        <v>0.26806210000000003</v>
      </c>
      <c r="J112" s="25">
        <f t="shared" si="9"/>
        <v>412.10007999999999</v>
      </c>
      <c r="K112" s="25">
        <f t="shared" si="14"/>
        <v>383.45991999999995</v>
      </c>
    </row>
    <row r="113" spans="1:11" x14ac:dyDescent="0.25">
      <c r="A113">
        <v>3.7</v>
      </c>
      <c r="F113" s="14">
        <v>0.1289575</v>
      </c>
      <c r="G113" s="14">
        <v>0.14906829999999999</v>
      </c>
      <c r="H113" s="14">
        <v>0.2280285</v>
      </c>
      <c r="I113" s="14">
        <v>0.25590819999999997</v>
      </c>
      <c r="J113" s="25">
        <f t="shared" si="9"/>
        <v>412.49785999999995</v>
      </c>
      <c r="K113" s="25">
        <f t="shared" si="14"/>
        <v>383.06213999999994</v>
      </c>
    </row>
    <row r="114" spans="1:11" x14ac:dyDescent="0.25">
      <c r="A114">
        <v>3.8</v>
      </c>
      <c r="F114" s="14">
        <v>0.1235521</v>
      </c>
      <c r="G114" s="14">
        <v>0.13733609999999999</v>
      </c>
      <c r="H114" s="14">
        <v>0.20823439999999999</v>
      </c>
      <c r="I114" s="14">
        <v>0.24510470000000001</v>
      </c>
      <c r="J114" s="25">
        <f t="shared" si="9"/>
        <v>412.89563999999996</v>
      </c>
      <c r="K114" s="25">
        <f t="shared" si="14"/>
        <v>382.66435999999999</v>
      </c>
    </row>
    <row r="115" spans="1:11" x14ac:dyDescent="0.25">
      <c r="A115">
        <v>3.9</v>
      </c>
      <c r="F115" s="14">
        <v>0.1142857</v>
      </c>
      <c r="G115" s="14">
        <v>0.13250519999999999</v>
      </c>
      <c r="H115" s="14">
        <v>0.19239899999999999</v>
      </c>
      <c r="I115" s="14">
        <v>0.2302498</v>
      </c>
      <c r="J115" s="25">
        <f t="shared" si="9"/>
        <v>413.29341999999997</v>
      </c>
      <c r="K115" s="25">
        <f t="shared" si="14"/>
        <v>382.26657999999998</v>
      </c>
    </row>
    <row r="116" spans="1:11" x14ac:dyDescent="0.25">
      <c r="A116">
        <v>4</v>
      </c>
      <c r="F116" s="14">
        <v>0.1073359</v>
      </c>
      <c r="G116" s="14">
        <v>0.1228433</v>
      </c>
      <c r="H116" s="14">
        <v>0.1852732</v>
      </c>
      <c r="I116" s="14">
        <v>0.2126941</v>
      </c>
      <c r="J116" s="25">
        <f t="shared" si="9"/>
        <v>413.69119999999998</v>
      </c>
      <c r="K116" s="25">
        <f t="shared" si="14"/>
        <v>381.86879999999996</v>
      </c>
    </row>
    <row r="117" spans="1:11" x14ac:dyDescent="0.25">
      <c r="A117">
        <v>4.0999999999999996</v>
      </c>
      <c r="F117" s="14">
        <v>9.7297300000000003E-2</v>
      </c>
      <c r="G117" s="14">
        <v>0.1118012</v>
      </c>
      <c r="H117" s="14">
        <v>0.17577200000000001</v>
      </c>
      <c r="I117" s="14">
        <v>0.20324110000000001</v>
      </c>
      <c r="J117" s="25">
        <f t="shared" si="9"/>
        <v>414.08897999999994</v>
      </c>
      <c r="K117" s="25">
        <f t="shared" si="14"/>
        <v>381.47101999999995</v>
      </c>
    </row>
    <row r="118" spans="1:11" x14ac:dyDescent="0.25">
      <c r="A118">
        <v>4.2</v>
      </c>
      <c r="F118" s="14">
        <v>9.1119690000000003E-2</v>
      </c>
      <c r="G118" s="14">
        <v>0.10628020000000001</v>
      </c>
      <c r="H118" s="14">
        <v>0.1662708</v>
      </c>
      <c r="I118" s="14">
        <v>0.19243750000000001</v>
      </c>
      <c r="J118" s="25">
        <f t="shared" si="9"/>
        <v>414.48676</v>
      </c>
      <c r="K118" s="25">
        <f t="shared" si="14"/>
        <v>381.07323999999994</v>
      </c>
    </row>
    <row r="119" spans="1:11" x14ac:dyDescent="0.25">
      <c r="A119">
        <v>4.3</v>
      </c>
      <c r="F119" s="14">
        <v>8.725869E-2</v>
      </c>
      <c r="G119" s="14">
        <v>0.1007591</v>
      </c>
      <c r="H119" s="14">
        <v>0.16072839999999999</v>
      </c>
      <c r="I119" s="14">
        <v>0.18365970000000001</v>
      </c>
      <c r="J119" s="25">
        <f t="shared" si="9"/>
        <v>414.88453999999996</v>
      </c>
      <c r="K119" s="25">
        <f t="shared" si="14"/>
        <v>380.67545999999999</v>
      </c>
    </row>
    <row r="120" spans="1:11" x14ac:dyDescent="0.25">
      <c r="A120">
        <v>4.4000000000000004</v>
      </c>
      <c r="F120" s="14">
        <v>8.4169880000000002E-2</v>
      </c>
      <c r="G120" s="14">
        <v>9.5238100000000006E-2</v>
      </c>
      <c r="H120" s="14">
        <v>0.1536025</v>
      </c>
      <c r="I120" s="14">
        <v>0.1708305</v>
      </c>
      <c r="J120" s="25">
        <f t="shared" si="9"/>
        <v>415.28231999999997</v>
      </c>
      <c r="K120" s="25">
        <f t="shared" si="14"/>
        <v>380.27767999999998</v>
      </c>
    </row>
    <row r="121" spans="1:11" x14ac:dyDescent="0.25">
      <c r="A121">
        <v>4.5</v>
      </c>
      <c r="F121" s="14">
        <v>7.490347E-2</v>
      </c>
      <c r="G121" s="14">
        <v>8.9026919999999996E-2</v>
      </c>
      <c r="H121" s="14">
        <v>0.14330960000000001</v>
      </c>
      <c r="I121" s="14">
        <v>0.15935179999999999</v>
      </c>
      <c r="J121" s="25">
        <f t="shared" si="9"/>
        <v>415.68009999999992</v>
      </c>
      <c r="K121" s="25">
        <f t="shared" si="14"/>
        <v>379.87989999999996</v>
      </c>
    </row>
    <row r="122" spans="1:11" x14ac:dyDescent="0.25">
      <c r="A122">
        <v>4.5999999999999996</v>
      </c>
      <c r="H122" s="14">
        <v>0.1369755</v>
      </c>
      <c r="I122" s="14">
        <v>0.14854829999999999</v>
      </c>
      <c r="J122" s="25">
        <f t="shared" si="9"/>
        <v>416.07787999999999</v>
      </c>
      <c r="K122" s="25">
        <f t="shared" si="14"/>
        <v>379.48211999999995</v>
      </c>
    </row>
    <row r="123" spans="1:11" x14ac:dyDescent="0.25">
      <c r="A123">
        <v>4.7</v>
      </c>
      <c r="H123" s="14">
        <v>0.12509899999999999</v>
      </c>
      <c r="I123" s="14">
        <v>0.1404456</v>
      </c>
      <c r="J123" s="25">
        <f t="shared" si="9"/>
        <v>416.47565999999995</v>
      </c>
      <c r="K123" s="25">
        <f t="shared" si="14"/>
        <v>379.08433999999994</v>
      </c>
    </row>
    <row r="124" spans="1:11" x14ac:dyDescent="0.25">
      <c r="A124">
        <v>4.8</v>
      </c>
      <c r="H124" s="14">
        <v>0.11480600000000001</v>
      </c>
      <c r="I124" s="14">
        <v>0.13099259999999999</v>
      </c>
      <c r="J124" s="25">
        <f t="shared" si="9"/>
        <v>416.87344000000002</v>
      </c>
      <c r="K124" s="25">
        <f t="shared" si="14"/>
        <v>378.68655999999993</v>
      </c>
    </row>
    <row r="125" spans="1:11" x14ac:dyDescent="0.25">
      <c r="A125">
        <v>4.9000000000000004</v>
      </c>
      <c r="H125" s="14">
        <v>0.1100554</v>
      </c>
      <c r="I125" s="14">
        <v>0.1222147</v>
      </c>
      <c r="J125" s="25">
        <f t="shared" si="9"/>
        <v>417.27121999999997</v>
      </c>
      <c r="K125" s="25">
        <f t="shared" si="14"/>
        <v>378.28877999999997</v>
      </c>
    </row>
    <row r="126" spans="1:11" x14ac:dyDescent="0.25">
      <c r="A126">
        <v>5</v>
      </c>
      <c r="H126" s="14">
        <v>0.10292949999999999</v>
      </c>
      <c r="I126" s="14">
        <v>0.11411209999999999</v>
      </c>
      <c r="J126" s="25">
        <f t="shared" si="9"/>
        <v>417.66899999999998</v>
      </c>
      <c r="K126" s="25">
        <f t="shared" si="14"/>
        <v>377.89099999999996</v>
      </c>
    </row>
    <row r="127" spans="1:11" x14ac:dyDescent="0.25">
      <c r="A127">
        <v>5.0999999999999996</v>
      </c>
      <c r="H127" s="14">
        <v>9.7387169999999995E-2</v>
      </c>
      <c r="I127" s="14">
        <v>0.10735989999999999</v>
      </c>
      <c r="J127" s="25">
        <f t="shared" si="9"/>
        <v>418.06677999999994</v>
      </c>
      <c r="K127" s="25">
        <f t="shared" si="14"/>
        <v>377.49321999999995</v>
      </c>
    </row>
    <row r="128" spans="1:11" x14ac:dyDescent="0.25">
      <c r="A128">
        <v>5.2</v>
      </c>
      <c r="H128" s="14">
        <v>9.3428349999999993E-2</v>
      </c>
      <c r="I128" s="14">
        <v>0.1019581</v>
      </c>
      <c r="J128" s="25">
        <f t="shared" si="9"/>
        <v>418.46456000000001</v>
      </c>
      <c r="K128" s="25">
        <f t="shared" si="14"/>
        <v>377.09543999999994</v>
      </c>
    </row>
  </sheetData>
  <conditionalFormatting sqref="R9:R6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6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:T6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:Y6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B6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6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D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:B10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7:C10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:D10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7:T10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7:V10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7:Y10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89:AF107 AF8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89:AG107 AG8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7:H107 H77:H128 F78:G12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I6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7:U10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81:AL8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7:Z10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7:AA10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7:I1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EA29-70DB-4A78-8328-9103B19A910D}">
  <dimension ref="A1:AY301"/>
  <sheetViews>
    <sheetView topLeftCell="A240" zoomScale="70" zoomScaleNormal="70" workbookViewId="0">
      <selection activeCell="H293" sqref="H293"/>
    </sheetView>
  </sheetViews>
  <sheetFormatPr defaultRowHeight="15" x14ac:dyDescent="0.25"/>
  <cols>
    <col min="1" max="1" width="15" customWidth="1"/>
    <col min="2" max="2" width="15.42578125" bestFit="1" customWidth="1"/>
    <col min="3" max="3" width="16.28515625" bestFit="1" customWidth="1"/>
    <col min="4" max="5" width="16.28515625" customWidth="1"/>
    <col min="6" max="6" width="10.140625" bestFit="1" customWidth="1"/>
    <col min="7" max="7" width="10" bestFit="1" customWidth="1"/>
    <col min="8" max="10" width="10.5703125" customWidth="1"/>
    <col min="50" max="50" width="12" customWidth="1"/>
  </cols>
  <sheetData>
    <row r="1" spans="1:50" x14ac:dyDescent="0.25">
      <c r="A1" t="s">
        <v>38</v>
      </c>
      <c r="B1">
        <v>12.04</v>
      </c>
      <c r="C1" t="s">
        <v>27</v>
      </c>
      <c r="D1" s="14"/>
      <c r="E1" t="s">
        <v>26</v>
      </c>
      <c r="F1" s="14"/>
      <c r="G1" t="s">
        <v>25</v>
      </c>
      <c r="H1" s="14"/>
      <c r="U1">
        <v>12.04</v>
      </c>
      <c r="V1" t="s">
        <v>39</v>
      </c>
      <c r="W1">
        <v>13.19</v>
      </c>
      <c r="X1" t="s">
        <v>27</v>
      </c>
      <c r="Y1" s="14"/>
      <c r="Z1" t="s">
        <v>26</v>
      </c>
      <c r="AA1" s="14"/>
      <c r="AB1" t="s">
        <v>25</v>
      </c>
      <c r="AC1" s="14"/>
      <c r="AM1">
        <v>13.19</v>
      </c>
      <c r="AN1" t="s">
        <v>43</v>
      </c>
      <c r="AO1">
        <v>14.61</v>
      </c>
      <c r="AP1" t="s">
        <v>27</v>
      </c>
      <c r="AQ1" s="14"/>
      <c r="AR1" t="s">
        <v>26</v>
      </c>
      <c r="AS1" s="14"/>
      <c r="AT1" t="s">
        <v>25</v>
      </c>
      <c r="AU1" s="14"/>
    </row>
    <row r="2" spans="1:50" x14ac:dyDescent="0.25">
      <c r="A2" t="s">
        <v>67</v>
      </c>
      <c r="C2" t="s">
        <v>27</v>
      </c>
      <c r="D2" s="14">
        <v>1.038087E-2</v>
      </c>
      <c r="E2" t="s">
        <v>26</v>
      </c>
      <c r="F2" s="14">
        <v>6.3706450000000003E-3</v>
      </c>
      <c r="G2" t="s">
        <v>25</v>
      </c>
      <c r="H2" s="14">
        <v>6.0540510000000004E-3</v>
      </c>
      <c r="I2" s="14"/>
      <c r="J2" s="14"/>
      <c r="X2" t="s">
        <v>27</v>
      </c>
      <c r="Y2" s="14">
        <v>1.144827E-2</v>
      </c>
      <c r="Z2" t="s">
        <v>26</v>
      </c>
      <c r="AA2" s="14">
        <v>5.3456880000000003E-3</v>
      </c>
      <c r="AB2" t="s">
        <v>25</v>
      </c>
      <c r="AC2" s="14">
        <v>4.9631049999999998E-3</v>
      </c>
      <c r="AP2" t="s">
        <v>27</v>
      </c>
      <c r="AQ2" s="14">
        <v>1.3948250000000001E-2</v>
      </c>
      <c r="AR2" t="s">
        <v>26</v>
      </c>
      <c r="AS2" s="14">
        <v>3.7062599999999998E-3</v>
      </c>
      <c r="AT2" t="s">
        <v>25</v>
      </c>
      <c r="AU2" s="14">
        <v>3.2018950000000002E-3</v>
      </c>
    </row>
    <row r="3" spans="1:50" x14ac:dyDescent="0.25">
      <c r="A3" t="s">
        <v>64</v>
      </c>
      <c r="C3" t="s">
        <v>27</v>
      </c>
      <c r="D3" s="14"/>
      <c r="E3" t="s">
        <v>26</v>
      </c>
      <c r="F3" s="14"/>
      <c r="G3" t="s">
        <v>25</v>
      </c>
      <c r="H3" s="14"/>
      <c r="I3" s="14"/>
      <c r="J3" s="14"/>
      <c r="K3" t="s">
        <v>61</v>
      </c>
      <c r="L3" t="s">
        <v>67</v>
      </c>
      <c r="M3" t="s">
        <v>64</v>
      </c>
      <c r="X3" t="s">
        <v>27</v>
      </c>
      <c r="Y3" s="14"/>
      <c r="Z3" t="s">
        <v>26</v>
      </c>
      <c r="AA3" s="14"/>
      <c r="AB3" t="s">
        <v>25</v>
      </c>
      <c r="AC3" s="14"/>
      <c r="AD3" t="s">
        <v>61</v>
      </c>
      <c r="AE3" t="s">
        <v>67</v>
      </c>
      <c r="AF3" t="s">
        <v>64</v>
      </c>
      <c r="AP3" t="s">
        <v>27</v>
      </c>
      <c r="AQ3" s="14"/>
      <c r="AR3" t="s">
        <v>26</v>
      </c>
      <c r="AS3" s="14"/>
      <c r="AT3" t="s">
        <v>25</v>
      </c>
      <c r="AU3" s="14"/>
      <c r="AV3" t="s">
        <v>61</v>
      </c>
      <c r="AW3" t="s">
        <v>67</v>
      </c>
      <c r="AX3" t="s">
        <v>64</v>
      </c>
    </row>
    <row r="4" spans="1:50" x14ac:dyDescent="0.25">
      <c r="A4" t="s">
        <v>27</v>
      </c>
      <c r="B4" s="14"/>
      <c r="C4" s="14"/>
      <c r="D4" s="14">
        <v>7.1277060000000001E-3</v>
      </c>
      <c r="E4" s="14">
        <v>5.8809800000000001E-3</v>
      </c>
      <c r="F4" s="14"/>
      <c r="G4" s="14"/>
      <c r="J4" s="21" t="s">
        <v>40</v>
      </c>
      <c r="K4">
        <v>550</v>
      </c>
      <c r="L4">
        <v>606</v>
      </c>
      <c r="M4">
        <v>649</v>
      </c>
      <c r="U4" t="s">
        <v>27</v>
      </c>
      <c r="V4" s="14"/>
      <c r="W4" s="14"/>
      <c r="X4" s="14">
        <v>5.6682590000000001E-3</v>
      </c>
      <c r="Y4" s="14">
        <v>4.5333639999999998E-3</v>
      </c>
      <c r="Z4" s="14"/>
      <c r="AA4" s="14"/>
      <c r="AB4" s="14"/>
      <c r="AC4" s="21" t="s">
        <v>40</v>
      </c>
      <c r="AE4">
        <v>580</v>
      </c>
      <c r="AM4" t="s">
        <v>27</v>
      </c>
      <c r="AN4" s="14"/>
      <c r="AO4" s="14"/>
      <c r="AP4">
        <v>7.2712059999999997E-3</v>
      </c>
      <c r="AQ4">
        <v>5.5874490000000004E-3</v>
      </c>
      <c r="AR4" s="14"/>
      <c r="AS4" s="14"/>
      <c r="AT4" s="14"/>
      <c r="AU4" s="21" t="s">
        <v>40</v>
      </c>
      <c r="AW4">
        <v>496</v>
      </c>
    </row>
    <row r="5" spans="1:50" x14ac:dyDescent="0.25">
      <c r="A5" t="s">
        <v>26</v>
      </c>
      <c r="B5" s="14"/>
      <c r="C5" s="14"/>
      <c r="D5" s="14">
        <v>9.8544730000000007E-3</v>
      </c>
      <c r="E5" s="14">
        <v>-5.3239749999999999E-3</v>
      </c>
      <c r="F5" s="14"/>
      <c r="G5" s="14"/>
      <c r="J5" s="21" t="s">
        <v>41</v>
      </c>
      <c r="K5">
        <v>272</v>
      </c>
      <c r="L5">
        <v>219</v>
      </c>
      <c r="M5">
        <v>174</v>
      </c>
      <c r="U5" t="s">
        <v>26</v>
      </c>
      <c r="V5" s="14"/>
      <c r="W5" s="14"/>
      <c r="X5" s="14">
        <v>6.9062239999999999E-3</v>
      </c>
      <c r="Y5" s="14">
        <v>-4.1007229999999997E-3</v>
      </c>
      <c r="Z5" s="14"/>
      <c r="AA5" s="14"/>
      <c r="AB5" s="14"/>
      <c r="AC5" s="21" t="s">
        <v>41</v>
      </c>
      <c r="AE5">
        <v>245</v>
      </c>
      <c r="AM5" t="s">
        <v>26</v>
      </c>
      <c r="AN5" s="14"/>
      <c r="AO5" s="14"/>
      <c r="AP5">
        <v>7.0850469999999997E-3</v>
      </c>
      <c r="AQ5">
        <v>-5.7924509999999997E-3</v>
      </c>
      <c r="AR5" s="14"/>
      <c r="AS5" s="14"/>
      <c r="AT5" s="14"/>
      <c r="AU5" s="21" t="s">
        <v>41</v>
      </c>
      <c r="AW5">
        <v>329</v>
      </c>
    </row>
    <row r="6" spans="1:50" x14ac:dyDescent="0.25">
      <c r="A6" t="s">
        <v>25</v>
      </c>
      <c r="B6" s="14"/>
      <c r="C6" s="14"/>
      <c r="D6" s="14">
        <v>1.07583E-2</v>
      </c>
      <c r="E6" s="14">
        <v>-6.9631830000000004E-3</v>
      </c>
      <c r="F6" s="14"/>
      <c r="G6" s="14"/>
      <c r="J6" t="s">
        <v>42</v>
      </c>
      <c r="K6" s="13">
        <f>K4/K5</f>
        <v>2.0220588235294117</v>
      </c>
      <c r="L6" s="13">
        <f>L4/L5</f>
        <v>2.7671232876712328</v>
      </c>
      <c r="M6" s="13">
        <f>M4/M5</f>
        <v>3.7298850574712645</v>
      </c>
      <c r="N6" s="13"/>
      <c r="O6" s="13"/>
      <c r="P6" s="13"/>
      <c r="Q6" s="13"/>
      <c r="R6" s="13"/>
      <c r="S6" s="13"/>
      <c r="U6" t="s">
        <v>25</v>
      </c>
      <c r="V6" s="14"/>
      <c r="W6" s="14"/>
      <c r="X6" s="14">
        <v>7.7789290000000004E-3</v>
      </c>
      <c r="Y6" s="14">
        <v>-5.3216770000000004E-3</v>
      </c>
      <c r="Z6" s="14"/>
      <c r="AA6" s="14"/>
      <c r="AB6" s="14"/>
      <c r="AC6" t="s">
        <v>42</v>
      </c>
      <c r="AD6" s="13" t="e">
        <f>AD4/AD5</f>
        <v>#DIV/0!</v>
      </c>
      <c r="AE6" s="13">
        <f>AE4/AE5</f>
        <v>2.3673469387755102</v>
      </c>
      <c r="AF6" s="13" t="e">
        <f>AF4/AF5</f>
        <v>#DIV/0!</v>
      </c>
      <c r="AG6" s="13"/>
      <c r="AH6" s="13"/>
      <c r="AI6" s="13"/>
      <c r="AJ6" s="13"/>
      <c r="AK6" s="13"/>
      <c r="AM6" t="s">
        <v>25</v>
      </c>
      <c r="AN6" s="14"/>
      <c r="AO6" s="14"/>
      <c r="AP6">
        <v>8.8890489999999996E-3</v>
      </c>
      <c r="AQ6">
        <v>-7.0966429999999997E-3</v>
      </c>
      <c r="AR6" s="14"/>
      <c r="AS6" s="14"/>
      <c r="AT6" s="14"/>
      <c r="AU6" t="s">
        <v>42</v>
      </c>
      <c r="AV6" s="13" t="e">
        <f>AV4/AV5</f>
        <v>#DIV/0!</v>
      </c>
      <c r="AW6" s="13">
        <f>AW4/AW5</f>
        <v>1.5075987841945289</v>
      </c>
      <c r="AX6" s="13" t="e">
        <f>AX4/AX5</f>
        <v>#DIV/0!</v>
      </c>
    </row>
    <row r="7" spans="1:50" x14ac:dyDescent="0.25">
      <c r="A7" t="s">
        <v>31</v>
      </c>
      <c r="B7" t="s">
        <v>30</v>
      </c>
      <c r="C7" t="s">
        <v>33</v>
      </c>
      <c r="D7" t="s">
        <v>58</v>
      </c>
      <c r="E7" t="s">
        <v>59</v>
      </c>
      <c r="F7" t="s">
        <v>65</v>
      </c>
      <c r="G7" t="s">
        <v>66</v>
      </c>
      <c r="K7" s="17">
        <f>K4/SUM(K4:K5)</f>
        <v>0.66909975669099753</v>
      </c>
      <c r="L7" s="17">
        <f>L4/SUM(L4:L5)</f>
        <v>0.7345454545454545</v>
      </c>
      <c r="M7" s="17">
        <f>M4/SUM(M4:M5)</f>
        <v>0.78857837181044954</v>
      </c>
      <c r="N7" s="17"/>
      <c r="O7" s="17"/>
      <c r="P7" s="17"/>
      <c r="Q7" s="17"/>
      <c r="R7" s="17"/>
      <c r="S7" s="17"/>
      <c r="U7" t="s">
        <v>31</v>
      </c>
      <c r="V7" t="s">
        <v>30</v>
      </c>
      <c r="W7" t="s">
        <v>33</v>
      </c>
      <c r="X7" t="s">
        <v>58</v>
      </c>
      <c r="Y7" t="s">
        <v>59</v>
      </c>
      <c r="Z7" t="s">
        <v>65</v>
      </c>
      <c r="AA7" t="s">
        <v>66</v>
      </c>
      <c r="AD7" s="17" t="e">
        <f>AD4/SUM(AD4:AD5)</f>
        <v>#DIV/0!</v>
      </c>
      <c r="AE7" s="17">
        <f>AE4/SUM(AE4:AE5)</f>
        <v>0.70303030303030301</v>
      </c>
      <c r="AF7" s="17" t="e">
        <f>AF4/SUM(AF4:AF5)</f>
        <v>#DIV/0!</v>
      </c>
      <c r="AG7" s="17"/>
      <c r="AH7" s="17"/>
      <c r="AI7" s="17"/>
      <c r="AJ7" s="17"/>
      <c r="AK7" s="17"/>
      <c r="AM7" t="s">
        <v>31</v>
      </c>
      <c r="AN7" t="s">
        <v>30</v>
      </c>
      <c r="AO7" t="s">
        <v>33</v>
      </c>
      <c r="AP7" t="s">
        <v>58</v>
      </c>
      <c r="AQ7" t="s">
        <v>59</v>
      </c>
      <c r="AR7" t="s">
        <v>65</v>
      </c>
      <c r="AS7" t="s">
        <v>66</v>
      </c>
      <c r="AV7" s="17" t="e">
        <f>AV4/SUM(AV4:AV5)</f>
        <v>#DIV/0!</v>
      </c>
      <c r="AW7" s="17">
        <f>AW4/SUM(AW4:AW5)</f>
        <v>0.6012121212121212</v>
      </c>
      <c r="AX7" s="17" t="e">
        <f>AX4/SUM(AX4:AX5)</f>
        <v>#DIV/0!</v>
      </c>
    </row>
    <row r="8" spans="1:50" x14ac:dyDescent="0.25">
      <c r="A8">
        <v>0.1</v>
      </c>
      <c r="B8" s="17"/>
      <c r="C8" s="17"/>
      <c r="D8" s="17">
        <v>0.95379539999999996</v>
      </c>
      <c r="E8" s="17">
        <v>0.89041099999999995</v>
      </c>
      <c r="F8" s="17"/>
      <c r="G8" s="17"/>
      <c r="H8" s="25">
        <f t="shared" ref="H8:H44" si="0">$M$128*(A8/100+1)</f>
        <v>274.64436999999998</v>
      </c>
      <c r="I8" s="25">
        <f t="shared" ref="I8:I44" si="1">(1-A8/100)*$M$128</f>
        <v>274.09563000000003</v>
      </c>
      <c r="J8" s="25"/>
      <c r="K8" s="17">
        <f>K5/SUM(K4:K5)</f>
        <v>0.33090024330900242</v>
      </c>
      <c r="L8" s="17">
        <f>L5/SUM(L4:L5)</f>
        <v>0.26545454545454544</v>
      </c>
      <c r="M8" s="17">
        <f>M5/SUM(M4:M5)</f>
        <v>0.21142162818955043</v>
      </c>
      <c r="N8" s="17"/>
      <c r="O8" s="17"/>
      <c r="P8" s="17"/>
      <c r="Q8" s="17"/>
      <c r="R8" s="17"/>
      <c r="S8" s="17"/>
      <c r="U8">
        <v>0.1</v>
      </c>
      <c r="V8" s="17"/>
      <c r="W8" s="17"/>
      <c r="X8" s="17">
        <v>0.96206899999999995</v>
      </c>
      <c r="Y8" s="17">
        <v>0.9183673</v>
      </c>
      <c r="Z8" s="17"/>
      <c r="AA8" s="17"/>
      <c r="AB8" s="25">
        <f t="shared" ref="AB8:AB44" si="2">$M$128*(U8/100+1)</f>
        <v>274.64436999999998</v>
      </c>
      <c r="AC8" s="25">
        <f t="shared" ref="AC8:AC44" si="3">(1-U8/100)*$M$128</f>
        <v>274.09563000000003</v>
      </c>
      <c r="AD8" s="17" t="e">
        <f>AD5/SUM(AD4:AD5)</f>
        <v>#DIV/0!</v>
      </c>
      <c r="AE8" s="17">
        <f>AE5/SUM(AE4:AE5)</f>
        <v>0.29696969696969699</v>
      </c>
      <c r="AF8" s="17" t="e">
        <f>AF5/SUM(AF4:AF5)</f>
        <v>#DIV/0!</v>
      </c>
      <c r="AG8" s="17"/>
      <c r="AH8" s="17"/>
      <c r="AI8" s="17"/>
      <c r="AJ8" s="17"/>
      <c r="AK8" s="17"/>
      <c r="AM8">
        <v>0.1</v>
      </c>
      <c r="AN8" s="17"/>
      <c r="AO8" s="17"/>
      <c r="AP8" s="17">
        <v>0.95967740000000001</v>
      </c>
      <c r="AQ8" s="17">
        <v>0.93313069999999998</v>
      </c>
      <c r="AR8" s="17"/>
      <c r="AS8" s="17"/>
      <c r="AT8" s="25">
        <f t="shared" ref="AT8:AT44" si="4">$M$128*(AM8/100+1)</f>
        <v>274.64436999999998</v>
      </c>
      <c r="AU8" s="25">
        <f t="shared" ref="AU8:AU44" si="5">(1-AM8/100)*$M$128</f>
        <v>274.09563000000003</v>
      </c>
      <c r="AV8" s="17" t="e">
        <f>AV5/SUM(AV4:AV5)</f>
        <v>#DIV/0!</v>
      </c>
      <c r="AW8" s="17">
        <f>AW5/SUM(AW4:AW5)</f>
        <v>0.3987878787878788</v>
      </c>
      <c r="AX8" s="17" t="e">
        <f>AX5/SUM(AX4:AX5)</f>
        <v>#DIV/0!</v>
      </c>
    </row>
    <row r="9" spans="1:50" x14ac:dyDescent="0.25">
      <c r="A9">
        <v>0.2</v>
      </c>
      <c r="B9" s="17"/>
      <c r="C9" s="17"/>
      <c r="D9" s="17">
        <v>0.91419139999999999</v>
      </c>
      <c r="E9" s="17">
        <v>0.77625569999999999</v>
      </c>
      <c r="F9" s="17"/>
      <c r="G9" s="17"/>
      <c r="H9" s="25">
        <f t="shared" si="0"/>
        <v>274.91874000000001</v>
      </c>
      <c r="I9" s="25">
        <f t="shared" si="1"/>
        <v>273.82126</v>
      </c>
      <c r="J9" s="25"/>
      <c r="U9">
        <v>0.2</v>
      </c>
      <c r="V9" s="17"/>
      <c r="W9" s="17"/>
      <c r="X9" s="17">
        <v>0.89827590000000002</v>
      </c>
      <c r="Y9" s="17">
        <v>0.83265310000000003</v>
      </c>
      <c r="Z9" s="17"/>
      <c r="AA9" s="17"/>
      <c r="AB9" s="25">
        <f t="shared" si="2"/>
        <v>274.91874000000001</v>
      </c>
      <c r="AC9" s="25">
        <f t="shared" si="3"/>
        <v>273.82126</v>
      </c>
      <c r="AM9">
        <v>0.2</v>
      </c>
      <c r="AN9" s="17"/>
      <c r="AO9" s="17"/>
      <c r="AP9" s="17">
        <v>0.91733869999999995</v>
      </c>
      <c r="AQ9" s="17">
        <v>0.84498479999999998</v>
      </c>
      <c r="AR9" s="17"/>
      <c r="AS9" s="17"/>
      <c r="AT9" s="25">
        <f t="shared" si="4"/>
        <v>274.91874000000001</v>
      </c>
      <c r="AU9" s="25">
        <f t="shared" si="5"/>
        <v>273.82126</v>
      </c>
    </row>
    <row r="10" spans="1:50" x14ac:dyDescent="0.25">
      <c r="A10">
        <v>0.3</v>
      </c>
      <c r="B10" s="17"/>
      <c r="C10" s="17"/>
      <c r="D10" s="17">
        <v>0.85478549999999998</v>
      </c>
      <c r="E10" s="17">
        <v>0.68493150000000003</v>
      </c>
      <c r="F10" s="17"/>
      <c r="G10" s="17"/>
      <c r="H10" s="25">
        <f t="shared" si="0"/>
        <v>275.19310999999999</v>
      </c>
      <c r="I10" s="25">
        <f t="shared" si="1"/>
        <v>273.54689000000002</v>
      </c>
      <c r="U10">
        <v>0.3</v>
      </c>
      <c r="V10" s="17"/>
      <c r="W10" s="17"/>
      <c r="X10" s="17">
        <v>0.84310339999999995</v>
      </c>
      <c r="Y10" s="17">
        <v>0.75918370000000002</v>
      </c>
      <c r="Z10" s="17"/>
      <c r="AA10" s="17"/>
      <c r="AB10" s="25">
        <f t="shared" si="2"/>
        <v>275.19310999999999</v>
      </c>
      <c r="AC10" s="25">
        <f t="shared" si="3"/>
        <v>273.54689000000002</v>
      </c>
      <c r="AM10">
        <v>0.3</v>
      </c>
      <c r="AN10" s="17"/>
      <c r="AO10" s="17"/>
      <c r="AP10" s="17">
        <v>0.85887100000000005</v>
      </c>
      <c r="AQ10" s="17">
        <v>0.78115500000000004</v>
      </c>
      <c r="AR10" s="17"/>
      <c r="AS10" s="17"/>
      <c r="AT10" s="25">
        <f t="shared" si="4"/>
        <v>275.19310999999999</v>
      </c>
      <c r="AU10" s="25">
        <f t="shared" si="5"/>
        <v>273.54689000000002</v>
      </c>
    </row>
    <row r="11" spans="1:50" x14ac:dyDescent="0.25">
      <c r="A11">
        <v>0.4</v>
      </c>
      <c r="B11" s="17"/>
      <c r="C11" s="17"/>
      <c r="D11" s="17">
        <v>0.81023100000000003</v>
      </c>
      <c r="E11" s="17">
        <v>0.59817350000000002</v>
      </c>
      <c r="F11" s="17"/>
      <c r="G11" s="17"/>
      <c r="H11" s="25">
        <f t="shared" si="0"/>
        <v>275.46748000000002</v>
      </c>
      <c r="I11" s="25">
        <f t="shared" si="1"/>
        <v>273.27251999999999</v>
      </c>
      <c r="U11">
        <v>0.4</v>
      </c>
      <c r="V11" s="17"/>
      <c r="W11" s="17"/>
      <c r="X11" s="17">
        <v>0.78103449999999996</v>
      </c>
      <c r="Y11" s="17">
        <v>0.66530610000000001</v>
      </c>
      <c r="Z11" s="17"/>
      <c r="AA11" s="17"/>
      <c r="AB11" s="25">
        <f t="shared" si="2"/>
        <v>275.46748000000002</v>
      </c>
      <c r="AC11" s="25">
        <f t="shared" si="3"/>
        <v>273.27251999999999</v>
      </c>
      <c r="AM11">
        <v>0.4</v>
      </c>
      <c r="AN11" s="17"/>
      <c r="AO11" s="17"/>
      <c r="AP11" s="17">
        <v>0.81653229999999999</v>
      </c>
      <c r="AQ11" s="17">
        <v>0.70516719999999999</v>
      </c>
      <c r="AR11" s="17"/>
      <c r="AS11" s="17"/>
      <c r="AT11" s="25">
        <f t="shared" si="4"/>
        <v>275.46748000000002</v>
      </c>
      <c r="AU11" s="25">
        <f t="shared" si="5"/>
        <v>273.27251999999999</v>
      </c>
    </row>
    <row r="12" spans="1:50" x14ac:dyDescent="0.25">
      <c r="A12">
        <v>0.5</v>
      </c>
      <c r="B12" s="17"/>
      <c r="C12" s="17"/>
      <c r="D12" s="17">
        <v>0.75247520000000001</v>
      </c>
      <c r="E12" s="17">
        <v>0.52054789999999995</v>
      </c>
      <c r="F12" s="17"/>
      <c r="G12" s="17"/>
      <c r="H12" s="25">
        <f t="shared" si="0"/>
        <v>275.74185</v>
      </c>
      <c r="I12" s="25">
        <f t="shared" si="1"/>
        <v>272.99815000000001</v>
      </c>
      <c r="U12">
        <v>0.5</v>
      </c>
      <c r="V12" s="17"/>
      <c r="W12" s="17"/>
      <c r="X12" s="17">
        <v>0.72931029999999997</v>
      </c>
      <c r="Y12" s="17">
        <v>0.6</v>
      </c>
      <c r="Z12" s="17"/>
      <c r="AA12" s="17"/>
      <c r="AB12" s="25">
        <f t="shared" si="2"/>
        <v>275.74185</v>
      </c>
      <c r="AC12" s="25">
        <f t="shared" si="3"/>
        <v>272.99815000000001</v>
      </c>
      <c r="AM12">
        <v>0.5</v>
      </c>
      <c r="AN12" s="17"/>
      <c r="AO12" s="17"/>
      <c r="AP12" s="17">
        <v>0.76612899999999995</v>
      </c>
      <c r="AQ12" s="17">
        <v>0.65349539999999995</v>
      </c>
      <c r="AR12" s="17"/>
      <c r="AS12" s="17"/>
      <c r="AT12" s="25">
        <f t="shared" si="4"/>
        <v>275.74185</v>
      </c>
      <c r="AU12" s="25">
        <f t="shared" si="5"/>
        <v>272.99815000000001</v>
      </c>
    </row>
    <row r="13" spans="1:50" x14ac:dyDescent="0.25">
      <c r="A13">
        <v>0.6</v>
      </c>
      <c r="B13" s="17"/>
      <c r="C13" s="17"/>
      <c r="D13" s="17">
        <v>0.7013201</v>
      </c>
      <c r="E13" s="17">
        <v>0.43379000000000001</v>
      </c>
      <c r="F13" s="17"/>
      <c r="G13" s="17"/>
      <c r="H13" s="25">
        <f t="shared" si="0"/>
        <v>276.01622000000003</v>
      </c>
      <c r="I13" s="25">
        <f t="shared" si="1"/>
        <v>272.72377999999998</v>
      </c>
      <c r="U13">
        <v>0.6</v>
      </c>
      <c r="V13" s="17"/>
      <c r="W13" s="17"/>
      <c r="X13" s="17">
        <v>0.67586210000000002</v>
      </c>
      <c r="Y13" s="17">
        <v>0.53469390000000006</v>
      </c>
      <c r="Z13" s="17"/>
      <c r="AA13" s="17"/>
      <c r="AB13" s="25">
        <f t="shared" si="2"/>
        <v>276.01622000000003</v>
      </c>
      <c r="AC13" s="25">
        <f t="shared" si="3"/>
        <v>272.72377999999998</v>
      </c>
      <c r="AM13">
        <v>0.6</v>
      </c>
      <c r="AN13" s="17"/>
      <c r="AO13" s="17"/>
      <c r="AP13" s="17">
        <v>0.70967740000000001</v>
      </c>
      <c r="AQ13" s="17">
        <v>0.59270520000000004</v>
      </c>
      <c r="AR13" s="17"/>
      <c r="AS13" s="17"/>
      <c r="AT13" s="25">
        <f t="shared" si="4"/>
        <v>276.01622000000003</v>
      </c>
      <c r="AU13" s="25">
        <f t="shared" si="5"/>
        <v>272.72377999999998</v>
      </c>
    </row>
    <row r="14" spans="1:50" x14ac:dyDescent="0.25">
      <c r="A14">
        <v>0.7</v>
      </c>
      <c r="B14" s="17"/>
      <c r="C14" s="17"/>
      <c r="D14" s="17">
        <v>0.64026400000000006</v>
      </c>
      <c r="E14" s="17">
        <v>0.37442920000000002</v>
      </c>
      <c r="F14" s="17"/>
      <c r="G14" s="17"/>
      <c r="H14" s="25">
        <f t="shared" si="0"/>
        <v>276.29058999999995</v>
      </c>
      <c r="I14" s="25">
        <f t="shared" si="1"/>
        <v>272.44941</v>
      </c>
      <c r="U14">
        <v>0.7</v>
      </c>
      <c r="V14" s="17"/>
      <c r="W14" s="17"/>
      <c r="X14" s="17">
        <v>0.61379309999999998</v>
      </c>
      <c r="Y14" s="17">
        <v>0.44897959999999998</v>
      </c>
      <c r="Z14" s="17"/>
      <c r="AA14" s="17"/>
      <c r="AB14" s="25">
        <f t="shared" si="2"/>
        <v>276.29058999999995</v>
      </c>
      <c r="AC14" s="25">
        <f t="shared" si="3"/>
        <v>272.44941</v>
      </c>
      <c r="AM14">
        <v>0.7</v>
      </c>
      <c r="AN14" s="17"/>
      <c r="AO14" s="17"/>
      <c r="AP14" s="17">
        <v>0.64717740000000001</v>
      </c>
      <c r="AQ14" s="17">
        <v>0.55319149999999995</v>
      </c>
      <c r="AR14" s="17"/>
      <c r="AS14" s="17"/>
      <c r="AT14" s="25">
        <f t="shared" si="4"/>
        <v>276.29058999999995</v>
      </c>
      <c r="AU14" s="25">
        <f t="shared" si="5"/>
        <v>272.44941</v>
      </c>
    </row>
    <row r="15" spans="1:50" x14ac:dyDescent="0.25">
      <c r="A15">
        <v>0.8</v>
      </c>
      <c r="B15" s="17"/>
      <c r="C15" s="17"/>
      <c r="D15" s="17">
        <v>0.59075909999999998</v>
      </c>
      <c r="E15" s="17">
        <v>0.34246579999999999</v>
      </c>
      <c r="F15" s="17"/>
      <c r="G15" s="17"/>
      <c r="H15" s="25">
        <f t="shared" si="0"/>
        <v>276.56495999999999</v>
      </c>
      <c r="I15" s="25">
        <f t="shared" si="1"/>
        <v>272.17504000000002</v>
      </c>
      <c r="J15" s="25"/>
      <c r="U15">
        <v>0.8</v>
      </c>
      <c r="V15" s="17"/>
      <c r="W15" s="17"/>
      <c r="X15" s="17">
        <v>0.55172410000000005</v>
      </c>
      <c r="Y15" s="17">
        <v>0.41632649999999999</v>
      </c>
      <c r="Z15" s="17"/>
      <c r="AA15" s="17"/>
      <c r="AB15" s="25">
        <f t="shared" si="2"/>
        <v>276.56495999999999</v>
      </c>
      <c r="AC15" s="25">
        <f t="shared" si="3"/>
        <v>272.17504000000002</v>
      </c>
      <c r="AM15">
        <v>0.8</v>
      </c>
      <c r="AN15" s="17"/>
      <c r="AO15" s="17"/>
      <c r="AP15" s="17">
        <v>0.58669349999999998</v>
      </c>
      <c r="AQ15" s="17">
        <v>0.50455930000000004</v>
      </c>
      <c r="AR15" s="17"/>
      <c r="AS15" s="17"/>
      <c r="AT15" s="25">
        <f t="shared" si="4"/>
        <v>276.56495999999999</v>
      </c>
      <c r="AU15" s="25">
        <f t="shared" si="5"/>
        <v>272.17504000000002</v>
      </c>
    </row>
    <row r="16" spans="1:50" x14ac:dyDescent="0.25">
      <c r="A16">
        <v>0.9</v>
      </c>
      <c r="B16" s="17"/>
      <c r="C16" s="17"/>
      <c r="D16" s="17">
        <v>0.54455450000000005</v>
      </c>
      <c r="E16" s="17">
        <v>0.31963469999999999</v>
      </c>
      <c r="F16" s="17"/>
      <c r="G16" s="17"/>
      <c r="H16" s="25">
        <f t="shared" si="0"/>
        <v>276.83932999999996</v>
      </c>
      <c r="I16" s="25">
        <f t="shared" si="1"/>
        <v>271.90066999999999</v>
      </c>
      <c r="J16" s="25"/>
      <c r="U16">
        <v>0.9</v>
      </c>
      <c r="V16" s="17"/>
      <c r="W16" s="17"/>
      <c r="X16" s="17">
        <v>0.50344829999999996</v>
      </c>
      <c r="Y16" s="17">
        <v>0.37959179999999998</v>
      </c>
      <c r="Z16" s="17"/>
      <c r="AA16" s="17"/>
      <c r="AB16" s="25">
        <f t="shared" si="2"/>
        <v>276.83932999999996</v>
      </c>
      <c r="AC16" s="25">
        <f t="shared" si="3"/>
        <v>271.90066999999999</v>
      </c>
      <c r="AM16">
        <v>0.9</v>
      </c>
      <c r="AN16" s="17"/>
      <c r="AO16" s="17"/>
      <c r="AP16" s="17">
        <v>0.53024190000000004</v>
      </c>
      <c r="AQ16" s="17">
        <v>0.4468085</v>
      </c>
      <c r="AR16" s="17"/>
      <c r="AS16" s="17"/>
      <c r="AT16" s="25">
        <f t="shared" si="4"/>
        <v>276.83932999999996</v>
      </c>
      <c r="AU16" s="25">
        <f t="shared" si="5"/>
        <v>271.90066999999999</v>
      </c>
    </row>
    <row r="17" spans="1:47" x14ac:dyDescent="0.25">
      <c r="A17">
        <v>1</v>
      </c>
      <c r="B17" s="17"/>
      <c r="C17" s="17"/>
      <c r="D17" s="17">
        <v>0.49504949999999998</v>
      </c>
      <c r="E17" s="17">
        <v>0.26940639999999999</v>
      </c>
      <c r="F17" s="17"/>
      <c r="G17" s="17"/>
      <c r="H17" s="25">
        <f t="shared" si="0"/>
        <v>277.11369999999999</v>
      </c>
      <c r="I17" s="25">
        <f t="shared" si="1"/>
        <v>271.62630000000001</v>
      </c>
      <c r="J17" s="25"/>
      <c r="U17">
        <v>1</v>
      </c>
      <c r="V17" s="17"/>
      <c r="W17" s="17"/>
      <c r="X17" s="17">
        <v>0.44137929999999997</v>
      </c>
      <c r="Y17" s="17">
        <v>0.33877550000000001</v>
      </c>
      <c r="Z17" s="17"/>
      <c r="AA17" s="17"/>
      <c r="AB17" s="25">
        <f t="shared" si="2"/>
        <v>277.11369999999999</v>
      </c>
      <c r="AC17" s="25">
        <f t="shared" si="3"/>
        <v>271.62630000000001</v>
      </c>
      <c r="AM17">
        <v>1</v>
      </c>
      <c r="AN17" s="17"/>
      <c r="AO17" s="17"/>
      <c r="AP17" s="17">
        <v>0.49596770000000001</v>
      </c>
      <c r="AQ17" s="17">
        <v>0.41033429999999999</v>
      </c>
      <c r="AR17" s="17"/>
      <c r="AS17" s="17"/>
      <c r="AT17" s="25">
        <f t="shared" si="4"/>
        <v>277.11369999999999</v>
      </c>
      <c r="AU17" s="25">
        <f t="shared" si="5"/>
        <v>271.62630000000001</v>
      </c>
    </row>
    <row r="18" spans="1:47" x14ac:dyDescent="0.25">
      <c r="A18">
        <v>1.1000000000000001</v>
      </c>
      <c r="B18" s="17"/>
      <c r="C18" s="17"/>
      <c r="D18" s="17">
        <v>0.43729370000000001</v>
      </c>
      <c r="E18" s="17">
        <v>0.23287669999999999</v>
      </c>
      <c r="F18" s="17"/>
      <c r="G18" s="17"/>
      <c r="H18" s="25">
        <f t="shared" si="0"/>
        <v>277.38806999999997</v>
      </c>
      <c r="I18" s="25">
        <f t="shared" si="1"/>
        <v>271.35192999999998</v>
      </c>
      <c r="J18" s="25"/>
      <c r="U18">
        <v>1.1000000000000001</v>
      </c>
      <c r="V18" s="17"/>
      <c r="W18" s="17"/>
      <c r="X18" s="17">
        <v>0.40172409999999997</v>
      </c>
      <c r="Y18" s="17">
        <v>0.32244899999999999</v>
      </c>
      <c r="Z18" s="17"/>
      <c r="AA18" s="17"/>
      <c r="AB18" s="25">
        <f t="shared" si="2"/>
        <v>277.38806999999997</v>
      </c>
      <c r="AC18" s="25">
        <f t="shared" si="3"/>
        <v>271.35192999999998</v>
      </c>
      <c r="AM18">
        <v>1.1000000000000001</v>
      </c>
      <c r="AN18" s="17"/>
      <c r="AO18" s="17"/>
      <c r="AP18" s="17">
        <v>0.45766129999999999</v>
      </c>
      <c r="AQ18" s="17">
        <v>0.3708207</v>
      </c>
      <c r="AR18" s="17"/>
      <c r="AS18" s="17"/>
      <c r="AT18" s="25">
        <f t="shared" si="4"/>
        <v>277.38806999999997</v>
      </c>
      <c r="AU18" s="25">
        <f t="shared" si="5"/>
        <v>271.35192999999998</v>
      </c>
    </row>
    <row r="19" spans="1:47" x14ac:dyDescent="0.25">
      <c r="A19">
        <v>1.2</v>
      </c>
      <c r="B19" s="17"/>
      <c r="C19" s="17"/>
      <c r="D19" s="17">
        <v>0.38118809999999997</v>
      </c>
      <c r="E19" s="17">
        <v>0.20091319999999999</v>
      </c>
      <c r="F19" s="17"/>
      <c r="G19" s="17"/>
      <c r="H19" s="25">
        <f t="shared" si="0"/>
        <v>277.66244</v>
      </c>
      <c r="I19" s="25">
        <f t="shared" si="1"/>
        <v>271.07756000000001</v>
      </c>
      <c r="J19" s="25"/>
      <c r="U19">
        <v>1.2</v>
      </c>
      <c r="V19" s="17"/>
      <c r="W19" s="17"/>
      <c r="X19" s="17">
        <v>0.36206899999999997</v>
      </c>
      <c r="Y19" s="17">
        <v>0.2897959</v>
      </c>
      <c r="Z19" s="17"/>
      <c r="AA19" s="17"/>
      <c r="AB19" s="25">
        <f t="shared" si="2"/>
        <v>277.66244</v>
      </c>
      <c r="AC19" s="25">
        <f t="shared" si="3"/>
        <v>271.07756000000001</v>
      </c>
      <c r="AM19">
        <v>1.2</v>
      </c>
      <c r="AN19" s="17"/>
      <c r="AO19" s="17"/>
      <c r="AP19" s="17">
        <v>0.41733870000000001</v>
      </c>
      <c r="AQ19" s="17">
        <v>0.33130700000000002</v>
      </c>
      <c r="AR19" s="17"/>
      <c r="AS19" s="17"/>
      <c r="AT19" s="25">
        <f t="shared" si="4"/>
        <v>277.66244</v>
      </c>
      <c r="AU19" s="25">
        <f t="shared" si="5"/>
        <v>271.07756000000001</v>
      </c>
    </row>
    <row r="20" spans="1:47" x14ac:dyDescent="0.25">
      <c r="A20">
        <v>1.3</v>
      </c>
      <c r="B20" s="17"/>
      <c r="C20" s="17"/>
      <c r="D20" s="17">
        <v>0.3415842</v>
      </c>
      <c r="E20" s="17">
        <v>0.173516</v>
      </c>
      <c r="F20" s="17"/>
      <c r="G20" s="17"/>
      <c r="H20" s="25">
        <f t="shared" si="0"/>
        <v>277.93680999999998</v>
      </c>
      <c r="I20" s="25">
        <f t="shared" si="1"/>
        <v>270.80319000000003</v>
      </c>
      <c r="J20" s="25"/>
      <c r="U20">
        <v>1.3</v>
      </c>
      <c r="V20" s="17"/>
      <c r="W20" s="17"/>
      <c r="X20" s="17">
        <v>0.32413789999999998</v>
      </c>
      <c r="Y20" s="17">
        <v>0.24081630000000001</v>
      </c>
      <c r="Z20" s="17"/>
      <c r="AA20" s="17"/>
      <c r="AB20" s="25">
        <f t="shared" si="2"/>
        <v>277.93680999999998</v>
      </c>
      <c r="AC20" s="25">
        <f t="shared" si="3"/>
        <v>270.80319000000003</v>
      </c>
      <c r="AM20">
        <v>1.3</v>
      </c>
      <c r="AN20" s="17"/>
      <c r="AO20" s="17"/>
      <c r="AP20" s="17">
        <v>0.375</v>
      </c>
      <c r="AQ20" s="17">
        <v>0.29787229999999998</v>
      </c>
      <c r="AR20" s="17"/>
      <c r="AS20" s="17"/>
      <c r="AT20" s="25">
        <f t="shared" si="4"/>
        <v>277.93680999999998</v>
      </c>
      <c r="AU20" s="25">
        <f t="shared" si="5"/>
        <v>270.80319000000003</v>
      </c>
    </row>
    <row r="21" spans="1:47" x14ac:dyDescent="0.25">
      <c r="A21">
        <v>1.4</v>
      </c>
      <c r="B21" s="17"/>
      <c r="C21" s="17"/>
      <c r="D21" s="17">
        <v>0.30528050000000001</v>
      </c>
      <c r="E21" s="17">
        <v>0.1415525</v>
      </c>
      <c r="F21" s="17"/>
      <c r="G21" s="17"/>
      <c r="H21" s="25">
        <f t="shared" si="0"/>
        <v>278.21118000000001</v>
      </c>
      <c r="I21" s="25">
        <f t="shared" si="1"/>
        <v>270.52882</v>
      </c>
      <c r="J21" s="25"/>
      <c r="U21">
        <v>1.4</v>
      </c>
      <c r="V21" s="17"/>
      <c r="W21" s="17"/>
      <c r="X21" s="17">
        <v>0.28793099999999999</v>
      </c>
      <c r="Y21" s="17">
        <v>0.18775510000000001</v>
      </c>
      <c r="Z21" s="17"/>
      <c r="AA21" s="17"/>
      <c r="AB21" s="25">
        <f t="shared" si="2"/>
        <v>278.21118000000001</v>
      </c>
      <c r="AC21" s="25">
        <f t="shared" si="3"/>
        <v>270.52882</v>
      </c>
      <c r="AM21">
        <v>1.4</v>
      </c>
      <c r="AN21" s="17"/>
      <c r="AO21" s="17"/>
      <c r="AP21" s="17">
        <v>0.3487903</v>
      </c>
      <c r="AQ21" s="17">
        <v>0.26747720000000003</v>
      </c>
      <c r="AR21" s="17"/>
      <c r="AS21" s="17"/>
      <c r="AT21" s="25">
        <f t="shared" si="4"/>
        <v>278.21118000000001</v>
      </c>
      <c r="AU21" s="25">
        <f t="shared" si="5"/>
        <v>270.52882</v>
      </c>
    </row>
    <row r="22" spans="1:47" x14ac:dyDescent="0.25">
      <c r="A22">
        <v>1.5</v>
      </c>
      <c r="B22" s="17"/>
      <c r="C22" s="17"/>
      <c r="D22" s="17">
        <v>0.26897690000000002</v>
      </c>
      <c r="E22" s="17">
        <v>0.1141553</v>
      </c>
      <c r="F22" s="17"/>
      <c r="G22" s="17"/>
      <c r="H22" s="25">
        <f t="shared" si="0"/>
        <v>278.48554999999999</v>
      </c>
      <c r="I22" s="25">
        <f t="shared" si="1"/>
        <v>270.25445000000002</v>
      </c>
      <c r="J22" s="25"/>
      <c r="U22">
        <v>1.5</v>
      </c>
      <c r="V22" s="17"/>
      <c r="W22" s="17"/>
      <c r="X22" s="17">
        <v>0.25172410000000001</v>
      </c>
      <c r="Y22" s="17">
        <v>0.1632653</v>
      </c>
      <c r="Z22" s="17"/>
      <c r="AA22" s="17"/>
      <c r="AB22" s="25">
        <f t="shared" si="2"/>
        <v>278.48554999999999</v>
      </c>
      <c r="AC22" s="25">
        <f t="shared" si="3"/>
        <v>270.25445000000002</v>
      </c>
      <c r="AM22">
        <v>1.5</v>
      </c>
      <c r="AN22" s="17"/>
      <c r="AO22" s="17"/>
      <c r="AP22" s="17">
        <v>0.3225806</v>
      </c>
      <c r="AQ22" s="17">
        <v>0.24620059999999999</v>
      </c>
      <c r="AR22" s="17"/>
      <c r="AS22" s="17"/>
      <c r="AT22" s="25">
        <f t="shared" si="4"/>
        <v>278.48554999999999</v>
      </c>
      <c r="AU22" s="25">
        <f t="shared" si="5"/>
        <v>270.25445000000002</v>
      </c>
    </row>
    <row r="23" spans="1:47" x14ac:dyDescent="0.25">
      <c r="A23">
        <v>1.6</v>
      </c>
      <c r="B23" s="17"/>
      <c r="C23" s="17"/>
      <c r="D23" s="17">
        <v>0.22442239999999999</v>
      </c>
      <c r="E23" s="17">
        <v>0.1050228</v>
      </c>
      <c r="F23" s="17"/>
      <c r="G23" s="17"/>
      <c r="H23" s="25">
        <f t="shared" si="0"/>
        <v>278.75992000000002</v>
      </c>
      <c r="I23" s="25">
        <f t="shared" si="1"/>
        <v>269.98007999999999</v>
      </c>
      <c r="J23" s="25"/>
      <c r="U23">
        <v>1.6</v>
      </c>
      <c r="V23" s="17"/>
      <c r="W23" s="17"/>
      <c r="X23" s="17">
        <v>0.2172414</v>
      </c>
      <c r="Y23" s="17">
        <v>0.1387755</v>
      </c>
      <c r="Z23" s="17"/>
      <c r="AA23" s="17"/>
      <c r="AB23" s="25">
        <f t="shared" si="2"/>
        <v>278.75992000000002</v>
      </c>
      <c r="AC23" s="25">
        <f t="shared" si="3"/>
        <v>269.98007999999999</v>
      </c>
      <c r="AM23">
        <v>1.6</v>
      </c>
      <c r="AN23" s="17"/>
      <c r="AO23" s="17"/>
      <c r="AP23" s="17">
        <v>0.30846770000000001</v>
      </c>
      <c r="AQ23" s="17">
        <v>0.21580550000000001</v>
      </c>
      <c r="AR23" s="17"/>
      <c r="AS23" s="17"/>
      <c r="AT23" s="25">
        <f t="shared" si="4"/>
        <v>278.75992000000002</v>
      </c>
      <c r="AU23" s="25">
        <f t="shared" si="5"/>
        <v>269.98007999999999</v>
      </c>
    </row>
    <row r="24" spans="1:47" x14ac:dyDescent="0.25">
      <c r="A24">
        <v>1.7</v>
      </c>
      <c r="B24" s="17"/>
      <c r="C24" s="17"/>
      <c r="D24" s="17">
        <v>0.18976899999999999</v>
      </c>
      <c r="E24" s="17">
        <v>7.3059360000000004E-2</v>
      </c>
      <c r="F24" s="17"/>
      <c r="G24" s="17"/>
      <c r="H24" s="25">
        <f t="shared" si="0"/>
        <v>279.03429</v>
      </c>
      <c r="I24" s="25">
        <f t="shared" si="1"/>
        <v>269.70571000000001</v>
      </c>
      <c r="J24" s="25"/>
      <c r="U24">
        <v>1.7</v>
      </c>
      <c r="V24" s="17"/>
      <c r="W24" s="17"/>
      <c r="X24" s="17">
        <v>0.17413790000000001</v>
      </c>
      <c r="Y24" s="17">
        <v>0.10612240000000001</v>
      </c>
      <c r="Z24" s="17"/>
      <c r="AA24" s="17"/>
      <c r="AB24" s="25">
        <f t="shared" si="2"/>
        <v>279.03429</v>
      </c>
      <c r="AC24" s="25">
        <f t="shared" si="3"/>
        <v>269.70571000000001</v>
      </c>
      <c r="AM24">
        <v>1.7</v>
      </c>
      <c r="AN24" s="17"/>
      <c r="AO24" s="17"/>
      <c r="AP24" s="17">
        <v>0.28024189999999999</v>
      </c>
      <c r="AQ24" s="17">
        <v>0.1854103</v>
      </c>
      <c r="AR24" s="17"/>
      <c r="AS24" s="17"/>
      <c r="AT24" s="25">
        <f t="shared" si="4"/>
        <v>279.03429</v>
      </c>
      <c r="AU24" s="25">
        <f t="shared" si="5"/>
        <v>269.70571000000001</v>
      </c>
    </row>
    <row r="25" spans="1:47" x14ac:dyDescent="0.25">
      <c r="A25">
        <v>1.8</v>
      </c>
      <c r="B25" s="17"/>
      <c r="C25" s="17"/>
      <c r="D25" s="17">
        <v>0.16336629999999999</v>
      </c>
      <c r="E25" s="17">
        <v>6.3926940000000002E-2</v>
      </c>
      <c r="F25" s="17"/>
      <c r="G25" s="17"/>
      <c r="H25" s="25">
        <f t="shared" si="0"/>
        <v>279.30866000000003</v>
      </c>
      <c r="I25" s="25">
        <f t="shared" si="1"/>
        <v>269.43133999999998</v>
      </c>
      <c r="J25" s="25"/>
      <c r="U25">
        <v>1.8</v>
      </c>
      <c r="V25" s="17"/>
      <c r="W25" s="17"/>
      <c r="X25" s="17">
        <v>0.1517241</v>
      </c>
      <c r="Y25" s="17">
        <v>9.7959180000000007E-2</v>
      </c>
      <c r="Z25" s="17"/>
      <c r="AA25" s="17"/>
      <c r="AB25" s="25">
        <f t="shared" si="2"/>
        <v>279.30866000000003</v>
      </c>
      <c r="AC25" s="25">
        <f t="shared" si="3"/>
        <v>269.43133999999998</v>
      </c>
      <c r="AM25">
        <v>1.8</v>
      </c>
      <c r="AN25" s="17"/>
      <c r="AO25" s="17"/>
      <c r="AP25" s="17">
        <v>0.24798390000000001</v>
      </c>
      <c r="AQ25" s="17">
        <v>0.1732523</v>
      </c>
      <c r="AR25" s="17"/>
      <c r="AS25" s="17"/>
      <c r="AT25" s="25">
        <f t="shared" si="4"/>
        <v>279.30866000000003</v>
      </c>
      <c r="AU25" s="25">
        <f t="shared" si="5"/>
        <v>269.43133999999998</v>
      </c>
    </row>
    <row r="26" spans="1:47" x14ac:dyDescent="0.25">
      <c r="A26">
        <v>1.9</v>
      </c>
      <c r="D26" s="17">
        <v>0.13696369999999999</v>
      </c>
      <c r="E26" s="17">
        <v>5.4794519999999999E-2</v>
      </c>
      <c r="F26" s="17"/>
      <c r="G26" s="17"/>
      <c r="H26" s="25">
        <f t="shared" si="0"/>
        <v>279.58302999999995</v>
      </c>
      <c r="I26" s="25">
        <f t="shared" si="1"/>
        <v>269.15697</v>
      </c>
      <c r="J26" s="25"/>
      <c r="U26">
        <v>1.9</v>
      </c>
      <c r="V26" s="17"/>
      <c r="W26" s="17"/>
      <c r="X26" s="17">
        <v>0.12758620000000001</v>
      </c>
      <c r="Y26" s="17">
        <v>7.3469389999999996E-2</v>
      </c>
      <c r="Z26" s="17"/>
      <c r="AA26" s="17"/>
      <c r="AB26" s="25">
        <f t="shared" si="2"/>
        <v>279.58302999999995</v>
      </c>
      <c r="AC26" s="25">
        <f t="shared" si="3"/>
        <v>269.15697</v>
      </c>
      <c r="AM26">
        <v>1.9</v>
      </c>
      <c r="AN26" s="17"/>
      <c r="AO26" s="17"/>
      <c r="AP26" s="17">
        <v>0.22782259999999999</v>
      </c>
      <c r="AQ26" s="17">
        <v>0.15197569999999999</v>
      </c>
      <c r="AR26" s="17"/>
      <c r="AS26" s="17"/>
      <c r="AT26" s="25">
        <f t="shared" si="4"/>
        <v>279.58302999999995</v>
      </c>
      <c r="AU26" s="25">
        <f t="shared" si="5"/>
        <v>269.15697</v>
      </c>
    </row>
    <row r="27" spans="1:47" x14ac:dyDescent="0.25">
      <c r="A27">
        <v>2</v>
      </c>
      <c r="D27" s="17">
        <v>0.1056106</v>
      </c>
      <c r="E27" s="17">
        <v>3.6529680000000002E-2</v>
      </c>
      <c r="F27" s="17"/>
      <c r="G27" s="17"/>
      <c r="H27" s="25">
        <f t="shared" si="0"/>
        <v>279.85739999999998</v>
      </c>
      <c r="I27" s="25">
        <f t="shared" si="1"/>
        <v>268.88260000000002</v>
      </c>
      <c r="J27" s="25"/>
      <c r="U27">
        <v>2</v>
      </c>
      <c r="V27" s="17"/>
      <c r="W27" s="17"/>
      <c r="X27" s="17">
        <v>0.1051724</v>
      </c>
      <c r="Y27" s="17">
        <v>5.3061219999999999E-2</v>
      </c>
      <c r="Z27" s="17"/>
      <c r="AA27" s="17"/>
      <c r="AB27" s="25">
        <f t="shared" si="2"/>
        <v>279.85739999999998</v>
      </c>
      <c r="AC27" s="25">
        <f t="shared" si="3"/>
        <v>268.88260000000002</v>
      </c>
      <c r="AM27">
        <v>2</v>
      </c>
      <c r="AN27" s="17"/>
      <c r="AO27" s="17"/>
      <c r="AP27" s="17">
        <v>0.18951609999999999</v>
      </c>
      <c r="AQ27" s="17">
        <v>0.13373860000000001</v>
      </c>
      <c r="AR27" s="17"/>
      <c r="AS27" s="17"/>
      <c r="AT27" s="25">
        <f t="shared" si="4"/>
        <v>279.85739999999998</v>
      </c>
      <c r="AU27" s="25">
        <f t="shared" si="5"/>
        <v>268.88260000000002</v>
      </c>
    </row>
    <row r="28" spans="1:47" x14ac:dyDescent="0.25">
      <c r="A28">
        <v>2.1</v>
      </c>
      <c r="D28" s="17">
        <v>8.0858089999999994E-2</v>
      </c>
      <c r="E28" s="17">
        <v>3.1963470000000001E-2</v>
      </c>
      <c r="F28" s="17"/>
      <c r="G28" s="17"/>
      <c r="H28" s="25">
        <f t="shared" si="0"/>
        <v>280.13176999999996</v>
      </c>
      <c r="I28" s="25">
        <f t="shared" si="1"/>
        <v>268.60822999999999</v>
      </c>
      <c r="J28" s="25"/>
      <c r="U28">
        <v>2.1</v>
      </c>
      <c r="V28" s="17"/>
      <c r="W28" s="17"/>
      <c r="X28" s="17">
        <v>8.6206900000000003E-2</v>
      </c>
      <c r="Y28" s="17">
        <v>4.4897960000000001E-2</v>
      </c>
      <c r="Z28" s="17"/>
      <c r="AA28" s="17"/>
      <c r="AB28" s="25">
        <f t="shared" si="2"/>
        <v>280.13176999999996</v>
      </c>
      <c r="AC28" s="25">
        <f t="shared" si="3"/>
        <v>268.60822999999999</v>
      </c>
      <c r="AM28">
        <v>2.1</v>
      </c>
      <c r="AP28" s="17">
        <v>0.1612903</v>
      </c>
      <c r="AQ28" s="17">
        <v>0.11854099999999999</v>
      </c>
      <c r="AR28" s="17"/>
      <c r="AS28" s="17"/>
      <c r="AT28" s="25">
        <f t="shared" si="4"/>
        <v>280.13176999999996</v>
      </c>
      <c r="AU28" s="25">
        <f t="shared" si="5"/>
        <v>268.60822999999999</v>
      </c>
    </row>
    <row r="29" spans="1:47" x14ac:dyDescent="0.25">
      <c r="A29">
        <v>2.2000000000000002</v>
      </c>
      <c r="D29" s="17">
        <v>7.4257429999999999E-2</v>
      </c>
      <c r="E29" s="17">
        <v>1.8264840000000001E-2</v>
      </c>
      <c r="F29" s="17"/>
      <c r="G29" s="17"/>
      <c r="H29" s="25">
        <f t="shared" si="0"/>
        <v>280.40613999999999</v>
      </c>
      <c r="I29" s="25">
        <f t="shared" si="1"/>
        <v>268.33386000000002</v>
      </c>
      <c r="J29" s="25"/>
      <c r="U29">
        <v>2.2000000000000002</v>
      </c>
      <c r="V29" s="17"/>
      <c r="W29" s="17"/>
      <c r="X29" s="17">
        <v>7.0689660000000001E-2</v>
      </c>
      <c r="Y29" s="17">
        <v>3.2653059999999998E-2</v>
      </c>
      <c r="Z29" s="17"/>
      <c r="AA29" s="17"/>
      <c r="AB29" s="25">
        <f t="shared" si="2"/>
        <v>280.40613999999999</v>
      </c>
      <c r="AC29" s="25">
        <f t="shared" si="3"/>
        <v>268.33386000000002</v>
      </c>
      <c r="AM29">
        <v>2.2000000000000002</v>
      </c>
      <c r="AP29" s="17">
        <v>0.13911290000000001</v>
      </c>
      <c r="AQ29" s="17">
        <v>0.10638300000000001</v>
      </c>
      <c r="AR29" s="17"/>
      <c r="AS29" s="17"/>
      <c r="AT29" s="25">
        <f t="shared" si="4"/>
        <v>280.40613999999999</v>
      </c>
      <c r="AU29" s="25">
        <f t="shared" si="5"/>
        <v>268.33386000000002</v>
      </c>
    </row>
    <row r="30" spans="1:47" x14ac:dyDescent="0.25">
      <c r="A30">
        <v>2.2999999999999998</v>
      </c>
      <c r="D30" s="17">
        <v>6.4356440000000001E-2</v>
      </c>
      <c r="E30" s="17">
        <v>1.369863E-2</v>
      </c>
      <c r="F30" s="17"/>
      <c r="G30" s="17"/>
      <c r="H30" s="25">
        <f t="shared" si="0"/>
        <v>280.68050999999997</v>
      </c>
      <c r="I30" s="25">
        <f t="shared" si="1"/>
        <v>268.05948999999998</v>
      </c>
      <c r="J30" s="25"/>
      <c r="U30">
        <v>2.2999999999999998</v>
      </c>
      <c r="V30" s="17"/>
      <c r="W30" s="17"/>
      <c r="X30" s="17">
        <v>6.5517240000000004E-2</v>
      </c>
      <c r="Y30" s="17">
        <v>2.0408160000000002E-2</v>
      </c>
      <c r="Z30" s="17"/>
      <c r="AA30" s="17"/>
      <c r="AB30" s="25">
        <f t="shared" si="2"/>
        <v>280.68050999999997</v>
      </c>
      <c r="AC30" s="25">
        <f t="shared" si="3"/>
        <v>268.05948999999998</v>
      </c>
      <c r="AM30">
        <v>2.2999999999999998</v>
      </c>
      <c r="AP30" s="17">
        <v>0.1149194</v>
      </c>
      <c r="AQ30" s="17">
        <v>8.5106379999999995E-2</v>
      </c>
      <c r="AR30" s="17"/>
      <c r="AS30" s="17"/>
      <c r="AT30" s="25">
        <f t="shared" si="4"/>
        <v>280.68050999999997</v>
      </c>
      <c r="AU30" s="25">
        <f t="shared" si="5"/>
        <v>268.05948999999998</v>
      </c>
    </row>
    <row r="31" spans="1:47" x14ac:dyDescent="0.25">
      <c r="A31">
        <v>2.4</v>
      </c>
      <c r="D31" s="17">
        <v>4.9504949999999999E-2</v>
      </c>
      <c r="E31" s="17">
        <v>4.5662100000000002E-3</v>
      </c>
      <c r="F31" s="17"/>
      <c r="G31" s="17"/>
      <c r="H31" s="25">
        <f t="shared" si="0"/>
        <v>280.95488</v>
      </c>
      <c r="I31" s="25">
        <f t="shared" si="1"/>
        <v>267.78512000000001</v>
      </c>
      <c r="J31" s="25"/>
      <c r="U31">
        <v>2.4</v>
      </c>
      <c r="V31" s="17"/>
      <c r="W31" s="17"/>
      <c r="X31" s="17">
        <v>5.8620690000000003E-2</v>
      </c>
      <c r="Y31" s="17">
        <v>2.0408160000000002E-2</v>
      </c>
      <c r="Z31" s="17"/>
      <c r="AA31" s="17"/>
      <c r="AB31" s="25">
        <f t="shared" si="2"/>
        <v>280.95488</v>
      </c>
      <c r="AC31" s="25">
        <f t="shared" si="3"/>
        <v>267.78512000000001</v>
      </c>
      <c r="AM31">
        <v>2.4</v>
      </c>
      <c r="AP31" s="17">
        <v>0.1068548</v>
      </c>
      <c r="AQ31" s="17">
        <v>5.4711250000000003E-2</v>
      </c>
      <c r="AR31" s="17"/>
      <c r="AS31" s="17"/>
      <c r="AT31" s="25">
        <f t="shared" si="4"/>
        <v>280.95488</v>
      </c>
      <c r="AU31" s="25">
        <f t="shared" si="5"/>
        <v>267.78512000000001</v>
      </c>
    </row>
    <row r="32" spans="1:47" x14ac:dyDescent="0.25">
      <c r="A32">
        <v>2.5</v>
      </c>
      <c r="D32" s="17">
        <v>3.9603960000000001E-2</v>
      </c>
      <c r="E32" s="17">
        <v>0</v>
      </c>
      <c r="F32" s="17"/>
      <c r="G32" s="17"/>
      <c r="H32" s="25">
        <f t="shared" si="0"/>
        <v>281.22924999999998</v>
      </c>
      <c r="I32" s="25">
        <f t="shared" si="1"/>
        <v>267.51074999999997</v>
      </c>
      <c r="J32" s="25"/>
      <c r="U32">
        <v>2.5</v>
      </c>
      <c r="X32" s="17">
        <v>5.3448280000000001E-2</v>
      </c>
      <c r="Y32" s="17">
        <v>2.0408160000000002E-2</v>
      </c>
      <c r="Z32" s="17"/>
      <c r="AA32" s="17"/>
      <c r="AB32" s="25">
        <f t="shared" si="2"/>
        <v>281.22924999999998</v>
      </c>
      <c r="AC32" s="25">
        <f t="shared" si="3"/>
        <v>267.51074999999997</v>
      </c>
      <c r="AM32">
        <v>2.5</v>
      </c>
      <c r="AP32" s="17">
        <v>8.8709679999999999E-2</v>
      </c>
      <c r="AQ32" s="17">
        <v>5.1671729999999999E-2</v>
      </c>
      <c r="AR32" s="17"/>
      <c r="AS32" s="17"/>
      <c r="AT32" s="25">
        <f t="shared" si="4"/>
        <v>281.22924999999998</v>
      </c>
      <c r="AU32" s="25">
        <f t="shared" si="5"/>
        <v>267.51074999999997</v>
      </c>
    </row>
    <row r="33" spans="1:47" x14ac:dyDescent="0.25">
      <c r="A33">
        <v>2.6</v>
      </c>
      <c r="D33" s="17">
        <v>3.3003299999999999E-2</v>
      </c>
      <c r="E33" s="17"/>
      <c r="F33" s="17"/>
      <c r="G33" s="17"/>
      <c r="H33" s="25">
        <f t="shared" si="0"/>
        <v>281.50362000000001</v>
      </c>
      <c r="I33" s="25">
        <f t="shared" si="1"/>
        <v>267.23638</v>
      </c>
      <c r="J33" s="25"/>
      <c r="U33">
        <v>2.6</v>
      </c>
      <c r="X33" s="17">
        <v>4.8275859999999997E-2</v>
      </c>
      <c r="Y33" s="17">
        <v>1.6326529999999999E-2</v>
      </c>
      <c r="Z33" s="17"/>
      <c r="AA33" s="17"/>
      <c r="AB33" s="25">
        <f t="shared" si="2"/>
        <v>281.50362000000001</v>
      </c>
      <c r="AC33" s="25">
        <f t="shared" si="3"/>
        <v>267.23638</v>
      </c>
      <c r="AM33">
        <v>2.6</v>
      </c>
      <c r="AP33" s="17">
        <v>8.0645159999999994E-2</v>
      </c>
      <c r="AQ33" s="17">
        <v>3.9513680000000002E-2</v>
      </c>
      <c r="AR33" s="17"/>
      <c r="AS33" s="17"/>
      <c r="AT33" s="25">
        <f t="shared" si="4"/>
        <v>281.50362000000001</v>
      </c>
      <c r="AU33" s="25">
        <f t="shared" si="5"/>
        <v>267.23638</v>
      </c>
    </row>
    <row r="34" spans="1:47" x14ac:dyDescent="0.25">
      <c r="A34">
        <v>2.7</v>
      </c>
      <c r="D34" s="17">
        <v>2.475248E-2</v>
      </c>
      <c r="E34" s="17"/>
      <c r="F34" s="17"/>
      <c r="G34" s="17"/>
      <c r="H34" s="25">
        <f t="shared" si="0"/>
        <v>281.77798999999999</v>
      </c>
      <c r="I34" s="25">
        <f t="shared" si="1"/>
        <v>266.96201000000002</v>
      </c>
      <c r="J34" s="25"/>
      <c r="U34">
        <v>2.7</v>
      </c>
      <c r="X34" s="17">
        <v>4.1379310000000002E-2</v>
      </c>
      <c r="Y34" s="17">
        <v>1.6326529999999999E-2</v>
      </c>
      <c r="Z34" s="17"/>
      <c r="AA34" s="17"/>
      <c r="AB34" s="25">
        <f t="shared" si="2"/>
        <v>281.77798999999999</v>
      </c>
      <c r="AC34" s="25">
        <f t="shared" si="3"/>
        <v>266.96201000000002</v>
      </c>
      <c r="AM34">
        <v>2.7</v>
      </c>
      <c r="AP34" s="17">
        <v>7.0564520000000006E-2</v>
      </c>
      <c r="AQ34" s="17">
        <v>3.9513680000000002E-2</v>
      </c>
      <c r="AR34" s="17"/>
      <c r="AS34" s="17"/>
      <c r="AT34" s="25">
        <f t="shared" si="4"/>
        <v>281.77798999999999</v>
      </c>
      <c r="AU34" s="25">
        <f t="shared" si="5"/>
        <v>266.96201000000002</v>
      </c>
    </row>
    <row r="35" spans="1:47" x14ac:dyDescent="0.25">
      <c r="A35">
        <v>2.8</v>
      </c>
      <c r="D35" s="17">
        <v>2.145215E-2</v>
      </c>
      <c r="E35" s="17"/>
      <c r="F35" s="17"/>
      <c r="G35" s="17"/>
      <c r="H35" s="25">
        <f t="shared" si="0"/>
        <v>282.05236000000002</v>
      </c>
      <c r="I35" s="25">
        <f t="shared" si="1"/>
        <v>266.68763999999999</v>
      </c>
      <c r="J35" s="25"/>
      <c r="U35">
        <v>2.8</v>
      </c>
      <c r="X35" s="17">
        <v>4.1379310000000002E-2</v>
      </c>
      <c r="Y35" s="17">
        <v>8.1632649999999994E-3</v>
      </c>
      <c r="Z35" s="17"/>
      <c r="AA35" s="17"/>
      <c r="AB35" s="25">
        <f t="shared" si="2"/>
        <v>282.05236000000002</v>
      </c>
      <c r="AC35" s="25">
        <f t="shared" si="3"/>
        <v>266.68763999999999</v>
      </c>
      <c r="AM35">
        <v>2.8</v>
      </c>
      <c r="AP35" s="17">
        <v>5.8467739999999997E-2</v>
      </c>
      <c r="AQ35" s="17">
        <v>3.6474159999999999E-2</v>
      </c>
      <c r="AR35" s="17"/>
      <c r="AS35" s="17"/>
      <c r="AT35" s="25">
        <f t="shared" si="4"/>
        <v>282.05236000000002</v>
      </c>
      <c r="AU35" s="25">
        <f t="shared" si="5"/>
        <v>266.68763999999999</v>
      </c>
    </row>
    <row r="36" spans="1:47" x14ac:dyDescent="0.25">
      <c r="A36">
        <v>2.9</v>
      </c>
      <c r="D36" s="17">
        <v>1.650165E-2</v>
      </c>
      <c r="E36" s="17"/>
      <c r="F36" s="17"/>
      <c r="G36" s="17"/>
      <c r="H36" s="25">
        <f t="shared" si="0"/>
        <v>282.32673</v>
      </c>
      <c r="I36" s="25">
        <f t="shared" si="1"/>
        <v>266.41327000000001</v>
      </c>
      <c r="J36" s="25"/>
      <c r="U36">
        <v>2.9</v>
      </c>
      <c r="X36" s="17">
        <v>3.4482760000000001E-2</v>
      </c>
      <c r="Y36" s="17">
        <v>8.1632649999999994E-3</v>
      </c>
      <c r="Z36" s="17"/>
      <c r="AA36" s="17"/>
      <c r="AB36" s="25">
        <f t="shared" si="2"/>
        <v>282.32673</v>
      </c>
      <c r="AC36" s="25">
        <f t="shared" si="3"/>
        <v>266.41327000000001</v>
      </c>
      <c r="AM36">
        <v>2.9</v>
      </c>
      <c r="AP36" s="17">
        <v>4.8387100000000002E-2</v>
      </c>
      <c r="AQ36" s="17">
        <v>3.0395140000000001E-2</v>
      </c>
      <c r="AR36" s="17"/>
      <c r="AS36" s="17"/>
      <c r="AT36" s="25">
        <f t="shared" si="4"/>
        <v>282.32673</v>
      </c>
      <c r="AU36" s="25">
        <f t="shared" si="5"/>
        <v>266.41327000000001</v>
      </c>
    </row>
    <row r="37" spans="1:47" x14ac:dyDescent="0.25">
      <c r="A37">
        <v>3</v>
      </c>
      <c r="D37" s="17">
        <v>1.3201320000000001E-2</v>
      </c>
      <c r="E37" s="17"/>
      <c r="F37" s="17"/>
      <c r="G37" s="17"/>
      <c r="H37" s="25">
        <f t="shared" si="0"/>
        <v>282.60110000000003</v>
      </c>
      <c r="I37" s="25">
        <f t="shared" si="1"/>
        <v>266.13889999999998</v>
      </c>
      <c r="J37" s="25"/>
      <c r="U37">
        <v>3</v>
      </c>
      <c r="X37" s="17">
        <v>2.758621E-2</v>
      </c>
      <c r="Y37" s="17">
        <v>8.1632649999999994E-3</v>
      </c>
      <c r="Z37" s="17"/>
      <c r="AA37" s="17"/>
      <c r="AB37" s="25">
        <f t="shared" si="2"/>
        <v>282.60110000000003</v>
      </c>
      <c r="AC37" s="25">
        <f t="shared" si="3"/>
        <v>266.13889999999998</v>
      </c>
      <c r="AM37">
        <v>3</v>
      </c>
      <c r="AP37" s="17">
        <v>4.2338710000000002E-2</v>
      </c>
      <c r="AQ37" s="17">
        <v>3.0395140000000001E-2</v>
      </c>
      <c r="AR37" s="17"/>
      <c r="AS37" s="17"/>
      <c r="AT37" s="25">
        <f t="shared" si="4"/>
        <v>282.60110000000003</v>
      </c>
      <c r="AU37" s="25">
        <f t="shared" si="5"/>
        <v>266.13889999999998</v>
      </c>
    </row>
    <row r="38" spans="1:47" x14ac:dyDescent="0.25">
      <c r="A38">
        <v>3.1</v>
      </c>
      <c r="D38" s="17">
        <v>9.9009900000000001E-3</v>
      </c>
      <c r="E38" s="17"/>
      <c r="F38" s="17"/>
      <c r="G38" s="17"/>
      <c r="H38" s="25">
        <f t="shared" si="0"/>
        <v>282.87547000000001</v>
      </c>
      <c r="I38" s="25">
        <f t="shared" si="1"/>
        <v>265.86453</v>
      </c>
      <c r="J38" s="25"/>
      <c r="U38">
        <v>3.1</v>
      </c>
      <c r="X38" s="17">
        <v>2.5862070000000001E-2</v>
      </c>
      <c r="Y38" s="17">
        <v>4.0816330000000003E-3</v>
      </c>
      <c r="Z38" s="17"/>
      <c r="AA38" s="17"/>
      <c r="AB38" s="25">
        <f t="shared" si="2"/>
        <v>282.87547000000001</v>
      </c>
      <c r="AC38" s="25">
        <f t="shared" si="3"/>
        <v>265.86453</v>
      </c>
      <c r="AM38">
        <v>3.1</v>
      </c>
      <c r="AP38" s="17">
        <v>3.4274190000000003E-2</v>
      </c>
      <c r="AQ38" s="17">
        <v>3.0395140000000001E-2</v>
      </c>
      <c r="AR38" s="17"/>
      <c r="AS38" s="17"/>
      <c r="AT38" s="25">
        <f t="shared" si="4"/>
        <v>282.87547000000001</v>
      </c>
      <c r="AU38" s="25">
        <f t="shared" si="5"/>
        <v>265.86453</v>
      </c>
    </row>
    <row r="39" spans="1:47" x14ac:dyDescent="0.25">
      <c r="A39">
        <v>3.2</v>
      </c>
      <c r="D39" s="17">
        <v>8.2508249999999998E-3</v>
      </c>
      <c r="E39" s="17"/>
      <c r="F39" s="17"/>
      <c r="G39" s="17"/>
      <c r="H39" s="25">
        <f t="shared" si="0"/>
        <v>283.14984000000004</v>
      </c>
      <c r="I39" s="25">
        <f t="shared" si="1"/>
        <v>265.59015999999997</v>
      </c>
      <c r="J39" s="25"/>
      <c r="U39">
        <v>3.2</v>
      </c>
      <c r="X39" s="17">
        <v>2.4137929999999998E-2</v>
      </c>
      <c r="Y39" s="17"/>
      <c r="Z39" s="17"/>
      <c r="AA39" s="17"/>
      <c r="AB39" s="25">
        <f t="shared" si="2"/>
        <v>283.14984000000004</v>
      </c>
      <c r="AC39" s="25">
        <f t="shared" si="3"/>
        <v>265.59015999999997</v>
      </c>
      <c r="AM39">
        <v>3.2</v>
      </c>
      <c r="AP39" s="17">
        <v>2.6209679999999999E-2</v>
      </c>
      <c r="AQ39" s="17">
        <v>3.0395140000000001E-2</v>
      </c>
      <c r="AR39" s="17"/>
      <c r="AS39" s="17"/>
      <c r="AT39" s="25">
        <f t="shared" si="4"/>
        <v>283.14984000000004</v>
      </c>
      <c r="AU39" s="25">
        <f t="shared" si="5"/>
        <v>265.59015999999997</v>
      </c>
    </row>
    <row r="40" spans="1:47" x14ac:dyDescent="0.25">
      <c r="A40">
        <v>3.3</v>
      </c>
      <c r="D40" s="17">
        <v>3.3003300000000002E-3</v>
      </c>
      <c r="E40" s="17"/>
      <c r="F40" s="17"/>
      <c r="G40" s="17"/>
      <c r="H40" s="25">
        <f t="shared" si="0"/>
        <v>283.42420999999996</v>
      </c>
      <c r="I40" s="25">
        <f t="shared" si="1"/>
        <v>265.31578999999999</v>
      </c>
      <c r="J40" s="25"/>
      <c r="U40">
        <v>3.3</v>
      </c>
      <c r="X40" s="17">
        <v>2.0689659999999999E-2</v>
      </c>
      <c r="Y40" s="17"/>
      <c r="Z40" s="17"/>
      <c r="AA40" s="17"/>
      <c r="AB40" s="25">
        <f t="shared" si="2"/>
        <v>283.42420999999996</v>
      </c>
      <c r="AC40" s="25">
        <f t="shared" si="3"/>
        <v>265.31578999999999</v>
      </c>
      <c r="AM40">
        <v>3.3</v>
      </c>
      <c r="AP40" s="17">
        <v>2.217742E-2</v>
      </c>
      <c r="AQ40" s="17">
        <v>2.12766E-2</v>
      </c>
      <c r="AR40" s="17"/>
      <c r="AS40" s="17"/>
      <c r="AT40" s="25">
        <f t="shared" si="4"/>
        <v>283.42420999999996</v>
      </c>
      <c r="AU40" s="25">
        <f t="shared" si="5"/>
        <v>265.31578999999999</v>
      </c>
    </row>
    <row r="41" spans="1:47" x14ac:dyDescent="0.25">
      <c r="A41">
        <v>3.4</v>
      </c>
      <c r="D41" s="17">
        <v>3.3003300000000002E-3</v>
      </c>
      <c r="E41" s="17"/>
      <c r="F41" s="17"/>
      <c r="G41" s="17"/>
      <c r="H41" s="25">
        <f t="shared" si="0"/>
        <v>283.69857999999999</v>
      </c>
      <c r="I41" s="25">
        <f t="shared" si="1"/>
        <v>265.04142000000002</v>
      </c>
      <c r="J41" s="25"/>
      <c r="U41">
        <v>3.4</v>
      </c>
      <c r="X41" s="17">
        <v>1.551724E-2</v>
      </c>
      <c r="Y41" s="17"/>
      <c r="Z41" s="17"/>
      <c r="AA41" s="17"/>
      <c r="AB41" s="25">
        <f t="shared" si="2"/>
        <v>283.69857999999999</v>
      </c>
      <c r="AC41" s="25">
        <f t="shared" si="3"/>
        <v>265.04142000000002</v>
      </c>
      <c r="AM41">
        <v>3.4</v>
      </c>
      <c r="AP41" s="17">
        <v>2.0161289999999998E-2</v>
      </c>
      <c r="AQ41" s="17">
        <v>2.12766E-2</v>
      </c>
      <c r="AR41" s="17"/>
      <c r="AS41" s="17"/>
      <c r="AT41" s="25">
        <f t="shared" si="4"/>
        <v>283.69857999999999</v>
      </c>
      <c r="AU41" s="25">
        <f t="shared" si="5"/>
        <v>265.04142000000002</v>
      </c>
    </row>
    <row r="42" spans="1:47" x14ac:dyDescent="0.25">
      <c r="A42">
        <v>3.5</v>
      </c>
      <c r="D42" s="17">
        <v>3.3003300000000002E-3</v>
      </c>
      <c r="E42" s="17"/>
      <c r="H42" s="25">
        <f t="shared" si="0"/>
        <v>283.97294999999997</v>
      </c>
      <c r="I42" s="25">
        <f t="shared" si="1"/>
        <v>264.76704999999998</v>
      </c>
      <c r="J42" s="25"/>
      <c r="U42">
        <v>3.5</v>
      </c>
      <c r="X42" s="17">
        <v>1.206897E-2</v>
      </c>
      <c r="Y42" s="17"/>
      <c r="Z42" s="23"/>
      <c r="AA42" s="23"/>
      <c r="AB42" s="25">
        <f t="shared" si="2"/>
        <v>283.97294999999997</v>
      </c>
      <c r="AC42" s="25">
        <f t="shared" si="3"/>
        <v>264.76704999999998</v>
      </c>
      <c r="AM42">
        <v>3.5</v>
      </c>
      <c r="AP42" s="17">
        <v>2.0161289999999998E-2</v>
      </c>
      <c r="AQ42" s="17">
        <v>1.8237079999999999E-2</v>
      </c>
      <c r="AR42" s="17"/>
      <c r="AS42" s="17"/>
      <c r="AT42" s="25">
        <f t="shared" si="4"/>
        <v>283.97294999999997</v>
      </c>
      <c r="AU42" s="25">
        <f t="shared" si="5"/>
        <v>264.76704999999998</v>
      </c>
    </row>
    <row r="43" spans="1:47" x14ac:dyDescent="0.25">
      <c r="A43">
        <v>3.6</v>
      </c>
      <c r="D43" s="17">
        <v>3.3003300000000002E-3</v>
      </c>
      <c r="E43" s="17"/>
      <c r="H43" s="25">
        <f t="shared" si="0"/>
        <v>284.24732</v>
      </c>
      <c r="I43" s="25">
        <f t="shared" si="1"/>
        <v>264.49268000000001</v>
      </c>
      <c r="J43" s="25"/>
      <c r="U43">
        <v>3.6</v>
      </c>
      <c r="X43" s="17">
        <v>1.0344829999999999E-2</v>
      </c>
      <c r="Y43" s="17"/>
      <c r="AB43" s="25">
        <f t="shared" si="2"/>
        <v>284.24732</v>
      </c>
      <c r="AC43" s="25">
        <f t="shared" si="3"/>
        <v>264.49268000000001</v>
      </c>
      <c r="AM43">
        <v>3.6</v>
      </c>
      <c r="AP43" s="17">
        <v>1.4112899999999999E-2</v>
      </c>
      <c r="AQ43" s="17">
        <v>1.5197570000000001E-2</v>
      </c>
      <c r="AR43" s="17"/>
      <c r="AS43" s="17"/>
      <c r="AT43" s="25">
        <f t="shared" si="4"/>
        <v>284.24732</v>
      </c>
      <c r="AU43" s="25">
        <f t="shared" si="5"/>
        <v>264.49268000000001</v>
      </c>
    </row>
    <row r="44" spans="1:47" x14ac:dyDescent="0.25">
      <c r="A44">
        <v>3.7</v>
      </c>
      <c r="D44" s="17">
        <v>3.3003300000000002E-3</v>
      </c>
      <c r="E44" s="17"/>
      <c r="H44" s="25">
        <f t="shared" si="0"/>
        <v>284.52168999999998</v>
      </c>
      <c r="I44" s="25">
        <f t="shared" si="1"/>
        <v>264.21830999999997</v>
      </c>
      <c r="J44" s="25"/>
      <c r="U44">
        <v>3.7</v>
      </c>
      <c r="X44" s="17">
        <v>8.6206900000000003E-3</v>
      </c>
      <c r="Y44" s="17"/>
      <c r="AB44" s="25">
        <f t="shared" si="2"/>
        <v>284.52168999999998</v>
      </c>
      <c r="AC44" s="25">
        <f t="shared" si="3"/>
        <v>264.21830999999997</v>
      </c>
      <c r="AM44">
        <v>3.7</v>
      </c>
      <c r="AP44" s="17">
        <v>1.4112899999999999E-2</v>
      </c>
      <c r="AQ44" s="17">
        <v>1.5197570000000001E-2</v>
      </c>
      <c r="AR44" s="17"/>
      <c r="AS44" s="17"/>
      <c r="AT44" s="25">
        <f t="shared" si="4"/>
        <v>284.52168999999998</v>
      </c>
      <c r="AU44" s="25">
        <f t="shared" si="5"/>
        <v>264.21830999999997</v>
      </c>
    </row>
    <row r="45" spans="1:47" x14ac:dyDescent="0.25">
      <c r="A45">
        <v>3.8</v>
      </c>
      <c r="D45" s="17"/>
      <c r="U45">
        <v>3.8</v>
      </c>
      <c r="X45" s="17">
        <v>6.8965520000000002E-3</v>
      </c>
      <c r="Y45" s="17"/>
      <c r="AM45">
        <v>3.8</v>
      </c>
      <c r="AP45" s="17">
        <v>1.008065E-2</v>
      </c>
      <c r="AQ45" s="17">
        <v>1.5197570000000001E-2</v>
      </c>
      <c r="AR45" s="17"/>
      <c r="AS45" s="17"/>
    </row>
    <row r="46" spans="1:47" x14ac:dyDescent="0.25">
      <c r="A46">
        <v>3.9</v>
      </c>
      <c r="D46" s="17"/>
      <c r="U46">
        <v>3.9</v>
      </c>
      <c r="X46" s="17">
        <v>5.1724140000000002E-3</v>
      </c>
      <c r="Y46" s="17"/>
      <c r="AM46">
        <v>3.9</v>
      </c>
      <c r="AP46" s="17">
        <v>6.0483869999999997E-3</v>
      </c>
      <c r="AQ46" s="17">
        <v>9.1185410000000008E-3</v>
      </c>
      <c r="AR46" s="17"/>
      <c r="AS46" s="17"/>
    </row>
    <row r="47" spans="1:47" x14ac:dyDescent="0.25">
      <c r="A47">
        <v>4</v>
      </c>
      <c r="D47" s="17"/>
      <c r="U47">
        <v>4</v>
      </c>
      <c r="X47" s="17">
        <v>3.4482760000000001E-3</v>
      </c>
      <c r="Y47" s="17"/>
      <c r="AM47">
        <v>4</v>
      </c>
      <c r="AP47" s="17">
        <v>6.0483869999999997E-3</v>
      </c>
      <c r="AQ47" s="17">
        <v>9.1185410000000008E-3</v>
      </c>
      <c r="AR47" s="17"/>
      <c r="AS47" s="17"/>
    </row>
    <row r="48" spans="1:47" x14ac:dyDescent="0.25">
      <c r="A48">
        <v>4.0999999999999996</v>
      </c>
      <c r="D48" s="17"/>
      <c r="U48">
        <v>4.0999999999999996</v>
      </c>
      <c r="X48" s="17">
        <v>3.4482760000000001E-3</v>
      </c>
      <c r="Y48" s="17"/>
      <c r="AM48">
        <v>4.0999999999999996</v>
      </c>
      <c r="AP48" s="17">
        <v>4.0322580000000004E-3</v>
      </c>
      <c r="AQ48" s="17">
        <v>6.0790269999999999E-3</v>
      </c>
      <c r="AR48" s="17"/>
      <c r="AS48" s="17"/>
    </row>
    <row r="49" spans="1:45" x14ac:dyDescent="0.25">
      <c r="A49">
        <v>4.2</v>
      </c>
      <c r="D49" s="17"/>
      <c r="U49">
        <v>4.2</v>
      </c>
      <c r="X49" s="17">
        <v>3.4482760000000001E-3</v>
      </c>
      <c r="Y49" s="17"/>
      <c r="AM49">
        <v>4.2</v>
      </c>
      <c r="AP49" s="17">
        <v>2.0161290000000002E-3</v>
      </c>
      <c r="AQ49" s="17"/>
      <c r="AR49" s="17"/>
      <c r="AS49" s="17"/>
    </row>
    <row r="50" spans="1:45" x14ac:dyDescent="0.25">
      <c r="A50">
        <v>4.3</v>
      </c>
      <c r="D50" s="17"/>
      <c r="U50">
        <v>4.3</v>
      </c>
      <c r="X50" s="17">
        <v>1.7241380000000001E-3</v>
      </c>
      <c r="Y50" s="17"/>
      <c r="AM50">
        <v>4.3</v>
      </c>
      <c r="AP50" s="17"/>
      <c r="AQ50" s="17"/>
      <c r="AR50" s="17"/>
      <c r="AS50" s="17"/>
    </row>
    <row r="51" spans="1:45" x14ac:dyDescent="0.25">
      <c r="A51">
        <v>4.4000000000000004</v>
      </c>
      <c r="D51" s="17"/>
      <c r="U51">
        <v>4.4000000000000004</v>
      </c>
      <c r="X51" s="17">
        <v>1.7241380000000001E-3</v>
      </c>
      <c r="Y51" s="17"/>
      <c r="AM51">
        <v>4.4000000000000004</v>
      </c>
      <c r="AP51" s="17"/>
      <c r="AQ51" s="17"/>
    </row>
    <row r="52" spans="1:45" x14ac:dyDescent="0.25">
      <c r="A52">
        <v>4.5</v>
      </c>
      <c r="D52" s="17"/>
      <c r="U52">
        <v>4.5</v>
      </c>
      <c r="X52" s="17">
        <v>0</v>
      </c>
      <c r="Y52" s="17"/>
      <c r="AM52">
        <v>4.5</v>
      </c>
      <c r="AP52" s="17"/>
      <c r="AQ52" s="17"/>
    </row>
    <row r="53" spans="1:45" x14ac:dyDescent="0.25">
      <c r="A53" s="25" t="s">
        <v>75</v>
      </c>
      <c r="D53" s="17"/>
      <c r="X53" s="17"/>
      <c r="AP53" s="17"/>
      <c r="AQ53" s="17"/>
    </row>
    <row r="54" spans="1:45" x14ac:dyDescent="0.25">
      <c r="A54" t="s">
        <v>27</v>
      </c>
      <c r="D54" s="25">
        <v>5.0999999999999996</v>
      </c>
      <c r="E54" s="25">
        <v>1.6</v>
      </c>
      <c r="F54" s="25"/>
      <c r="H54" s="25"/>
      <c r="I54" s="25"/>
      <c r="J54" s="25"/>
      <c r="K54" s="25"/>
      <c r="R54" s="25"/>
      <c r="S54" s="25"/>
      <c r="T54" s="25"/>
      <c r="U54" s="25" t="s">
        <v>27</v>
      </c>
      <c r="X54" s="25">
        <v>4.7</v>
      </c>
      <c r="Y54" s="25">
        <v>1.6</v>
      </c>
      <c r="AP54" s="17"/>
      <c r="AQ54" s="17"/>
    </row>
    <row r="55" spans="1:45" x14ac:dyDescent="0.25">
      <c r="A55" t="s">
        <v>26</v>
      </c>
      <c r="D55">
        <v>5</v>
      </c>
      <c r="E55">
        <v>2</v>
      </c>
      <c r="U55" t="s">
        <v>26</v>
      </c>
      <c r="X55">
        <v>4</v>
      </c>
      <c r="Y55">
        <v>2</v>
      </c>
      <c r="AM55" t="s">
        <v>27</v>
      </c>
      <c r="AP55" s="25">
        <v>3.3</v>
      </c>
      <c r="AQ55" s="25">
        <v>1.8</v>
      </c>
    </row>
    <row r="56" spans="1:45" x14ac:dyDescent="0.25">
      <c r="A56" t="s">
        <v>25</v>
      </c>
      <c r="D56" s="25">
        <v>6.6</v>
      </c>
      <c r="E56" s="25">
        <v>2.4</v>
      </c>
      <c r="F56" s="25"/>
      <c r="U56" s="25" t="s">
        <v>25</v>
      </c>
      <c r="X56" s="25">
        <v>5.3</v>
      </c>
      <c r="Y56" s="25">
        <v>2.2000000000000002</v>
      </c>
      <c r="Z56" s="25"/>
      <c r="AA56" s="25"/>
      <c r="AM56" t="s">
        <v>26</v>
      </c>
      <c r="AP56">
        <v>3</v>
      </c>
      <c r="AQ56">
        <v>2</v>
      </c>
    </row>
    <row r="57" spans="1:45" x14ac:dyDescent="0.25">
      <c r="A57" s="17" t="s">
        <v>76</v>
      </c>
      <c r="B57" s="17"/>
      <c r="C57" s="17"/>
      <c r="D57" s="17">
        <v>0.17391300000000001</v>
      </c>
      <c r="E57" s="17">
        <v>0.1098901</v>
      </c>
      <c r="F57" s="17"/>
      <c r="G57" s="17"/>
      <c r="H57" s="25"/>
      <c r="I57" s="25"/>
      <c r="J57" s="25"/>
      <c r="K57" s="25"/>
      <c r="R57" s="25"/>
      <c r="S57" s="25"/>
      <c r="T57" s="25"/>
      <c r="U57" s="17" t="s">
        <v>76</v>
      </c>
      <c r="V57" s="17"/>
      <c r="W57" s="17"/>
      <c r="X57" s="17">
        <v>0.16363639999999999</v>
      </c>
      <c r="Y57" s="17">
        <v>0.1651376</v>
      </c>
      <c r="Z57" s="17"/>
      <c r="AA57" s="17"/>
      <c r="AM57" t="s">
        <v>25</v>
      </c>
      <c r="AP57" s="25">
        <v>3.6</v>
      </c>
      <c r="AQ57" s="25">
        <v>2.4</v>
      </c>
    </row>
    <row r="58" spans="1:45" x14ac:dyDescent="0.25">
      <c r="A58" s="17" t="s">
        <v>133</v>
      </c>
      <c r="D58">
        <v>2.1739129999999999E-2</v>
      </c>
      <c r="E58">
        <v>6.5934069999999997E-2</v>
      </c>
      <c r="U58" s="17" t="s">
        <v>133</v>
      </c>
      <c r="X58">
        <v>6.3636360000000003E-2</v>
      </c>
      <c r="Y58">
        <v>3.6697250000000001E-2</v>
      </c>
      <c r="AM58" s="17" t="s">
        <v>76</v>
      </c>
      <c r="AN58" s="17"/>
      <c r="AO58" s="17"/>
      <c r="AP58" s="17">
        <v>0.12949640000000001</v>
      </c>
      <c r="AQ58" s="17">
        <v>0.1376812</v>
      </c>
      <c r="AR58" s="17"/>
      <c r="AS58" s="17"/>
    </row>
    <row r="59" spans="1:45" x14ac:dyDescent="0.25">
      <c r="A59" t="s">
        <v>78</v>
      </c>
      <c r="B59" s="17"/>
      <c r="C59" s="17"/>
      <c r="D59" s="17">
        <v>0.39130429999999999</v>
      </c>
      <c r="E59" s="17">
        <v>0.20879120000000001</v>
      </c>
      <c r="F59" s="17"/>
      <c r="G59" s="17"/>
      <c r="U59" t="s">
        <v>78</v>
      </c>
      <c r="V59" s="17"/>
      <c r="W59" s="17"/>
      <c r="X59" s="17">
        <v>0.3454545</v>
      </c>
      <c r="Y59" s="17">
        <v>0.1651376</v>
      </c>
      <c r="Z59" s="17"/>
      <c r="AA59" s="17"/>
      <c r="AM59" s="17" t="s">
        <v>133</v>
      </c>
      <c r="AN59" s="17"/>
      <c r="AO59" s="17"/>
      <c r="AP59" s="17">
        <v>4.3165469999999997E-2</v>
      </c>
      <c r="AQ59" s="17">
        <v>6.521739E-2</v>
      </c>
      <c r="AR59" s="17"/>
      <c r="AS59" s="17"/>
    </row>
    <row r="60" spans="1:45" x14ac:dyDescent="0.25">
      <c r="A60" t="s">
        <v>135</v>
      </c>
      <c r="B60" s="17"/>
      <c r="C60" s="17"/>
      <c r="D60" s="17">
        <v>0.31521739999999998</v>
      </c>
      <c r="E60" s="17">
        <v>0.1098901</v>
      </c>
      <c r="F60" s="17"/>
      <c r="G60" s="17"/>
      <c r="U60" t="s">
        <v>135</v>
      </c>
      <c r="V60" s="17"/>
      <c r="W60" s="17"/>
      <c r="X60" s="17">
        <v>0.27272730000000001</v>
      </c>
      <c r="Y60" s="17">
        <v>0.1192661</v>
      </c>
      <c r="Z60" s="17"/>
      <c r="AA60" s="17"/>
      <c r="AM60" t="s">
        <v>78</v>
      </c>
      <c r="AN60" s="17"/>
      <c r="AO60" s="17"/>
      <c r="AP60" s="17">
        <v>0.25179859999999998</v>
      </c>
      <c r="AQ60" s="17">
        <v>0.18840580000000001</v>
      </c>
      <c r="AR60" s="17"/>
      <c r="AS60" s="17"/>
    </row>
    <row r="61" spans="1:45" x14ac:dyDescent="0.25">
      <c r="B61" s="17"/>
      <c r="C61" s="17"/>
      <c r="D61">
        <v>25</v>
      </c>
      <c r="E61">
        <v>7</v>
      </c>
      <c r="F61" s="17"/>
      <c r="G61" s="17"/>
      <c r="V61" s="17"/>
      <c r="W61" s="17"/>
      <c r="X61">
        <v>23</v>
      </c>
      <c r="Y61">
        <v>8</v>
      </c>
      <c r="Z61" s="17"/>
      <c r="AA61" s="17"/>
      <c r="AM61" t="s">
        <v>135</v>
      </c>
      <c r="AP61">
        <v>0.19424459999999999</v>
      </c>
      <c r="AQ61">
        <v>0.1376812</v>
      </c>
    </row>
    <row r="62" spans="1:45" x14ac:dyDescent="0.25">
      <c r="D62" s="17"/>
      <c r="X62" s="17"/>
      <c r="AP62" s="6">
        <v>21</v>
      </c>
      <c r="AQ62" s="6">
        <v>10</v>
      </c>
    </row>
    <row r="66" spans="1:51" x14ac:dyDescent="0.25">
      <c r="A66">
        <v>14.61</v>
      </c>
      <c r="B66" t="s">
        <v>44</v>
      </c>
      <c r="C66">
        <v>16.13</v>
      </c>
      <c r="D66" t="s">
        <v>27</v>
      </c>
      <c r="E66" s="14"/>
      <c r="F66" t="s">
        <v>26</v>
      </c>
      <c r="G66" s="14"/>
      <c r="H66" t="s">
        <v>25</v>
      </c>
      <c r="I66" s="14"/>
      <c r="J66" s="14"/>
      <c r="T66" s="14"/>
      <c r="V66">
        <v>16.13</v>
      </c>
      <c r="W66" t="s">
        <v>45</v>
      </c>
      <c r="X66">
        <v>17.73</v>
      </c>
      <c r="Y66" t="s">
        <v>27</v>
      </c>
      <c r="Z66" s="14"/>
      <c r="AA66" t="s">
        <v>26</v>
      </c>
      <c r="AB66" s="14"/>
      <c r="AC66" t="s">
        <v>25</v>
      </c>
      <c r="AD66" s="14"/>
      <c r="AN66">
        <v>17.73</v>
      </c>
      <c r="AO66" t="s">
        <v>46</v>
      </c>
      <c r="AP66">
        <v>19.71</v>
      </c>
      <c r="AQ66" t="s">
        <v>27</v>
      </c>
      <c r="AR66" s="14"/>
      <c r="AS66" t="s">
        <v>26</v>
      </c>
      <c r="AT66" s="14"/>
      <c r="AU66" t="s">
        <v>25</v>
      </c>
      <c r="AV66" s="14"/>
    </row>
    <row r="67" spans="1:51" x14ac:dyDescent="0.25">
      <c r="A67" t="s">
        <v>67</v>
      </c>
      <c r="D67" t="s">
        <v>27</v>
      </c>
      <c r="E67" s="14">
        <v>1.5846039999999999E-2</v>
      </c>
      <c r="F67" t="s">
        <v>26</v>
      </c>
      <c r="G67" s="14">
        <v>2.9285409999999998E-3</v>
      </c>
      <c r="H67" t="s">
        <v>25</v>
      </c>
      <c r="I67" s="14">
        <v>2.5932009999999998E-3</v>
      </c>
      <c r="J67" s="14"/>
      <c r="K67" s="14"/>
      <c r="M67" s="14"/>
      <c r="N67" s="14"/>
      <c r="O67" s="14"/>
      <c r="P67" s="14"/>
      <c r="Q67" s="14"/>
      <c r="R67" s="14"/>
      <c r="S67" s="14"/>
      <c r="T67" s="14"/>
      <c r="Y67" t="s">
        <v>27</v>
      </c>
      <c r="Z67" s="14">
        <v>1.669938E-2</v>
      </c>
      <c r="AA67" t="s">
        <v>26</v>
      </c>
      <c r="AB67" s="14">
        <v>4.0182789999999996E-3</v>
      </c>
      <c r="AC67" t="s">
        <v>25</v>
      </c>
      <c r="AD67" s="14">
        <v>2.6121790000000001E-3</v>
      </c>
      <c r="AQ67" t="s">
        <v>27</v>
      </c>
      <c r="AR67" s="14">
        <v>2.0256119999999999E-2</v>
      </c>
      <c r="AS67" t="s">
        <v>26</v>
      </c>
      <c r="AT67" s="14">
        <v>3.1121949999999999E-3</v>
      </c>
      <c r="AU67" t="s">
        <v>25</v>
      </c>
      <c r="AV67" s="14">
        <v>2.6774020000000002E-3</v>
      </c>
      <c r="AW67" s="14"/>
    </row>
    <row r="68" spans="1:51" x14ac:dyDescent="0.25">
      <c r="A68" t="s">
        <v>64</v>
      </c>
      <c r="D68" t="s">
        <v>27</v>
      </c>
      <c r="E68" s="14"/>
      <c r="F68" t="s">
        <v>26</v>
      </c>
      <c r="G68" s="14"/>
      <c r="H68" t="s">
        <v>25</v>
      </c>
      <c r="I68" s="14"/>
      <c r="J68" s="14"/>
      <c r="T68" s="14"/>
      <c r="Y68" t="s">
        <v>27</v>
      </c>
      <c r="Z68" s="14"/>
      <c r="AA68" t="s">
        <v>26</v>
      </c>
      <c r="AB68" s="14"/>
      <c r="AC68" t="s">
        <v>25</v>
      </c>
      <c r="AD68" s="14"/>
      <c r="AQ68" t="s">
        <v>27</v>
      </c>
      <c r="AR68" s="14"/>
      <c r="AS68" t="s">
        <v>26</v>
      </c>
      <c r="AT68" s="14"/>
      <c r="AU68" t="s">
        <v>25</v>
      </c>
      <c r="AV68" s="14"/>
    </row>
    <row r="69" spans="1:51" x14ac:dyDescent="0.25">
      <c r="A69" t="s">
        <v>27</v>
      </c>
      <c r="B69" s="14"/>
      <c r="C69" s="14"/>
      <c r="D69" s="14">
        <v>9.8882429999999997E-3</v>
      </c>
      <c r="E69" s="14">
        <v>9.5119920000000004E-3</v>
      </c>
      <c r="F69" s="14"/>
      <c r="G69" s="14"/>
      <c r="I69" s="21" t="s">
        <v>40</v>
      </c>
      <c r="J69" s="21"/>
      <c r="V69" t="s">
        <v>27</v>
      </c>
      <c r="W69" s="14"/>
      <c r="X69" s="14"/>
      <c r="Y69" s="14">
        <v>1.012242E-2</v>
      </c>
      <c r="Z69" s="14">
        <v>1.004436E-2</v>
      </c>
      <c r="AA69" s="14"/>
      <c r="AB69" s="14"/>
      <c r="AD69" s="21" t="s">
        <v>40</v>
      </c>
      <c r="AF69">
        <v>487</v>
      </c>
      <c r="AL69">
        <v>491</v>
      </c>
      <c r="AN69" t="s">
        <v>27</v>
      </c>
      <c r="AO69" s="14"/>
      <c r="AP69" s="14"/>
      <c r="AQ69" s="14">
        <v>1.268946E-2</v>
      </c>
      <c r="AR69" s="14">
        <v>1.136971E-2</v>
      </c>
      <c r="AT69" s="14"/>
      <c r="AV69" s="21" t="s">
        <v>40</v>
      </c>
      <c r="AX69">
        <v>462</v>
      </c>
    </row>
    <row r="70" spans="1:51" x14ac:dyDescent="0.25">
      <c r="A70" t="s">
        <v>26</v>
      </c>
      <c r="B70" s="14"/>
      <c r="C70" s="14"/>
      <c r="D70" s="14">
        <v>1.160508E-2</v>
      </c>
      <c r="E70" s="14">
        <v>-1.002755E-2</v>
      </c>
      <c r="F70" s="14"/>
      <c r="G70" s="14"/>
      <c r="I70" s="21" t="s">
        <v>41</v>
      </c>
      <c r="J70" s="21"/>
      <c r="V70" t="s">
        <v>26</v>
      </c>
      <c r="W70" s="14"/>
      <c r="X70" s="14"/>
      <c r="Y70" s="14">
        <v>1.160081E-2</v>
      </c>
      <c r="Z70" s="14">
        <v>-1.0936400000000001E-2</v>
      </c>
      <c r="AA70" s="14"/>
      <c r="AB70" s="14"/>
      <c r="AD70" s="21" t="s">
        <v>41</v>
      </c>
      <c r="AF70">
        <v>338</v>
      </c>
      <c r="AL70">
        <v>332</v>
      </c>
      <c r="AN70" t="s">
        <v>26</v>
      </c>
      <c r="AO70" s="14"/>
      <c r="AP70" s="14"/>
      <c r="AQ70" s="14">
        <v>1.5212949999999999E-2</v>
      </c>
      <c r="AR70" s="14">
        <v>-1.3666019999999999E-2</v>
      </c>
      <c r="AT70" s="14"/>
      <c r="AV70" s="21" t="s">
        <v>41</v>
      </c>
      <c r="AX70">
        <v>363</v>
      </c>
    </row>
    <row r="71" spans="1:51" x14ac:dyDescent="0.25">
      <c r="A71" t="s">
        <v>25</v>
      </c>
      <c r="B71" s="14"/>
      <c r="C71" s="14"/>
      <c r="D71" s="14">
        <v>1.3434349999999999E-2</v>
      </c>
      <c r="E71" s="14">
        <v>-1.1831049999999999E-2</v>
      </c>
      <c r="F71" s="14"/>
      <c r="G71" s="14"/>
      <c r="I71" t="s">
        <v>42</v>
      </c>
      <c r="K71" s="13"/>
      <c r="L71" s="13"/>
      <c r="M71" s="13"/>
      <c r="N71" s="13"/>
      <c r="O71" s="13"/>
      <c r="P71" s="13"/>
      <c r="Q71" s="13"/>
      <c r="R71" s="13"/>
      <c r="S71" s="13"/>
      <c r="V71" t="s">
        <v>25</v>
      </c>
      <c r="W71" s="14"/>
      <c r="X71" s="14"/>
      <c r="Y71" s="14">
        <v>1.36945E-2</v>
      </c>
      <c r="Z71" s="14">
        <v>-1.3355550000000001E-2</v>
      </c>
      <c r="AA71" s="14"/>
      <c r="AB71" s="14"/>
      <c r="AD71" t="s">
        <v>42</v>
      </c>
      <c r="AE71" s="13" t="e">
        <f>AE69/AE70</f>
        <v>#DIV/0!</v>
      </c>
      <c r="AF71" s="13">
        <f>AF69/AF70</f>
        <v>1.4408284023668638</v>
      </c>
      <c r="AG71" s="13" t="e">
        <f>AG69/AG70</f>
        <v>#DIV/0!</v>
      </c>
      <c r="AH71" s="13"/>
      <c r="AI71" s="13"/>
      <c r="AJ71" s="13"/>
      <c r="AK71" s="13"/>
      <c r="AL71" s="13">
        <f>AL69/AL70</f>
        <v>1.4789156626506024</v>
      </c>
      <c r="AN71" t="s">
        <v>25</v>
      </c>
      <c r="AO71" s="14"/>
      <c r="AP71" s="14"/>
      <c r="AQ71" s="14">
        <v>1.7055580000000001E-2</v>
      </c>
      <c r="AR71" s="14">
        <v>-1.56221E-2</v>
      </c>
      <c r="AT71" s="14"/>
      <c r="AV71" t="s">
        <v>42</v>
      </c>
      <c r="AW71" s="13" t="e">
        <f>AW69/AW70</f>
        <v>#DIV/0!</v>
      </c>
      <c r="AX71" s="13">
        <f>AX69/AX70</f>
        <v>1.2727272727272727</v>
      </c>
      <c r="AY71" s="13" t="e">
        <f>AY69/AY70</f>
        <v>#DIV/0!</v>
      </c>
    </row>
    <row r="72" spans="1:51" x14ac:dyDescent="0.25">
      <c r="A72" t="s">
        <v>31</v>
      </c>
      <c r="B72" t="s">
        <v>30</v>
      </c>
      <c r="C72" t="s">
        <v>33</v>
      </c>
      <c r="D72" t="s">
        <v>58</v>
      </c>
      <c r="E72" t="s">
        <v>59</v>
      </c>
      <c r="F72" t="s">
        <v>65</v>
      </c>
      <c r="G72" t="s">
        <v>66</v>
      </c>
      <c r="K72" s="17"/>
      <c r="L72" s="17"/>
      <c r="M72" s="17"/>
      <c r="N72" s="17"/>
      <c r="O72" s="17"/>
      <c r="P72" s="17"/>
      <c r="Q72" s="17"/>
      <c r="R72" s="17"/>
      <c r="S72" s="17"/>
      <c r="V72" t="s">
        <v>31</v>
      </c>
      <c r="W72" t="s">
        <v>30</v>
      </c>
      <c r="X72" t="s">
        <v>33</v>
      </c>
      <c r="Y72" t="s">
        <v>58</v>
      </c>
      <c r="Z72" t="s">
        <v>59</v>
      </c>
      <c r="AA72" t="s">
        <v>65</v>
      </c>
      <c r="AB72" t="s">
        <v>66</v>
      </c>
      <c r="AE72" s="17" t="e">
        <f>AE69/SUM(AE69:AE70)</f>
        <v>#DIV/0!</v>
      </c>
      <c r="AF72" s="17">
        <f>AF69/SUM(AF69:AF70)</f>
        <v>0.59030303030303033</v>
      </c>
      <c r="AG72" s="17" t="e">
        <f>AG69/SUM(AG69:AG70)</f>
        <v>#DIV/0!</v>
      </c>
      <c r="AH72" s="17"/>
      <c r="AI72" s="17"/>
      <c r="AJ72" s="17"/>
      <c r="AK72" s="17"/>
      <c r="AL72" s="17">
        <f>AL69/SUM(AL69:AL70)</f>
        <v>0.59659781287970837</v>
      </c>
      <c r="AN72" t="s">
        <v>31</v>
      </c>
      <c r="AO72" t="s">
        <v>30</v>
      </c>
      <c r="AP72" t="s">
        <v>33</v>
      </c>
      <c r="AQ72" t="s">
        <v>23</v>
      </c>
      <c r="AR72" t="s">
        <v>24</v>
      </c>
      <c r="AS72" t="s">
        <v>65</v>
      </c>
      <c r="AT72" t="s">
        <v>66</v>
      </c>
      <c r="AW72" s="17" t="e">
        <f>AW69/SUM(AW69:AW70)</f>
        <v>#DIV/0!</v>
      </c>
      <c r="AX72" s="17">
        <f>AX69/SUM(AX69:AX70)</f>
        <v>0.56000000000000005</v>
      </c>
      <c r="AY72" s="17" t="e">
        <f>AY69/SUM(AY69:AY70)</f>
        <v>#DIV/0!</v>
      </c>
    </row>
    <row r="73" spans="1:51" x14ac:dyDescent="0.25">
      <c r="A73">
        <v>0.1</v>
      </c>
      <c r="B73" s="17"/>
      <c r="C73" s="17"/>
      <c r="D73" s="17">
        <v>0.97452229999999995</v>
      </c>
      <c r="E73" s="17">
        <v>0.93502819999999998</v>
      </c>
      <c r="F73" s="17"/>
      <c r="G73" s="17"/>
      <c r="H73" s="25">
        <f t="shared" ref="H73:H109" si="6">$M$128*(A73/100+1)</f>
        <v>274.64436999999998</v>
      </c>
      <c r="I73" s="25">
        <f t="shared" ref="I73:I109" si="7">(1-A73/100)*$M$128</f>
        <v>274.09563000000003</v>
      </c>
      <c r="J73" s="25"/>
      <c r="K73" s="17"/>
      <c r="L73" s="17"/>
      <c r="M73" s="17"/>
      <c r="N73" s="17"/>
      <c r="O73" s="17"/>
      <c r="P73" s="17"/>
      <c r="Q73" s="17"/>
      <c r="R73" s="17"/>
      <c r="S73" s="17"/>
      <c r="V73">
        <v>0.1</v>
      </c>
      <c r="W73" s="17"/>
      <c r="X73" s="17"/>
      <c r="Y73" s="17">
        <v>0.96919920000000004</v>
      </c>
      <c r="Z73" s="17">
        <v>0.95266269999999997</v>
      </c>
      <c r="AA73" s="17"/>
      <c r="AB73" s="17"/>
      <c r="AC73" s="25">
        <f t="shared" ref="AC73:AC109" si="8">$M$128*(V73/100+1)</f>
        <v>274.64436999999998</v>
      </c>
      <c r="AD73" s="25">
        <f t="shared" ref="AD73:AD109" si="9">(1-V73/100)*$M$128</f>
        <v>274.09563000000003</v>
      </c>
      <c r="AE73" s="17" t="e">
        <f>AE70/SUM(AE69:AE70)</f>
        <v>#DIV/0!</v>
      </c>
      <c r="AF73" s="17">
        <f>AF70/SUM(AF69:AF70)</f>
        <v>0.40969696969696967</v>
      </c>
      <c r="AG73" s="17" t="e">
        <f>AG70/SUM(AG69:AG70)</f>
        <v>#DIV/0!</v>
      </c>
      <c r="AH73" s="17"/>
      <c r="AI73" s="17"/>
      <c r="AJ73" s="17"/>
      <c r="AK73" s="17"/>
      <c r="AL73" s="17">
        <f>AL70/SUM(AL69:AL70)</f>
        <v>0.40340218712029163</v>
      </c>
      <c r="AN73">
        <v>0.1</v>
      </c>
      <c r="AO73" s="17"/>
      <c r="AP73" s="17"/>
      <c r="AQ73" s="17">
        <v>0.965368</v>
      </c>
      <c r="AR73" s="17">
        <v>0.96143250000000002</v>
      </c>
      <c r="AS73" s="17"/>
      <c r="AT73" s="17"/>
      <c r="AU73" s="25">
        <f t="shared" ref="AU73:AU109" si="10">$M$128*(AN73/100+1)</f>
        <v>274.64436999999998</v>
      </c>
      <c r="AV73" s="25">
        <f t="shared" ref="AV73:AV109" si="11">(1-AN73/100)*$M$128</f>
        <v>274.09563000000003</v>
      </c>
      <c r="AW73" s="17" t="e">
        <f>AW70/SUM(AW69:AW70)</f>
        <v>#DIV/0!</v>
      </c>
      <c r="AX73" s="17">
        <f>AX70/SUM(AX69:AX70)</f>
        <v>0.44</v>
      </c>
      <c r="AY73" s="17" t="e">
        <f>AY70/SUM(AY69:AY70)</f>
        <v>#DIV/0!</v>
      </c>
    </row>
    <row r="74" spans="1:51" x14ac:dyDescent="0.25">
      <c r="A74">
        <v>0.2</v>
      </c>
      <c r="B74" s="17"/>
      <c r="C74" s="17"/>
      <c r="D74" s="17">
        <v>0.92993630000000005</v>
      </c>
      <c r="E74" s="17">
        <v>0.88700559999999995</v>
      </c>
      <c r="F74" s="17"/>
      <c r="G74" s="17"/>
      <c r="H74" s="25">
        <f t="shared" si="6"/>
        <v>274.91874000000001</v>
      </c>
      <c r="I74" s="25">
        <f t="shared" si="7"/>
        <v>273.82126</v>
      </c>
      <c r="J74" s="25"/>
      <c r="V74">
        <v>0.2</v>
      </c>
      <c r="W74" s="17"/>
      <c r="X74" s="17"/>
      <c r="Y74" s="17">
        <v>0.92607799999999996</v>
      </c>
      <c r="Z74" s="17">
        <v>0.92011829999999994</v>
      </c>
      <c r="AA74" s="17"/>
      <c r="AB74" s="17"/>
      <c r="AC74" s="25">
        <f t="shared" si="8"/>
        <v>274.91874000000001</v>
      </c>
      <c r="AD74" s="25">
        <f t="shared" si="9"/>
        <v>273.82126</v>
      </c>
      <c r="AN74">
        <v>0.2</v>
      </c>
      <c r="AO74" s="17"/>
      <c r="AP74" s="17"/>
      <c r="AQ74" s="17">
        <v>0.92640690000000003</v>
      </c>
      <c r="AR74" s="17">
        <v>0.92011019999999999</v>
      </c>
      <c r="AS74" s="17"/>
      <c r="AT74" s="17"/>
      <c r="AU74" s="25">
        <f t="shared" si="10"/>
        <v>274.91874000000001</v>
      </c>
      <c r="AV74" s="25">
        <f t="shared" si="11"/>
        <v>273.82126</v>
      </c>
    </row>
    <row r="75" spans="1:51" x14ac:dyDescent="0.25">
      <c r="A75">
        <v>0.3</v>
      </c>
      <c r="B75" s="17"/>
      <c r="C75" s="17"/>
      <c r="D75" s="17">
        <v>0.87261149999999998</v>
      </c>
      <c r="E75" s="17">
        <v>0.8248588</v>
      </c>
      <c r="F75" s="17"/>
      <c r="G75" s="17"/>
      <c r="H75" s="25">
        <f t="shared" si="6"/>
        <v>275.19310999999999</v>
      </c>
      <c r="I75" s="25">
        <f t="shared" si="7"/>
        <v>273.54689000000002</v>
      </c>
      <c r="J75" s="25"/>
      <c r="V75">
        <v>0.3</v>
      </c>
      <c r="W75" s="17"/>
      <c r="X75" s="17"/>
      <c r="Y75" s="17">
        <v>0.88706370000000001</v>
      </c>
      <c r="Z75" s="17">
        <v>0.88461540000000005</v>
      </c>
      <c r="AA75" s="17"/>
      <c r="AB75" s="17"/>
      <c r="AC75" s="25">
        <f t="shared" si="8"/>
        <v>275.19310999999999</v>
      </c>
      <c r="AD75" s="25">
        <f t="shared" si="9"/>
        <v>273.54689000000002</v>
      </c>
      <c r="AN75">
        <v>0.3</v>
      </c>
      <c r="AO75" s="17"/>
      <c r="AP75" s="17"/>
      <c r="AQ75" s="17">
        <v>0.90259739999999999</v>
      </c>
      <c r="AR75" s="17">
        <v>0.88980720000000002</v>
      </c>
      <c r="AS75" s="17"/>
      <c r="AT75" s="17"/>
      <c r="AU75" s="25">
        <f t="shared" si="10"/>
        <v>275.19310999999999</v>
      </c>
      <c r="AV75" s="25">
        <f t="shared" si="11"/>
        <v>273.54689000000002</v>
      </c>
    </row>
    <row r="76" spans="1:51" x14ac:dyDescent="0.25">
      <c r="A76">
        <v>0.4</v>
      </c>
      <c r="B76" s="17"/>
      <c r="C76" s="17"/>
      <c r="D76" s="17">
        <v>0.82377920000000004</v>
      </c>
      <c r="E76" s="17">
        <v>0.76836159999999998</v>
      </c>
      <c r="F76" s="17"/>
      <c r="G76" s="17"/>
      <c r="H76" s="25">
        <f t="shared" si="6"/>
        <v>275.46748000000002</v>
      </c>
      <c r="I76" s="25">
        <f t="shared" si="7"/>
        <v>273.27251999999999</v>
      </c>
      <c r="J76" s="25"/>
      <c r="V76">
        <v>0.4</v>
      </c>
      <c r="W76" s="17"/>
      <c r="X76" s="17"/>
      <c r="Y76" s="17">
        <v>0.84804930000000001</v>
      </c>
      <c r="Z76" s="17">
        <v>0.82248520000000003</v>
      </c>
      <c r="AA76" s="17"/>
      <c r="AB76" s="17"/>
      <c r="AC76" s="25">
        <f t="shared" si="8"/>
        <v>275.46748000000002</v>
      </c>
      <c r="AD76" s="25">
        <f t="shared" si="9"/>
        <v>273.27251999999999</v>
      </c>
      <c r="AN76">
        <v>0.4</v>
      </c>
      <c r="AO76" s="17"/>
      <c r="AP76" s="17"/>
      <c r="AQ76" s="17">
        <v>0.87012990000000001</v>
      </c>
      <c r="AR76" s="17">
        <v>0.85399449999999999</v>
      </c>
      <c r="AS76" s="17"/>
      <c r="AT76" s="17"/>
      <c r="AU76" s="25">
        <f t="shared" si="10"/>
        <v>275.46748000000002</v>
      </c>
      <c r="AV76" s="25">
        <f t="shared" si="11"/>
        <v>273.27251999999999</v>
      </c>
    </row>
    <row r="77" spans="1:51" x14ac:dyDescent="0.25">
      <c r="A77">
        <v>0.5</v>
      </c>
      <c r="B77" s="17"/>
      <c r="C77" s="17"/>
      <c r="D77" s="17">
        <v>0.77919320000000003</v>
      </c>
      <c r="E77" s="17">
        <v>0.71468929999999997</v>
      </c>
      <c r="F77" s="17"/>
      <c r="G77" s="17"/>
      <c r="H77" s="25">
        <f t="shared" si="6"/>
        <v>275.74185</v>
      </c>
      <c r="I77" s="25">
        <f t="shared" si="7"/>
        <v>272.99815000000001</v>
      </c>
      <c r="J77" s="25"/>
      <c r="V77">
        <v>0.5</v>
      </c>
      <c r="W77" s="17"/>
      <c r="X77" s="17"/>
      <c r="Y77" s="17">
        <v>0.78439429999999999</v>
      </c>
      <c r="Z77" s="17">
        <v>0.77218929999999997</v>
      </c>
      <c r="AA77" s="17"/>
      <c r="AB77" s="17"/>
      <c r="AC77" s="25">
        <f t="shared" si="8"/>
        <v>275.74185</v>
      </c>
      <c r="AD77" s="25">
        <f t="shared" si="9"/>
        <v>272.99815000000001</v>
      </c>
      <c r="AN77">
        <v>0.5</v>
      </c>
      <c r="AO77" s="17"/>
      <c r="AP77" s="17"/>
      <c r="AQ77" s="17">
        <v>0.8419913</v>
      </c>
      <c r="AR77" s="17">
        <v>0.79889810000000006</v>
      </c>
      <c r="AS77" s="17"/>
      <c r="AT77" s="17"/>
      <c r="AU77" s="25">
        <f t="shared" si="10"/>
        <v>275.74185</v>
      </c>
      <c r="AV77" s="25">
        <f t="shared" si="11"/>
        <v>272.99815000000001</v>
      </c>
    </row>
    <row r="78" spans="1:51" x14ac:dyDescent="0.25">
      <c r="A78">
        <v>0.6</v>
      </c>
      <c r="B78" s="17"/>
      <c r="C78" s="17"/>
      <c r="D78" s="17">
        <v>0.73036089999999998</v>
      </c>
      <c r="E78" s="17">
        <v>0.66384180000000004</v>
      </c>
      <c r="F78" s="17"/>
      <c r="G78" s="17"/>
      <c r="H78" s="25">
        <f t="shared" si="6"/>
        <v>276.01622000000003</v>
      </c>
      <c r="I78" s="25">
        <f t="shared" si="7"/>
        <v>272.72377999999998</v>
      </c>
      <c r="J78" s="25"/>
      <c r="V78">
        <v>0.6</v>
      </c>
      <c r="W78" s="17"/>
      <c r="X78" s="17"/>
      <c r="Y78" s="17">
        <v>0.72484599999999999</v>
      </c>
      <c r="Z78" s="17">
        <v>0.74260360000000003</v>
      </c>
      <c r="AA78" s="17"/>
      <c r="AB78" s="17"/>
      <c r="AC78" s="25">
        <f t="shared" si="8"/>
        <v>276.01622000000003</v>
      </c>
      <c r="AD78" s="25">
        <f t="shared" si="9"/>
        <v>272.72377999999998</v>
      </c>
      <c r="AN78">
        <v>0.6</v>
      </c>
      <c r="AO78" s="17"/>
      <c r="AP78" s="17"/>
      <c r="AQ78" s="17">
        <v>0.81818179999999996</v>
      </c>
      <c r="AR78" s="17">
        <v>0.76033059999999997</v>
      </c>
      <c r="AS78" s="17"/>
      <c r="AT78" s="17"/>
      <c r="AU78" s="25">
        <f t="shared" si="10"/>
        <v>276.01622000000003</v>
      </c>
      <c r="AV78" s="25">
        <f t="shared" si="11"/>
        <v>272.72377999999998</v>
      </c>
    </row>
    <row r="79" spans="1:51" x14ac:dyDescent="0.25">
      <c r="A79">
        <v>0.7</v>
      </c>
      <c r="B79" s="17"/>
      <c r="C79" s="17"/>
      <c r="D79" s="17">
        <v>0.66878979999999999</v>
      </c>
      <c r="E79" s="17">
        <v>0.62146889999999999</v>
      </c>
      <c r="F79" s="17"/>
      <c r="G79" s="17"/>
      <c r="H79" s="25">
        <f t="shared" si="6"/>
        <v>276.29058999999995</v>
      </c>
      <c r="I79" s="25">
        <f t="shared" si="7"/>
        <v>272.44941</v>
      </c>
      <c r="J79" s="25"/>
      <c r="V79">
        <v>0.7</v>
      </c>
      <c r="W79" s="17"/>
      <c r="X79" s="17"/>
      <c r="Y79" s="17">
        <v>0.67967149999999998</v>
      </c>
      <c r="Z79" s="17">
        <v>0.70118340000000001</v>
      </c>
      <c r="AA79" s="17"/>
      <c r="AB79" s="17"/>
      <c r="AC79" s="25">
        <f t="shared" si="8"/>
        <v>276.29058999999995</v>
      </c>
      <c r="AD79" s="25">
        <f t="shared" si="9"/>
        <v>272.44941</v>
      </c>
      <c r="AN79">
        <v>0.7</v>
      </c>
      <c r="AO79" s="17"/>
      <c r="AP79" s="17"/>
      <c r="AQ79" s="17">
        <v>0.77922080000000005</v>
      </c>
      <c r="AR79" s="17">
        <v>0.7355372</v>
      </c>
      <c r="AS79" s="17"/>
      <c r="AT79" s="17"/>
      <c r="AU79" s="25">
        <f t="shared" si="10"/>
        <v>276.29058999999995</v>
      </c>
      <c r="AV79" s="25">
        <f t="shared" si="11"/>
        <v>272.44941</v>
      </c>
    </row>
    <row r="80" spans="1:51" x14ac:dyDescent="0.25">
      <c r="A80">
        <v>0.8</v>
      </c>
      <c r="B80" s="17"/>
      <c r="C80" s="17"/>
      <c r="D80" s="17">
        <v>0.64118900000000001</v>
      </c>
      <c r="E80" s="17">
        <v>0.56779659999999998</v>
      </c>
      <c r="F80" s="17"/>
      <c r="G80" s="17"/>
      <c r="H80" s="25">
        <f t="shared" si="6"/>
        <v>276.56495999999999</v>
      </c>
      <c r="I80" s="25">
        <f t="shared" si="7"/>
        <v>272.17504000000002</v>
      </c>
      <c r="J80" s="25"/>
      <c r="V80">
        <v>0.8</v>
      </c>
      <c r="W80" s="17"/>
      <c r="X80" s="17"/>
      <c r="Y80" s="17">
        <v>0.6386037</v>
      </c>
      <c r="Z80" s="17">
        <v>0.63905330000000005</v>
      </c>
      <c r="AA80" s="17"/>
      <c r="AB80" s="17"/>
      <c r="AC80" s="25">
        <f t="shared" si="8"/>
        <v>276.56495999999999</v>
      </c>
      <c r="AD80" s="25">
        <f t="shared" si="9"/>
        <v>272.17504000000002</v>
      </c>
      <c r="AN80">
        <v>0.8</v>
      </c>
      <c r="AO80" s="17"/>
      <c r="AP80" s="17"/>
      <c r="AQ80" s="17">
        <v>0.72510819999999998</v>
      </c>
      <c r="AR80" s="17">
        <v>0.70247930000000003</v>
      </c>
      <c r="AS80" s="17"/>
      <c r="AT80" s="17"/>
      <c r="AU80" s="25">
        <f t="shared" si="10"/>
        <v>276.56495999999999</v>
      </c>
      <c r="AV80" s="25">
        <f t="shared" si="11"/>
        <v>272.17504000000002</v>
      </c>
    </row>
    <row r="81" spans="1:48" x14ac:dyDescent="0.25">
      <c r="A81">
        <v>0.9</v>
      </c>
      <c r="B81" s="17"/>
      <c r="C81" s="17"/>
      <c r="D81" s="17">
        <v>0.61358809999999997</v>
      </c>
      <c r="E81" s="17">
        <v>0.53954800000000003</v>
      </c>
      <c r="F81" s="17"/>
      <c r="G81" s="17"/>
      <c r="H81" s="25">
        <f t="shared" si="6"/>
        <v>276.83932999999996</v>
      </c>
      <c r="I81" s="25">
        <f t="shared" si="7"/>
        <v>271.90066999999999</v>
      </c>
      <c r="J81" s="25"/>
      <c r="V81">
        <v>0.9</v>
      </c>
      <c r="W81" s="17"/>
      <c r="X81" s="17"/>
      <c r="Y81" s="17">
        <v>0.61601640000000002</v>
      </c>
      <c r="Z81" s="17">
        <v>0.60355029999999998</v>
      </c>
      <c r="AA81" s="17"/>
      <c r="AB81" s="17"/>
      <c r="AC81" s="25">
        <f t="shared" si="8"/>
        <v>276.83932999999996</v>
      </c>
      <c r="AD81" s="25">
        <f t="shared" si="9"/>
        <v>271.90066999999999</v>
      </c>
      <c r="AN81">
        <v>0.9</v>
      </c>
      <c r="AO81" s="17"/>
      <c r="AP81" s="17"/>
      <c r="AQ81" s="17">
        <v>0.68398270000000005</v>
      </c>
      <c r="AR81" s="17">
        <v>0.67493110000000001</v>
      </c>
      <c r="AS81" s="17"/>
      <c r="AT81" s="17"/>
      <c r="AU81" s="25">
        <f t="shared" si="10"/>
        <v>276.83932999999996</v>
      </c>
      <c r="AV81" s="25">
        <f t="shared" si="11"/>
        <v>271.90066999999999</v>
      </c>
    </row>
    <row r="82" spans="1:48" x14ac:dyDescent="0.25">
      <c r="A82">
        <v>1</v>
      </c>
      <c r="B82" s="17"/>
      <c r="C82" s="17"/>
      <c r="D82" s="17">
        <v>0.56475580000000003</v>
      </c>
      <c r="E82" s="17">
        <v>0.50282490000000002</v>
      </c>
      <c r="F82" s="17"/>
      <c r="G82" s="17"/>
      <c r="H82" s="25">
        <f t="shared" si="6"/>
        <v>277.11369999999999</v>
      </c>
      <c r="I82" s="25">
        <f t="shared" si="7"/>
        <v>271.62630000000001</v>
      </c>
      <c r="J82" s="25"/>
      <c r="V82">
        <v>1</v>
      </c>
      <c r="W82" s="17"/>
      <c r="X82" s="17"/>
      <c r="Y82" s="17">
        <v>0.56262829999999997</v>
      </c>
      <c r="Z82" s="17">
        <v>0.53550299999999995</v>
      </c>
      <c r="AA82" s="17"/>
      <c r="AB82" s="17"/>
      <c r="AC82" s="25">
        <f t="shared" si="8"/>
        <v>277.11369999999999</v>
      </c>
      <c r="AD82" s="25">
        <f t="shared" si="9"/>
        <v>271.62630000000001</v>
      </c>
      <c r="AN82">
        <v>1</v>
      </c>
      <c r="AO82" s="17"/>
      <c r="AP82" s="17"/>
      <c r="AQ82" s="17">
        <v>0.64502159999999997</v>
      </c>
      <c r="AR82" s="17">
        <v>0.62809919999999997</v>
      </c>
      <c r="AS82" s="17"/>
      <c r="AT82" s="17"/>
      <c r="AU82" s="25">
        <f t="shared" si="10"/>
        <v>277.11369999999999</v>
      </c>
      <c r="AV82" s="25">
        <f t="shared" si="11"/>
        <v>271.62630000000001</v>
      </c>
    </row>
    <row r="83" spans="1:48" x14ac:dyDescent="0.25">
      <c r="A83">
        <v>1.1000000000000001</v>
      </c>
      <c r="B83" s="17"/>
      <c r="C83" s="17"/>
      <c r="D83" s="17">
        <v>0.52016989999999996</v>
      </c>
      <c r="E83" s="17">
        <v>0.44915250000000001</v>
      </c>
      <c r="F83" s="17"/>
      <c r="G83" s="17"/>
      <c r="H83" s="25">
        <f t="shared" si="6"/>
        <v>277.38806999999997</v>
      </c>
      <c r="I83" s="25">
        <f t="shared" si="7"/>
        <v>271.35192999999998</v>
      </c>
      <c r="J83" s="25"/>
      <c r="V83">
        <v>1.1000000000000001</v>
      </c>
      <c r="W83" s="17"/>
      <c r="X83" s="17"/>
      <c r="Y83" s="17">
        <v>0.52566740000000001</v>
      </c>
      <c r="Z83" s="17">
        <v>0.5</v>
      </c>
      <c r="AA83" s="17"/>
      <c r="AB83" s="17"/>
      <c r="AC83" s="25">
        <f t="shared" si="8"/>
        <v>277.38806999999997</v>
      </c>
      <c r="AD83" s="25">
        <f t="shared" si="9"/>
        <v>271.35192999999998</v>
      </c>
      <c r="AN83">
        <v>1.1000000000000001</v>
      </c>
      <c r="AO83" s="17"/>
      <c r="AP83" s="17"/>
      <c r="AQ83" s="17">
        <v>0.61255409999999999</v>
      </c>
      <c r="AR83" s="17">
        <v>0.58953169999999999</v>
      </c>
      <c r="AS83" s="17"/>
      <c r="AT83" s="17"/>
      <c r="AU83" s="25">
        <f t="shared" si="10"/>
        <v>277.38806999999997</v>
      </c>
      <c r="AV83" s="25">
        <f t="shared" si="11"/>
        <v>271.35192999999998</v>
      </c>
    </row>
    <row r="84" spans="1:48" x14ac:dyDescent="0.25">
      <c r="A84">
        <v>1.2</v>
      </c>
      <c r="B84" s="17"/>
      <c r="C84" s="17"/>
      <c r="D84" s="17">
        <v>0.47983009999999998</v>
      </c>
      <c r="E84" s="17">
        <v>0.3954802</v>
      </c>
      <c r="F84" s="17"/>
      <c r="G84" s="17"/>
      <c r="H84" s="25">
        <f t="shared" si="6"/>
        <v>277.66244</v>
      </c>
      <c r="I84" s="25">
        <f t="shared" si="7"/>
        <v>271.07756000000001</v>
      </c>
      <c r="J84" s="25"/>
      <c r="V84">
        <v>1.2</v>
      </c>
      <c r="W84" s="17"/>
      <c r="X84" s="17"/>
      <c r="Y84" s="17">
        <v>0.47227930000000001</v>
      </c>
      <c r="Z84" s="17">
        <v>0.4497041</v>
      </c>
      <c r="AA84" s="17"/>
      <c r="AB84" s="17"/>
      <c r="AC84" s="25">
        <f t="shared" si="8"/>
        <v>277.66244</v>
      </c>
      <c r="AD84" s="25">
        <f t="shared" si="9"/>
        <v>271.07756000000001</v>
      </c>
      <c r="AN84">
        <v>1.2</v>
      </c>
      <c r="AO84" s="17"/>
      <c r="AP84" s="17"/>
      <c r="AQ84" s="17">
        <v>0.57792209999999999</v>
      </c>
      <c r="AR84" s="17">
        <v>0.55096420000000002</v>
      </c>
      <c r="AS84" s="17"/>
      <c r="AT84" s="17"/>
      <c r="AU84" s="25">
        <f t="shared" si="10"/>
        <v>277.66244</v>
      </c>
      <c r="AV84" s="25">
        <f t="shared" si="11"/>
        <v>271.07756000000001</v>
      </c>
    </row>
    <row r="85" spans="1:48" x14ac:dyDescent="0.25">
      <c r="A85">
        <v>1.3</v>
      </c>
      <c r="B85" s="17"/>
      <c r="C85" s="17"/>
      <c r="D85" s="17">
        <v>0.43099789999999999</v>
      </c>
      <c r="E85" s="17">
        <v>0.37005650000000001</v>
      </c>
      <c r="F85" s="17"/>
      <c r="G85" s="17"/>
      <c r="H85" s="25">
        <f t="shared" si="6"/>
        <v>277.93680999999998</v>
      </c>
      <c r="I85" s="25">
        <f t="shared" si="7"/>
        <v>270.80319000000003</v>
      </c>
      <c r="J85" s="25"/>
      <c r="V85">
        <v>1.3</v>
      </c>
      <c r="W85" s="17"/>
      <c r="X85" s="17"/>
      <c r="Y85" s="17">
        <v>0.44147839999999999</v>
      </c>
      <c r="Z85" s="17">
        <v>0.41715980000000003</v>
      </c>
      <c r="AA85" s="17"/>
      <c r="AB85" s="17"/>
      <c r="AC85" s="25">
        <f t="shared" si="8"/>
        <v>277.93680999999998</v>
      </c>
      <c r="AD85" s="25">
        <f t="shared" si="9"/>
        <v>270.80319000000003</v>
      </c>
      <c r="AN85">
        <v>1.3</v>
      </c>
      <c r="AO85" s="17"/>
      <c r="AP85" s="17"/>
      <c r="AQ85" s="17">
        <v>0.55627709999999997</v>
      </c>
      <c r="AR85" s="17">
        <v>0.51790630000000004</v>
      </c>
      <c r="AS85" s="17"/>
      <c r="AT85" s="17"/>
      <c r="AU85" s="25">
        <f t="shared" si="10"/>
        <v>277.93680999999998</v>
      </c>
      <c r="AV85" s="25">
        <f t="shared" si="11"/>
        <v>270.80319000000003</v>
      </c>
    </row>
    <row r="86" spans="1:48" x14ac:dyDescent="0.25">
      <c r="A86">
        <v>1.4</v>
      </c>
      <c r="B86" s="17"/>
      <c r="C86" s="17"/>
      <c r="D86" s="17">
        <v>0.40339700000000001</v>
      </c>
      <c r="E86" s="17">
        <v>0.33898309999999998</v>
      </c>
      <c r="F86" s="17"/>
      <c r="G86" s="17"/>
      <c r="H86" s="25">
        <f t="shared" si="6"/>
        <v>278.21118000000001</v>
      </c>
      <c r="I86" s="25">
        <f t="shared" si="7"/>
        <v>270.52882</v>
      </c>
      <c r="J86" s="25"/>
      <c r="V86">
        <v>1.4</v>
      </c>
      <c r="W86" s="17"/>
      <c r="X86" s="17"/>
      <c r="Y86" s="17">
        <v>0.41273100000000001</v>
      </c>
      <c r="Z86" s="17">
        <v>0.38757399999999997</v>
      </c>
      <c r="AA86" s="17"/>
      <c r="AB86" s="17"/>
      <c r="AC86" s="25">
        <f t="shared" si="8"/>
        <v>278.21118000000001</v>
      </c>
      <c r="AD86" s="25">
        <f t="shared" si="9"/>
        <v>270.52882</v>
      </c>
      <c r="AN86">
        <v>1.4</v>
      </c>
      <c r="AO86" s="17"/>
      <c r="AP86" s="17"/>
      <c r="AQ86" s="17">
        <v>0.53679650000000001</v>
      </c>
      <c r="AR86" s="17">
        <v>0.48760330000000002</v>
      </c>
      <c r="AS86" s="17"/>
      <c r="AT86" s="17"/>
      <c r="AU86" s="25">
        <f t="shared" si="10"/>
        <v>278.21118000000001</v>
      </c>
      <c r="AV86" s="25">
        <f t="shared" si="11"/>
        <v>270.52882</v>
      </c>
    </row>
    <row r="87" spans="1:48" x14ac:dyDescent="0.25">
      <c r="A87">
        <v>1.5</v>
      </c>
      <c r="B87" s="17"/>
      <c r="C87" s="17"/>
      <c r="D87" s="17">
        <v>0.35881099999999999</v>
      </c>
      <c r="E87" s="17">
        <v>0.29661019999999999</v>
      </c>
      <c r="F87" s="17"/>
      <c r="G87" s="17"/>
      <c r="H87" s="25">
        <f t="shared" si="6"/>
        <v>278.48554999999999</v>
      </c>
      <c r="I87" s="25">
        <f t="shared" si="7"/>
        <v>270.25445000000002</v>
      </c>
      <c r="J87" s="25"/>
      <c r="V87">
        <v>1.5</v>
      </c>
      <c r="W87" s="17"/>
      <c r="X87" s="17"/>
      <c r="Y87" s="17">
        <v>0.37987680000000001</v>
      </c>
      <c r="Z87" s="17">
        <v>0.3698225</v>
      </c>
      <c r="AA87" s="17"/>
      <c r="AB87" s="17"/>
      <c r="AC87" s="25">
        <f t="shared" si="8"/>
        <v>278.48554999999999</v>
      </c>
      <c r="AD87" s="25">
        <f t="shared" si="9"/>
        <v>270.25445000000002</v>
      </c>
      <c r="AN87">
        <v>1.5</v>
      </c>
      <c r="AO87" s="17"/>
      <c r="AP87" s="17"/>
      <c r="AQ87" s="17">
        <v>0.50649350000000004</v>
      </c>
      <c r="AR87" s="17">
        <v>0.46005509999999999</v>
      </c>
      <c r="AS87" s="17"/>
      <c r="AT87" s="17"/>
      <c r="AU87" s="25">
        <f t="shared" si="10"/>
        <v>278.48554999999999</v>
      </c>
      <c r="AV87" s="25">
        <f t="shared" si="11"/>
        <v>270.25445000000002</v>
      </c>
    </row>
    <row r="88" spans="1:48" x14ac:dyDescent="0.25">
      <c r="A88">
        <v>1.6</v>
      </c>
      <c r="B88" s="17"/>
      <c r="C88" s="17"/>
      <c r="D88" s="17">
        <v>0.33545649999999999</v>
      </c>
      <c r="E88" s="17">
        <v>0.27118639999999999</v>
      </c>
      <c r="F88" s="17"/>
      <c r="G88" s="17"/>
      <c r="H88" s="25">
        <f t="shared" si="6"/>
        <v>278.75992000000002</v>
      </c>
      <c r="I88" s="25">
        <f t="shared" si="7"/>
        <v>269.98007999999999</v>
      </c>
      <c r="J88" s="25"/>
      <c r="V88">
        <v>1.6</v>
      </c>
      <c r="W88" s="17"/>
      <c r="X88" s="17"/>
      <c r="Y88" s="17">
        <v>0.34702260000000001</v>
      </c>
      <c r="Z88" s="17">
        <v>0.32840239999999998</v>
      </c>
      <c r="AA88" s="17"/>
      <c r="AB88" s="17"/>
      <c r="AC88" s="25">
        <f t="shared" si="8"/>
        <v>278.75992000000002</v>
      </c>
      <c r="AD88" s="25">
        <f t="shared" si="9"/>
        <v>269.98007999999999</v>
      </c>
      <c r="AN88">
        <v>1.6</v>
      </c>
      <c r="AO88" s="17"/>
      <c r="AP88" s="17"/>
      <c r="AQ88" s="17">
        <v>0.45887450000000002</v>
      </c>
      <c r="AR88" s="17">
        <v>0.41322310000000001</v>
      </c>
      <c r="AS88" s="17"/>
      <c r="AT88" s="17"/>
      <c r="AU88" s="25">
        <f t="shared" si="10"/>
        <v>278.75992000000002</v>
      </c>
      <c r="AV88" s="25">
        <f t="shared" si="11"/>
        <v>269.98007999999999</v>
      </c>
    </row>
    <row r="89" spans="1:48" x14ac:dyDescent="0.25">
      <c r="A89">
        <v>1.7</v>
      </c>
      <c r="B89" s="17"/>
      <c r="C89" s="17"/>
      <c r="D89" s="17">
        <v>0.2972399</v>
      </c>
      <c r="E89" s="17">
        <v>0.25988699999999998</v>
      </c>
      <c r="F89" s="17"/>
      <c r="G89" s="17"/>
      <c r="H89" s="25">
        <f t="shared" si="6"/>
        <v>279.03429</v>
      </c>
      <c r="I89" s="25">
        <f t="shared" si="7"/>
        <v>269.70571000000001</v>
      </c>
      <c r="J89" s="25"/>
      <c r="V89">
        <v>1.7</v>
      </c>
      <c r="W89" s="17"/>
      <c r="X89" s="17"/>
      <c r="Y89" s="17">
        <v>0.31827519999999998</v>
      </c>
      <c r="Z89" s="17">
        <v>0.3047337</v>
      </c>
      <c r="AA89" s="17"/>
      <c r="AB89" s="17"/>
      <c r="AC89" s="25">
        <f t="shared" si="8"/>
        <v>279.03429</v>
      </c>
      <c r="AD89" s="25">
        <f t="shared" si="9"/>
        <v>269.70571000000001</v>
      </c>
      <c r="AN89">
        <v>1.7</v>
      </c>
      <c r="AO89" s="17"/>
      <c r="AP89" s="17"/>
      <c r="AQ89" s="17">
        <v>0.43506489999999998</v>
      </c>
      <c r="AR89" s="17">
        <v>0.38567489999999999</v>
      </c>
      <c r="AS89" s="17"/>
      <c r="AT89" s="17"/>
      <c r="AU89" s="25">
        <f t="shared" si="10"/>
        <v>279.03429</v>
      </c>
      <c r="AV89" s="25">
        <f t="shared" si="11"/>
        <v>269.70571000000001</v>
      </c>
    </row>
    <row r="90" spans="1:48" x14ac:dyDescent="0.25">
      <c r="A90">
        <v>1.8</v>
      </c>
      <c r="B90" s="17"/>
      <c r="C90" s="17"/>
      <c r="D90" s="17">
        <v>0.26963910000000002</v>
      </c>
      <c r="E90" s="17">
        <v>0.22598869999999999</v>
      </c>
      <c r="F90" s="17"/>
      <c r="G90" s="17"/>
      <c r="H90" s="25">
        <f t="shared" si="6"/>
        <v>279.30866000000003</v>
      </c>
      <c r="I90" s="25">
        <f t="shared" si="7"/>
        <v>269.43133999999998</v>
      </c>
      <c r="J90" s="25"/>
      <c r="V90">
        <v>1.8</v>
      </c>
      <c r="W90" s="17"/>
      <c r="X90" s="17"/>
      <c r="Y90" s="17">
        <v>0.2895277</v>
      </c>
      <c r="Z90" s="17">
        <v>0.26627220000000001</v>
      </c>
      <c r="AA90" s="17"/>
      <c r="AB90" s="17"/>
      <c r="AC90" s="25">
        <f t="shared" si="8"/>
        <v>279.30866000000003</v>
      </c>
      <c r="AD90" s="25">
        <f t="shared" si="9"/>
        <v>269.43133999999998</v>
      </c>
      <c r="AN90">
        <v>1.8</v>
      </c>
      <c r="AO90" s="17"/>
      <c r="AP90" s="17"/>
      <c r="AQ90" s="17">
        <v>0.39826840000000002</v>
      </c>
      <c r="AR90" s="17">
        <v>0.35537190000000002</v>
      </c>
      <c r="AS90" s="17"/>
      <c r="AT90" s="17"/>
      <c r="AU90" s="25">
        <f t="shared" si="10"/>
        <v>279.30866000000003</v>
      </c>
      <c r="AV90" s="25">
        <f t="shared" si="11"/>
        <v>269.43133999999998</v>
      </c>
    </row>
    <row r="91" spans="1:48" x14ac:dyDescent="0.25">
      <c r="A91">
        <v>1.9</v>
      </c>
      <c r="B91" s="17"/>
      <c r="C91" s="17"/>
      <c r="D91" s="17">
        <v>0.25265389999999999</v>
      </c>
      <c r="E91" s="17">
        <v>0.19209039999999999</v>
      </c>
      <c r="F91" s="17"/>
      <c r="G91" s="17"/>
      <c r="H91" s="25">
        <f t="shared" si="6"/>
        <v>279.58302999999995</v>
      </c>
      <c r="I91" s="25">
        <f t="shared" si="7"/>
        <v>269.15697</v>
      </c>
      <c r="J91" s="25"/>
      <c r="V91">
        <v>1.9</v>
      </c>
      <c r="W91" s="17"/>
      <c r="X91" s="17"/>
      <c r="Y91" s="17">
        <v>0.26488709999999999</v>
      </c>
      <c r="Z91" s="17">
        <v>0.23668639999999999</v>
      </c>
      <c r="AA91" s="17"/>
      <c r="AB91" s="17"/>
      <c r="AC91" s="25">
        <f t="shared" si="8"/>
        <v>279.58302999999995</v>
      </c>
      <c r="AD91" s="25">
        <f t="shared" si="9"/>
        <v>269.15697</v>
      </c>
      <c r="AN91">
        <v>1.9</v>
      </c>
      <c r="AO91" s="17"/>
      <c r="AP91" s="17"/>
      <c r="AQ91" s="17">
        <v>0.37229440000000003</v>
      </c>
      <c r="AR91" s="17">
        <v>0.3333333</v>
      </c>
      <c r="AS91" s="17"/>
      <c r="AT91" s="17"/>
      <c r="AU91" s="25">
        <f t="shared" si="10"/>
        <v>279.58302999999995</v>
      </c>
      <c r="AV91" s="25">
        <f t="shared" si="11"/>
        <v>269.15697</v>
      </c>
    </row>
    <row r="92" spans="1:48" x14ac:dyDescent="0.25">
      <c r="A92">
        <v>2</v>
      </c>
      <c r="B92" s="17"/>
      <c r="C92" s="17"/>
      <c r="D92" s="17">
        <v>0.23566880000000001</v>
      </c>
      <c r="E92" s="17">
        <v>0.17796609999999999</v>
      </c>
      <c r="F92" s="17"/>
      <c r="G92" s="17"/>
      <c r="H92" s="25">
        <f t="shared" si="6"/>
        <v>279.85739999999998</v>
      </c>
      <c r="I92" s="25">
        <f t="shared" si="7"/>
        <v>268.88260000000002</v>
      </c>
      <c r="J92" s="25"/>
      <c r="V92">
        <v>2</v>
      </c>
      <c r="W92" s="17"/>
      <c r="X92" s="17"/>
      <c r="Y92" s="17">
        <v>0.24229980000000001</v>
      </c>
      <c r="Z92" s="17">
        <v>0.2248521</v>
      </c>
      <c r="AA92" s="17"/>
      <c r="AB92" s="17"/>
      <c r="AC92" s="25">
        <f t="shared" si="8"/>
        <v>279.85739999999998</v>
      </c>
      <c r="AD92" s="25">
        <f t="shared" si="9"/>
        <v>268.88260000000002</v>
      </c>
      <c r="AN92">
        <v>2</v>
      </c>
      <c r="AO92" s="17"/>
      <c r="AP92" s="17"/>
      <c r="AQ92" s="17">
        <v>0.35281390000000001</v>
      </c>
      <c r="AR92" s="17">
        <v>0.30027549999999997</v>
      </c>
      <c r="AS92" s="17"/>
      <c r="AT92" s="17"/>
      <c r="AU92" s="25">
        <f t="shared" si="10"/>
        <v>279.85739999999998</v>
      </c>
      <c r="AV92" s="25">
        <f t="shared" si="11"/>
        <v>268.88260000000002</v>
      </c>
    </row>
    <row r="93" spans="1:48" x14ac:dyDescent="0.25">
      <c r="A93">
        <v>2.1</v>
      </c>
      <c r="B93" s="17"/>
      <c r="C93" s="17"/>
      <c r="D93" s="17">
        <v>0.19957539999999999</v>
      </c>
      <c r="E93" s="17">
        <v>0.15536720000000001</v>
      </c>
      <c r="F93" s="17"/>
      <c r="G93" s="17"/>
      <c r="H93" s="25">
        <f t="shared" si="6"/>
        <v>280.13176999999996</v>
      </c>
      <c r="I93" s="25">
        <f t="shared" si="7"/>
        <v>268.60822999999999</v>
      </c>
      <c r="J93" s="25"/>
      <c r="V93">
        <v>2.1</v>
      </c>
      <c r="W93" s="17"/>
      <c r="X93" s="17"/>
      <c r="Y93" s="17">
        <v>0.2135524</v>
      </c>
      <c r="Z93" s="17">
        <v>0.20118340000000001</v>
      </c>
      <c r="AA93" s="17"/>
      <c r="AB93" s="17"/>
      <c r="AC93" s="25">
        <f t="shared" si="8"/>
        <v>280.13176999999996</v>
      </c>
      <c r="AD93" s="25">
        <f t="shared" si="9"/>
        <v>268.60822999999999</v>
      </c>
      <c r="AN93">
        <v>2.1</v>
      </c>
      <c r="AO93" s="17"/>
      <c r="AP93" s="17"/>
      <c r="AQ93" s="17">
        <v>0.32900430000000003</v>
      </c>
      <c r="AR93" s="17">
        <v>0.27548210000000001</v>
      </c>
      <c r="AS93" s="17"/>
      <c r="AT93" s="17"/>
      <c r="AU93" s="25">
        <f t="shared" si="10"/>
        <v>280.13176999999996</v>
      </c>
      <c r="AV93" s="25">
        <f t="shared" si="11"/>
        <v>268.60822999999999</v>
      </c>
    </row>
    <row r="94" spans="1:48" x14ac:dyDescent="0.25">
      <c r="A94">
        <v>2.2000000000000002</v>
      </c>
      <c r="B94" s="17"/>
      <c r="C94" s="17"/>
      <c r="D94" s="17">
        <v>0.18895970000000001</v>
      </c>
      <c r="E94" s="17">
        <v>0.1412429</v>
      </c>
      <c r="F94" s="17"/>
      <c r="G94" s="17"/>
      <c r="H94" s="25">
        <f t="shared" si="6"/>
        <v>280.40613999999999</v>
      </c>
      <c r="I94" s="25">
        <f t="shared" si="7"/>
        <v>268.33386000000002</v>
      </c>
      <c r="J94" s="25"/>
      <c r="V94">
        <v>2.2000000000000002</v>
      </c>
      <c r="W94" s="17"/>
      <c r="X94" s="17"/>
      <c r="Y94" s="17">
        <v>0.20123199999999999</v>
      </c>
      <c r="Z94" s="17">
        <v>0.17159759999999999</v>
      </c>
      <c r="AA94" s="17"/>
      <c r="AB94" s="17"/>
      <c r="AC94" s="25">
        <f t="shared" si="8"/>
        <v>280.40613999999999</v>
      </c>
      <c r="AD94" s="25">
        <f t="shared" si="9"/>
        <v>268.33386000000002</v>
      </c>
      <c r="AN94">
        <v>2.2000000000000002</v>
      </c>
      <c r="AO94" s="17"/>
      <c r="AP94" s="17"/>
      <c r="AQ94" s="17">
        <v>0.2900433</v>
      </c>
      <c r="AR94" s="17">
        <v>0.25068869999999999</v>
      </c>
      <c r="AS94" s="17"/>
      <c r="AT94" s="17"/>
      <c r="AU94" s="25">
        <f t="shared" si="10"/>
        <v>280.40613999999999</v>
      </c>
      <c r="AV94" s="25">
        <f t="shared" si="11"/>
        <v>268.33386000000002</v>
      </c>
    </row>
    <row r="95" spans="1:48" x14ac:dyDescent="0.25">
      <c r="A95">
        <v>2.2999999999999998</v>
      </c>
      <c r="B95" s="17"/>
      <c r="C95" s="17"/>
      <c r="D95" s="17">
        <v>0.1719745</v>
      </c>
      <c r="E95" s="17">
        <v>0.12994349999999999</v>
      </c>
      <c r="F95" s="17"/>
      <c r="G95" s="17"/>
      <c r="H95" s="25">
        <f t="shared" si="6"/>
        <v>280.68050999999997</v>
      </c>
      <c r="I95" s="25">
        <f t="shared" si="7"/>
        <v>268.05948999999998</v>
      </c>
      <c r="J95" s="25"/>
      <c r="V95">
        <v>2.2999999999999998</v>
      </c>
      <c r="W95" s="17"/>
      <c r="X95" s="17"/>
      <c r="Y95" s="17">
        <v>0.1909651</v>
      </c>
      <c r="Z95" s="17">
        <v>0.1627219</v>
      </c>
      <c r="AA95" s="17"/>
      <c r="AB95" s="17"/>
      <c r="AC95" s="25">
        <f t="shared" si="8"/>
        <v>280.68050999999997</v>
      </c>
      <c r="AD95" s="25">
        <f t="shared" si="9"/>
        <v>268.05948999999998</v>
      </c>
      <c r="AN95">
        <v>2.2999999999999998</v>
      </c>
      <c r="AO95" s="17"/>
      <c r="AP95" s="17"/>
      <c r="AQ95" s="17">
        <v>0.25757580000000002</v>
      </c>
      <c r="AR95" s="17">
        <v>0.22589529999999999</v>
      </c>
      <c r="AS95" s="17"/>
      <c r="AT95" s="17"/>
      <c r="AU95" s="25">
        <f t="shared" si="10"/>
        <v>280.68050999999997</v>
      </c>
      <c r="AV95" s="25">
        <f t="shared" si="11"/>
        <v>268.05948999999998</v>
      </c>
    </row>
    <row r="96" spans="1:48" x14ac:dyDescent="0.25">
      <c r="A96">
        <v>2.4</v>
      </c>
      <c r="B96" s="17"/>
      <c r="C96" s="17"/>
      <c r="D96" s="17">
        <v>0.15074309999999999</v>
      </c>
      <c r="E96" s="17">
        <v>0.11299439999999999</v>
      </c>
      <c r="F96" s="17"/>
      <c r="G96" s="17"/>
      <c r="H96" s="25">
        <f t="shared" si="6"/>
        <v>280.95488</v>
      </c>
      <c r="I96" s="25">
        <f t="shared" si="7"/>
        <v>267.78512000000001</v>
      </c>
      <c r="J96" s="25"/>
      <c r="V96">
        <v>2.4</v>
      </c>
      <c r="W96" s="17"/>
      <c r="X96" s="17"/>
      <c r="Y96" s="17">
        <v>0.1581109</v>
      </c>
      <c r="Z96" s="17">
        <v>0.147929</v>
      </c>
      <c r="AA96" s="17"/>
      <c r="AB96" s="17"/>
      <c r="AC96" s="25">
        <f t="shared" si="8"/>
        <v>280.95488</v>
      </c>
      <c r="AD96" s="25">
        <f t="shared" si="9"/>
        <v>267.78512000000001</v>
      </c>
      <c r="AN96">
        <v>2.4</v>
      </c>
      <c r="AO96" s="17"/>
      <c r="AP96" s="17"/>
      <c r="AQ96" s="17">
        <v>0.23160169999999999</v>
      </c>
      <c r="AR96" s="17">
        <v>0.21487600000000001</v>
      </c>
      <c r="AS96" s="17"/>
      <c r="AT96" s="17"/>
      <c r="AU96" s="25">
        <f t="shared" si="10"/>
        <v>280.95488</v>
      </c>
      <c r="AV96" s="25">
        <f t="shared" si="11"/>
        <v>267.78512000000001</v>
      </c>
    </row>
    <row r="97" spans="1:48" x14ac:dyDescent="0.25">
      <c r="A97">
        <v>2.5</v>
      </c>
      <c r="B97" s="17"/>
      <c r="C97" s="17"/>
      <c r="D97" s="17">
        <v>0.14012740000000001</v>
      </c>
      <c r="E97" s="17">
        <v>9.8870059999999996E-2</v>
      </c>
      <c r="F97" s="17"/>
      <c r="G97" s="17"/>
      <c r="H97" s="25">
        <f t="shared" si="6"/>
        <v>281.22924999999998</v>
      </c>
      <c r="I97" s="25">
        <f t="shared" si="7"/>
        <v>267.51074999999997</v>
      </c>
      <c r="J97" s="25"/>
      <c r="V97">
        <v>2.5</v>
      </c>
      <c r="W97" s="17"/>
      <c r="X97" s="17"/>
      <c r="Y97" s="17">
        <v>0.13347020000000001</v>
      </c>
      <c r="Z97" s="17">
        <v>0.13609470000000001</v>
      </c>
      <c r="AA97" s="17"/>
      <c r="AB97" s="17"/>
      <c r="AC97" s="25">
        <f t="shared" si="8"/>
        <v>281.22924999999998</v>
      </c>
      <c r="AD97" s="25">
        <f t="shared" si="9"/>
        <v>267.51074999999997</v>
      </c>
      <c r="AN97">
        <v>2.5</v>
      </c>
      <c r="AO97" s="17"/>
      <c r="AP97" s="17"/>
      <c r="AQ97" s="17">
        <v>0.22077920000000001</v>
      </c>
      <c r="AR97" s="17">
        <v>0.1983471</v>
      </c>
      <c r="AS97" s="17"/>
      <c r="AT97" s="17"/>
      <c r="AU97" s="25">
        <f t="shared" si="10"/>
        <v>281.22924999999998</v>
      </c>
      <c r="AV97" s="25">
        <f t="shared" si="11"/>
        <v>267.51074999999997</v>
      </c>
    </row>
    <row r="98" spans="1:48" x14ac:dyDescent="0.25">
      <c r="A98">
        <v>2.6</v>
      </c>
      <c r="B98" s="17"/>
      <c r="C98" s="17"/>
      <c r="D98" s="17">
        <v>0.1167728</v>
      </c>
      <c r="E98" s="17">
        <v>9.3220339999999999E-2</v>
      </c>
      <c r="F98" s="17"/>
      <c r="G98" s="17"/>
      <c r="H98" s="25">
        <f t="shared" si="6"/>
        <v>281.50362000000001</v>
      </c>
      <c r="I98" s="25">
        <f t="shared" si="7"/>
        <v>267.23638</v>
      </c>
      <c r="J98" s="25"/>
      <c r="V98">
        <v>2.6</v>
      </c>
      <c r="W98" s="17"/>
      <c r="X98" s="17"/>
      <c r="Y98" s="17">
        <v>0.1211499</v>
      </c>
      <c r="Z98" s="17">
        <v>0.12426039999999999</v>
      </c>
      <c r="AA98" s="17"/>
      <c r="AB98" s="17"/>
      <c r="AC98" s="25">
        <f t="shared" si="8"/>
        <v>281.50362000000001</v>
      </c>
      <c r="AD98" s="25">
        <f t="shared" si="9"/>
        <v>267.23638</v>
      </c>
      <c r="AN98">
        <v>2.6</v>
      </c>
      <c r="AP98" s="17"/>
      <c r="AQ98" s="17">
        <v>0.20346320000000001</v>
      </c>
      <c r="AR98" s="17">
        <v>0.18181820000000001</v>
      </c>
      <c r="AS98" s="17"/>
      <c r="AT98" s="17"/>
      <c r="AU98" s="25">
        <f t="shared" si="10"/>
        <v>281.50362000000001</v>
      </c>
      <c r="AV98" s="25">
        <f t="shared" si="11"/>
        <v>267.23638</v>
      </c>
    </row>
    <row r="99" spans="1:48" x14ac:dyDescent="0.25">
      <c r="A99">
        <v>2.7</v>
      </c>
      <c r="B99" s="17"/>
      <c r="C99" s="17"/>
      <c r="D99" s="17">
        <v>0.104034</v>
      </c>
      <c r="E99" s="17">
        <v>7.9096050000000001E-2</v>
      </c>
      <c r="F99" s="17"/>
      <c r="G99" s="17"/>
      <c r="H99" s="25">
        <f t="shared" si="6"/>
        <v>281.77798999999999</v>
      </c>
      <c r="I99" s="25">
        <f t="shared" si="7"/>
        <v>266.96201000000002</v>
      </c>
      <c r="J99" s="25"/>
      <c r="V99">
        <v>2.7</v>
      </c>
      <c r="W99" s="17"/>
      <c r="X99" s="17"/>
      <c r="Y99" s="17">
        <v>0.1088296</v>
      </c>
      <c r="Z99" s="17">
        <v>0.112426</v>
      </c>
      <c r="AA99" s="17"/>
      <c r="AB99" s="17"/>
      <c r="AC99" s="25">
        <f t="shared" si="8"/>
        <v>281.77798999999999</v>
      </c>
      <c r="AD99" s="25">
        <f t="shared" si="9"/>
        <v>266.96201000000002</v>
      </c>
      <c r="AN99">
        <v>2.7</v>
      </c>
      <c r="AQ99" s="17">
        <v>0.1839827</v>
      </c>
      <c r="AR99" s="17">
        <v>0.15702479999999999</v>
      </c>
      <c r="AS99" s="17"/>
      <c r="AT99" s="17"/>
      <c r="AU99" s="25">
        <f t="shared" si="10"/>
        <v>281.77798999999999</v>
      </c>
      <c r="AV99" s="25">
        <f t="shared" si="11"/>
        <v>266.96201000000002</v>
      </c>
    </row>
    <row r="100" spans="1:48" x14ac:dyDescent="0.25">
      <c r="A100">
        <v>2.8</v>
      </c>
      <c r="D100" s="17">
        <v>9.5541399999999999E-2</v>
      </c>
      <c r="E100" s="17">
        <v>7.6271190000000003E-2</v>
      </c>
      <c r="F100" s="17"/>
      <c r="G100" s="17"/>
      <c r="H100" s="25">
        <f t="shared" si="6"/>
        <v>282.05236000000002</v>
      </c>
      <c r="I100" s="25">
        <f t="shared" si="7"/>
        <v>266.68763999999999</v>
      </c>
      <c r="J100" s="25"/>
      <c r="V100">
        <v>2.8</v>
      </c>
      <c r="Y100" s="17">
        <v>9.8562629999999998E-2</v>
      </c>
      <c r="Z100" s="17">
        <v>9.1715980000000003E-2</v>
      </c>
      <c r="AA100" s="17"/>
      <c r="AB100" s="17"/>
      <c r="AC100" s="25">
        <f t="shared" si="8"/>
        <v>282.05236000000002</v>
      </c>
      <c r="AD100" s="25">
        <f t="shared" si="9"/>
        <v>266.68763999999999</v>
      </c>
      <c r="AN100">
        <v>2.8</v>
      </c>
      <c r="AQ100" s="17">
        <v>0.14718609999999999</v>
      </c>
      <c r="AR100" s="17">
        <v>0.14600550000000001</v>
      </c>
      <c r="AS100" s="17"/>
      <c r="AT100" s="17"/>
      <c r="AU100" s="25">
        <f t="shared" si="10"/>
        <v>282.05236000000002</v>
      </c>
      <c r="AV100" s="25">
        <f t="shared" si="11"/>
        <v>266.68763999999999</v>
      </c>
    </row>
    <row r="101" spans="1:48" x14ac:dyDescent="0.25">
      <c r="A101">
        <v>2.9</v>
      </c>
      <c r="D101" s="17">
        <v>8.4925689999999998E-2</v>
      </c>
      <c r="E101" s="17">
        <v>6.7796609999999993E-2</v>
      </c>
      <c r="F101" s="17"/>
      <c r="G101" s="17"/>
      <c r="H101" s="25">
        <f t="shared" si="6"/>
        <v>282.32673</v>
      </c>
      <c r="I101" s="25">
        <f t="shared" si="7"/>
        <v>266.41327000000001</v>
      </c>
      <c r="J101" s="25"/>
      <c r="V101">
        <v>2.9</v>
      </c>
      <c r="Y101" s="17">
        <v>8.6242299999999994E-2</v>
      </c>
      <c r="Z101" s="17">
        <v>8.2840239999999996E-2</v>
      </c>
      <c r="AA101" s="17"/>
      <c r="AB101" s="17"/>
      <c r="AC101" s="25">
        <f t="shared" si="8"/>
        <v>282.32673</v>
      </c>
      <c r="AD101" s="25">
        <f t="shared" si="9"/>
        <v>266.41327000000001</v>
      </c>
      <c r="AN101">
        <v>2.9</v>
      </c>
      <c r="AQ101" s="17">
        <v>0.1450216</v>
      </c>
      <c r="AR101" s="17">
        <v>0.1349862</v>
      </c>
      <c r="AS101" s="17"/>
      <c r="AT101" s="17"/>
      <c r="AU101" s="25">
        <f t="shared" si="10"/>
        <v>282.32673</v>
      </c>
      <c r="AV101" s="25">
        <f t="shared" si="11"/>
        <v>266.41327000000001</v>
      </c>
    </row>
    <row r="102" spans="1:48" x14ac:dyDescent="0.25">
      <c r="A102">
        <v>3</v>
      </c>
      <c r="D102" s="17">
        <v>7.4309979999999998E-2</v>
      </c>
      <c r="E102" s="17">
        <v>5.3672320000000003E-2</v>
      </c>
      <c r="F102" s="17"/>
      <c r="G102" s="17"/>
      <c r="H102" s="25">
        <f t="shared" si="6"/>
        <v>282.60110000000003</v>
      </c>
      <c r="I102" s="25">
        <f t="shared" si="7"/>
        <v>266.13889999999998</v>
      </c>
      <c r="J102" s="25"/>
      <c r="V102">
        <v>3</v>
      </c>
      <c r="Y102" s="17">
        <v>7.5975360000000006E-2</v>
      </c>
      <c r="Z102" s="17">
        <v>7.3964500000000002E-2</v>
      </c>
      <c r="AA102" s="17"/>
      <c r="AB102" s="17"/>
      <c r="AC102" s="25">
        <f t="shared" si="8"/>
        <v>282.60110000000003</v>
      </c>
      <c r="AD102" s="25">
        <f t="shared" si="9"/>
        <v>266.13889999999998</v>
      </c>
      <c r="AN102">
        <v>3</v>
      </c>
      <c r="AQ102" s="17">
        <v>0.1363636</v>
      </c>
      <c r="AR102" s="17">
        <v>0.1267218</v>
      </c>
      <c r="AS102" s="17"/>
      <c r="AT102" s="17"/>
      <c r="AU102" s="25">
        <f t="shared" si="10"/>
        <v>282.60110000000003</v>
      </c>
      <c r="AV102" s="25">
        <f t="shared" si="11"/>
        <v>266.13889999999998</v>
      </c>
    </row>
    <row r="103" spans="1:48" x14ac:dyDescent="0.25">
      <c r="A103">
        <v>3.1</v>
      </c>
      <c r="D103" s="17">
        <v>7.0063689999999998E-2</v>
      </c>
      <c r="E103" s="17">
        <v>4.519774E-2</v>
      </c>
      <c r="F103" s="17"/>
      <c r="G103" s="17"/>
      <c r="H103" s="25">
        <f t="shared" si="6"/>
        <v>282.87547000000001</v>
      </c>
      <c r="I103" s="25">
        <f t="shared" si="7"/>
        <v>265.86453</v>
      </c>
      <c r="V103">
        <v>3.1</v>
      </c>
      <c r="Y103" s="17">
        <v>6.9815199999999994E-2</v>
      </c>
      <c r="Z103" s="17">
        <v>6.5088759999999996E-2</v>
      </c>
      <c r="AA103" s="17"/>
      <c r="AB103" s="17"/>
      <c r="AC103" s="25">
        <f t="shared" si="8"/>
        <v>282.87547000000001</v>
      </c>
      <c r="AD103" s="25">
        <f t="shared" si="9"/>
        <v>265.86453</v>
      </c>
      <c r="AN103">
        <v>3.1</v>
      </c>
      <c r="AQ103" s="17">
        <v>0.12987009999999999</v>
      </c>
      <c r="AR103" s="17">
        <v>0.1184573</v>
      </c>
      <c r="AS103" s="17"/>
      <c r="AT103" s="17"/>
      <c r="AU103" s="25">
        <f t="shared" si="10"/>
        <v>282.87547000000001</v>
      </c>
      <c r="AV103" s="25">
        <f t="shared" si="11"/>
        <v>265.86453</v>
      </c>
    </row>
    <row r="104" spans="1:48" x14ac:dyDescent="0.25">
      <c r="A104">
        <v>3.2</v>
      </c>
      <c r="D104" s="17">
        <v>6.1571130000000002E-2</v>
      </c>
      <c r="E104" s="17">
        <v>3.6723159999999998E-2</v>
      </c>
      <c r="F104" s="17"/>
      <c r="G104" s="17"/>
      <c r="H104" s="25">
        <f t="shared" si="6"/>
        <v>283.14984000000004</v>
      </c>
      <c r="I104" s="25">
        <f t="shared" si="7"/>
        <v>265.59015999999997</v>
      </c>
      <c r="V104">
        <v>3.2</v>
      </c>
      <c r="Y104" s="17">
        <v>5.7494869999999997E-2</v>
      </c>
      <c r="Z104" s="17">
        <v>6.213018E-2</v>
      </c>
      <c r="AA104" s="17"/>
      <c r="AB104" s="17"/>
      <c r="AC104" s="25">
        <f t="shared" si="8"/>
        <v>283.14984000000004</v>
      </c>
      <c r="AD104" s="25">
        <f t="shared" si="9"/>
        <v>265.59015999999997</v>
      </c>
      <c r="AN104">
        <v>3.2</v>
      </c>
      <c r="AQ104" s="17">
        <v>0.1212121</v>
      </c>
      <c r="AR104" s="17">
        <v>0.1046832</v>
      </c>
      <c r="AS104" s="17"/>
      <c r="AT104" s="17"/>
      <c r="AU104" s="25">
        <f t="shared" si="10"/>
        <v>283.14984000000004</v>
      </c>
      <c r="AV104" s="25">
        <f t="shared" si="11"/>
        <v>265.59015999999997</v>
      </c>
    </row>
    <row r="105" spans="1:48" x14ac:dyDescent="0.25">
      <c r="A105">
        <v>3.3</v>
      </c>
      <c r="D105" s="17">
        <v>4.6709130000000001E-2</v>
      </c>
      <c r="E105" s="17">
        <v>3.3898310000000001E-2</v>
      </c>
      <c r="F105" s="17"/>
      <c r="G105" s="17"/>
      <c r="H105" s="25">
        <f t="shared" si="6"/>
        <v>283.42420999999996</v>
      </c>
      <c r="I105" s="25">
        <f t="shared" si="7"/>
        <v>265.31578999999999</v>
      </c>
      <c r="V105">
        <v>3.3</v>
      </c>
      <c r="Y105" s="17">
        <v>4.5174539999999999E-2</v>
      </c>
      <c r="Z105" s="17">
        <v>5.325444E-2</v>
      </c>
      <c r="AA105" s="17"/>
      <c r="AB105" s="17"/>
      <c r="AC105" s="25">
        <f t="shared" si="8"/>
        <v>283.42420999999996</v>
      </c>
      <c r="AD105" s="25">
        <f t="shared" si="9"/>
        <v>265.31578999999999</v>
      </c>
      <c r="AN105">
        <v>3.3</v>
      </c>
      <c r="AQ105" s="17">
        <v>0.1103896</v>
      </c>
      <c r="AR105" s="17">
        <v>9.3663910000000003E-2</v>
      </c>
      <c r="AS105" s="17"/>
      <c r="AT105" s="17"/>
      <c r="AU105" s="25">
        <f t="shared" si="10"/>
        <v>283.42420999999996</v>
      </c>
      <c r="AV105" s="25">
        <f t="shared" si="11"/>
        <v>265.31578999999999</v>
      </c>
    </row>
    <row r="106" spans="1:48" x14ac:dyDescent="0.25">
      <c r="A106">
        <v>3.4</v>
      </c>
      <c r="D106" s="17">
        <v>4.0339699999999999E-2</v>
      </c>
      <c r="E106" s="17">
        <v>2.8248590000000001E-2</v>
      </c>
      <c r="F106" s="17"/>
      <c r="G106" s="17"/>
      <c r="H106" s="25">
        <f t="shared" si="6"/>
        <v>283.69857999999999</v>
      </c>
      <c r="I106" s="25">
        <f t="shared" si="7"/>
        <v>265.04142000000002</v>
      </c>
      <c r="V106">
        <v>3.4</v>
      </c>
      <c r="Y106" s="17">
        <v>3.901437E-2</v>
      </c>
      <c r="Z106" s="17">
        <v>4.43787E-2</v>
      </c>
      <c r="AA106" s="17"/>
      <c r="AB106" s="17"/>
      <c r="AC106" s="25">
        <f t="shared" si="8"/>
        <v>283.69857999999999</v>
      </c>
      <c r="AD106" s="25">
        <f t="shared" si="9"/>
        <v>265.04142000000002</v>
      </c>
      <c r="AN106">
        <v>3.4</v>
      </c>
      <c r="AQ106" s="17">
        <v>0.10173160000000001</v>
      </c>
      <c r="AR106" s="17">
        <v>9.0909089999999998E-2</v>
      </c>
      <c r="AS106" s="17"/>
      <c r="AT106" s="17"/>
      <c r="AU106" s="25">
        <f t="shared" si="10"/>
        <v>283.69857999999999</v>
      </c>
      <c r="AV106" s="25">
        <f t="shared" si="11"/>
        <v>265.04142000000002</v>
      </c>
    </row>
    <row r="107" spans="1:48" x14ac:dyDescent="0.25">
      <c r="A107">
        <v>3.5</v>
      </c>
      <c r="D107" s="17">
        <v>3.3970279999999999E-2</v>
      </c>
      <c r="E107" s="17">
        <v>2.8248590000000001E-2</v>
      </c>
      <c r="F107" s="17"/>
      <c r="G107" s="17"/>
      <c r="H107" s="25">
        <f t="shared" si="6"/>
        <v>283.97294999999997</v>
      </c>
      <c r="I107" s="25">
        <f t="shared" si="7"/>
        <v>264.76704999999998</v>
      </c>
      <c r="J107" s="25"/>
      <c r="V107">
        <v>3.5</v>
      </c>
      <c r="Y107" s="17">
        <v>3.4907599999999997E-2</v>
      </c>
      <c r="Z107" s="17">
        <v>4.1420119999999998E-2</v>
      </c>
      <c r="AA107" s="17"/>
      <c r="AB107" s="17"/>
      <c r="AC107" s="25">
        <f t="shared" si="8"/>
        <v>283.97294999999997</v>
      </c>
      <c r="AD107" s="25">
        <f t="shared" si="9"/>
        <v>264.76704999999998</v>
      </c>
      <c r="AN107">
        <v>3.5</v>
      </c>
      <c r="AQ107" s="17">
        <v>8.8744589999999998E-2</v>
      </c>
      <c r="AR107" s="17">
        <v>7.4380169999999995E-2</v>
      </c>
      <c r="AS107" s="17"/>
      <c r="AT107" s="17"/>
      <c r="AU107" s="25">
        <f t="shared" si="10"/>
        <v>283.97294999999997</v>
      </c>
      <c r="AV107" s="25">
        <f t="shared" si="11"/>
        <v>264.76704999999998</v>
      </c>
    </row>
    <row r="108" spans="1:48" x14ac:dyDescent="0.25">
      <c r="A108">
        <v>3.6</v>
      </c>
      <c r="D108" s="17">
        <v>2.9723989999999999E-2</v>
      </c>
      <c r="E108" s="17">
        <v>2.5423729999999999E-2</v>
      </c>
      <c r="F108" s="17"/>
      <c r="G108" s="17"/>
      <c r="H108" s="25">
        <f t="shared" si="6"/>
        <v>284.24732</v>
      </c>
      <c r="I108" s="25">
        <f t="shared" si="7"/>
        <v>264.49268000000001</v>
      </c>
      <c r="V108">
        <v>3.6</v>
      </c>
      <c r="Y108" s="17">
        <v>3.2854210000000002E-2</v>
      </c>
      <c r="Z108" s="17">
        <v>3.2544379999999998E-2</v>
      </c>
      <c r="AA108" s="17"/>
      <c r="AB108" s="17"/>
      <c r="AC108" s="25">
        <f t="shared" si="8"/>
        <v>284.24732</v>
      </c>
      <c r="AD108" s="25">
        <f t="shared" si="9"/>
        <v>264.49268000000001</v>
      </c>
      <c r="AN108">
        <v>3.6</v>
      </c>
      <c r="AQ108" s="17">
        <v>8.0086580000000004E-2</v>
      </c>
      <c r="AR108" s="17">
        <v>6.0606060000000003E-2</v>
      </c>
      <c r="AS108" s="17"/>
      <c r="AT108" s="17"/>
      <c r="AU108" s="25">
        <f t="shared" si="10"/>
        <v>284.24732</v>
      </c>
      <c r="AV108" s="25">
        <f t="shared" si="11"/>
        <v>264.49268000000001</v>
      </c>
    </row>
    <row r="109" spans="1:48" x14ac:dyDescent="0.25">
      <c r="A109">
        <v>3.7</v>
      </c>
      <c r="D109" s="17">
        <v>2.5477710000000001E-2</v>
      </c>
      <c r="E109" s="17">
        <v>2.259887E-2</v>
      </c>
      <c r="F109" s="17"/>
      <c r="G109" s="17"/>
      <c r="H109" s="25">
        <f t="shared" si="6"/>
        <v>284.52168999999998</v>
      </c>
      <c r="I109" s="25">
        <f t="shared" si="7"/>
        <v>264.21830999999997</v>
      </c>
      <c r="V109">
        <v>3.7</v>
      </c>
      <c r="Y109" s="17">
        <v>2.8747430000000001E-2</v>
      </c>
      <c r="Z109" s="17">
        <v>3.2544379999999998E-2</v>
      </c>
      <c r="AA109" s="17"/>
      <c r="AB109" s="17"/>
      <c r="AC109" s="25">
        <f t="shared" si="8"/>
        <v>284.52168999999998</v>
      </c>
      <c r="AD109" s="25">
        <f t="shared" si="9"/>
        <v>264.21830999999997</v>
      </c>
      <c r="AN109">
        <v>3.7</v>
      </c>
      <c r="AQ109" s="17">
        <v>6.9264069999999997E-2</v>
      </c>
      <c r="AR109" s="17">
        <v>5.2341600000000002E-2</v>
      </c>
      <c r="AS109" s="17"/>
      <c r="AT109" s="17"/>
      <c r="AU109" s="25">
        <f t="shared" si="10"/>
        <v>284.52168999999998</v>
      </c>
      <c r="AV109" s="25">
        <f t="shared" si="11"/>
        <v>264.21830999999997</v>
      </c>
    </row>
    <row r="110" spans="1:48" x14ac:dyDescent="0.25">
      <c r="A110">
        <v>3.8</v>
      </c>
      <c r="D110" s="17">
        <v>2.335456E-2</v>
      </c>
      <c r="E110" s="17">
        <v>2.259887E-2</v>
      </c>
      <c r="F110" s="17"/>
      <c r="G110" s="17"/>
      <c r="V110">
        <v>3.8</v>
      </c>
      <c r="Y110" s="17">
        <v>2.669405E-2</v>
      </c>
      <c r="Z110" s="17">
        <v>2.9585799999999999E-2</v>
      </c>
      <c r="AA110" s="17"/>
      <c r="AB110" s="17"/>
      <c r="AC110" s="25">
        <f t="shared" ref="AC110:AC117" si="12">$M$128*(V110/100+1)</f>
        <v>284.79606000000001</v>
      </c>
      <c r="AD110" s="25">
        <f t="shared" ref="AD110:AD117" si="13">(1-V110/100)*$M$128</f>
        <v>263.94394</v>
      </c>
      <c r="AN110">
        <v>3.8</v>
      </c>
      <c r="AQ110" s="17">
        <v>6.4935060000000003E-2</v>
      </c>
      <c r="AR110" s="17">
        <v>4.6831959999999999E-2</v>
      </c>
      <c r="AS110" s="17"/>
      <c r="AT110" s="17"/>
      <c r="AU110" s="25">
        <f t="shared" ref="AU110:AU117" si="14">$M$128*(AN110/100+1)</f>
        <v>284.79606000000001</v>
      </c>
      <c r="AV110" s="25">
        <f t="shared" ref="AV110:AV117" si="15">(1-AN110/100)*$M$128</f>
        <v>263.94394</v>
      </c>
    </row>
    <row r="111" spans="1:48" x14ac:dyDescent="0.25">
      <c r="A111">
        <v>3.9</v>
      </c>
      <c r="D111" s="17">
        <v>2.1231420000000001E-2</v>
      </c>
      <c r="E111" s="17">
        <v>1.9774010000000002E-2</v>
      </c>
      <c r="F111" s="17"/>
      <c r="G111" s="17"/>
      <c r="V111">
        <v>3.9</v>
      </c>
      <c r="Y111" s="17">
        <v>2.258727E-2</v>
      </c>
      <c r="Z111" s="17">
        <v>2.3668640000000001E-2</v>
      </c>
      <c r="AA111" s="17"/>
      <c r="AB111" s="17"/>
      <c r="AC111" s="25">
        <f t="shared" si="12"/>
        <v>285.07042999999999</v>
      </c>
      <c r="AD111" s="25">
        <f t="shared" si="13"/>
        <v>263.66957000000002</v>
      </c>
      <c r="AN111">
        <v>3.9</v>
      </c>
      <c r="AQ111" s="17">
        <v>6.4935060000000003E-2</v>
      </c>
      <c r="AR111" s="17">
        <v>4.4077129999999999E-2</v>
      </c>
      <c r="AS111" s="17"/>
      <c r="AT111" s="17"/>
      <c r="AU111" s="25">
        <f t="shared" si="14"/>
        <v>285.07042999999999</v>
      </c>
      <c r="AV111" s="25">
        <f t="shared" si="15"/>
        <v>263.66957000000002</v>
      </c>
    </row>
    <row r="112" spans="1:48" x14ac:dyDescent="0.25">
      <c r="A112">
        <v>4</v>
      </c>
      <c r="D112" s="17">
        <v>1.6985139999999999E-2</v>
      </c>
      <c r="E112" s="17">
        <v>1.4124289999999999E-2</v>
      </c>
      <c r="F112" s="17"/>
      <c r="G112" s="17"/>
      <c r="V112">
        <v>4</v>
      </c>
      <c r="Y112" s="17">
        <v>2.0533880000000001E-2</v>
      </c>
      <c r="Z112" s="17">
        <v>1.775148E-2</v>
      </c>
      <c r="AA112" s="17"/>
      <c r="AB112" s="17"/>
      <c r="AC112" s="25">
        <f t="shared" si="12"/>
        <v>285.34480000000002</v>
      </c>
      <c r="AD112" s="25">
        <f t="shared" si="13"/>
        <v>263.39519999999999</v>
      </c>
      <c r="AN112">
        <v>4</v>
      </c>
      <c r="AQ112" s="17">
        <v>5.6277059999999997E-2</v>
      </c>
      <c r="AR112" s="17">
        <v>3.5812669999999998E-2</v>
      </c>
      <c r="AS112" s="17"/>
      <c r="AT112" s="17"/>
      <c r="AU112" s="25">
        <f t="shared" si="14"/>
        <v>285.34480000000002</v>
      </c>
      <c r="AV112" s="25">
        <f t="shared" si="15"/>
        <v>263.39519999999999</v>
      </c>
    </row>
    <row r="113" spans="1:48" x14ac:dyDescent="0.25">
      <c r="A113">
        <v>4.0999999999999996</v>
      </c>
      <c r="D113" s="17">
        <v>1.2738849999999999E-2</v>
      </c>
      <c r="E113" s="17">
        <v>8.4745759999999993E-3</v>
      </c>
      <c r="F113" s="17"/>
      <c r="G113" s="17"/>
      <c r="V113">
        <v>4.0999999999999996</v>
      </c>
      <c r="Y113" s="17">
        <v>1.8480489999999999E-2</v>
      </c>
      <c r="Z113" s="17">
        <v>1.775148E-2</v>
      </c>
      <c r="AA113" s="17"/>
      <c r="AB113" s="17"/>
      <c r="AC113" s="25">
        <f t="shared" si="12"/>
        <v>285.61917</v>
      </c>
      <c r="AD113" s="25">
        <f t="shared" si="13"/>
        <v>263.12083000000001</v>
      </c>
      <c r="AN113">
        <v>4.0999999999999996</v>
      </c>
      <c r="AQ113" s="17">
        <v>5.4112550000000002E-2</v>
      </c>
      <c r="AR113" s="17">
        <v>3.305785E-2</v>
      </c>
      <c r="AS113" s="17"/>
      <c r="AT113" s="17"/>
      <c r="AU113" s="25">
        <f t="shared" si="14"/>
        <v>285.61917</v>
      </c>
      <c r="AV113" s="25">
        <f t="shared" si="15"/>
        <v>263.12083000000001</v>
      </c>
    </row>
    <row r="114" spans="1:48" x14ac:dyDescent="0.25">
      <c r="A114">
        <v>4.2</v>
      </c>
      <c r="D114" s="17">
        <v>1.2738849999999999E-2</v>
      </c>
      <c r="E114" s="17">
        <v>8.4745759999999993E-3</v>
      </c>
      <c r="F114" s="17"/>
      <c r="G114" s="17"/>
      <c r="V114">
        <v>4.2</v>
      </c>
      <c r="Y114" s="17">
        <v>1.64271E-2</v>
      </c>
      <c r="Z114" s="17">
        <v>8.87574E-3</v>
      </c>
      <c r="AA114" s="17"/>
      <c r="AB114" s="17"/>
      <c r="AC114" s="25">
        <f t="shared" si="12"/>
        <v>285.89354000000003</v>
      </c>
      <c r="AD114" s="25">
        <f t="shared" si="13"/>
        <v>262.84645999999998</v>
      </c>
      <c r="AN114">
        <v>4.2</v>
      </c>
      <c r="AQ114" s="17">
        <v>4.9783550000000003E-2</v>
      </c>
      <c r="AR114" s="17">
        <v>3.305785E-2</v>
      </c>
      <c r="AS114" s="17"/>
      <c r="AT114" s="17"/>
      <c r="AU114" s="25">
        <f t="shared" si="14"/>
        <v>285.89354000000003</v>
      </c>
      <c r="AV114" s="25">
        <f t="shared" si="15"/>
        <v>262.84645999999998</v>
      </c>
    </row>
    <row r="115" spans="1:48" x14ac:dyDescent="0.25">
      <c r="A115">
        <v>4.3</v>
      </c>
      <c r="D115" s="17">
        <v>6.3694270000000004E-3</v>
      </c>
      <c r="E115" s="17">
        <v>5.6497179999999998E-3</v>
      </c>
      <c r="F115" s="17"/>
      <c r="G115" s="17"/>
      <c r="V115">
        <v>4.3</v>
      </c>
      <c r="Y115" s="17">
        <v>1.437372E-2</v>
      </c>
      <c r="Z115" s="17">
        <v>8.87574E-3</v>
      </c>
      <c r="AA115" s="17"/>
      <c r="AB115" s="17"/>
      <c r="AC115" s="25">
        <f t="shared" si="12"/>
        <v>286.16791000000001</v>
      </c>
      <c r="AD115" s="25">
        <f t="shared" si="13"/>
        <v>262.57209</v>
      </c>
      <c r="AN115">
        <v>4.3</v>
      </c>
      <c r="AQ115" s="17">
        <v>4.7619050000000003E-2</v>
      </c>
      <c r="AR115" s="17">
        <v>2.754821E-2</v>
      </c>
      <c r="AS115" s="17"/>
      <c r="AT115" s="17"/>
      <c r="AU115" s="25">
        <f t="shared" si="14"/>
        <v>286.16791000000001</v>
      </c>
      <c r="AV115" s="25">
        <f t="shared" si="15"/>
        <v>262.57209</v>
      </c>
    </row>
    <row r="116" spans="1:48" x14ac:dyDescent="0.25">
      <c r="A116">
        <v>4.4000000000000004</v>
      </c>
      <c r="D116" s="17">
        <v>4.2462849999999998E-3</v>
      </c>
      <c r="E116" s="17">
        <v>5.6497179999999998E-3</v>
      </c>
      <c r="F116" s="17"/>
      <c r="G116" s="17"/>
      <c r="V116">
        <v>4.4000000000000004</v>
      </c>
      <c r="Y116" s="17">
        <v>1.026694E-2</v>
      </c>
      <c r="Z116" s="17">
        <v>5.9171600000000003E-3</v>
      </c>
      <c r="AA116" s="17"/>
      <c r="AB116" s="17"/>
      <c r="AC116" s="25">
        <f t="shared" si="12"/>
        <v>286.44228000000004</v>
      </c>
      <c r="AD116" s="25">
        <f t="shared" si="13"/>
        <v>262.29771999999997</v>
      </c>
      <c r="AN116">
        <v>4.4000000000000004</v>
      </c>
      <c r="AQ116" s="17">
        <v>4.5454550000000003E-2</v>
      </c>
      <c r="AR116" s="17">
        <v>1.9283749999999999E-2</v>
      </c>
      <c r="AS116" s="17"/>
      <c r="AT116" s="17"/>
      <c r="AU116" s="25">
        <f t="shared" si="14"/>
        <v>286.44228000000004</v>
      </c>
      <c r="AV116" s="25">
        <f t="shared" si="15"/>
        <v>262.29771999999997</v>
      </c>
    </row>
    <row r="117" spans="1:48" x14ac:dyDescent="0.25">
      <c r="D117" s="17">
        <v>4.2462849999999998E-3</v>
      </c>
      <c r="E117" s="17">
        <v>5.6497179999999998E-3</v>
      </c>
      <c r="F117" s="17"/>
      <c r="G117" s="17"/>
      <c r="V117">
        <v>4.5</v>
      </c>
      <c r="Y117" s="17">
        <v>8.2135520000000007E-3</v>
      </c>
      <c r="Z117" s="17">
        <v>5.9171600000000003E-3</v>
      </c>
      <c r="AA117" s="17"/>
      <c r="AB117" s="17"/>
      <c r="AC117" s="25">
        <f t="shared" si="12"/>
        <v>286.71664999999996</v>
      </c>
      <c r="AD117" s="25">
        <f t="shared" si="13"/>
        <v>262.02334999999999</v>
      </c>
      <c r="AN117">
        <v>4.5</v>
      </c>
      <c r="AQ117" s="17">
        <v>4.1125540000000002E-2</v>
      </c>
      <c r="AR117" s="17">
        <v>1.1019279999999999E-2</v>
      </c>
      <c r="AS117" s="17"/>
      <c r="AT117" s="17"/>
      <c r="AU117" s="25">
        <f t="shared" si="14"/>
        <v>286.71664999999996</v>
      </c>
      <c r="AV117" s="25">
        <f t="shared" si="15"/>
        <v>262.02334999999999</v>
      </c>
    </row>
    <row r="118" spans="1:48" x14ac:dyDescent="0.25">
      <c r="A118" s="25" t="s">
        <v>27</v>
      </c>
      <c r="D118" s="25">
        <v>3.6</v>
      </c>
      <c r="E118" s="25">
        <v>2.7</v>
      </c>
      <c r="F118" s="17"/>
      <c r="G118" s="17"/>
      <c r="V118" s="25" t="s">
        <v>27</v>
      </c>
      <c r="Y118" s="25">
        <v>4.3</v>
      </c>
      <c r="Z118" s="25">
        <v>2.5</v>
      </c>
      <c r="AA118" s="17"/>
      <c r="AB118" s="17"/>
      <c r="AN118" t="s">
        <v>27</v>
      </c>
      <c r="AQ118" s="25">
        <v>3.5</v>
      </c>
      <c r="AR118" s="25">
        <v>2.4</v>
      </c>
      <c r="AS118" s="17"/>
      <c r="AT118" s="17"/>
    </row>
    <row r="119" spans="1:48" x14ac:dyDescent="0.25">
      <c r="A119" s="25" t="s">
        <v>26</v>
      </c>
      <c r="D119">
        <v>2</v>
      </c>
      <c r="E119">
        <v>2</v>
      </c>
      <c r="F119" s="17"/>
      <c r="G119" s="17"/>
      <c r="V119" t="s">
        <v>26</v>
      </c>
      <c r="Y119" s="6">
        <v>2.5</v>
      </c>
      <c r="Z119" s="6">
        <v>2</v>
      </c>
      <c r="AA119" s="17"/>
      <c r="AB119" s="17"/>
      <c r="AN119" t="s">
        <v>26</v>
      </c>
      <c r="AQ119">
        <v>2.5</v>
      </c>
      <c r="AR119">
        <v>2</v>
      </c>
      <c r="AS119" s="17"/>
      <c r="AT119" s="17"/>
    </row>
    <row r="120" spans="1:48" x14ac:dyDescent="0.25">
      <c r="A120" s="25" t="s">
        <v>25</v>
      </c>
      <c r="D120" s="25">
        <v>3.5</v>
      </c>
      <c r="E120" s="25">
        <v>2.7</v>
      </c>
      <c r="F120" s="17"/>
      <c r="G120" s="17"/>
      <c r="V120" t="s">
        <v>25</v>
      </c>
      <c r="Y120" s="25">
        <v>4.0999999999999996</v>
      </c>
      <c r="Z120" s="25">
        <v>2.9</v>
      </c>
      <c r="AA120" s="17"/>
      <c r="AB120" s="17"/>
      <c r="AN120" t="s">
        <v>25</v>
      </c>
      <c r="AQ120" s="25">
        <v>3.8</v>
      </c>
      <c r="AR120" s="25">
        <v>3</v>
      </c>
      <c r="AS120" s="17"/>
      <c r="AT120" s="17"/>
    </row>
    <row r="121" spans="1:48" x14ac:dyDescent="0.25">
      <c r="A121" s="17" t="s">
        <v>76</v>
      </c>
      <c r="B121" s="17"/>
      <c r="C121" s="17"/>
      <c r="D121" s="17">
        <v>0.1203008</v>
      </c>
      <c r="E121" s="17">
        <v>0.1136364</v>
      </c>
      <c r="F121" s="17"/>
      <c r="G121" s="17"/>
      <c r="V121" s="17" t="s">
        <v>76</v>
      </c>
      <c r="W121" s="17"/>
      <c r="X121" s="17"/>
      <c r="Y121" s="17">
        <v>0.1355932</v>
      </c>
      <c r="Z121" s="17">
        <v>0.12820509999999999</v>
      </c>
      <c r="AA121" s="17"/>
      <c r="AB121" s="17"/>
      <c r="AN121" s="17" t="s">
        <v>76</v>
      </c>
      <c r="AO121" s="17"/>
      <c r="AP121" s="17"/>
      <c r="AQ121" s="17">
        <v>0.1393443</v>
      </c>
      <c r="AR121" s="17">
        <v>0.1147541</v>
      </c>
      <c r="AS121" s="17"/>
      <c r="AT121" s="17"/>
    </row>
    <row r="122" spans="1:48" x14ac:dyDescent="0.25">
      <c r="A122" s="17" t="s">
        <v>133</v>
      </c>
      <c r="B122" s="17"/>
      <c r="C122" s="17"/>
      <c r="D122" s="17">
        <v>6.0150380000000003E-2</v>
      </c>
      <c r="E122" s="17">
        <v>3.7878790000000002E-2</v>
      </c>
      <c r="F122" s="17"/>
      <c r="G122" s="17"/>
      <c r="V122" s="17" t="s">
        <v>133</v>
      </c>
      <c r="Y122" s="17">
        <v>5.9322029999999998E-2</v>
      </c>
      <c r="Z122" s="17">
        <v>6.8376069999999997E-2</v>
      </c>
      <c r="AA122" s="17"/>
      <c r="AB122" s="17"/>
      <c r="AN122" s="17" t="s">
        <v>133</v>
      </c>
      <c r="AO122" s="17"/>
      <c r="AP122" s="17"/>
      <c r="AQ122" s="17">
        <v>7.3770489999999994E-2</v>
      </c>
      <c r="AR122" s="17">
        <v>4.9180330000000001E-2</v>
      </c>
      <c r="AS122" s="17"/>
      <c r="AT122" s="17"/>
    </row>
    <row r="123" spans="1:48" x14ac:dyDescent="0.25">
      <c r="A123" t="s">
        <v>78</v>
      </c>
      <c r="B123" s="17"/>
      <c r="C123" s="17"/>
      <c r="D123" s="17">
        <v>0.30075190000000002</v>
      </c>
      <c r="E123" s="17">
        <v>0.20454549999999999</v>
      </c>
      <c r="F123" s="17"/>
      <c r="G123" s="17"/>
      <c r="V123" t="s">
        <v>78</v>
      </c>
      <c r="W123" s="17"/>
      <c r="X123" s="17"/>
      <c r="Y123" s="17">
        <v>0.39830510000000002</v>
      </c>
      <c r="Z123" s="17">
        <v>0.23076920000000001</v>
      </c>
      <c r="AA123" s="17"/>
      <c r="AB123" s="17"/>
      <c r="AN123" t="s">
        <v>78</v>
      </c>
      <c r="AO123" s="17"/>
      <c r="AP123" s="17"/>
      <c r="AQ123" s="17">
        <v>0.36885250000000003</v>
      </c>
      <c r="AR123" s="17">
        <v>0.29508200000000001</v>
      </c>
      <c r="AS123" s="17"/>
      <c r="AT123" s="17"/>
    </row>
    <row r="124" spans="1:48" x14ac:dyDescent="0.25">
      <c r="A124" t="s">
        <v>135</v>
      </c>
      <c r="B124" s="17"/>
      <c r="C124" s="17"/>
      <c r="D124" s="17">
        <v>0.24812029999999999</v>
      </c>
      <c r="E124" s="17">
        <v>0.15151519999999999</v>
      </c>
      <c r="F124" s="17"/>
      <c r="G124" s="17"/>
      <c r="V124" t="s">
        <v>135</v>
      </c>
      <c r="Y124" s="17">
        <v>0.33050849999999998</v>
      </c>
      <c r="Z124" s="17">
        <v>0.17948720000000001</v>
      </c>
      <c r="AA124" s="17"/>
      <c r="AB124" s="17"/>
      <c r="AN124" t="s">
        <v>135</v>
      </c>
      <c r="AO124" s="17"/>
      <c r="AP124" s="17"/>
      <c r="AQ124" s="17">
        <v>0.27868850000000001</v>
      </c>
      <c r="AR124" s="17">
        <v>0.21311479999999999</v>
      </c>
      <c r="AS124" s="17"/>
      <c r="AT124" s="17"/>
    </row>
    <row r="125" spans="1:48" x14ac:dyDescent="0.25">
      <c r="A125" t="s">
        <v>136</v>
      </c>
      <c r="D125">
        <v>18</v>
      </c>
      <c r="E125">
        <v>20</v>
      </c>
      <c r="F125" s="17"/>
      <c r="G125" s="17"/>
      <c r="V125" t="s">
        <v>136</v>
      </c>
      <c r="Y125">
        <v>28</v>
      </c>
      <c r="Z125">
        <v>16</v>
      </c>
      <c r="AA125" s="17"/>
      <c r="AB125" s="17"/>
      <c r="AQ125">
        <v>18</v>
      </c>
      <c r="AR125">
        <v>16</v>
      </c>
      <c r="AS125" s="17"/>
      <c r="AT125" s="17"/>
    </row>
    <row r="126" spans="1:48" x14ac:dyDescent="0.25">
      <c r="D126" s="17"/>
      <c r="E126" s="17"/>
      <c r="F126" s="17"/>
      <c r="G126" s="17"/>
      <c r="Y126" s="17"/>
      <c r="Z126" s="17"/>
      <c r="AA126" s="17"/>
      <c r="AB126" s="17"/>
      <c r="AQ126" s="14"/>
      <c r="AR126" s="14"/>
      <c r="AS126" s="17"/>
      <c r="AT126" s="17"/>
    </row>
    <row r="128" spans="1:48" x14ac:dyDescent="0.25">
      <c r="L128" s="26" t="s">
        <v>19</v>
      </c>
      <c r="M128">
        <v>274.37</v>
      </c>
    </row>
    <row r="130" spans="1:49" x14ac:dyDescent="0.25">
      <c r="AA130" s="17"/>
      <c r="AB130" s="17"/>
    </row>
    <row r="131" spans="1:49" x14ac:dyDescent="0.25">
      <c r="F131" s="17"/>
      <c r="G131" s="17"/>
      <c r="H131" s="27"/>
      <c r="I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S131" s="17"/>
      <c r="AT131" s="17"/>
    </row>
    <row r="132" spans="1:49" x14ac:dyDescent="0.25">
      <c r="F132" s="17"/>
      <c r="G132" s="17"/>
      <c r="H132" s="27"/>
      <c r="I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AA132" s="17"/>
      <c r="AB132" s="1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S132" s="17"/>
      <c r="AT132" s="17"/>
    </row>
    <row r="133" spans="1:49" x14ac:dyDescent="0.25">
      <c r="F133" s="17"/>
      <c r="G133" s="17"/>
      <c r="AS133" s="17"/>
      <c r="AT133" s="17"/>
    </row>
    <row r="134" spans="1:49" x14ac:dyDescent="0.25">
      <c r="F134" s="17"/>
      <c r="G134" s="17"/>
      <c r="AS134" s="17"/>
      <c r="AT134" s="17"/>
    </row>
    <row r="137" spans="1:49" x14ac:dyDescent="0.25">
      <c r="T137" t="s">
        <v>68</v>
      </c>
      <c r="W137" s="14">
        <f>W140/SQRT(3)</f>
        <v>1.6601158507791959E-2</v>
      </c>
      <c r="Y137" s="14">
        <f>(Y140+1)^(1/3)-1</f>
        <v>6.7586610210135234E-4</v>
      </c>
      <c r="AA137" s="14">
        <f>(AA140+1)^(1/3)-1</f>
        <v>9.2548521288771113E-4</v>
      </c>
      <c r="AL137" t="s">
        <v>68</v>
      </c>
      <c r="AO137" s="14">
        <f>AO140/SQRT(3)</f>
        <v>2.0076252872055084E-2</v>
      </c>
      <c r="AQ137" s="14">
        <f>(AQ140+1)^(1/3)-1</f>
        <v>-1.3283380339896844E-3</v>
      </c>
      <c r="AS137" s="14">
        <f>(AS140+1)^(1/3)-1</f>
        <v>-1.2492011871449993E-3</v>
      </c>
    </row>
    <row r="138" spans="1:49" x14ac:dyDescent="0.25">
      <c r="W138" s="14">
        <f>W141/SQRT(5)</f>
        <v>0</v>
      </c>
      <c r="Y138" s="14">
        <f>(Y141+1)^(1/5)-1</f>
        <v>0</v>
      </c>
      <c r="AA138" s="14">
        <f>(AA141+1)^(1/5)-1</f>
        <v>0</v>
      </c>
      <c r="AO138" s="14">
        <f>AO141/SQRT(5)</f>
        <v>0</v>
      </c>
      <c r="AQ138" s="14">
        <f>(AQ141+1)^(1/5)-1</f>
        <v>0</v>
      </c>
      <c r="AS138" s="14">
        <f>(AS141+1)^(1/5)-1</f>
        <v>0</v>
      </c>
    </row>
    <row r="139" spans="1:49" x14ac:dyDescent="0.25">
      <c r="V139" t="s">
        <v>27</v>
      </c>
      <c r="W139" s="14"/>
      <c r="X139" t="s">
        <v>26</v>
      </c>
      <c r="Y139" s="14"/>
      <c r="Z139" t="s">
        <v>25</v>
      </c>
      <c r="AA139" s="14"/>
      <c r="AN139" t="s">
        <v>27</v>
      </c>
      <c r="AO139" s="14"/>
      <c r="AP139" t="s">
        <v>26</v>
      </c>
      <c r="AQ139" s="14"/>
      <c r="AR139" t="s">
        <v>25</v>
      </c>
      <c r="AS139" s="14"/>
    </row>
    <row r="140" spans="1:49" x14ac:dyDescent="0.25">
      <c r="V140" t="s">
        <v>27</v>
      </c>
      <c r="W140" s="14">
        <v>2.875405E-2</v>
      </c>
      <c r="X140" t="s">
        <v>26</v>
      </c>
      <c r="Y140" s="14">
        <v>2.0289689999999998E-3</v>
      </c>
      <c r="Z140" t="s">
        <v>25</v>
      </c>
      <c r="AA140" s="14">
        <v>2.779026E-3</v>
      </c>
      <c r="AN140" t="s">
        <v>27</v>
      </c>
      <c r="AO140" s="14">
        <v>3.477309E-2</v>
      </c>
      <c r="AP140" t="s">
        <v>26</v>
      </c>
      <c r="AQ140" s="14">
        <v>-3.9797230000000001E-3</v>
      </c>
      <c r="AR140" t="s">
        <v>25</v>
      </c>
      <c r="AS140" s="14">
        <v>-3.7429239999999999E-3</v>
      </c>
    </row>
    <row r="141" spans="1:49" x14ac:dyDescent="0.25">
      <c r="T141" s="14"/>
      <c r="V141" t="s">
        <v>27</v>
      </c>
      <c r="W141" s="14"/>
      <c r="X141" t="s">
        <v>26</v>
      </c>
      <c r="Y141" s="14"/>
      <c r="Z141" t="s">
        <v>25</v>
      </c>
      <c r="AA141" s="14"/>
      <c r="AN141" t="s">
        <v>27</v>
      </c>
      <c r="AO141" s="14"/>
      <c r="AP141" t="s">
        <v>26</v>
      </c>
      <c r="AQ141" s="14"/>
      <c r="AR141" t="s">
        <v>25</v>
      </c>
      <c r="AS141" s="14"/>
    </row>
    <row r="142" spans="1:49" x14ac:dyDescent="0.25">
      <c r="J142" s="14"/>
      <c r="V142" s="13">
        <v>21.809000000000001</v>
      </c>
      <c r="W142" t="s">
        <v>50</v>
      </c>
      <c r="X142" s="13">
        <v>24.46</v>
      </c>
      <c r="AN142" s="13">
        <v>24.46</v>
      </c>
      <c r="AO142" t="s">
        <v>49</v>
      </c>
      <c r="AP142" s="13">
        <v>28.95</v>
      </c>
    </row>
    <row r="143" spans="1:49" x14ac:dyDescent="0.25">
      <c r="A143">
        <v>19.71</v>
      </c>
      <c r="B143" t="s">
        <v>47</v>
      </c>
      <c r="C143" s="13">
        <v>21.809000000000001</v>
      </c>
      <c r="D143" t="s">
        <v>27</v>
      </c>
      <c r="E143" s="14"/>
      <c r="F143" t="s">
        <v>26</v>
      </c>
      <c r="G143" s="14"/>
      <c r="H143" t="s">
        <v>25</v>
      </c>
      <c r="I143" s="14"/>
      <c r="J143" s="14"/>
      <c r="T143" s="14"/>
      <c r="W143" t="s">
        <v>68</v>
      </c>
      <c r="X143" t="s">
        <v>27</v>
      </c>
      <c r="Y143" s="14">
        <f>Y146/SQRT(3)</f>
        <v>1.131257808049076E-2</v>
      </c>
      <c r="Z143" s="14">
        <f>Z146/SQRT(3)</f>
        <v>9.4809458984920561E-3</v>
      </c>
      <c r="AA143" s="14">
        <f>AA146/SQRT(5)</f>
        <v>0</v>
      </c>
      <c r="AB143" s="14">
        <f>AB146/SQRT(5)</f>
        <v>0</v>
      </c>
      <c r="AO143" t="s">
        <v>68</v>
      </c>
      <c r="AP143" t="s">
        <v>27</v>
      </c>
      <c r="AQ143" s="14">
        <f>AQ146/SQRT(3)</f>
        <v>1.2700816802757217E-2</v>
      </c>
      <c r="AR143" s="14">
        <f>AR146/SQRT(3)</f>
        <v>1.2526399286435031E-2</v>
      </c>
      <c r="AS143" s="14">
        <f>AS146/SQRT(5)</f>
        <v>0</v>
      </c>
      <c r="AT143" s="14">
        <f>AT146/SQRT(5)</f>
        <v>0</v>
      </c>
    </row>
    <row r="144" spans="1:49" x14ac:dyDescent="0.25">
      <c r="C144" s="13"/>
      <c r="D144" t="s">
        <v>27</v>
      </c>
      <c r="E144" s="14">
        <v>2.4322070000000001E-2</v>
      </c>
      <c r="F144" t="s">
        <v>26</v>
      </c>
      <c r="G144" s="14">
        <v>2.5817129999999998E-3</v>
      </c>
      <c r="H144" t="s">
        <v>25</v>
      </c>
      <c r="I144" s="14">
        <v>2.7840180000000001E-3</v>
      </c>
      <c r="J144" s="14"/>
      <c r="T144" s="14"/>
      <c r="V144" s="13"/>
      <c r="X144" t="s">
        <v>26</v>
      </c>
      <c r="Y144" s="14">
        <f>(Y147+1)^(1/3)-1</f>
        <v>6.4399085516444465E-3</v>
      </c>
      <c r="Z144" s="14">
        <f t="shared" ref="Z144:Z145" si="16">(Z147+1)^(1/3)-1</f>
        <v>-6.1498599127869369E-3</v>
      </c>
      <c r="AA144" s="14">
        <f t="shared" ref="AA144:AB145" si="17">(AA147+1)^(1/5)-1</f>
        <v>0</v>
      </c>
      <c r="AB144" s="14">
        <f t="shared" si="17"/>
        <v>0</v>
      </c>
      <c r="AF144" s="21" t="e">
        <f>AVERAGE(AP147,X147)</f>
        <v>#DIV/0!</v>
      </c>
      <c r="AG144" s="21"/>
      <c r="AH144" s="21"/>
      <c r="AI144" s="21"/>
      <c r="AJ144" s="21"/>
      <c r="AK144" s="21"/>
      <c r="AN144" s="13"/>
      <c r="AP144" t="s">
        <v>26</v>
      </c>
      <c r="AQ144" s="14">
        <f t="shared" ref="AQ144:AR145" si="18">(AQ147+1)^(1/3)-1</f>
        <v>7.1546949250635983E-3</v>
      </c>
      <c r="AR144" s="14">
        <f t="shared" si="18"/>
        <v>-8.0769887727839551E-3</v>
      </c>
      <c r="AS144" s="14">
        <f t="shared" ref="AS144:AT145" si="19">(AS147+1)^(1/5)-1</f>
        <v>0</v>
      </c>
      <c r="AT144" s="14">
        <f t="shared" si="19"/>
        <v>0</v>
      </c>
      <c r="AW144" s="14"/>
    </row>
    <row r="145" spans="1:51" x14ac:dyDescent="0.25">
      <c r="A145" t="s">
        <v>64</v>
      </c>
      <c r="C145" s="13"/>
      <c r="D145" t="s">
        <v>27</v>
      </c>
      <c r="E145" s="14"/>
      <c r="F145" t="s">
        <v>26</v>
      </c>
      <c r="G145" s="14"/>
      <c r="H145" t="s">
        <v>25</v>
      </c>
      <c r="I145" s="14"/>
      <c r="J145" s="14"/>
      <c r="T145" s="14"/>
      <c r="V145" s="13"/>
      <c r="X145" t="s">
        <v>25</v>
      </c>
      <c r="Y145" s="14">
        <f>(Y148+1)^(1/3)-1</f>
        <v>7.7902510634197952E-3</v>
      </c>
      <c r="Z145" s="14">
        <f t="shared" si="16"/>
        <v>-7.0948681083194964E-3</v>
      </c>
      <c r="AA145" s="14">
        <f t="shared" si="17"/>
        <v>0</v>
      </c>
      <c r="AB145" s="14">
        <f t="shared" si="17"/>
        <v>0</v>
      </c>
      <c r="AN145" s="13"/>
      <c r="AP145" t="s">
        <v>25</v>
      </c>
      <c r="AQ145" s="14">
        <f t="shared" si="18"/>
        <v>8.6925014840240067E-3</v>
      </c>
      <c r="AR145" s="14">
        <f t="shared" si="18"/>
        <v>-9.4596460719672537E-3</v>
      </c>
      <c r="AS145" s="14">
        <f t="shared" si="19"/>
        <v>0</v>
      </c>
      <c r="AT145" s="14">
        <f t="shared" si="19"/>
        <v>0</v>
      </c>
    </row>
    <row r="146" spans="1:51" x14ac:dyDescent="0.25">
      <c r="A146" t="s">
        <v>27</v>
      </c>
      <c r="B146" s="14"/>
      <c r="C146" s="14"/>
      <c r="D146" s="14">
        <v>1.57728E-2</v>
      </c>
      <c r="E146" s="14">
        <v>1.444546E-2</v>
      </c>
      <c r="F146" s="14"/>
      <c r="G146" s="14"/>
      <c r="H146" s="21" t="s">
        <v>40</v>
      </c>
      <c r="I146" s="21"/>
      <c r="J146" s="21"/>
      <c r="L146">
        <v>457</v>
      </c>
      <c r="V146" t="s">
        <v>27</v>
      </c>
      <c r="W146" s="14"/>
      <c r="X146" s="14"/>
      <c r="Y146" s="14">
        <v>1.9593960000000001E-2</v>
      </c>
      <c r="Z146" s="14">
        <v>1.6421479999999999E-2</v>
      </c>
      <c r="AA146" s="14"/>
      <c r="AB146" s="14"/>
      <c r="AD146" s="21" t="s">
        <v>40</v>
      </c>
      <c r="AF146">
        <v>441</v>
      </c>
      <c r="AL146">
        <v>448</v>
      </c>
      <c r="AN146" t="s">
        <v>27</v>
      </c>
      <c r="AO146" s="14"/>
      <c r="AP146" s="14"/>
      <c r="AQ146" s="14">
        <v>2.1998460000000001E-2</v>
      </c>
      <c r="AR146" s="14">
        <v>2.1696360000000001E-2</v>
      </c>
      <c r="AS146" s="14"/>
      <c r="AT146" s="14"/>
      <c r="AV146" s="21" t="s">
        <v>40</v>
      </c>
      <c r="AX146">
        <v>369</v>
      </c>
    </row>
    <row r="147" spans="1:51" x14ac:dyDescent="0.25">
      <c r="A147" t="s">
        <v>26</v>
      </c>
      <c r="B147" s="14"/>
      <c r="C147" s="14"/>
      <c r="D147" s="14">
        <v>1.5964430000000002E-2</v>
      </c>
      <c r="E147" s="14">
        <v>-1.540469E-2</v>
      </c>
      <c r="F147" s="14"/>
      <c r="G147" s="14"/>
      <c r="H147" s="21" t="s">
        <v>41</v>
      </c>
      <c r="I147" s="21"/>
      <c r="J147" s="21"/>
      <c r="L147">
        <v>368</v>
      </c>
      <c r="V147" t="s">
        <v>26</v>
      </c>
      <c r="W147" s="14"/>
      <c r="X147" s="14"/>
      <c r="Y147" s="14">
        <v>1.9444409999999999E-2</v>
      </c>
      <c r="Z147" s="14">
        <v>-1.8336350000000001E-2</v>
      </c>
      <c r="AA147" s="14"/>
      <c r="AB147" s="14"/>
      <c r="AD147" s="21" t="s">
        <v>41</v>
      </c>
      <c r="AF147">
        <v>383</v>
      </c>
      <c r="AL147">
        <v>375</v>
      </c>
      <c r="AN147" t="s">
        <v>26</v>
      </c>
      <c r="AO147" s="14"/>
      <c r="AP147" s="14"/>
      <c r="AQ147" s="14">
        <v>2.1618020000000002E-2</v>
      </c>
      <c r="AR147" s="14">
        <v>-2.403578E-2</v>
      </c>
      <c r="AS147" s="14"/>
      <c r="AT147" s="14"/>
      <c r="AV147" s="21" t="s">
        <v>41</v>
      </c>
      <c r="AX147">
        <v>455</v>
      </c>
    </row>
    <row r="148" spans="1:51" x14ac:dyDescent="0.25">
      <c r="A148" t="s">
        <v>25</v>
      </c>
      <c r="B148" s="14"/>
      <c r="C148" s="14"/>
      <c r="D148" s="14">
        <v>1.9822269999999999E-2</v>
      </c>
      <c r="E148" s="14">
        <v>-1.8374890000000001E-2</v>
      </c>
      <c r="F148" s="14"/>
      <c r="G148" s="14"/>
      <c r="H148" t="s">
        <v>42</v>
      </c>
      <c r="K148" s="13" t="e">
        <f>K146/K147</f>
        <v>#DIV/0!</v>
      </c>
      <c r="L148" s="13">
        <f>L146/L147</f>
        <v>1.2418478260869565</v>
      </c>
      <c r="M148" s="13" t="e">
        <f>M146/M147</f>
        <v>#DIV/0!</v>
      </c>
      <c r="N148" s="13"/>
      <c r="O148" s="13"/>
      <c r="P148" s="13"/>
      <c r="Q148" s="13"/>
      <c r="R148" s="13"/>
      <c r="S148" s="13"/>
      <c r="V148" t="s">
        <v>25</v>
      </c>
      <c r="W148" s="14"/>
      <c r="X148" s="14"/>
      <c r="Y148" s="14">
        <v>2.3553290000000001E-2</v>
      </c>
      <c r="Z148" s="14">
        <v>-2.1133949999999999E-2</v>
      </c>
      <c r="AA148" s="14"/>
      <c r="AB148" s="14"/>
      <c r="AD148" t="s">
        <v>42</v>
      </c>
      <c r="AE148" s="13" t="e">
        <f>AE146/AE147</f>
        <v>#DIV/0!</v>
      </c>
      <c r="AF148" s="13">
        <f>AF146/AF147</f>
        <v>1.1514360313315928</v>
      </c>
      <c r="AG148" s="13"/>
      <c r="AH148" s="13"/>
      <c r="AI148" s="13"/>
      <c r="AJ148" s="13"/>
      <c r="AK148" s="13"/>
      <c r="AL148" s="13">
        <f>AL146/AL147</f>
        <v>1.1946666666666668</v>
      </c>
      <c r="AN148" t="s">
        <v>25</v>
      </c>
      <c r="AO148" s="14"/>
      <c r="AP148" s="14"/>
      <c r="AQ148" s="14">
        <v>2.6304839999999999E-2</v>
      </c>
      <c r="AR148" s="14">
        <v>-2.811133E-2</v>
      </c>
      <c r="AS148" s="14"/>
      <c r="AT148" s="14"/>
      <c r="AV148" t="s">
        <v>42</v>
      </c>
      <c r="AW148" s="13" t="e">
        <f>AW146/AW147</f>
        <v>#DIV/0!</v>
      </c>
      <c r="AX148" s="13">
        <f>AX146/AX147</f>
        <v>0.81098901098901099</v>
      </c>
      <c r="AY148" s="13" t="e">
        <f>AY146/AY147</f>
        <v>#DIV/0!</v>
      </c>
    </row>
    <row r="149" spans="1:51" x14ac:dyDescent="0.25">
      <c r="A149" t="s">
        <v>31</v>
      </c>
      <c r="B149" t="s">
        <v>30</v>
      </c>
      <c r="C149" t="s">
        <v>33</v>
      </c>
      <c r="D149" t="s">
        <v>58</v>
      </c>
      <c r="E149" t="s">
        <v>59</v>
      </c>
      <c r="F149" t="s">
        <v>65</v>
      </c>
      <c r="G149" t="s">
        <v>66</v>
      </c>
      <c r="K149" s="17" t="e">
        <f>K146/SUM(K146:K147)</f>
        <v>#DIV/0!</v>
      </c>
      <c r="L149" s="17">
        <f>L146/SUM(L146:L147)</f>
        <v>0.55393939393939395</v>
      </c>
      <c r="M149" s="17" t="e">
        <f>M146/SUM(M146:M147)</f>
        <v>#DIV/0!</v>
      </c>
      <c r="N149" s="17"/>
      <c r="O149" s="17"/>
      <c r="P149" s="17"/>
      <c r="Q149" s="17"/>
      <c r="R149" s="17"/>
      <c r="S149" s="17"/>
      <c r="V149" t="s">
        <v>31</v>
      </c>
      <c r="W149" t="s">
        <v>30</v>
      </c>
      <c r="X149" t="s">
        <v>33</v>
      </c>
      <c r="Y149" t="s">
        <v>58</v>
      </c>
      <c r="Z149" t="s">
        <v>59</v>
      </c>
      <c r="AA149" t="s">
        <v>65</v>
      </c>
      <c r="AB149" t="s">
        <v>66</v>
      </c>
      <c r="AE149" s="17" t="e">
        <f>AE146/SUM(AE146:AE147)</f>
        <v>#DIV/0!</v>
      </c>
      <c r="AF149" s="17">
        <f>AF146/SUM(AF146:AF147)</f>
        <v>0.53519417475728159</v>
      </c>
      <c r="AG149" s="17"/>
      <c r="AH149" s="17"/>
      <c r="AI149" s="17"/>
      <c r="AJ149" s="17"/>
      <c r="AK149" s="17"/>
      <c r="AL149" s="17">
        <f>AL146/SUM(AL146:AL147)</f>
        <v>0.54434993924665853</v>
      </c>
      <c r="AN149" t="s">
        <v>31</v>
      </c>
      <c r="AO149" t="s">
        <v>30</v>
      </c>
      <c r="AP149" t="s">
        <v>33</v>
      </c>
      <c r="AQ149" t="s">
        <v>58</v>
      </c>
      <c r="AR149" t="s">
        <v>59</v>
      </c>
      <c r="AS149" t="s">
        <v>65</v>
      </c>
      <c r="AT149" t="s">
        <v>66</v>
      </c>
      <c r="AW149" s="17" t="e">
        <f>AW146/SUM(AW146:AW147)</f>
        <v>#DIV/0!</v>
      </c>
      <c r="AX149" s="17">
        <f>AX146/SUM(AX146:AX147)</f>
        <v>0.44781553398058255</v>
      </c>
      <c r="AY149" s="17" t="e">
        <f>AY146/SUM(AY146:AY147)</f>
        <v>#DIV/0!</v>
      </c>
    </row>
    <row r="150" spans="1:51" x14ac:dyDescent="0.25">
      <c r="A150">
        <v>0.1</v>
      </c>
      <c r="B150" s="17"/>
      <c r="C150" s="17"/>
      <c r="D150" s="17">
        <v>0.96061269999999999</v>
      </c>
      <c r="E150" s="17">
        <v>0.96739129999999995</v>
      </c>
      <c r="F150" s="17"/>
      <c r="G150" s="17"/>
      <c r="H150" s="25">
        <f t="shared" ref="H150:H192" si="20">$M$128*(A150/100+1)</f>
        <v>274.64436999999998</v>
      </c>
      <c r="I150" s="25">
        <f t="shared" ref="I150:I192" si="21">(1-A150/100)*$M$128</f>
        <v>274.09563000000003</v>
      </c>
      <c r="J150" s="25"/>
      <c r="K150" s="17" t="e">
        <f>K147/SUM(K146:K147)</f>
        <v>#DIV/0!</v>
      </c>
      <c r="L150" s="17">
        <f>L147/SUM(L146:L147)</f>
        <v>0.44606060606060605</v>
      </c>
      <c r="M150" s="17" t="e">
        <f>M147/SUM(M146:M147)</f>
        <v>#DIV/0!</v>
      </c>
      <c r="N150" s="17"/>
      <c r="O150" s="17"/>
      <c r="P150" s="17"/>
      <c r="Q150" s="17"/>
      <c r="R150" s="17"/>
      <c r="S150" s="17"/>
      <c r="V150">
        <v>0.1</v>
      </c>
      <c r="W150" s="17"/>
      <c r="X150" s="17"/>
      <c r="Y150" s="17">
        <v>0.96825399999999995</v>
      </c>
      <c r="Z150" s="17">
        <v>0.96344649999999998</v>
      </c>
      <c r="AA150" s="17"/>
      <c r="AB150" s="17"/>
      <c r="AC150" s="25">
        <f t="shared" ref="AC150:AC194" si="22">$M$128*(V150/100+1)</f>
        <v>274.64436999999998</v>
      </c>
      <c r="AD150" s="25">
        <f t="shared" ref="AD150:AD194" si="23">(1-V150/100)*$M$128</f>
        <v>274.09563000000003</v>
      </c>
      <c r="AE150" s="17" t="e">
        <f>AE147/SUM(AE146:AE147)</f>
        <v>#DIV/0!</v>
      </c>
      <c r="AF150" s="17">
        <f>AF147/SUM(AF146:AF147)</f>
        <v>0.46480582524271846</v>
      </c>
      <c r="AG150" s="17"/>
      <c r="AH150" s="17"/>
      <c r="AI150" s="17"/>
      <c r="AJ150" s="17"/>
      <c r="AK150" s="17"/>
      <c r="AL150" s="17">
        <f>AL147/SUM(AL146:AL147)</f>
        <v>0.45565006075334141</v>
      </c>
      <c r="AN150">
        <v>0.1</v>
      </c>
      <c r="AO150" s="17"/>
      <c r="AP150" s="17"/>
      <c r="AQ150" s="17">
        <v>0.97560979999999997</v>
      </c>
      <c r="AR150" s="17">
        <v>0.97142859999999998</v>
      </c>
      <c r="AS150" s="17"/>
      <c r="AT150" s="17"/>
      <c r="AU150" s="25">
        <f t="shared" ref="AU150:AU193" si="24">$M$128*(AN150/100+1)</f>
        <v>274.64436999999998</v>
      </c>
      <c r="AV150" s="25">
        <f t="shared" ref="AV150:AV193" si="25">(1-AN150/100)*$M$128</f>
        <v>274.09563000000003</v>
      </c>
      <c r="AW150" s="17" t="e">
        <f>AW147/SUM(AW146:AW147)</f>
        <v>#DIV/0!</v>
      </c>
      <c r="AX150" s="17">
        <f>AX147/SUM(AX146:AX147)</f>
        <v>0.55218446601941751</v>
      </c>
      <c r="AY150" s="17" t="e">
        <f>AY147/SUM(AY146:AY147)</f>
        <v>#DIV/0!</v>
      </c>
    </row>
    <row r="151" spans="1:51" x14ac:dyDescent="0.25">
      <c r="A151">
        <v>0.2</v>
      </c>
      <c r="B151" s="17"/>
      <c r="C151" s="17"/>
      <c r="D151" s="17">
        <v>0.92997810000000003</v>
      </c>
      <c r="E151" s="17">
        <v>0.92119569999999995</v>
      </c>
      <c r="F151" s="17"/>
      <c r="G151" s="17"/>
      <c r="H151" s="25">
        <f t="shared" si="20"/>
        <v>274.91874000000001</v>
      </c>
      <c r="I151" s="25">
        <f t="shared" si="21"/>
        <v>273.82126</v>
      </c>
      <c r="J151" s="25"/>
      <c r="V151">
        <v>0.2</v>
      </c>
      <c r="W151" s="17"/>
      <c r="X151" s="17"/>
      <c r="Y151" s="17">
        <v>0.93650789999999995</v>
      </c>
      <c r="Z151" s="17">
        <v>0.9399478</v>
      </c>
      <c r="AA151" s="17"/>
      <c r="AB151" s="17"/>
      <c r="AC151" s="25">
        <f t="shared" si="22"/>
        <v>274.91874000000001</v>
      </c>
      <c r="AD151" s="25">
        <f t="shared" si="23"/>
        <v>273.82126</v>
      </c>
      <c r="AN151">
        <v>0.2</v>
      </c>
      <c r="AO151" s="17"/>
      <c r="AP151" s="17"/>
      <c r="AQ151" s="17">
        <v>0.94579950000000002</v>
      </c>
      <c r="AR151" s="17">
        <v>0.95824180000000003</v>
      </c>
      <c r="AS151" s="17"/>
      <c r="AT151" s="17"/>
      <c r="AU151" s="25">
        <f t="shared" si="24"/>
        <v>274.91874000000001</v>
      </c>
      <c r="AV151" s="25">
        <f t="shared" si="25"/>
        <v>273.82126</v>
      </c>
    </row>
    <row r="152" spans="1:51" x14ac:dyDescent="0.25">
      <c r="A152">
        <v>0.3</v>
      </c>
      <c r="B152" s="17"/>
      <c r="C152" s="17"/>
      <c r="D152" s="17">
        <v>0.89277899999999999</v>
      </c>
      <c r="E152" s="17">
        <v>0.88315220000000005</v>
      </c>
      <c r="F152" s="17"/>
      <c r="G152" s="17"/>
      <c r="H152" s="25">
        <f t="shared" si="20"/>
        <v>275.19310999999999</v>
      </c>
      <c r="I152" s="25">
        <f t="shared" si="21"/>
        <v>273.54689000000002</v>
      </c>
      <c r="J152" s="25"/>
      <c r="V152">
        <v>0.3</v>
      </c>
      <c r="W152" s="17"/>
      <c r="X152" s="17"/>
      <c r="Y152" s="17">
        <v>0.90929709999999997</v>
      </c>
      <c r="Z152" s="17">
        <v>0.89556139999999995</v>
      </c>
      <c r="AA152" s="17"/>
      <c r="AB152" s="17"/>
      <c r="AC152" s="25">
        <f t="shared" si="22"/>
        <v>275.19310999999999</v>
      </c>
      <c r="AD152" s="25">
        <f t="shared" si="23"/>
        <v>273.54689000000002</v>
      </c>
      <c r="AN152">
        <v>0.3</v>
      </c>
      <c r="AO152" s="17"/>
      <c r="AP152" s="17"/>
      <c r="AQ152" s="17">
        <v>0.91598919999999995</v>
      </c>
      <c r="AR152" s="17">
        <v>0.94065929999999998</v>
      </c>
      <c r="AS152" s="17"/>
      <c r="AT152" s="17"/>
      <c r="AU152" s="25">
        <f t="shared" si="24"/>
        <v>275.19310999999999</v>
      </c>
      <c r="AV152" s="25">
        <f t="shared" si="25"/>
        <v>273.54689000000002</v>
      </c>
      <c r="AW152" s="23">
        <f>AVERAGE(AO152,AQ152)</f>
        <v>0.91598919999999995</v>
      </c>
      <c r="AX152" s="23">
        <f>AVERAGE(AP152,AR152)</f>
        <v>0.94065929999999998</v>
      </c>
    </row>
    <row r="153" spans="1:51" x14ac:dyDescent="0.25">
      <c r="A153">
        <v>0.4</v>
      </c>
      <c r="B153" s="17"/>
      <c r="C153" s="17"/>
      <c r="D153" s="17">
        <v>0.87089720000000004</v>
      </c>
      <c r="E153" s="17">
        <v>0.84510870000000005</v>
      </c>
      <c r="F153" s="17"/>
      <c r="G153" s="17"/>
      <c r="H153" s="25">
        <f t="shared" si="20"/>
        <v>275.46748000000002</v>
      </c>
      <c r="I153" s="25">
        <f t="shared" si="21"/>
        <v>273.27251999999999</v>
      </c>
      <c r="J153" s="25"/>
      <c r="V153">
        <v>0.4</v>
      </c>
      <c r="W153" s="17"/>
      <c r="X153" s="17"/>
      <c r="Y153" s="17">
        <v>0.88435370000000002</v>
      </c>
      <c r="Z153" s="17">
        <v>0.86684070000000002</v>
      </c>
      <c r="AA153" s="17"/>
      <c r="AB153" s="17"/>
      <c r="AC153" s="25">
        <f t="shared" si="22"/>
        <v>275.46748000000002</v>
      </c>
      <c r="AD153" s="25">
        <f t="shared" si="23"/>
        <v>273.27251999999999</v>
      </c>
      <c r="AN153">
        <v>0.4</v>
      </c>
      <c r="AO153" s="17"/>
      <c r="AP153" s="17"/>
      <c r="AQ153" s="17">
        <v>0.89159889999999997</v>
      </c>
      <c r="AR153" s="17">
        <v>0.90329669999999995</v>
      </c>
      <c r="AS153" s="17"/>
      <c r="AT153" s="17"/>
      <c r="AU153" s="25">
        <f t="shared" si="24"/>
        <v>275.46748000000002</v>
      </c>
      <c r="AV153" s="25">
        <f t="shared" si="25"/>
        <v>273.27251999999999</v>
      </c>
      <c r="AW153" s="23">
        <f t="shared" ref="AW153:AX185" si="26">AVERAGE(AO153,AQ153)</f>
        <v>0.89159889999999997</v>
      </c>
      <c r="AX153" s="23">
        <f t="shared" si="26"/>
        <v>0.90329669999999995</v>
      </c>
    </row>
    <row r="154" spans="1:51" x14ac:dyDescent="0.25">
      <c r="A154">
        <v>0.5</v>
      </c>
      <c r="B154" s="17"/>
      <c r="C154" s="17"/>
      <c r="D154" s="17">
        <v>0.84245080000000006</v>
      </c>
      <c r="E154" s="17">
        <v>0.79619569999999995</v>
      </c>
      <c r="F154" s="17"/>
      <c r="G154" s="17"/>
      <c r="H154" s="25">
        <f t="shared" si="20"/>
        <v>275.74185</v>
      </c>
      <c r="I154" s="25">
        <f t="shared" si="21"/>
        <v>272.99815000000001</v>
      </c>
      <c r="J154" s="25"/>
      <c r="V154">
        <v>0.5</v>
      </c>
      <c r="W154" s="17"/>
      <c r="X154" s="17"/>
      <c r="Y154" s="17">
        <v>0.85941040000000002</v>
      </c>
      <c r="Z154" s="17">
        <v>0.84073109999999995</v>
      </c>
      <c r="AA154" s="17"/>
      <c r="AB154" s="17"/>
      <c r="AC154" s="25">
        <f t="shared" si="22"/>
        <v>275.74185</v>
      </c>
      <c r="AD154" s="25">
        <f t="shared" si="23"/>
        <v>272.99815000000001</v>
      </c>
      <c r="AN154">
        <v>0.5</v>
      </c>
      <c r="AO154" s="17"/>
      <c r="AP154" s="17"/>
      <c r="AQ154" s="17">
        <v>0.86991870000000004</v>
      </c>
      <c r="AR154" s="17">
        <v>0.87912089999999998</v>
      </c>
      <c r="AS154" s="17"/>
      <c r="AT154" s="17"/>
      <c r="AU154" s="25">
        <f t="shared" si="24"/>
        <v>275.74185</v>
      </c>
      <c r="AV154" s="25">
        <f t="shared" si="25"/>
        <v>272.99815000000001</v>
      </c>
      <c r="AW154" s="23">
        <f t="shared" si="26"/>
        <v>0.86991870000000004</v>
      </c>
      <c r="AX154" s="23">
        <f t="shared" si="26"/>
        <v>0.87912089999999998</v>
      </c>
    </row>
    <row r="155" spans="1:51" x14ac:dyDescent="0.25">
      <c r="A155">
        <v>0.6</v>
      </c>
      <c r="B155" s="17"/>
      <c r="C155" s="17"/>
      <c r="D155" s="17">
        <v>0.80525159999999996</v>
      </c>
      <c r="E155" s="17">
        <v>0.75815220000000005</v>
      </c>
      <c r="F155" s="17"/>
      <c r="G155" s="17"/>
      <c r="H155" s="25">
        <f t="shared" si="20"/>
        <v>276.01622000000003</v>
      </c>
      <c r="I155" s="25">
        <f t="shared" si="21"/>
        <v>272.72377999999998</v>
      </c>
      <c r="J155" s="25"/>
      <c r="V155">
        <v>0.6</v>
      </c>
      <c r="W155" s="17"/>
      <c r="X155" s="17"/>
      <c r="Y155" s="17">
        <v>0.84353739999999999</v>
      </c>
      <c r="Z155" s="17">
        <v>0.81462140000000005</v>
      </c>
      <c r="AA155" s="17"/>
      <c r="AB155" s="17"/>
      <c r="AC155" s="25">
        <f t="shared" si="22"/>
        <v>276.01622000000003</v>
      </c>
      <c r="AD155" s="25">
        <f t="shared" si="23"/>
        <v>272.72377999999998</v>
      </c>
      <c r="AN155">
        <v>0.6</v>
      </c>
      <c r="AO155" s="17"/>
      <c r="AP155" s="17"/>
      <c r="AQ155" s="17">
        <v>0.84552850000000002</v>
      </c>
      <c r="AR155" s="17">
        <v>0.85934069999999996</v>
      </c>
      <c r="AS155" s="17"/>
      <c r="AT155" s="17"/>
      <c r="AU155" s="25">
        <f t="shared" si="24"/>
        <v>276.01622000000003</v>
      </c>
      <c r="AV155" s="25">
        <f t="shared" si="25"/>
        <v>272.72377999999998</v>
      </c>
      <c r="AW155" s="23">
        <f t="shared" si="26"/>
        <v>0.84552850000000002</v>
      </c>
      <c r="AX155" s="23">
        <f t="shared" si="26"/>
        <v>0.85934069999999996</v>
      </c>
    </row>
    <row r="156" spans="1:51" x14ac:dyDescent="0.25">
      <c r="A156">
        <v>0.7</v>
      </c>
      <c r="B156" s="17"/>
      <c r="C156" s="17"/>
      <c r="D156" s="17">
        <v>0.78336980000000001</v>
      </c>
      <c r="E156" s="17">
        <v>0.73369569999999995</v>
      </c>
      <c r="F156" s="17"/>
      <c r="G156" s="17"/>
      <c r="H156" s="25">
        <f t="shared" si="20"/>
        <v>276.29058999999995</v>
      </c>
      <c r="I156" s="25">
        <f t="shared" si="21"/>
        <v>272.44941</v>
      </c>
      <c r="J156" s="25"/>
      <c r="V156">
        <v>0.7</v>
      </c>
      <c r="W156" s="17"/>
      <c r="X156" s="17"/>
      <c r="Y156" s="17">
        <v>0.81632649999999995</v>
      </c>
      <c r="Z156" s="17">
        <v>0.78590079999999995</v>
      </c>
      <c r="AA156" s="17"/>
      <c r="AB156" s="17"/>
      <c r="AC156" s="25">
        <f t="shared" si="22"/>
        <v>276.29058999999995</v>
      </c>
      <c r="AD156" s="25">
        <f t="shared" si="23"/>
        <v>272.44941</v>
      </c>
      <c r="AN156">
        <v>0.7</v>
      </c>
      <c r="AO156" s="17"/>
      <c r="AP156" s="17"/>
      <c r="AQ156" s="17">
        <v>0.82655829999999997</v>
      </c>
      <c r="AR156" s="17">
        <v>0.83956039999999998</v>
      </c>
      <c r="AS156" s="17"/>
      <c r="AT156" s="17"/>
      <c r="AU156" s="25">
        <f t="shared" si="24"/>
        <v>276.29058999999995</v>
      </c>
      <c r="AV156" s="25">
        <f t="shared" si="25"/>
        <v>272.44941</v>
      </c>
      <c r="AW156" s="23">
        <f t="shared" si="26"/>
        <v>0.82655829999999997</v>
      </c>
      <c r="AX156" s="23">
        <f t="shared" si="26"/>
        <v>0.83956039999999998</v>
      </c>
    </row>
    <row r="157" spans="1:51" x14ac:dyDescent="0.25">
      <c r="A157">
        <v>0.8</v>
      </c>
      <c r="B157" s="17"/>
      <c r="C157" s="17"/>
      <c r="D157" s="17">
        <v>0.74617069999999996</v>
      </c>
      <c r="E157" s="17">
        <v>0.70652170000000003</v>
      </c>
      <c r="F157" s="17"/>
      <c r="G157" s="17"/>
      <c r="H157" s="25">
        <f t="shared" si="20"/>
        <v>276.56495999999999</v>
      </c>
      <c r="I157" s="25">
        <f t="shared" si="21"/>
        <v>272.17504000000002</v>
      </c>
      <c r="J157" s="25"/>
      <c r="V157">
        <v>0.8</v>
      </c>
      <c r="W157" s="17"/>
      <c r="X157" s="17"/>
      <c r="Y157" s="17">
        <v>0.79591840000000003</v>
      </c>
      <c r="Z157" s="17">
        <v>0.76240209999999997</v>
      </c>
      <c r="AA157" s="17"/>
      <c r="AB157" s="17"/>
      <c r="AC157" s="25">
        <f t="shared" si="22"/>
        <v>276.56495999999999</v>
      </c>
      <c r="AD157" s="25">
        <f t="shared" si="23"/>
        <v>272.17504000000002</v>
      </c>
      <c r="AN157">
        <v>0.8</v>
      </c>
      <c r="AO157" s="17"/>
      <c r="AP157" s="17"/>
      <c r="AQ157" s="17">
        <v>0.79674800000000001</v>
      </c>
      <c r="AR157" s="17">
        <v>0.82637360000000004</v>
      </c>
      <c r="AS157" s="17"/>
      <c r="AT157" s="17"/>
      <c r="AU157" s="25">
        <f t="shared" si="24"/>
        <v>276.56495999999999</v>
      </c>
      <c r="AV157" s="25">
        <f t="shared" si="25"/>
        <v>272.17504000000002</v>
      </c>
      <c r="AW157" s="23">
        <f t="shared" si="26"/>
        <v>0.79674800000000001</v>
      </c>
      <c r="AX157" s="23">
        <f t="shared" si="26"/>
        <v>0.82637360000000004</v>
      </c>
    </row>
    <row r="158" spans="1:51" x14ac:dyDescent="0.25">
      <c r="A158">
        <v>0.9</v>
      </c>
      <c r="B158" s="17"/>
      <c r="C158" s="17"/>
      <c r="D158" s="17">
        <v>0.70897160000000004</v>
      </c>
      <c r="E158" s="17">
        <v>0.6875</v>
      </c>
      <c r="F158" s="17"/>
      <c r="G158" s="17"/>
      <c r="H158" s="25">
        <f t="shared" si="20"/>
        <v>276.83932999999996</v>
      </c>
      <c r="I158" s="25">
        <f t="shared" si="21"/>
        <v>271.90066999999999</v>
      </c>
      <c r="J158" s="25"/>
      <c r="V158">
        <v>0.9</v>
      </c>
      <c r="W158" s="17"/>
      <c r="X158" s="17"/>
      <c r="Y158" s="17">
        <v>0.77097510000000002</v>
      </c>
      <c r="Z158" s="17">
        <v>0.73368149999999999</v>
      </c>
      <c r="AA158" s="17"/>
      <c r="AB158" s="17"/>
      <c r="AC158" s="25">
        <f t="shared" si="22"/>
        <v>276.83932999999996</v>
      </c>
      <c r="AD158" s="25">
        <f t="shared" si="23"/>
        <v>271.90066999999999</v>
      </c>
      <c r="AN158">
        <v>0.9</v>
      </c>
      <c r="AO158" s="17"/>
      <c r="AP158" s="17"/>
      <c r="AQ158" s="17">
        <v>0.76422760000000001</v>
      </c>
      <c r="AR158" s="17">
        <v>0.80439559999999999</v>
      </c>
      <c r="AS158" s="17"/>
      <c r="AT158" s="17"/>
      <c r="AU158" s="25">
        <f t="shared" si="24"/>
        <v>276.83932999999996</v>
      </c>
      <c r="AV158" s="25">
        <f t="shared" si="25"/>
        <v>271.90066999999999</v>
      </c>
      <c r="AW158" s="23">
        <f t="shared" si="26"/>
        <v>0.76422760000000001</v>
      </c>
      <c r="AX158" s="23">
        <f t="shared" si="26"/>
        <v>0.80439559999999999</v>
      </c>
    </row>
    <row r="159" spans="1:51" x14ac:dyDescent="0.25">
      <c r="A159">
        <v>1</v>
      </c>
      <c r="B159" s="17"/>
      <c r="C159" s="17"/>
      <c r="D159" s="17">
        <v>0.68052520000000005</v>
      </c>
      <c r="E159" s="17">
        <v>0.65217389999999997</v>
      </c>
      <c r="F159" s="17"/>
      <c r="G159" s="17"/>
      <c r="H159" s="25">
        <f t="shared" si="20"/>
        <v>277.11369999999999</v>
      </c>
      <c r="I159" s="25">
        <f t="shared" si="21"/>
        <v>271.62630000000001</v>
      </c>
      <c r="J159" s="25"/>
      <c r="V159">
        <v>1</v>
      </c>
      <c r="W159" s="17"/>
      <c r="X159" s="17"/>
      <c r="Y159" s="17">
        <v>0.75510200000000005</v>
      </c>
      <c r="Z159" s="17">
        <v>0.70234989999999997</v>
      </c>
      <c r="AA159" s="17"/>
      <c r="AB159" s="17"/>
      <c r="AC159" s="25">
        <f t="shared" si="22"/>
        <v>277.11369999999999</v>
      </c>
      <c r="AD159" s="25">
        <f t="shared" si="23"/>
        <v>271.62630000000001</v>
      </c>
      <c r="AN159">
        <v>1</v>
      </c>
      <c r="AO159" s="17"/>
      <c r="AP159" s="17"/>
      <c r="AQ159" s="17">
        <v>0.74254739999999997</v>
      </c>
      <c r="AR159" s="17">
        <v>0.77582419999999996</v>
      </c>
      <c r="AS159" s="17"/>
      <c r="AT159" s="17"/>
      <c r="AU159" s="25">
        <f t="shared" si="24"/>
        <v>277.11369999999999</v>
      </c>
      <c r="AV159" s="25">
        <f t="shared" si="25"/>
        <v>271.62630000000001</v>
      </c>
      <c r="AW159" s="23">
        <f t="shared" si="26"/>
        <v>0.74254739999999997</v>
      </c>
      <c r="AX159" s="23">
        <f t="shared" si="26"/>
        <v>0.77582419999999996</v>
      </c>
    </row>
    <row r="160" spans="1:51" x14ac:dyDescent="0.25">
      <c r="A160">
        <v>1.1000000000000001</v>
      </c>
      <c r="B160" s="17"/>
      <c r="C160" s="17"/>
      <c r="D160" s="17">
        <v>0.65207879999999996</v>
      </c>
      <c r="E160" s="17">
        <v>0.62771739999999998</v>
      </c>
      <c r="F160" s="17"/>
      <c r="G160" s="17"/>
      <c r="H160" s="25">
        <f t="shared" si="20"/>
        <v>277.38806999999997</v>
      </c>
      <c r="I160" s="25">
        <f t="shared" si="21"/>
        <v>271.35192999999998</v>
      </c>
      <c r="J160" s="25"/>
      <c r="V160">
        <v>1.1000000000000001</v>
      </c>
      <c r="W160" s="17"/>
      <c r="X160" s="17"/>
      <c r="Y160" s="17">
        <v>0.73015870000000005</v>
      </c>
      <c r="Z160" s="17">
        <v>0.67885119999999999</v>
      </c>
      <c r="AA160" s="17"/>
      <c r="AB160" s="17"/>
      <c r="AC160" s="25">
        <f t="shared" si="22"/>
        <v>277.38806999999997</v>
      </c>
      <c r="AD160" s="25">
        <f t="shared" si="23"/>
        <v>271.35192999999998</v>
      </c>
      <c r="AN160">
        <v>1.1000000000000001</v>
      </c>
      <c r="AO160" s="17"/>
      <c r="AP160" s="17"/>
      <c r="AQ160" s="17">
        <v>0.71273710000000001</v>
      </c>
      <c r="AR160" s="17">
        <v>0.75824179999999997</v>
      </c>
      <c r="AS160" s="17"/>
      <c r="AT160" s="17"/>
      <c r="AU160" s="25">
        <f t="shared" si="24"/>
        <v>277.38806999999997</v>
      </c>
      <c r="AV160" s="25">
        <f t="shared" si="25"/>
        <v>271.35192999999998</v>
      </c>
      <c r="AW160" s="23">
        <f t="shared" si="26"/>
        <v>0.71273710000000001</v>
      </c>
      <c r="AX160" s="23">
        <f t="shared" si="26"/>
        <v>0.75824179999999997</v>
      </c>
    </row>
    <row r="161" spans="1:50" x14ac:dyDescent="0.25">
      <c r="A161">
        <v>1.2</v>
      </c>
      <c r="B161" s="17"/>
      <c r="C161" s="17"/>
      <c r="D161" s="17">
        <v>0.61487959999999997</v>
      </c>
      <c r="E161" s="17">
        <v>0.59510870000000005</v>
      </c>
      <c r="F161" s="17"/>
      <c r="G161" s="17"/>
      <c r="H161" s="25">
        <f t="shared" si="20"/>
        <v>277.66244</v>
      </c>
      <c r="I161" s="25">
        <f t="shared" si="21"/>
        <v>271.07756000000001</v>
      </c>
      <c r="J161" s="25"/>
      <c r="V161">
        <v>1.2</v>
      </c>
      <c r="W161" s="17"/>
      <c r="X161" s="17"/>
      <c r="Y161" s="17">
        <v>0.70975060000000001</v>
      </c>
      <c r="Z161" s="17">
        <v>0.65796339999999998</v>
      </c>
      <c r="AA161" s="17"/>
      <c r="AB161" s="17"/>
      <c r="AC161" s="25">
        <f t="shared" si="22"/>
        <v>277.66244</v>
      </c>
      <c r="AD161" s="25">
        <f t="shared" si="23"/>
        <v>271.07756000000001</v>
      </c>
      <c r="AN161">
        <v>1.2</v>
      </c>
      <c r="AO161" s="17"/>
      <c r="AP161" s="17"/>
      <c r="AQ161" s="17">
        <v>0.70460699999999998</v>
      </c>
      <c r="AR161" s="17">
        <v>0.74065930000000002</v>
      </c>
      <c r="AS161" s="17"/>
      <c r="AT161" s="17"/>
      <c r="AU161" s="25">
        <f t="shared" si="24"/>
        <v>277.66244</v>
      </c>
      <c r="AV161" s="25">
        <f t="shared" si="25"/>
        <v>271.07756000000001</v>
      </c>
      <c r="AW161" s="23">
        <f t="shared" si="26"/>
        <v>0.70460699999999998</v>
      </c>
      <c r="AX161" s="23">
        <f t="shared" si="26"/>
        <v>0.74065930000000002</v>
      </c>
    </row>
    <row r="162" spans="1:50" x14ac:dyDescent="0.25">
      <c r="A162">
        <v>1.3</v>
      </c>
      <c r="B162" s="17"/>
      <c r="C162" s="17"/>
      <c r="D162" s="17">
        <v>0.59080960000000005</v>
      </c>
      <c r="E162" s="17">
        <v>0.5625</v>
      </c>
      <c r="F162" s="17"/>
      <c r="G162" s="17"/>
      <c r="H162" s="25">
        <f t="shared" si="20"/>
        <v>277.93680999999998</v>
      </c>
      <c r="I162" s="25">
        <f t="shared" si="21"/>
        <v>270.80319000000003</v>
      </c>
      <c r="J162" s="25"/>
      <c r="V162">
        <v>1.3</v>
      </c>
      <c r="W162" s="17"/>
      <c r="X162" s="17"/>
      <c r="Y162" s="17">
        <v>0.69160999999999995</v>
      </c>
      <c r="Z162" s="17">
        <v>0.62663190000000002</v>
      </c>
      <c r="AA162" s="17"/>
      <c r="AB162" s="17"/>
      <c r="AC162" s="25">
        <f t="shared" si="22"/>
        <v>277.93680999999998</v>
      </c>
      <c r="AD162" s="25">
        <f t="shared" si="23"/>
        <v>270.80319000000003</v>
      </c>
      <c r="AN162">
        <v>1.3</v>
      </c>
      <c r="AO162" s="17"/>
      <c r="AP162" s="17"/>
      <c r="AQ162" s="17">
        <v>0.68834689999999998</v>
      </c>
      <c r="AR162" s="17">
        <v>0.72747249999999997</v>
      </c>
      <c r="AS162" s="17"/>
      <c r="AT162" s="17"/>
      <c r="AU162" s="25">
        <f t="shared" si="24"/>
        <v>277.93680999999998</v>
      </c>
      <c r="AV162" s="25">
        <f t="shared" si="25"/>
        <v>270.80319000000003</v>
      </c>
      <c r="AW162" s="23">
        <f t="shared" si="26"/>
        <v>0.68834689999999998</v>
      </c>
      <c r="AX162" s="23">
        <f t="shared" si="26"/>
        <v>0.72747249999999997</v>
      </c>
    </row>
    <row r="163" spans="1:50" x14ac:dyDescent="0.25">
      <c r="A163">
        <v>1.4</v>
      </c>
      <c r="B163" s="17"/>
      <c r="C163" s="17"/>
      <c r="D163" s="17">
        <v>0.54266959999999997</v>
      </c>
      <c r="E163" s="17">
        <v>0.53260870000000005</v>
      </c>
      <c r="F163" s="17"/>
      <c r="G163" s="17"/>
      <c r="H163" s="25">
        <f t="shared" si="20"/>
        <v>278.21118000000001</v>
      </c>
      <c r="I163" s="25">
        <f t="shared" si="21"/>
        <v>270.52882</v>
      </c>
      <c r="J163" s="25"/>
      <c r="V163">
        <v>1.4</v>
      </c>
      <c r="W163" s="17"/>
      <c r="X163" s="17"/>
      <c r="Y163" s="17">
        <v>0.66213149999999998</v>
      </c>
      <c r="Z163" s="17">
        <v>0.60574410000000001</v>
      </c>
      <c r="AA163" s="17"/>
      <c r="AB163" s="17"/>
      <c r="AC163" s="25">
        <f t="shared" si="22"/>
        <v>278.21118000000001</v>
      </c>
      <c r="AD163" s="25">
        <f t="shared" si="23"/>
        <v>270.52882</v>
      </c>
      <c r="AN163">
        <v>1.4</v>
      </c>
      <c r="AO163" s="17"/>
      <c r="AP163" s="17"/>
      <c r="AQ163" s="17">
        <v>0.66395660000000001</v>
      </c>
      <c r="AR163" s="17">
        <v>0.70549450000000002</v>
      </c>
      <c r="AS163" s="17"/>
      <c r="AT163" s="17"/>
      <c r="AU163" s="25">
        <f t="shared" si="24"/>
        <v>278.21118000000001</v>
      </c>
      <c r="AV163" s="25">
        <f t="shared" si="25"/>
        <v>270.52882</v>
      </c>
      <c r="AW163" s="23">
        <f t="shared" si="26"/>
        <v>0.66395660000000001</v>
      </c>
      <c r="AX163" s="23">
        <f t="shared" si="26"/>
        <v>0.70549450000000002</v>
      </c>
    </row>
    <row r="164" spans="1:50" x14ac:dyDescent="0.25">
      <c r="A164">
        <v>1.5</v>
      </c>
      <c r="B164" s="17"/>
      <c r="C164" s="17"/>
      <c r="D164" s="17">
        <v>0.52297590000000005</v>
      </c>
      <c r="E164" s="17">
        <v>0.51630430000000005</v>
      </c>
      <c r="F164" s="17"/>
      <c r="G164" s="17"/>
      <c r="H164" s="25">
        <f t="shared" si="20"/>
        <v>278.48554999999999</v>
      </c>
      <c r="I164" s="25">
        <f t="shared" si="21"/>
        <v>270.25445000000002</v>
      </c>
      <c r="J164" s="25"/>
      <c r="V164">
        <v>1.5</v>
      </c>
      <c r="W164" s="17"/>
      <c r="X164" s="17"/>
      <c r="Y164" s="17">
        <v>0.64399090000000003</v>
      </c>
      <c r="Z164" s="17">
        <v>0.56919059999999999</v>
      </c>
      <c r="AA164" s="17"/>
      <c r="AB164" s="17"/>
      <c r="AC164" s="25">
        <f t="shared" si="22"/>
        <v>278.48554999999999</v>
      </c>
      <c r="AD164" s="25">
        <f t="shared" si="23"/>
        <v>270.25445000000002</v>
      </c>
      <c r="AN164">
        <v>1.5</v>
      </c>
      <c r="AO164" s="17"/>
      <c r="AP164" s="17"/>
      <c r="AQ164" s="17">
        <v>0.63143629999999995</v>
      </c>
      <c r="AR164" s="17">
        <v>0.69010990000000005</v>
      </c>
      <c r="AS164" s="17"/>
      <c r="AT164" s="17"/>
      <c r="AU164" s="25">
        <f t="shared" si="24"/>
        <v>278.48554999999999</v>
      </c>
      <c r="AV164" s="25">
        <f t="shared" si="25"/>
        <v>270.25445000000002</v>
      </c>
      <c r="AW164" s="23">
        <f t="shared" si="26"/>
        <v>0.63143629999999995</v>
      </c>
      <c r="AX164" s="23">
        <f t="shared" si="26"/>
        <v>0.69010990000000005</v>
      </c>
    </row>
    <row r="165" spans="1:50" x14ac:dyDescent="0.25">
      <c r="A165">
        <v>1.6</v>
      </c>
      <c r="B165" s="17"/>
      <c r="C165" s="17"/>
      <c r="D165" s="17">
        <v>0.49890590000000001</v>
      </c>
      <c r="E165" s="17">
        <v>0.48641299999999998</v>
      </c>
      <c r="F165" s="17"/>
      <c r="G165" s="17"/>
      <c r="H165" s="25">
        <f t="shared" si="20"/>
        <v>278.75992000000002</v>
      </c>
      <c r="I165" s="25">
        <f t="shared" si="21"/>
        <v>269.98007999999999</v>
      </c>
      <c r="J165" s="25"/>
      <c r="V165">
        <v>1.6</v>
      </c>
      <c r="W165" s="17"/>
      <c r="X165" s="17"/>
      <c r="Y165" s="17">
        <v>0.61451250000000002</v>
      </c>
      <c r="Z165" s="17">
        <v>0.55874670000000004</v>
      </c>
      <c r="AA165" s="17"/>
      <c r="AB165" s="17"/>
      <c r="AC165" s="25">
        <f t="shared" si="22"/>
        <v>278.75992000000002</v>
      </c>
      <c r="AD165" s="25">
        <f t="shared" si="23"/>
        <v>269.98007999999999</v>
      </c>
      <c r="AN165">
        <v>1.6</v>
      </c>
      <c r="AO165" s="17"/>
      <c r="AP165" s="17"/>
      <c r="AQ165" s="17">
        <v>0.60433599999999998</v>
      </c>
      <c r="AR165" s="17">
        <v>0.66153850000000003</v>
      </c>
      <c r="AS165" s="17"/>
      <c r="AT165" s="17"/>
      <c r="AU165" s="25">
        <f t="shared" si="24"/>
        <v>278.75992000000002</v>
      </c>
      <c r="AV165" s="25">
        <f t="shared" si="25"/>
        <v>269.98007999999999</v>
      </c>
      <c r="AW165" s="23">
        <f t="shared" si="26"/>
        <v>0.60433599999999998</v>
      </c>
      <c r="AX165" s="23">
        <f t="shared" si="26"/>
        <v>0.66153850000000003</v>
      </c>
    </row>
    <row r="166" spans="1:50" x14ac:dyDescent="0.25">
      <c r="A166">
        <v>1.7</v>
      </c>
      <c r="B166" s="17"/>
      <c r="C166" s="17"/>
      <c r="D166" s="17">
        <v>0.48140040000000001</v>
      </c>
      <c r="E166" s="17">
        <v>0.47010869999999999</v>
      </c>
      <c r="F166" s="17"/>
      <c r="G166" s="17"/>
      <c r="H166" s="25">
        <f t="shared" si="20"/>
        <v>279.03429</v>
      </c>
      <c r="I166" s="25">
        <f t="shared" si="21"/>
        <v>269.70571000000001</v>
      </c>
      <c r="J166" s="25"/>
      <c r="V166">
        <v>1.7</v>
      </c>
      <c r="W166" s="17"/>
      <c r="X166" s="17"/>
      <c r="Y166" s="17">
        <v>0.57369610000000004</v>
      </c>
      <c r="Z166" s="17">
        <v>0.53002609999999994</v>
      </c>
      <c r="AA166" s="17"/>
      <c r="AB166" s="17"/>
      <c r="AC166" s="25">
        <f t="shared" si="22"/>
        <v>279.03429</v>
      </c>
      <c r="AD166" s="25">
        <f t="shared" si="23"/>
        <v>269.70571000000001</v>
      </c>
      <c r="AN166">
        <v>1.7</v>
      </c>
      <c r="AO166" s="17"/>
      <c r="AP166" s="17"/>
      <c r="AQ166" s="17">
        <v>0.58807589999999998</v>
      </c>
      <c r="AR166" s="17">
        <v>0.63956040000000003</v>
      </c>
      <c r="AS166" s="17"/>
      <c r="AT166" s="17"/>
      <c r="AU166" s="25">
        <f t="shared" si="24"/>
        <v>279.03429</v>
      </c>
      <c r="AV166" s="25">
        <f t="shared" si="25"/>
        <v>269.70571000000001</v>
      </c>
      <c r="AW166" s="23">
        <f t="shared" si="26"/>
        <v>0.58807589999999998</v>
      </c>
      <c r="AX166" s="23">
        <f t="shared" si="26"/>
        <v>0.63956040000000003</v>
      </c>
    </row>
    <row r="167" spans="1:50" x14ac:dyDescent="0.25">
      <c r="A167">
        <v>1.8</v>
      </c>
      <c r="B167" s="17"/>
      <c r="C167" s="17"/>
      <c r="D167" s="17">
        <v>0.463895</v>
      </c>
      <c r="E167" s="17">
        <v>0.44836959999999998</v>
      </c>
      <c r="F167" s="17"/>
      <c r="G167" s="17"/>
      <c r="H167" s="25">
        <f t="shared" si="20"/>
        <v>279.30866000000003</v>
      </c>
      <c r="I167" s="25">
        <f t="shared" si="21"/>
        <v>269.43133999999998</v>
      </c>
      <c r="J167" s="25"/>
      <c r="V167">
        <v>1.8</v>
      </c>
      <c r="W167" s="17"/>
      <c r="X167" s="17"/>
      <c r="Y167" s="17">
        <v>0.54195009999999999</v>
      </c>
      <c r="Z167" s="17">
        <v>0.51174929999999996</v>
      </c>
      <c r="AA167" s="17"/>
      <c r="AB167" s="17"/>
      <c r="AC167" s="25">
        <f t="shared" si="22"/>
        <v>279.30866000000003</v>
      </c>
      <c r="AD167" s="25">
        <f t="shared" si="23"/>
        <v>269.43133999999998</v>
      </c>
      <c r="AN167">
        <v>1.8</v>
      </c>
      <c r="AO167" s="17"/>
      <c r="AP167" s="17"/>
      <c r="AQ167" s="17">
        <v>0.56910570000000005</v>
      </c>
      <c r="AR167" s="17">
        <v>0.61538459999999995</v>
      </c>
      <c r="AS167" s="17"/>
      <c r="AT167" s="17"/>
      <c r="AU167" s="25">
        <f t="shared" si="24"/>
        <v>279.30866000000003</v>
      </c>
      <c r="AV167" s="25">
        <f t="shared" si="25"/>
        <v>269.43133999999998</v>
      </c>
      <c r="AW167" s="23">
        <f t="shared" si="26"/>
        <v>0.56910570000000005</v>
      </c>
      <c r="AX167" s="23">
        <f t="shared" si="26"/>
        <v>0.61538459999999995</v>
      </c>
    </row>
    <row r="168" spans="1:50" x14ac:dyDescent="0.25">
      <c r="A168">
        <v>1.9</v>
      </c>
      <c r="B168" s="17"/>
      <c r="C168" s="17"/>
      <c r="D168" s="17">
        <v>0.43763679999999999</v>
      </c>
      <c r="E168" s="17">
        <v>0.42663040000000002</v>
      </c>
      <c r="F168" s="17"/>
      <c r="G168" s="17"/>
      <c r="H168" s="25">
        <f t="shared" si="20"/>
        <v>279.58302999999995</v>
      </c>
      <c r="I168" s="25">
        <f t="shared" si="21"/>
        <v>269.15697</v>
      </c>
      <c r="J168" s="25"/>
      <c r="V168">
        <v>1.9</v>
      </c>
      <c r="W168" s="17"/>
      <c r="X168" s="17"/>
      <c r="Y168" s="17">
        <v>0.51020410000000005</v>
      </c>
      <c r="Z168" s="17">
        <v>0.4699739</v>
      </c>
      <c r="AA168" s="17"/>
      <c r="AB168" s="17"/>
      <c r="AC168" s="25">
        <f t="shared" si="22"/>
        <v>279.58302999999995</v>
      </c>
      <c r="AD168" s="25">
        <f t="shared" si="23"/>
        <v>269.15697</v>
      </c>
      <c r="AN168">
        <v>1.9</v>
      </c>
      <c r="AO168" s="17"/>
      <c r="AP168" s="17"/>
      <c r="AQ168" s="17">
        <v>0.55826560000000003</v>
      </c>
      <c r="AR168" s="17">
        <v>0.59780219999999995</v>
      </c>
      <c r="AS168" s="17"/>
      <c r="AT168" s="17"/>
      <c r="AU168" s="25">
        <f t="shared" si="24"/>
        <v>279.58302999999995</v>
      </c>
      <c r="AV168" s="25">
        <f t="shared" si="25"/>
        <v>269.15697</v>
      </c>
      <c r="AW168" s="23">
        <f t="shared" si="26"/>
        <v>0.55826560000000003</v>
      </c>
      <c r="AX168" s="23">
        <f t="shared" si="26"/>
        <v>0.59780219999999995</v>
      </c>
    </row>
    <row r="169" spans="1:50" x14ac:dyDescent="0.25">
      <c r="A169">
        <v>2</v>
      </c>
      <c r="B169" s="17"/>
      <c r="C169" s="17"/>
      <c r="D169" s="17">
        <v>0.40700219999999998</v>
      </c>
      <c r="E169" s="17">
        <v>0.39402169999999997</v>
      </c>
      <c r="F169" s="17"/>
      <c r="G169" s="17"/>
      <c r="H169" s="25">
        <f t="shared" si="20"/>
        <v>279.85739999999998</v>
      </c>
      <c r="I169" s="25">
        <f t="shared" si="21"/>
        <v>268.88260000000002</v>
      </c>
      <c r="J169" s="25"/>
      <c r="V169">
        <v>2</v>
      </c>
      <c r="W169" s="17"/>
      <c r="X169" s="17"/>
      <c r="Y169" s="17">
        <v>0.48072559999999998</v>
      </c>
      <c r="Z169" s="17">
        <v>0.44386419999999999</v>
      </c>
      <c r="AA169" s="17"/>
      <c r="AB169" s="17"/>
      <c r="AC169" s="25">
        <f t="shared" si="22"/>
        <v>279.85739999999998</v>
      </c>
      <c r="AD169" s="25">
        <f t="shared" si="23"/>
        <v>268.88260000000002</v>
      </c>
      <c r="AN169">
        <v>2</v>
      </c>
      <c r="AO169" s="17"/>
      <c r="AP169" s="17"/>
      <c r="AQ169" s="17">
        <v>0.53658539999999999</v>
      </c>
      <c r="AR169" s="17">
        <v>0.56703300000000001</v>
      </c>
      <c r="AS169" s="17"/>
      <c r="AT169" s="17"/>
      <c r="AU169" s="25">
        <f t="shared" si="24"/>
        <v>279.85739999999998</v>
      </c>
      <c r="AV169" s="25">
        <f t="shared" si="25"/>
        <v>268.88260000000002</v>
      </c>
      <c r="AW169" s="23">
        <f t="shared" si="26"/>
        <v>0.53658539999999999</v>
      </c>
      <c r="AX169" s="23">
        <f t="shared" si="26"/>
        <v>0.56703300000000001</v>
      </c>
    </row>
    <row r="170" spans="1:50" x14ac:dyDescent="0.25">
      <c r="A170">
        <v>2.1</v>
      </c>
      <c r="B170" s="17"/>
      <c r="C170" s="17"/>
      <c r="D170" s="17">
        <v>0.3785558</v>
      </c>
      <c r="E170" s="17">
        <v>0.38586959999999998</v>
      </c>
      <c r="F170" s="17"/>
      <c r="G170" s="17"/>
      <c r="H170" s="25">
        <f t="shared" si="20"/>
        <v>280.13176999999996</v>
      </c>
      <c r="I170" s="25">
        <f t="shared" si="21"/>
        <v>268.60822999999999</v>
      </c>
      <c r="J170" s="25"/>
      <c r="V170">
        <v>2.1</v>
      </c>
      <c r="W170" s="17"/>
      <c r="X170" s="17"/>
      <c r="Y170" s="17">
        <v>0.45351469999999999</v>
      </c>
      <c r="Z170" s="17">
        <v>0.4099217</v>
      </c>
      <c r="AA170" s="17"/>
      <c r="AB170" s="17"/>
      <c r="AC170" s="25">
        <f t="shared" si="22"/>
        <v>280.13176999999996</v>
      </c>
      <c r="AD170" s="25">
        <f t="shared" si="23"/>
        <v>268.60822999999999</v>
      </c>
      <c r="AN170">
        <v>2.1</v>
      </c>
      <c r="AO170" s="17"/>
      <c r="AP170" s="17"/>
      <c r="AQ170" s="17">
        <v>0.51219510000000001</v>
      </c>
      <c r="AR170" s="17">
        <v>0.55604399999999998</v>
      </c>
      <c r="AS170" s="17"/>
      <c r="AT170" s="17"/>
      <c r="AU170" s="25">
        <f t="shared" si="24"/>
        <v>280.13176999999996</v>
      </c>
      <c r="AV170" s="25">
        <f t="shared" si="25"/>
        <v>268.60822999999999</v>
      </c>
      <c r="AW170" s="23">
        <f t="shared" si="26"/>
        <v>0.51219510000000001</v>
      </c>
      <c r="AX170" s="23">
        <f t="shared" si="26"/>
        <v>0.55604399999999998</v>
      </c>
    </row>
    <row r="171" spans="1:50" x14ac:dyDescent="0.25">
      <c r="A171">
        <v>2.2000000000000002</v>
      </c>
      <c r="B171" s="17"/>
      <c r="C171" s="17"/>
      <c r="D171" s="17">
        <v>0.36105029999999999</v>
      </c>
      <c r="E171" s="17">
        <v>0.35597830000000003</v>
      </c>
      <c r="F171" s="17"/>
      <c r="G171" s="17"/>
      <c r="H171" s="25">
        <f t="shared" si="20"/>
        <v>280.40613999999999</v>
      </c>
      <c r="I171" s="25">
        <f t="shared" si="21"/>
        <v>268.33386000000002</v>
      </c>
      <c r="J171" s="25"/>
      <c r="V171">
        <v>2.2000000000000002</v>
      </c>
      <c r="W171" s="17"/>
      <c r="X171" s="17"/>
      <c r="Y171" s="17">
        <v>0.42403629999999998</v>
      </c>
      <c r="Z171" s="17">
        <v>0.39425589999999999</v>
      </c>
      <c r="AA171" s="17"/>
      <c r="AB171" s="17"/>
      <c r="AC171" s="25">
        <f t="shared" si="22"/>
        <v>280.40613999999999</v>
      </c>
      <c r="AD171" s="25">
        <f t="shared" si="23"/>
        <v>268.33386000000002</v>
      </c>
      <c r="AN171">
        <v>2.2000000000000002</v>
      </c>
      <c r="AO171" s="17"/>
      <c r="AP171" s="17"/>
      <c r="AQ171" s="17">
        <v>0.49322490000000002</v>
      </c>
      <c r="AR171" s="17">
        <v>0.53626370000000001</v>
      </c>
      <c r="AS171" s="17"/>
      <c r="AT171" s="17"/>
      <c r="AU171" s="25">
        <f t="shared" si="24"/>
        <v>280.40613999999999</v>
      </c>
      <c r="AV171" s="25">
        <f t="shared" si="25"/>
        <v>268.33386000000002</v>
      </c>
      <c r="AW171" s="23">
        <f t="shared" si="26"/>
        <v>0.49322490000000002</v>
      </c>
      <c r="AX171" s="23">
        <f t="shared" si="26"/>
        <v>0.53626370000000001</v>
      </c>
    </row>
    <row r="172" spans="1:50" x14ac:dyDescent="0.25">
      <c r="A172">
        <v>2.2999999999999998</v>
      </c>
      <c r="B172" s="17"/>
      <c r="C172" s="17"/>
      <c r="D172" s="17">
        <v>0.33916849999999998</v>
      </c>
      <c r="E172" s="17">
        <v>0.33423910000000001</v>
      </c>
      <c r="F172" s="17"/>
      <c r="G172" s="17"/>
      <c r="H172" s="25">
        <f t="shared" si="20"/>
        <v>280.68050999999997</v>
      </c>
      <c r="I172" s="25">
        <f t="shared" si="21"/>
        <v>268.05948999999998</v>
      </c>
      <c r="J172" s="25"/>
      <c r="V172">
        <v>2.2999999999999998</v>
      </c>
      <c r="W172" s="17"/>
      <c r="X172" s="17"/>
      <c r="Y172" s="17">
        <v>0.40589570000000003</v>
      </c>
      <c r="Z172" s="17">
        <v>0.37075720000000001</v>
      </c>
      <c r="AA172" s="17"/>
      <c r="AB172" s="17"/>
      <c r="AC172" s="25">
        <f t="shared" si="22"/>
        <v>280.68050999999997</v>
      </c>
      <c r="AD172" s="25">
        <f t="shared" si="23"/>
        <v>268.05948999999998</v>
      </c>
      <c r="AN172">
        <v>2.2999999999999998</v>
      </c>
      <c r="AO172" s="17"/>
      <c r="AP172" s="17"/>
      <c r="AQ172" s="17">
        <v>0.4823848</v>
      </c>
      <c r="AR172" s="17">
        <v>0.51208790000000004</v>
      </c>
      <c r="AS172" s="17"/>
      <c r="AT172" s="17"/>
      <c r="AU172" s="25">
        <f t="shared" si="24"/>
        <v>280.68050999999997</v>
      </c>
      <c r="AV172" s="25">
        <f t="shared" si="25"/>
        <v>268.05948999999998</v>
      </c>
      <c r="AW172" s="23">
        <f t="shared" si="26"/>
        <v>0.4823848</v>
      </c>
      <c r="AX172" s="23">
        <f t="shared" si="26"/>
        <v>0.51208790000000004</v>
      </c>
    </row>
    <row r="173" spans="1:50" x14ac:dyDescent="0.25">
      <c r="A173">
        <v>2.4</v>
      </c>
      <c r="B173" s="17"/>
      <c r="C173" s="17"/>
      <c r="D173" s="17">
        <v>0.32166299999999998</v>
      </c>
      <c r="E173" s="17">
        <v>0.30706519999999998</v>
      </c>
      <c r="F173" s="17"/>
      <c r="G173" s="17"/>
      <c r="H173" s="25">
        <f t="shared" si="20"/>
        <v>280.95488</v>
      </c>
      <c r="I173" s="25">
        <f t="shared" si="21"/>
        <v>267.78512000000001</v>
      </c>
      <c r="J173" s="25"/>
      <c r="V173">
        <v>2.4</v>
      </c>
      <c r="W173" s="17"/>
      <c r="X173" s="17"/>
      <c r="Y173" s="17">
        <v>0.38095240000000002</v>
      </c>
      <c r="Z173" s="17">
        <v>0.3655352</v>
      </c>
      <c r="AA173" s="17"/>
      <c r="AB173" s="17"/>
      <c r="AC173" s="25">
        <f t="shared" si="22"/>
        <v>280.95488</v>
      </c>
      <c r="AD173" s="25">
        <f t="shared" si="23"/>
        <v>267.78512000000001</v>
      </c>
      <c r="AN173">
        <v>2.4</v>
      </c>
      <c r="AO173" s="17"/>
      <c r="AP173" s="17"/>
      <c r="AQ173" s="17">
        <v>0.4498645</v>
      </c>
      <c r="AR173" s="17">
        <v>0.50109890000000001</v>
      </c>
      <c r="AS173" s="17"/>
      <c r="AT173" s="17"/>
      <c r="AU173" s="25">
        <f t="shared" si="24"/>
        <v>280.95488</v>
      </c>
      <c r="AV173" s="25">
        <f t="shared" si="25"/>
        <v>267.78512000000001</v>
      </c>
      <c r="AW173" s="23">
        <f t="shared" si="26"/>
        <v>0.4498645</v>
      </c>
      <c r="AX173" s="23">
        <f t="shared" si="26"/>
        <v>0.50109890000000001</v>
      </c>
    </row>
    <row r="174" spans="1:50" x14ac:dyDescent="0.25">
      <c r="A174">
        <v>2.5</v>
      </c>
      <c r="B174" s="17"/>
      <c r="C174" s="17"/>
      <c r="D174" s="17">
        <v>0.3063457</v>
      </c>
      <c r="E174" s="17">
        <v>0.28804350000000001</v>
      </c>
      <c r="F174" s="17"/>
      <c r="G174" s="17"/>
      <c r="H174" s="25">
        <f t="shared" si="20"/>
        <v>281.22924999999998</v>
      </c>
      <c r="I174" s="25">
        <f t="shared" si="21"/>
        <v>267.51074999999997</v>
      </c>
      <c r="J174" s="25"/>
      <c r="V174">
        <v>2.5</v>
      </c>
      <c r="W174" s="17"/>
      <c r="X174" s="17"/>
      <c r="Y174" s="17">
        <v>0.35374149999999999</v>
      </c>
      <c r="Z174" s="17">
        <v>0.3550914</v>
      </c>
      <c r="AA174" s="17"/>
      <c r="AB174" s="17"/>
      <c r="AC174" s="25">
        <f t="shared" si="22"/>
        <v>281.22924999999998</v>
      </c>
      <c r="AD174" s="25">
        <f t="shared" si="23"/>
        <v>267.51074999999997</v>
      </c>
      <c r="AN174">
        <v>2.5</v>
      </c>
      <c r="AO174" s="17"/>
      <c r="AP174" s="17"/>
      <c r="AQ174" s="17">
        <v>0.4336043</v>
      </c>
      <c r="AR174" s="17">
        <v>0.47692309999999999</v>
      </c>
      <c r="AS174" s="17"/>
      <c r="AT174" s="17"/>
      <c r="AU174" s="25">
        <f t="shared" si="24"/>
        <v>281.22924999999998</v>
      </c>
      <c r="AV174" s="25">
        <f t="shared" si="25"/>
        <v>267.51074999999997</v>
      </c>
      <c r="AW174" s="23">
        <f t="shared" si="26"/>
        <v>0.4336043</v>
      </c>
      <c r="AX174" s="23">
        <f t="shared" si="26"/>
        <v>0.47692309999999999</v>
      </c>
    </row>
    <row r="175" spans="1:50" x14ac:dyDescent="0.25">
      <c r="A175">
        <v>2.6</v>
      </c>
      <c r="B175" s="17"/>
      <c r="C175" s="17"/>
      <c r="D175" s="17">
        <v>0.28008749999999999</v>
      </c>
      <c r="E175" s="17">
        <v>0.25271739999999998</v>
      </c>
      <c r="F175" s="17"/>
      <c r="G175" s="17"/>
      <c r="H175" s="25">
        <f t="shared" si="20"/>
        <v>281.50362000000001</v>
      </c>
      <c r="I175" s="25">
        <f t="shared" si="21"/>
        <v>267.23638</v>
      </c>
      <c r="J175" s="25"/>
      <c r="V175">
        <v>2.6</v>
      </c>
      <c r="W175" s="17"/>
      <c r="X175" s="17"/>
      <c r="Y175" s="17">
        <v>0.33560089999999998</v>
      </c>
      <c r="Z175" s="17">
        <v>0.33942559999999999</v>
      </c>
      <c r="AA175" s="17"/>
      <c r="AB175" s="17"/>
      <c r="AC175" s="25">
        <f t="shared" si="22"/>
        <v>281.50362000000001</v>
      </c>
      <c r="AD175" s="25">
        <f t="shared" si="23"/>
        <v>267.23638</v>
      </c>
      <c r="AN175">
        <v>2.6</v>
      </c>
      <c r="AO175" s="17"/>
      <c r="AP175" s="17"/>
      <c r="AQ175" s="17">
        <v>0.42547430000000003</v>
      </c>
      <c r="AR175" s="17">
        <v>0.44395600000000002</v>
      </c>
      <c r="AS175" s="17"/>
      <c r="AT175" s="17"/>
      <c r="AU175" s="25">
        <f t="shared" si="24"/>
        <v>281.50362000000001</v>
      </c>
      <c r="AV175" s="25">
        <f t="shared" si="25"/>
        <v>267.23638</v>
      </c>
      <c r="AW175" s="23">
        <f t="shared" si="26"/>
        <v>0.42547430000000003</v>
      </c>
      <c r="AX175" s="23">
        <f t="shared" si="26"/>
        <v>0.44395600000000002</v>
      </c>
    </row>
    <row r="176" spans="1:50" x14ac:dyDescent="0.25">
      <c r="A176">
        <v>2.7</v>
      </c>
      <c r="B176" s="17"/>
      <c r="C176" s="17"/>
      <c r="D176" s="17">
        <v>0.26477020000000001</v>
      </c>
      <c r="E176" s="17">
        <v>0.23913039999999999</v>
      </c>
      <c r="F176" s="17"/>
      <c r="G176" s="17"/>
      <c r="H176" s="25">
        <f t="shared" si="20"/>
        <v>281.77798999999999</v>
      </c>
      <c r="I176" s="25">
        <f t="shared" si="21"/>
        <v>266.96201000000002</v>
      </c>
      <c r="J176" s="25"/>
      <c r="V176">
        <v>2.7</v>
      </c>
      <c r="W176" s="17"/>
      <c r="X176" s="17"/>
      <c r="Y176" s="17">
        <v>0.31292520000000001</v>
      </c>
      <c r="Z176" s="17">
        <v>0.305483</v>
      </c>
      <c r="AA176" s="17"/>
      <c r="AB176" s="17"/>
      <c r="AC176" s="25">
        <f t="shared" si="22"/>
        <v>281.77798999999999</v>
      </c>
      <c r="AD176" s="25">
        <f t="shared" si="23"/>
        <v>266.96201000000002</v>
      </c>
      <c r="AN176">
        <v>2.7</v>
      </c>
      <c r="AO176" s="17"/>
      <c r="AP176" s="17"/>
      <c r="AQ176" s="17">
        <v>0.40379399999999999</v>
      </c>
      <c r="AR176" s="17">
        <v>0.42637360000000002</v>
      </c>
      <c r="AS176" s="17"/>
      <c r="AT176" s="17"/>
      <c r="AU176" s="25">
        <f t="shared" si="24"/>
        <v>281.77798999999999</v>
      </c>
      <c r="AV176" s="25">
        <f t="shared" si="25"/>
        <v>266.96201000000002</v>
      </c>
      <c r="AW176" s="23">
        <f t="shared" si="26"/>
        <v>0.40379399999999999</v>
      </c>
      <c r="AX176" s="23">
        <f t="shared" si="26"/>
        <v>0.42637360000000002</v>
      </c>
    </row>
    <row r="177" spans="1:50" x14ac:dyDescent="0.25">
      <c r="A177">
        <v>2.8</v>
      </c>
      <c r="B177" s="17"/>
      <c r="C177" s="17"/>
      <c r="D177" s="17">
        <v>0.24726480000000001</v>
      </c>
      <c r="E177" s="17">
        <v>0.22826089999999999</v>
      </c>
      <c r="F177" s="17"/>
      <c r="G177" s="17"/>
      <c r="H177" s="25">
        <f t="shared" si="20"/>
        <v>282.05236000000002</v>
      </c>
      <c r="I177" s="25">
        <f t="shared" si="21"/>
        <v>266.68763999999999</v>
      </c>
      <c r="J177" s="25"/>
      <c r="V177">
        <v>2.8</v>
      </c>
      <c r="W177" s="17"/>
      <c r="X177" s="17"/>
      <c r="Y177" s="17">
        <v>0.29931970000000002</v>
      </c>
      <c r="Z177" s="17">
        <v>0.28720630000000003</v>
      </c>
      <c r="AA177" s="17"/>
      <c r="AB177" s="17"/>
      <c r="AC177" s="25">
        <f t="shared" si="22"/>
        <v>282.05236000000002</v>
      </c>
      <c r="AD177" s="25">
        <f t="shared" si="23"/>
        <v>266.68763999999999</v>
      </c>
      <c r="AN177">
        <v>2.8</v>
      </c>
      <c r="AO177" s="17"/>
      <c r="AP177" s="17"/>
      <c r="AQ177" s="17">
        <v>0.37398369999999997</v>
      </c>
      <c r="AR177" s="17">
        <v>0.40879120000000002</v>
      </c>
      <c r="AS177" s="17"/>
      <c r="AT177" s="17"/>
      <c r="AU177" s="25">
        <f t="shared" si="24"/>
        <v>282.05236000000002</v>
      </c>
      <c r="AV177" s="25">
        <f t="shared" si="25"/>
        <v>266.68763999999999</v>
      </c>
      <c r="AW177" s="23">
        <f t="shared" si="26"/>
        <v>0.37398369999999997</v>
      </c>
      <c r="AX177" s="23">
        <f t="shared" si="26"/>
        <v>0.40879120000000002</v>
      </c>
    </row>
    <row r="178" spans="1:50" x14ac:dyDescent="0.25">
      <c r="A178">
        <v>2.9</v>
      </c>
      <c r="B178" s="17"/>
      <c r="C178" s="17"/>
      <c r="D178" s="17">
        <v>0.2275711</v>
      </c>
      <c r="E178" s="17">
        <v>0.21195649999999999</v>
      </c>
      <c r="F178" s="17"/>
      <c r="G178" s="17"/>
      <c r="H178" s="25">
        <f t="shared" si="20"/>
        <v>282.32673</v>
      </c>
      <c r="I178" s="25">
        <f t="shared" si="21"/>
        <v>266.41327000000001</v>
      </c>
      <c r="J178" s="25"/>
      <c r="V178">
        <v>2.9</v>
      </c>
      <c r="W178" s="17"/>
      <c r="X178" s="17"/>
      <c r="Y178" s="17">
        <v>0.28117910000000002</v>
      </c>
      <c r="Z178" s="17">
        <v>0.27415139999999999</v>
      </c>
      <c r="AA178" s="17"/>
      <c r="AB178" s="17"/>
      <c r="AC178" s="25">
        <f t="shared" si="22"/>
        <v>282.32673</v>
      </c>
      <c r="AD178" s="25">
        <f t="shared" si="23"/>
        <v>266.41327000000001</v>
      </c>
      <c r="AN178">
        <v>2.9</v>
      </c>
      <c r="AO178" s="17"/>
      <c r="AP178" s="17"/>
      <c r="AQ178" s="17">
        <v>0.36314360000000001</v>
      </c>
      <c r="AR178" s="17">
        <v>0.389011</v>
      </c>
      <c r="AS178" s="17"/>
      <c r="AT178" s="17"/>
      <c r="AU178" s="25">
        <f t="shared" si="24"/>
        <v>282.32673</v>
      </c>
      <c r="AV178" s="25">
        <f t="shared" si="25"/>
        <v>266.41327000000001</v>
      </c>
      <c r="AW178" s="23">
        <f t="shared" si="26"/>
        <v>0.36314360000000001</v>
      </c>
      <c r="AX178" s="23">
        <f t="shared" si="26"/>
        <v>0.389011</v>
      </c>
    </row>
    <row r="179" spans="1:50" x14ac:dyDescent="0.25">
      <c r="A179">
        <v>3</v>
      </c>
      <c r="B179" s="17"/>
      <c r="C179" s="17"/>
      <c r="D179" s="17">
        <v>0.20787749999999999</v>
      </c>
      <c r="E179" s="17">
        <v>0.20923910000000001</v>
      </c>
      <c r="F179" s="17"/>
      <c r="G179" s="17"/>
      <c r="H179" s="25">
        <f t="shared" si="20"/>
        <v>282.60110000000003</v>
      </c>
      <c r="I179" s="25">
        <f t="shared" si="21"/>
        <v>266.13889999999998</v>
      </c>
      <c r="J179" s="25"/>
      <c r="V179">
        <v>3</v>
      </c>
      <c r="W179" s="17"/>
      <c r="X179" s="17"/>
      <c r="Y179" s="17">
        <v>0.25623580000000001</v>
      </c>
      <c r="Z179" s="17">
        <v>0.25326369999999998</v>
      </c>
      <c r="AA179" s="17"/>
      <c r="AB179" s="17"/>
      <c r="AC179" s="25">
        <f t="shared" si="22"/>
        <v>282.60110000000003</v>
      </c>
      <c r="AD179" s="25">
        <f t="shared" si="23"/>
        <v>266.13889999999998</v>
      </c>
      <c r="AN179">
        <v>3</v>
      </c>
      <c r="AO179" s="17"/>
      <c r="AP179" s="17"/>
      <c r="AQ179" s="17">
        <v>0.34146339999999997</v>
      </c>
      <c r="AR179" s="17">
        <v>0.37362640000000003</v>
      </c>
      <c r="AS179" s="17"/>
      <c r="AT179" s="17"/>
      <c r="AU179" s="25">
        <f t="shared" si="24"/>
        <v>282.60110000000003</v>
      </c>
      <c r="AV179" s="25">
        <f t="shared" si="25"/>
        <v>266.13889999999998</v>
      </c>
      <c r="AW179" s="23">
        <f t="shared" si="26"/>
        <v>0.34146339999999997</v>
      </c>
      <c r="AX179" s="23">
        <f t="shared" si="26"/>
        <v>0.37362640000000003</v>
      </c>
    </row>
    <row r="180" spans="1:50" x14ac:dyDescent="0.25">
      <c r="A180">
        <v>3.1</v>
      </c>
      <c r="C180" t="s">
        <v>48</v>
      </c>
      <c r="D180" s="17">
        <v>0.19256019999999999</v>
      </c>
      <c r="E180" s="17">
        <v>0.19021740000000001</v>
      </c>
      <c r="F180" s="17"/>
      <c r="G180" s="17"/>
      <c r="H180" s="25">
        <f t="shared" si="20"/>
        <v>282.87547000000001</v>
      </c>
      <c r="I180" s="25">
        <f t="shared" si="21"/>
        <v>265.86453</v>
      </c>
      <c r="J180" s="25"/>
      <c r="V180">
        <v>3.1</v>
      </c>
      <c r="Y180" s="17">
        <v>0.24036279999999999</v>
      </c>
      <c r="Z180" s="17">
        <v>0.2402089</v>
      </c>
      <c r="AA180" s="17"/>
      <c r="AB180" s="17"/>
      <c r="AC180" s="25">
        <f t="shared" si="22"/>
        <v>282.87547000000001</v>
      </c>
      <c r="AD180" s="25">
        <f t="shared" si="23"/>
        <v>265.86453</v>
      </c>
      <c r="AN180">
        <v>3.1</v>
      </c>
      <c r="AQ180" s="17">
        <v>0.32791330000000002</v>
      </c>
      <c r="AR180" s="17">
        <v>0.36043960000000003</v>
      </c>
      <c r="AS180" s="17"/>
      <c r="AT180" s="17"/>
      <c r="AU180" s="25">
        <f t="shared" si="24"/>
        <v>282.87547000000001</v>
      </c>
      <c r="AV180" s="25">
        <f t="shared" si="25"/>
        <v>265.86453</v>
      </c>
      <c r="AW180" s="23">
        <f t="shared" si="26"/>
        <v>0.32791330000000002</v>
      </c>
      <c r="AX180" s="23">
        <f t="shared" si="26"/>
        <v>0.36043960000000003</v>
      </c>
    </row>
    <row r="181" spans="1:50" x14ac:dyDescent="0.25">
      <c r="A181">
        <v>3.2</v>
      </c>
      <c r="D181" s="17">
        <v>0.17943110000000001</v>
      </c>
      <c r="E181" s="17">
        <v>0.1793478</v>
      </c>
      <c r="F181" s="17"/>
      <c r="G181" s="17"/>
      <c r="H181" s="25">
        <f t="shared" si="20"/>
        <v>283.14984000000004</v>
      </c>
      <c r="I181" s="25">
        <f t="shared" si="21"/>
        <v>265.59015999999997</v>
      </c>
      <c r="J181" s="25"/>
      <c r="V181">
        <v>3.2</v>
      </c>
      <c r="Y181" s="17">
        <v>0.2290249</v>
      </c>
      <c r="Z181" s="17">
        <v>0.232376</v>
      </c>
      <c r="AA181" s="17"/>
      <c r="AB181" s="17"/>
      <c r="AC181" s="25">
        <f t="shared" si="22"/>
        <v>283.14984000000004</v>
      </c>
      <c r="AD181" s="25">
        <f t="shared" si="23"/>
        <v>265.59015999999997</v>
      </c>
      <c r="AN181">
        <v>3.2</v>
      </c>
      <c r="AQ181" s="17">
        <v>0.31436310000000001</v>
      </c>
      <c r="AR181" s="17">
        <v>0.34725270000000003</v>
      </c>
      <c r="AS181" s="17"/>
      <c r="AT181" s="17"/>
      <c r="AU181" s="25">
        <f t="shared" si="24"/>
        <v>283.14984000000004</v>
      </c>
      <c r="AV181" s="25">
        <f t="shared" si="25"/>
        <v>265.59015999999997</v>
      </c>
      <c r="AW181" s="23">
        <f t="shared" si="26"/>
        <v>0.31436310000000001</v>
      </c>
      <c r="AX181" s="23">
        <f t="shared" si="26"/>
        <v>0.34725270000000003</v>
      </c>
    </row>
    <row r="182" spans="1:50" x14ac:dyDescent="0.25">
      <c r="A182">
        <v>3.3</v>
      </c>
      <c r="D182" s="17">
        <v>0.17286650000000001</v>
      </c>
      <c r="E182" s="17">
        <v>0.16576089999999999</v>
      </c>
      <c r="F182" s="17"/>
      <c r="G182" s="17"/>
      <c r="H182" s="25">
        <f t="shared" si="20"/>
        <v>283.42420999999996</v>
      </c>
      <c r="I182" s="25">
        <f t="shared" si="21"/>
        <v>265.31578999999999</v>
      </c>
      <c r="J182" s="25"/>
      <c r="V182">
        <v>3.3</v>
      </c>
      <c r="Y182" s="17">
        <v>0.20861679999999999</v>
      </c>
      <c r="Z182" s="17">
        <v>0.21148829999999999</v>
      </c>
      <c r="AA182" s="17"/>
      <c r="AB182" s="17"/>
      <c r="AC182" s="25">
        <f t="shared" si="22"/>
        <v>283.42420999999996</v>
      </c>
      <c r="AD182" s="25">
        <f t="shared" si="23"/>
        <v>265.31578999999999</v>
      </c>
      <c r="AN182">
        <v>3.3</v>
      </c>
      <c r="AQ182" s="17">
        <v>0.30623309999999998</v>
      </c>
      <c r="AR182" s="17">
        <v>0.3318681</v>
      </c>
      <c r="AS182" s="17"/>
      <c r="AT182" s="17"/>
      <c r="AU182" s="25">
        <f t="shared" si="24"/>
        <v>283.42420999999996</v>
      </c>
      <c r="AV182" s="25">
        <f t="shared" si="25"/>
        <v>265.31578999999999</v>
      </c>
      <c r="AW182" s="23">
        <f t="shared" si="26"/>
        <v>0.30623309999999998</v>
      </c>
      <c r="AX182" s="23">
        <f t="shared" si="26"/>
        <v>0.3318681</v>
      </c>
    </row>
    <row r="183" spans="1:50" x14ac:dyDescent="0.25">
      <c r="A183">
        <v>3.4</v>
      </c>
      <c r="D183" s="17">
        <v>0.16849020000000001</v>
      </c>
      <c r="E183" s="17">
        <v>0.14945649999999999</v>
      </c>
      <c r="F183" s="17"/>
      <c r="G183" s="17"/>
      <c r="H183" s="25">
        <f t="shared" si="20"/>
        <v>283.69857999999999</v>
      </c>
      <c r="I183" s="25">
        <f t="shared" si="21"/>
        <v>265.04142000000002</v>
      </c>
      <c r="J183" s="25"/>
      <c r="V183">
        <v>3.4</v>
      </c>
      <c r="Y183" s="17">
        <v>0.19954649999999999</v>
      </c>
      <c r="Z183" s="17">
        <v>0.20365539999999999</v>
      </c>
      <c r="AA183" s="17"/>
      <c r="AB183" s="17"/>
      <c r="AC183" s="25">
        <f t="shared" si="22"/>
        <v>283.69857999999999</v>
      </c>
      <c r="AD183" s="25">
        <f t="shared" si="23"/>
        <v>265.04142000000002</v>
      </c>
      <c r="AN183">
        <v>3.4</v>
      </c>
      <c r="AQ183" s="17">
        <v>0.29539300000000002</v>
      </c>
      <c r="AR183" s="17">
        <v>0.3054945</v>
      </c>
      <c r="AS183" s="17"/>
      <c r="AT183" s="17"/>
      <c r="AU183" s="25">
        <f t="shared" si="24"/>
        <v>283.69857999999999</v>
      </c>
      <c r="AV183" s="25">
        <f t="shared" si="25"/>
        <v>265.04142000000002</v>
      </c>
      <c r="AW183" s="23">
        <f t="shared" si="26"/>
        <v>0.29539300000000002</v>
      </c>
      <c r="AX183" s="23">
        <f t="shared" si="26"/>
        <v>0.3054945</v>
      </c>
    </row>
    <row r="184" spans="1:50" x14ac:dyDescent="0.25">
      <c r="A184">
        <v>3.5</v>
      </c>
      <c r="D184" s="17">
        <v>0.1553611</v>
      </c>
      <c r="E184" s="17">
        <v>0.1331522</v>
      </c>
      <c r="F184" s="17"/>
      <c r="G184" s="17"/>
      <c r="H184" s="25">
        <f t="shared" si="20"/>
        <v>283.97294999999997</v>
      </c>
      <c r="I184" s="25">
        <f t="shared" si="21"/>
        <v>264.76704999999998</v>
      </c>
      <c r="J184" s="25"/>
      <c r="V184">
        <v>3.5</v>
      </c>
      <c r="Y184" s="17">
        <v>0.19274379999999999</v>
      </c>
      <c r="Z184" s="17">
        <v>0.1827676</v>
      </c>
      <c r="AA184" s="17"/>
      <c r="AB184" s="17"/>
      <c r="AC184" s="25">
        <f t="shared" si="22"/>
        <v>283.97294999999997</v>
      </c>
      <c r="AD184" s="25">
        <f t="shared" si="23"/>
        <v>264.76704999999998</v>
      </c>
      <c r="AN184">
        <v>3.5</v>
      </c>
      <c r="AQ184" s="17">
        <v>0.28997289999999998</v>
      </c>
      <c r="AR184" s="17">
        <v>0.2923077</v>
      </c>
      <c r="AS184" s="17"/>
      <c r="AT184" s="17"/>
      <c r="AU184" s="25">
        <f t="shared" si="24"/>
        <v>283.97294999999997</v>
      </c>
      <c r="AV184" s="25">
        <f t="shared" si="25"/>
        <v>264.76704999999998</v>
      </c>
      <c r="AW184" s="23">
        <f t="shared" si="26"/>
        <v>0.28997289999999998</v>
      </c>
      <c r="AX184" s="23">
        <f t="shared" si="26"/>
        <v>0.2923077</v>
      </c>
    </row>
    <row r="185" spans="1:50" x14ac:dyDescent="0.25">
      <c r="A185">
        <v>3.6</v>
      </c>
      <c r="D185" s="17">
        <v>0.1553611</v>
      </c>
      <c r="E185" s="17">
        <v>0.125</v>
      </c>
      <c r="F185" s="17"/>
      <c r="G185" s="17"/>
      <c r="H185" s="25">
        <f t="shared" si="20"/>
        <v>284.24732</v>
      </c>
      <c r="I185" s="25">
        <f t="shared" si="21"/>
        <v>264.49268000000001</v>
      </c>
      <c r="J185" s="25"/>
      <c r="V185">
        <v>3.6</v>
      </c>
      <c r="Y185" s="17">
        <v>0.18367349999999999</v>
      </c>
      <c r="Z185" s="17">
        <v>0.16710179999999999</v>
      </c>
      <c r="AA185" s="17"/>
      <c r="AB185" s="17"/>
      <c r="AC185" s="25">
        <f t="shared" si="22"/>
        <v>284.24732</v>
      </c>
      <c r="AD185" s="25">
        <f t="shared" si="23"/>
        <v>264.49268000000001</v>
      </c>
      <c r="AN185">
        <v>3.6</v>
      </c>
      <c r="AQ185" s="17">
        <v>0.2682927</v>
      </c>
      <c r="AR185" s="17">
        <v>0.27912090000000001</v>
      </c>
      <c r="AS185" s="17"/>
      <c r="AT185" s="17"/>
      <c r="AU185" s="25">
        <f t="shared" si="24"/>
        <v>284.24732</v>
      </c>
      <c r="AV185" s="25">
        <f t="shared" si="25"/>
        <v>264.49268000000001</v>
      </c>
      <c r="AW185" s="23">
        <f t="shared" si="26"/>
        <v>0.2682927</v>
      </c>
      <c r="AX185" s="23">
        <f t="shared" si="26"/>
        <v>0.27912090000000001</v>
      </c>
    </row>
    <row r="186" spans="1:50" x14ac:dyDescent="0.25">
      <c r="A186">
        <v>3.7</v>
      </c>
      <c r="D186" s="17">
        <v>0.1487965</v>
      </c>
      <c r="E186" s="17">
        <v>0.1168478</v>
      </c>
      <c r="F186" s="17"/>
      <c r="G186" s="17"/>
      <c r="H186" s="25">
        <f t="shared" si="20"/>
        <v>284.52168999999998</v>
      </c>
      <c r="I186" s="25">
        <f t="shared" si="21"/>
        <v>264.21830999999997</v>
      </c>
      <c r="J186" s="25"/>
      <c r="V186">
        <v>3.7</v>
      </c>
      <c r="Y186" s="17">
        <v>0.1791383</v>
      </c>
      <c r="Z186" s="17">
        <v>0.15143599999999999</v>
      </c>
      <c r="AA186" s="17"/>
      <c r="AB186" s="17"/>
      <c r="AC186" s="25">
        <f t="shared" si="22"/>
        <v>284.52168999999998</v>
      </c>
      <c r="AD186" s="25">
        <f t="shared" si="23"/>
        <v>264.21830999999997</v>
      </c>
      <c r="AN186">
        <v>3.7</v>
      </c>
      <c r="AQ186" s="17">
        <v>0.26016260000000002</v>
      </c>
      <c r="AR186" s="17">
        <v>0.27472530000000001</v>
      </c>
      <c r="AS186" s="17"/>
      <c r="AT186" s="17"/>
      <c r="AU186" s="25">
        <f t="shared" si="24"/>
        <v>284.52168999999998</v>
      </c>
      <c r="AV186" s="25">
        <f t="shared" si="25"/>
        <v>264.21830999999997</v>
      </c>
    </row>
    <row r="187" spans="1:50" x14ac:dyDescent="0.25">
      <c r="A187">
        <v>3.8</v>
      </c>
      <c r="D187" s="17">
        <v>0.13785559999999999</v>
      </c>
      <c r="E187" s="17">
        <v>0.1059783</v>
      </c>
      <c r="F187" s="17"/>
      <c r="G187" s="17"/>
      <c r="H187" s="25">
        <f t="shared" si="20"/>
        <v>284.79606000000001</v>
      </c>
      <c r="I187" s="25">
        <f t="shared" si="21"/>
        <v>263.94394</v>
      </c>
      <c r="J187" s="25"/>
      <c r="V187">
        <v>3.8</v>
      </c>
      <c r="Y187" s="17">
        <v>0.16780049999999999</v>
      </c>
      <c r="Z187" s="17">
        <v>0.14099220000000001</v>
      </c>
      <c r="AA187" s="17"/>
      <c r="AB187" s="17"/>
      <c r="AC187" s="25">
        <f t="shared" si="22"/>
        <v>284.79606000000001</v>
      </c>
      <c r="AD187" s="25">
        <f t="shared" si="23"/>
        <v>263.94394</v>
      </c>
      <c r="AN187">
        <v>3.8</v>
      </c>
      <c r="AQ187" s="17">
        <v>0.24390239999999999</v>
      </c>
      <c r="AR187" s="17">
        <v>0.25934069999999998</v>
      </c>
      <c r="AS187" s="17"/>
      <c r="AT187" s="17"/>
      <c r="AU187" s="25">
        <f t="shared" si="24"/>
        <v>284.79606000000001</v>
      </c>
      <c r="AV187" s="25">
        <f t="shared" si="25"/>
        <v>263.94394</v>
      </c>
    </row>
    <row r="188" spans="1:50" x14ac:dyDescent="0.25">
      <c r="A188">
        <v>3.9</v>
      </c>
      <c r="D188" s="17">
        <v>0.13129099999999999</v>
      </c>
      <c r="E188" s="17">
        <v>8.1521739999999995E-2</v>
      </c>
      <c r="F188" s="17"/>
      <c r="G188" s="17"/>
      <c r="H188" s="25">
        <f t="shared" si="20"/>
        <v>285.07042999999999</v>
      </c>
      <c r="I188" s="25">
        <f t="shared" si="21"/>
        <v>263.66957000000002</v>
      </c>
      <c r="J188" s="25"/>
      <c r="V188">
        <v>3.9</v>
      </c>
      <c r="Y188" s="17">
        <v>0.15873019999999999</v>
      </c>
      <c r="Z188" s="17">
        <v>0.1227154</v>
      </c>
      <c r="AA188" s="17"/>
      <c r="AB188" s="17"/>
      <c r="AC188" s="25">
        <f t="shared" si="22"/>
        <v>285.07042999999999</v>
      </c>
      <c r="AD188" s="25">
        <f t="shared" si="23"/>
        <v>263.66957000000002</v>
      </c>
      <c r="AN188">
        <v>3.9</v>
      </c>
      <c r="AQ188" s="17">
        <v>0.21951219999999999</v>
      </c>
      <c r="AR188" s="17">
        <v>0.25714290000000001</v>
      </c>
      <c r="AS188" s="17"/>
      <c r="AT188" s="17"/>
      <c r="AU188" s="25">
        <f t="shared" si="24"/>
        <v>285.07042999999999</v>
      </c>
      <c r="AV188" s="25">
        <f t="shared" si="25"/>
        <v>263.66957000000002</v>
      </c>
    </row>
    <row r="189" spans="1:50" x14ac:dyDescent="0.25">
      <c r="A189">
        <v>4</v>
      </c>
      <c r="D189" s="17">
        <v>0.12691469999999999</v>
      </c>
      <c r="E189" s="17">
        <v>7.6086959999999995E-2</v>
      </c>
      <c r="F189" s="17"/>
      <c r="G189" s="17"/>
      <c r="H189" s="25">
        <f t="shared" si="20"/>
        <v>285.34480000000002</v>
      </c>
      <c r="I189" s="25">
        <f t="shared" si="21"/>
        <v>263.39519999999999</v>
      </c>
      <c r="J189" s="25"/>
      <c r="V189">
        <v>4</v>
      </c>
      <c r="Y189" s="17">
        <v>0.154195</v>
      </c>
      <c r="Z189" s="17">
        <v>0.1122715</v>
      </c>
      <c r="AA189" s="17"/>
      <c r="AB189" s="17"/>
      <c r="AC189" s="25">
        <f t="shared" si="22"/>
        <v>285.34480000000002</v>
      </c>
      <c r="AD189" s="25">
        <f t="shared" si="23"/>
        <v>263.39519999999999</v>
      </c>
      <c r="AN189">
        <v>4</v>
      </c>
      <c r="AQ189" s="17">
        <v>0.200542</v>
      </c>
      <c r="AR189" s="17">
        <v>0.24835160000000001</v>
      </c>
      <c r="AS189" s="17"/>
      <c r="AT189" s="17"/>
      <c r="AU189" s="25">
        <f t="shared" si="24"/>
        <v>285.34480000000002</v>
      </c>
      <c r="AV189" s="25">
        <f t="shared" si="25"/>
        <v>263.39519999999999</v>
      </c>
    </row>
    <row r="190" spans="1:50" x14ac:dyDescent="0.25">
      <c r="A190">
        <v>4.0999999999999996</v>
      </c>
      <c r="D190" s="17">
        <v>0.1159737</v>
      </c>
      <c r="E190" s="17">
        <v>5.978261E-2</v>
      </c>
      <c r="F190" s="17"/>
      <c r="G190" s="17"/>
      <c r="H190" s="25">
        <f t="shared" si="20"/>
        <v>285.61917</v>
      </c>
      <c r="I190" s="25">
        <f t="shared" si="21"/>
        <v>263.12083000000001</v>
      </c>
      <c r="J190" s="25"/>
      <c r="V190">
        <v>4.0999999999999996</v>
      </c>
      <c r="Y190" s="17">
        <v>0.14965990000000001</v>
      </c>
      <c r="Z190" s="17">
        <v>0.10704959999999999</v>
      </c>
      <c r="AA190" s="17"/>
      <c r="AB190" s="17"/>
      <c r="AC190" s="25">
        <f t="shared" si="22"/>
        <v>285.61917</v>
      </c>
      <c r="AD190" s="25">
        <f t="shared" si="23"/>
        <v>263.12083000000001</v>
      </c>
      <c r="AN190">
        <v>4.0999999999999996</v>
      </c>
      <c r="AQ190" s="17">
        <v>0.18970190000000001</v>
      </c>
      <c r="AR190" s="17">
        <v>0.23296700000000001</v>
      </c>
      <c r="AS190" s="17"/>
      <c r="AT190" s="17"/>
      <c r="AU190" s="25">
        <f t="shared" si="24"/>
        <v>285.61917</v>
      </c>
      <c r="AV190" s="25">
        <f t="shared" si="25"/>
        <v>263.12083000000001</v>
      </c>
    </row>
    <row r="191" spans="1:50" x14ac:dyDescent="0.25">
      <c r="A191">
        <v>4.2</v>
      </c>
      <c r="D191" s="17">
        <v>0.1115974</v>
      </c>
      <c r="E191" s="17">
        <v>5.434783E-2</v>
      </c>
      <c r="F191" s="17"/>
      <c r="G191" s="17"/>
      <c r="H191" s="25">
        <f t="shared" si="20"/>
        <v>285.89354000000003</v>
      </c>
      <c r="I191" s="25">
        <f t="shared" si="21"/>
        <v>262.84645999999998</v>
      </c>
      <c r="J191" s="25"/>
      <c r="V191">
        <v>4.2</v>
      </c>
      <c r="Y191" s="17">
        <v>0.13605439999999999</v>
      </c>
      <c r="Z191" s="17">
        <v>0.10182769999999999</v>
      </c>
      <c r="AA191" s="17"/>
      <c r="AB191" s="17"/>
      <c r="AC191" s="25">
        <f t="shared" si="22"/>
        <v>285.89354000000003</v>
      </c>
      <c r="AD191" s="25">
        <f t="shared" si="23"/>
        <v>262.84645999999998</v>
      </c>
      <c r="AN191">
        <v>4.2</v>
      </c>
      <c r="AQ191" s="17">
        <v>0.1761518</v>
      </c>
      <c r="AR191" s="17">
        <v>0.22637360000000001</v>
      </c>
      <c r="AS191" s="17"/>
      <c r="AT191" s="17"/>
      <c r="AU191" s="25">
        <f t="shared" si="24"/>
        <v>285.89354000000003</v>
      </c>
      <c r="AV191" s="25">
        <f t="shared" si="25"/>
        <v>262.84645999999998</v>
      </c>
    </row>
    <row r="192" spans="1:50" x14ac:dyDescent="0.25">
      <c r="A192">
        <v>4.3</v>
      </c>
      <c r="D192" s="17">
        <v>9.6280089999999999E-2</v>
      </c>
      <c r="E192" s="17">
        <v>4.8913039999999998E-2</v>
      </c>
      <c r="F192" s="17"/>
      <c r="G192" s="17"/>
      <c r="H192" s="25">
        <f t="shared" si="20"/>
        <v>286.16791000000001</v>
      </c>
      <c r="I192" s="25">
        <f t="shared" si="21"/>
        <v>262.57209</v>
      </c>
      <c r="J192" s="25"/>
      <c r="V192">
        <v>4.3</v>
      </c>
      <c r="Y192" s="17">
        <v>0.13605439999999999</v>
      </c>
      <c r="Z192" s="17">
        <v>9.6605739999999996E-2</v>
      </c>
      <c r="AA192" s="17"/>
      <c r="AB192" s="17"/>
      <c r="AC192" s="25">
        <f t="shared" si="22"/>
        <v>286.16791000000001</v>
      </c>
      <c r="AD192" s="25">
        <f t="shared" si="23"/>
        <v>262.57209</v>
      </c>
      <c r="AN192">
        <v>4.3</v>
      </c>
      <c r="AQ192" s="17">
        <v>0.17073169999999999</v>
      </c>
      <c r="AR192" s="17">
        <v>0.21978020000000001</v>
      </c>
      <c r="AS192" s="17"/>
      <c r="AT192" s="17"/>
      <c r="AU192" s="25">
        <f t="shared" si="24"/>
        <v>286.16791000000001</v>
      </c>
      <c r="AV192" s="25">
        <f t="shared" si="25"/>
        <v>262.57209</v>
      </c>
    </row>
    <row r="193" spans="1:48" x14ac:dyDescent="0.25">
      <c r="A193">
        <v>4.4000000000000004</v>
      </c>
      <c r="D193" s="17">
        <v>8.7527350000000004E-2</v>
      </c>
      <c r="E193" s="17">
        <v>3.8043479999999998E-2</v>
      </c>
      <c r="F193" s="17"/>
      <c r="G193" s="17"/>
      <c r="H193" s="25">
        <f t="shared" ref="H193:H199" si="27">$M$128*(A193/100+1)</f>
        <v>286.44228000000004</v>
      </c>
      <c r="I193" s="25">
        <f t="shared" ref="I193:I199" si="28">(1-A193/100)*$M$128</f>
        <v>262.29771999999997</v>
      </c>
      <c r="V193">
        <v>4.4000000000000004</v>
      </c>
      <c r="Y193" s="17">
        <v>0.1292517</v>
      </c>
      <c r="Z193" s="17">
        <v>9.1383809999999996E-2</v>
      </c>
      <c r="AA193" s="17"/>
      <c r="AB193" s="17"/>
      <c r="AC193" s="25">
        <f t="shared" si="22"/>
        <v>286.44228000000004</v>
      </c>
      <c r="AD193" s="25">
        <f t="shared" si="23"/>
        <v>262.29771999999997</v>
      </c>
      <c r="AN193">
        <v>4.4000000000000004</v>
      </c>
      <c r="AQ193" s="17">
        <v>0.15989159999999999</v>
      </c>
      <c r="AR193" s="17">
        <v>0.20879120000000001</v>
      </c>
      <c r="AS193" s="17"/>
      <c r="AT193" s="17"/>
      <c r="AU193" s="25">
        <f t="shared" si="24"/>
        <v>286.44228000000004</v>
      </c>
      <c r="AV193" s="25">
        <f t="shared" si="25"/>
        <v>262.29771999999997</v>
      </c>
    </row>
    <row r="194" spans="1:48" x14ac:dyDescent="0.25">
      <c r="A194">
        <v>4.5</v>
      </c>
      <c r="D194" s="17">
        <v>7.8774620000000004E-2</v>
      </c>
      <c r="E194" s="17">
        <v>3.5326089999999997E-2</v>
      </c>
      <c r="F194" s="17"/>
      <c r="G194" s="17"/>
      <c r="H194" s="25">
        <f t="shared" si="27"/>
        <v>286.71664999999996</v>
      </c>
      <c r="I194" s="25">
        <f t="shared" si="28"/>
        <v>262.02334999999999</v>
      </c>
      <c r="V194">
        <v>4.5</v>
      </c>
      <c r="Y194" s="17">
        <v>0.122449</v>
      </c>
      <c r="Z194" s="17">
        <v>8.877285E-2</v>
      </c>
      <c r="AA194" s="17"/>
      <c r="AB194" s="17"/>
      <c r="AC194" s="25">
        <f t="shared" si="22"/>
        <v>286.71664999999996</v>
      </c>
      <c r="AD194" s="25">
        <f t="shared" si="23"/>
        <v>262.02334999999999</v>
      </c>
      <c r="AN194">
        <v>4.5</v>
      </c>
      <c r="AQ194" s="17">
        <v>0.1490515</v>
      </c>
      <c r="AR194" s="17">
        <v>0.20439560000000001</v>
      </c>
      <c r="AS194" s="17"/>
      <c r="AT194" s="17"/>
      <c r="AU194" s="25">
        <f t="shared" ref="AU194:AU199" si="29">$M$128*(AN194/100+1)</f>
        <v>286.71664999999996</v>
      </c>
      <c r="AV194" s="25">
        <f t="shared" ref="AV194:AV199" si="30">(1-AN194/100)*$M$128</f>
        <v>262.02334999999999</v>
      </c>
    </row>
    <row r="195" spans="1:48" x14ac:dyDescent="0.25">
      <c r="A195">
        <v>4.5999999999999996</v>
      </c>
      <c r="D195" s="17">
        <v>7.4398249999999999E-2</v>
      </c>
      <c r="E195" s="17">
        <v>3.2608699999999997E-2</v>
      </c>
      <c r="F195" s="17"/>
      <c r="G195" s="17"/>
      <c r="H195" s="25">
        <f t="shared" si="27"/>
        <v>286.99101999999999</v>
      </c>
      <c r="I195" s="25">
        <f t="shared" si="28"/>
        <v>261.74898000000002</v>
      </c>
      <c r="V195">
        <v>4.5999999999999996</v>
      </c>
      <c r="Y195" s="17">
        <v>0.122449</v>
      </c>
      <c r="Z195" s="17">
        <v>7.8328980000000006E-2</v>
      </c>
      <c r="AA195" s="17"/>
      <c r="AB195" s="17"/>
      <c r="AC195" s="25">
        <f t="shared" ref="AC195:AC199" si="31">$M$128*(V195/100+1)</f>
        <v>286.99101999999999</v>
      </c>
      <c r="AD195" s="25">
        <f t="shared" ref="AD195:AD199" si="32">(1-V195/100)*$M$128</f>
        <v>261.74898000000002</v>
      </c>
      <c r="AN195">
        <v>4.5999999999999996</v>
      </c>
      <c r="AQ195" s="17">
        <v>0.13008130000000001</v>
      </c>
      <c r="AR195" s="17">
        <v>0.19780220000000001</v>
      </c>
      <c r="AS195" s="17"/>
      <c r="AT195" s="17"/>
      <c r="AU195" s="25">
        <f t="shared" si="29"/>
        <v>286.99101999999999</v>
      </c>
      <c r="AV195" s="25">
        <f t="shared" si="30"/>
        <v>261.74898000000002</v>
      </c>
    </row>
    <row r="196" spans="1:48" x14ac:dyDescent="0.25">
      <c r="A196">
        <v>4.7</v>
      </c>
      <c r="D196" s="17">
        <v>7.2210070000000001E-2</v>
      </c>
      <c r="E196" s="17">
        <v>2.9891299999999999E-2</v>
      </c>
      <c r="F196" s="17"/>
      <c r="G196" s="17"/>
      <c r="H196" s="25">
        <f t="shared" si="27"/>
        <v>287.26538999999997</v>
      </c>
      <c r="I196" s="25">
        <f t="shared" si="28"/>
        <v>261.47460999999998</v>
      </c>
      <c r="V196">
        <v>4.7</v>
      </c>
      <c r="Y196" s="17">
        <v>0.1179138</v>
      </c>
      <c r="Z196" s="17">
        <v>7.5718019999999997E-2</v>
      </c>
      <c r="AA196" s="17"/>
      <c r="AB196" s="17"/>
      <c r="AC196" s="25">
        <f t="shared" si="31"/>
        <v>287.26538999999997</v>
      </c>
      <c r="AD196" s="25">
        <f t="shared" si="32"/>
        <v>261.47460999999998</v>
      </c>
      <c r="AN196">
        <v>4.7</v>
      </c>
      <c r="AQ196" s="17">
        <v>0.12737129999999999</v>
      </c>
      <c r="AR196" s="17">
        <v>0.19340660000000001</v>
      </c>
      <c r="AS196" s="17"/>
      <c r="AT196" s="17"/>
      <c r="AU196" s="25">
        <f t="shared" si="29"/>
        <v>287.26538999999997</v>
      </c>
      <c r="AV196" s="25">
        <f t="shared" si="30"/>
        <v>261.47460999999998</v>
      </c>
    </row>
    <row r="197" spans="1:48" x14ac:dyDescent="0.25">
      <c r="A197">
        <v>4.8</v>
      </c>
      <c r="D197" s="17">
        <v>6.5645510000000004E-2</v>
      </c>
      <c r="E197" s="17">
        <v>2.7173909999999999E-2</v>
      </c>
      <c r="F197" s="17"/>
      <c r="G197" s="17"/>
      <c r="H197" s="25">
        <f t="shared" si="27"/>
        <v>287.53976</v>
      </c>
      <c r="I197" s="25">
        <f t="shared" si="28"/>
        <v>261.20024000000001</v>
      </c>
      <c r="V197">
        <v>4.8</v>
      </c>
      <c r="Y197" s="17">
        <v>0.11564629999999999</v>
      </c>
      <c r="Z197" s="17">
        <v>7.0496080000000003E-2</v>
      </c>
      <c r="AA197" s="17"/>
      <c r="AB197" s="17"/>
      <c r="AC197" s="25">
        <f t="shared" si="31"/>
        <v>287.53976</v>
      </c>
      <c r="AD197" s="25">
        <f t="shared" si="32"/>
        <v>261.20024000000001</v>
      </c>
      <c r="AN197">
        <v>4.8</v>
      </c>
      <c r="AQ197" s="17">
        <v>0.1246612</v>
      </c>
      <c r="AR197" s="17">
        <v>0.18241760000000001</v>
      </c>
      <c r="AS197" s="17"/>
      <c r="AT197" s="17"/>
      <c r="AU197" s="25">
        <f t="shared" si="29"/>
        <v>287.53976</v>
      </c>
      <c r="AV197" s="25">
        <f t="shared" si="30"/>
        <v>261.20024000000001</v>
      </c>
    </row>
    <row r="198" spans="1:48" x14ac:dyDescent="0.25">
      <c r="A198">
        <v>4.9000000000000004</v>
      </c>
      <c r="D198" s="17">
        <v>6.1269150000000001E-2</v>
      </c>
      <c r="E198" s="17">
        <v>2.4456519999999999E-2</v>
      </c>
      <c r="F198" s="17"/>
      <c r="G198" s="17"/>
      <c r="H198" s="25">
        <f t="shared" si="27"/>
        <v>287.81412999999998</v>
      </c>
      <c r="I198" s="25">
        <f t="shared" si="28"/>
        <v>260.92586999999997</v>
      </c>
      <c r="V198">
        <v>4.9000000000000004</v>
      </c>
      <c r="Y198" s="17">
        <v>0.1088435</v>
      </c>
      <c r="Z198" s="17">
        <v>6.2663189999999994E-2</v>
      </c>
      <c r="AA198" s="17"/>
      <c r="AB198" s="17"/>
      <c r="AC198" s="25">
        <f t="shared" si="31"/>
        <v>287.81412999999998</v>
      </c>
      <c r="AD198" s="25">
        <f t="shared" si="32"/>
        <v>260.92586999999997</v>
      </c>
      <c r="AN198">
        <v>4.9000000000000004</v>
      </c>
      <c r="AQ198" s="17">
        <v>0.1165312</v>
      </c>
      <c r="AR198" s="17">
        <v>0.16483519999999999</v>
      </c>
      <c r="AS198" s="17"/>
      <c r="AT198" s="17"/>
      <c r="AU198" s="25">
        <f t="shared" si="29"/>
        <v>287.81412999999998</v>
      </c>
      <c r="AV198" s="25">
        <f t="shared" si="30"/>
        <v>260.92586999999997</v>
      </c>
    </row>
    <row r="199" spans="1:48" x14ac:dyDescent="0.25">
      <c r="A199">
        <v>5</v>
      </c>
      <c r="D199" s="17">
        <v>5.4704599999999999E-2</v>
      </c>
      <c r="E199" s="17">
        <v>2.4456519999999999E-2</v>
      </c>
      <c r="F199" s="17"/>
      <c r="G199" s="17"/>
      <c r="H199" s="25">
        <f t="shared" si="27"/>
        <v>288.08850000000001</v>
      </c>
      <c r="I199" s="25">
        <f t="shared" si="28"/>
        <v>260.6515</v>
      </c>
      <c r="V199">
        <v>5</v>
      </c>
      <c r="Y199" s="17">
        <v>9.9773239999999999E-2</v>
      </c>
      <c r="Z199" s="17">
        <v>5.4830289999999997E-2</v>
      </c>
      <c r="AA199" s="17"/>
      <c r="AB199" s="17"/>
      <c r="AC199" s="25">
        <f t="shared" si="31"/>
        <v>288.08850000000001</v>
      </c>
      <c r="AD199" s="25">
        <f t="shared" si="32"/>
        <v>260.6515</v>
      </c>
      <c r="AN199">
        <v>5</v>
      </c>
      <c r="AQ199" s="17">
        <v>0.11382109999999999</v>
      </c>
      <c r="AR199" s="17">
        <v>0.15604399999999999</v>
      </c>
      <c r="AS199" s="17"/>
      <c r="AT199" s="17"/>
      <c r="AU199" s="25">
        <f t="shared" si="29"/>
        <v>288.08850000000001</v>
      </c>
      <c r="AV199" s="25">
        <f t="shared" si="30"/>
        <v>260.6515</v>
      </c>
    </row>
    <row r="200" spans="1:48" x14ac:dyDescent="0.25">
      <c r="A200" t="s">
        <v>27</v>
      </c>
      <c r="D200" s="25">
        <v>3.9</v>
      </c>
      <c r="E200" s="25">
        <v>2.9</v>
      </c>
      <c r="V200" t="s">
        <v>27</v>
      </c>
      <c r="Y200" s="25">
        <v>4</v>
      </c>
      <c r="Z200" s="25">
        <v>3.8</v>
      </c>
      <c r="AN200" t="s">
        <v>27</v>
      </c>
      <c r="AQ200" s="25">
        <v>2.6</v>
      </c>
      <c r="AR200" s="25">
        <v>2.9</v>
      </c>
    </row>
    <row r="201" spans="1:48" x14ac:dyDescent="0.25">
      <c r="A201" t="s">
        <v>26</v>
      </c>
      <c r="D201">
        <v>2</v>
      </c>
      <c r="E201">
        <v>2</v>
      </c>
      <c r="V201" t="s">
        <v>26</v>
      </c>
      <c r="Y201">
        <v>3</v>
      </c>
      <c r="Z201">
        <v>2</v>
      </c>
      <c r="AN201" t="s">
        <v>26</v>
      </c>
      <c r="AQ201">
        <v>2</v>
      </c>
      <c r="AR201">
        <v>3</v>
      </c>
    </row>
    <row r="202" spans="1:48" x14ac:dyDescent="0.25">
      <c r="A202" t="s">
        <v>25</v>
      </c>
      <c r="D202" s="25">
        <v>4</v>
      </c>
      <c r="E202" s="25">
        <v>3.2</v>
      </c>
      <c r="V202" t="s">
        <v>25</v>
      </c>
      <c r="Y202" s="25">
        <v>4.2</v>
      </c>
      <c r="Z202" s="25">
        <v>3.7</v>
      </c>
      <c r="AN202" t="s">
        <v>25</v>
      </c>
      <c r="AQ202" s="25">
        <v>2.9</v>
      </c>
      <c r="AR202" s="25">
        <v>3.6</v>
      </c>
    </row>
    <row r="203" spans="1:48" x14ac:dyDescent="0.25">
      <c r="A203" s="17" t="s">
        <v>76</v>
      </c>
      <c r="B203" s="17"/>
      <c r="C203" s="17"/>
      <c r="D203" s="17">
        <v>0.13043479999999999</v>
      </c>
      <c r="E203" s="17">
        <v>0.1043478</v>
      </c>
      <c r="F203" s="17"/>
      <c r="G203" s="17"/>
      <c r="V203" s="17" t="s">
        <v>134</v>
      </c>
      <c r="W203" s="17"/>
      <c r="X203" s="17"/>
      <c r="Y203" s="17">
        <v>0.16346150000000001</v>
      </c>
      <c r="Z203" s="17">
        <v>0.125</v>
      </c>
      <c r="AA203" s="17"/>
      <c r="AB203" s="17"/>
      <c r="AN203" s="17" t="s">
        <v>134</v>
      </c>
      <c r="AO203" s="17"/>
      <c r="AP203" s="17"/>
      <c r="AQ203" s="17">
        <v>0.1190476</v>
      </c>
      <c r="AR203" s="17">
        <v>0.1496063</v>
      </c>
      <c r="AS203" s="17"/>
      <c r="AT203" s="17"/>
    </row>
    <row r="204" spans="1:48" x14ac:dyDescent="0.25">
      <c r="A204" s="17" t="s">
        <v>133</v>
      </c>
      <c r="B204" s="17"/>
      <c r="C204" s="17"/>
      <c r="D204" s="17">
        <v>6.0869569999999998E-2</v>
      </c>
      <c r="E204" s="17">
        <v>5.2173909999999997E-2</v>
      </c>
      <c r="F204" s="17"/>
      <c r="G204" s="17"/>
      <c r="V204" s="17" t="s">
        <v>133</v>
      </c>
      <c r="W204" s="17"/>
      <c r="X204" s="17"/>
      <c r="Y204" s="17">
        <v>4.8076920000000002E-2</v>
      </c>
      <c r="Z204" s="17">
        <v>4.8076920000000002E-2</v>
      </c>
      <c r="AA204" s="17"/>
      <c r="AB204" s="17"/>
      <c r="AN204" s="17" t="s">
        <v>133</v>
      </c>
      <c r="AO204" s="17"/>
      <c r="AP204" s="17"/>
      <c r="AQ204" s="17">
        <v>4.7619050000000003E-2</v>
      </c>
      <c r="AR204" s="17">
        <v>6.2992129999999993E-2</v>
      </c>
      <c r="AS204" s="17"/>
      <c r="AT204" s="17"/>
    </row>
    <row r="205" spans="1:48" x14ac:dyDescent="0.25">
      <c r="A205" t="s">
        <v>78</v>
      </c>
      <c r="B205" s="17"/>
      <c r="C205" s="17"/>
      <c r="D205" s="17">
        <v>0.373913</v>
      </c>
      <c r="E205" s="17">
        <v>0.3043478</v>
      </c>
      <c r="F205" s="17"/>
      <c r="G205" s="17"/>
      <c r="V205" t="s">
        <v>78</v>
      </c>
      <c r="W205" s="17"/>
      <c r="X205" s="17"/>
      <c r="Y205" s="17">
        <v>0.30769229999999997</v>
      </c>
      <c r="Z205" s="17">
        <v>0.30769229999999997</v>
      </c>
      <c r="AA205" s="17"/>
      <c r="AB205" s="17"/>
      <c r="AN205" t="s">
        <v>78</v>
      </c>
      <c r="AO205" s="17"/>
      <c r="AP205" s="17"/>
      <c r="AQ205" s="17">
        <v>0.24603169999999999</v>
      </c>
      <c r="AR205" s="17">
        <v>0.2362205</v>
      </c>
      <c r="AS205" s="17"/>
      <c r="AT205" s="17"/>
    </row>
    <row r="206" spans="1:48" x14ac:dyDescent="0.25">
      <c r="A206" t="s">
        <v>135</v>
      </c>
      <c r="B206" s="17"/>
      <c r="C206" s="17"/>
      <c r="D206" s="17">
        <v>0.31304349999999997</v>
      </c>
      <c r="E206" s="17">
        <v>0.2</v>
      </c>
      <c r="F206" s="17"/>
      <c r="G206" s="17"/>
      <c r="V206" t="s">
        <v>135</v>
      </c>
      <c r="W206" s="17"/>
      <c r="X206" s="17"/>
      <c r="Y206" s="17">
        <v>0.2596154</v>
      </c>
      <c r="Z206" s="17">
        <v>0.25</v>
      </c>
      <c r="AA206" s="17"/>
      <c r="AB206" s="17"/>
      <c r="AN206" t="s">
        <v>135</v>
      </c>
      <c r="AO206" s="17"/>
      <c r="AP206" s="17"/>
      <c r="AQ206" s="17">
        <v>0.1666667</v>
      </c>
      <c r="AR206" s="17">
        <v>0.16535430000000001</v>
      </c>
      <c r="AS206" s="17"/>
      <c r="AT206" s="17"/>
    </row>
    <row r="207" spans="1:48" x14ac:dyDescent="0.25">
      <c r="D207">
        <v>25</v>
      </c>
      <c r="E207">
        <v>17</v>
      </c>
      <c r="V207" t="s">
        <v>132</v>
      </c>
      <c r="Y207">
        <v>18</v>
      </c>
      <c r="Z207">
        <v>21</v>
      </c>
      <c r="AN207" t="s">
        <v>132</v>
      </c>
      <c r="AQ207">
        <v>16</v>
      </c>
      <c r="AR207">
        <v>14</v>
      </c>
    </row>
    <row r="209" spans="1:28" x14ac:dyDescent="0.25">
      <c r="AA209" s="22"/>
      <c r="AB209" s="22"/>
    </row>
    <row r="210" spans="1:28" x14ac:dyDescent="0.25">
      <c r="AA210" s="22"/>
      <c r="AB210" s="22"/>
    </row>
    <row r="211" spans="1:28" x14ac:dyDescent="0.25">
      <c r="AA211" s="22"/>
      <c r="AB211" s="22"/>
    </row>
    <row r="212" spans="1:28" x14ac:dyDescent="0.25">
      <c r="AA212" s="22"/>
      <c r="AB212" s="22"/>
    </row>
    <row r="213" spans="1:28" x14ac:dyDescent="0.25">
      <c r="AA213" s="22"/>
      <c r="AB213" s="22"/>
    </row>
    <row r="214" spans="1:28" x14ac:dyDescent="0.25">
      <c r="A214" s="13">
        <v>28.95</v>
      </c>
      <c r="B214" t="s">
        <v>38</v>
      </c>
      <c r="C214" s="13">
        <v>82.69</v>
      </c>
      <c r="D214" t="s">
        <v>27</v>
      </c>
      <c r="E214" s="14"/>
      <c r="F214" t="s">
        <v>26</v>
      </c>
      <c r="G214" s="14"/>
      <c r="H214" t="s">
        <v>25</v>
      </c>
      <c r="I214" s="14"/>
      <c r="J214" s="14"/>
      <c r="AA214" s="22"/>
      <c r="AB214" s="22"/>
    </row>
    <row r="215" spans="1:28" x14ac:dyDescent="0.25">
      <c r="A215" s="13" t="s">
        <v>67</v>
      </c>
      <c r="C215" s="13"/>
      <c r="D215" t="s">
        <v>27</v>
      </c>
      <c r="E215" s="14">
        <v>4.3318519999999999E-2</v>
      </c>
      <c r="F215" t="s">
        <v>26</v>
      </c>
      <c r="G215">
        <v>-1.162155E-2</v>
      </c>
      <c r="H215" s="14" t="s">
        <v>25</v>
      </c>
      <c r="I215">
        <v>-9.2964480000000006E-3</v>
      </c>
      <c r="K215" s="14"/>
      <c r="AA215" s="22"/>
      <c r="AB215" s="22"/>
    </row>
    <row r="216" spans="1:28" x14ac:dyDescent="0.25">
      <c r="A216" s="13" t="s">
        <v>63</v>
      </c>
      <c r="C216" s="13"/>
      <c r="D216" t="s">
        <v>27</v>
      </c>
      <c r="E216" s="14">
        <v>4.7015519999999998E-2</v>
      </c>
      <c r="F216" t="s">
        <v>26</v>
      </c>
      <c r="G216" s="14">
        <v>-1.3456020000000001E-2</v>
      </c>
      <c r="H216" t="s">
        <v>25</v>
      </c>
      <c r="I216" s="14">
        <v>-1.1982329999999999E-2</v>
      </c>
      <c r="J216" s="14"/>
      <c r="AA216" s="22"/>
      <c r="AB216" s="22"/>
    </row>
    <row r="217" spans="1:28" x14ac:dyDescent="0.25">
      <c r="A217" s="13"/>
      <c r="B217" t="s">
        <v>68</v>
      </c>
      <c r="C217" t="s">
        <v>27</v>
      </c>
      <c r="D217" s="14">
        <f>D220/SQRT(3)</f>
        <v>1.3943447787134047E-2</v>
      </c>
      <c r="E217" s="14">
        <f>E220/SQRT(3)</f>
        <v>1.6851434075982972E-2</v>
      </c>
      <c r="F217" s="14">
        <f>F220/SQRT(5)</f>
        <v>0</v>
      </c>
      <c r="G217" s="14">
        <f>G220/SQRT(5)</f>
        <v>0</v>
      </c>
      <c r="I217" s="14"/>
      <c r="J217" s="14"/>
      <c r="AA217" s="22"/>
      <c r="AB217" s="22"/>
    </row>
    <row r="218" spans="1:28" x14ac:dyDescent="0.25">
      <c r="A218" s="13"/>
      <c r="C218" t="s">
        <v>26</v>
      </c>
      <c r="D218" s="14">
        <f t="shared" ref="D218:E218" si="33">(D221+1)^(1/3)-1</f>
        <v>9.5653817391130325E-3</v>
      </c>
      <c r="E218" s="14">
        <f t="shared" si="33"/>
        <v>-9.7719839560806987E-3</v>
      </c>
      <c r="F218" s="14">
        <f t="shared" ref="F218:G218" si="34">(F221+1)^(1/5)-1</f>
        <v>0</v>
      </c>
      <c r="G218" s="14">
        <f t="shared" si="34"/>
        <v>0</v>
      </c>
      <c r="I218" s="14"/>
      <c r="J218" s="14"/>
      <c r="AA218" s="22"/>
      <c r="AB218" s="22"/>
    </row>
    <row r="219" spans="1:28" x14ac:dyDescent="0.25">
      <c r="A219" s="13"/>
      <c r="C219" t="s">
        <v>25</v>
      </c>
      <c r="D219" s="14">
        <f t="shared" ref="D219:E219" si="35">(D222+1)^(1/3)-1</f>
        <v>1.0736700694244261E-2</v>
      </c>
      <c r="E219" s="14">
        <f t="shared" si="35"/>
        <v>-1.2242575684279999E-2</v>
      </c>
      <c r="F219" s="14">
        <f t="shared" ref="F219:G219" si="36">(F222+1)^(1/5)-1</f>
        <v>0</v>
      </c>
      <c r="G219" s="14">
        <f t="shared" si="36"/>
        <v>0</v>
      </c>
      <c r="I219" s="14"/>
      <c r="J219" s="14"/>
      <c r="AA219" s="22"/>
      <c r="AB219" s="22"/>
    </row>
    <row r="220" spans="1:28" x14ac:dyDescent="0.25">
      <c r="A220" t="s">
        <v>27</v>
      </c>
      <c r="B220" s="14"/>
      <c r="C220" s="14"/>
      <c r="D220" s="14">
        <v>2.415076E-2</v>
      </c>
      <c r="E220" s="14">
        <v>2.9187540000000001E-2</v>
      </c>
      <c r="F220" s="14"/>
      <c r="G220" s="14"/>
      <c r="I220" s="21" t="s">
        <v>40</v>
      </c>
      <c r="J220" s="21"/>
      <c r="L220">
        <v>323</v>
      </c>
    </row>
    <row r="221" spans="1:28" x14ac:dyDescent="0.25">
      <c r="A221" t="s">
        <v>26</v>
      </c>
      <c r="B221" s="14"/>
      <c r="C221" s="14"/>
      <c r="D221" s="14">
        <v>2.8971509999999999E-2</v>
      </c>
      <c r="E221" s="14">
        <v>-2.903041E-2</v>
      </c>
      <c r="F221" s="14"/>
      <c r="G221" s="14"/>
      <c r="I221" s="21" t="s">
        <v>41</v>
      </c>
      <c r="J221" s="21"/>
      <c r="L221">
        <v>501</v>
      </c>
    </row>
    <row r="222" spans="1:28" x14ac:dyDescent="0.25">
      <c r="A222" t="s">
        <v>25</v>
      </c>
      <c r="B222" s="14"/>
      <c r="C222" s="14"/>
      <c r="D222" s="14">
        <v>3.2557170000000003E-2</v>
      </c>
      <c r="E222" s="14">
        <v>-3.627992E-2</v>
      </c>
      <c r="F222" s="14"/>
      <c r="G222" s="14"/>
      <c r="I222" t="s">
        <v>42</v>
      </c>
      <c r="K222" s="13" t="e">
        <f>K220/K221</f>
        <v>#DIV/0!</v>
      </c>
      <c r="L222" s="13">
        <f>L220/L221</f>
        <v>0.64471057884231542</v>
      </c>
      <c r="M222" s="13" t="e">
        <f>M220/M221</f>
        <v>#DIV/0!</v>
      </c>
      <c r="N222" s="13"/>
      <c r="O222" s="13"/>
    </row>
    <row r="223" spans="1:28" x14ac:dyDescent="0.25">
      <c r="A223" t="s">
        <v>31</v>
      </c>
      <c r="B223" t="s">
        <v>30</v>
      </c>
      <c r="C223" t="s">
        <v>33</v>
      </c>
      <c r="D223" t="s">
        <v>58</v>
      </c>
      <c r="E223" t="s">
        <v>59</v>
      </c>
      <c r="F223" t="s">
        <v>65</v>
      </c>
      <c r="G223" t="s">
        <v>66</v>
      </c>
      <c r="K223" s="17" t="e">
        <f>K220/SUM(K220:K221)</f>
        <v>#DIV/0!</v>
      </c>
      <c r="L223" s="17">
        <f>L220/SUM(L220:L221)</f>
        <v>0.39199029126213591</v>
      </c>
      <c r="M223" s="17" t="e">
        <f>M220/SUM(M220:M221)</f>
        <v>#DIV/0!</v>
      </c>
      <c r="N223" s="17"/>
      <c r="O223" s="17"/>
    </row>
    <row r="224" spans="1:28" x14ac:dyDescent="0.25">
      <c r="A224">
        <v>0.1</v>
      </c>
      <c r="B224" s="17"/>
      <c r="C224" s="17"/>
      <c r="D224" s="17">
        <v>0.9876161</v>
      </c>
      <c r="E224" s="17">
        <v>0.98602789999999996</v>
      </c>
      <c r="F224" s="17"/>
      <c r="G224" s="17"/>
      <c r="H224" s="25">
        <f t="shared" ref="H224:H268" si="37">$M$128*(A224/100+1)</f>
        <v>274.64436999999998</v>
      </c>
      <c r="I224" s="25">
        <f t="shared" ref="I224:I268" si="38">(1-A224/100)*$M$128</f>
        <v>274.09563000000003</v>
      </c>
      <c r="J224" s="25"/>
      <c r="K224" s="17" t="e">
        <f>K221/SUM(K220:K221)</f>
        <v>#DIV/0!</v>
      </c>
      <c r="L224" s="17">
        <f>L221/SUM(L220:L221)</f>
        <v>0.60800970873786409</v>
      </c>
      <c r="M224" s="17" t="e">
        <f>M221/SUM(M220:M221)</f>
        <v>#DIV/0!</v>
      </c>
      <c r="N224" s="17"/>
      <c r="O224" s="17"/>
    </row>
    <row r="225" spans="1:10" x14ac:dyDescent="0.25">
      <c r="A225">
        <v>0.2</v>
      </c>
      <c r="B225" s="17"/>
      <c r="C225" s="17"/>
      <c r="D225" s="17">
        <v>0.95046439999999999</v>
      </c>
      <c r="E225" s="17">
        <v>0.96407189999999998</v>
      </c>
      <c r="F225" s="17"/>
      <c r="G225" s="17"/>
      <c r="H225" s="25">
        <f t="shared" si="37"/>
        <v>274.91874000000001</v>
      </c>
      <c r="I225" s="25">
        <f t="shared" si="38"/>
        <v>273.82126</v>
      </c>
      <c r="J225" s="25"/>
    </row>
    <row r="226" spans="1:10" x14ac:dyDescent="0.25">
      <c r="A226">
        <v>0.3</v>
      </c>
      <c r="B226" s="17"/>
      <c r="C226" s="17"/>
      <c r="D226" s="17">
        <v>0.9349845</v>
      </c>
      <c r="E226" s="17">
        <v>0.95009980000000005</v>
      </c>
      <c r="F226" s="17"/>
      <c r="G226" s="17"/>
      <c r="H226" s="25">
        <f t="shared" si="37"/>
        <v>275.19310999999999</v>
      </c>
      <c r="I226" s="25">
        <f t="shared" si="38"/>
        <v>273.54689000000002</v>
      </c>
      <c r="J226" s="25"/>
    </row>
    <row r="227" spans="1:10" x14ac:dyDescent="0.25">
      <c r="A227">
        <v>0.4</v>
      </c>
      <c r="B227" s="17"/>
      <c r="C227" s="17"/>
      <c r="D227" s="17">
        <v>0.91331269999999998</v>
      </c>
      <c r="E227" s="17">
        <v>0.93013970000000001</v>
      </c>
      <c r="F227" s="17"/>
      <c r="G227" s="17"/>
      <c r="H227" s="25">
        <f t="shared" si="37"/>
        <v>275.46748000000002</v>
      </c>
      <c r="I227" s="25">
        <f t="shared" si="38"/>
        <v>273.27251999999999</v>
      </c>
      <c r="J227" s="25"/>
    </row>
    <row r="228" spans="1:10" x14ac:dyDescent="0.25">
      <c r="A228">
        <v>0.5</v>
      </c>
      <c r="B228" s="17"/>
      <c r="C228" s="17"/>
      <c r="D228" s="17">
        <v>0.89164089999999996</v>
      </c>
      <c r="E228" s="17">
        <v>0.91017959999999998</v>
      </c>
      <c r="F228" s="17"/>
      <c r="G228" s="17"/>
      <c r="H228" s="25">
        <f t="shared" si="37"/>
        <v>275.74185</v>
      </c>
      <c r="I228" s="25">
        <f t="shared" si="38"/>
        <v>272.99815000000001</v>
      </c>
      <c r="J228" s="25"/>
    </row>
    <row r="229" spans="1:10" x14ac:dyDescent="0.25">
      <c r="A229">
        <v>0.6</v>
      </c>
      <c r="B229" s="17"/>
      <c r="C229" s="17"/>
      <c r="D229" s="17">
        <v>0.87306499999999998</v>
      </c>
      <c r="E229" s="17">
        <v>0.8922156</v>
      </c>
      <c r="F229" s="17"/>
      <c r="G229" s="17"/>
      <c r="H229" s="25">
        <f t="shared" si="37"/>
        <v>276.01622000000003</v>
      </c>
      <c r="I229" s="25">
        <f t="shared" si="38"/>
        <v>272.72377999999998</v>
      </c>
      <c r="J229" s="25"/>
    </row>
    <row r="230" spans="1:10" x14ac:dyDescent="0.25">
      <c r="A230">
        <v>0.7</v>
      </c>
      <c r="B230" s="17"/>
      <c r="C230" s="17"/>
      <c r="D230" s="17">
        <v>0.86377709999999996</v>
      </c>
      <c r="E230" s="17">
        <v>0.87624749999999996</v>
      </c>
      <c r="F230" s="17"/>
      <c r="G230" s="17"/>
      <c r="H230" s="25">
        <f t="shared" si="37"/>
        <v>276.29058999999995</v>
      </c>
      <c r="I230" s="25">
        <f t="shared" si="38"/>
        <v>272.44941</v>
      </c>
      <c r="J230" s="25"/>
    </row>
    <row r="231" spans="1:10" x14ac:dyDescent="0.25">
      <c r="A231">
        <v>0.8</v>
      </c>
      <c r="B231" s="17"/>
      <c r="C231" s="17"/>
      <c r="D231" s="17">
        <v>0.85139319999999996</v>
      </c>
      <c r="E231" s="17">
        <v>0.86826349999999997</v>
      </c>
      <c r="F231" s="17"/>
      <c r="G231" s="17"/>
      <c r="H231" s="25">
        <f t="shared" si="37"/>
        <v>276.56495999999999</v>
      </c>
      <c r="I231" s="25">
        <f t="shared" si="38"/>
        <v>272.17504000000002</v>
      </c>
      <c r="J231" s="25"/>
    </row>
    <row r="232" spans="1:10" x14ac:dyDescent="0.25">
      <c r="A232">
        <v>0.9</v>
      </c>
      <c r="B232" s="17"/>
      <c r="C232" s="17"/>
      <c r="D232" s="17">
        <v>0.84520119999999999</v>
      </c>
      <c r="E232" s="17">
        <v>0.85429140000000003</v>
      </c>
      <c r="F232" s="17"/>
      <c r="G232" s="17"/>
      <c r="H232" s="25">
        <f t="shared" si="37"/>
        <v>276.83932999999996</v>
      </c>
      <c r="I232" s="25">
        <f t="shared" si="38"/>
        <v>271.90066999999999</v>
      </c>
      <c r="J232" s="25"/>
    </row>
    <row r="233" spans="1:10" x14ac:dyDescent="0.25">
      <c r="A233">
        <v>1</v>
      </c>
      <c r="B233" s="17"/>
      <c r="C233" s="17"/>
      <c r="D233" s="17">
        <v>0.83591329999999997</v>
      </c>
      <c r="E233" s="17">
        <v>0.84231540000000005</v>
      </c>
      <c r="F233" s="17"/>
      <c r="G233" s="17"/>
      <c r="H233" s="25">
        <f t="shared" si="37"/>
        <v>277.11369999999999</v>
      </c>
      <c r="I233" s="25">
        <f t="shared" si="38"/>
        <v>271.62630000000001</v>
      </c>
      <c r="J233" s="25"/>
    </row>
    <row r="234" spans="1:10" x14ac:dyDescent="0.25">
      <c r="A234">
        <v>1.1000000000000001</v>
      </c>
      <c r="B234" s="17"/>
      <c r="C234" s="17"/>
      <c r="D234" s="17">
        <v>0.81733750000000005</v>
      </c>
      <c r="E234" s="17">
        <v>0.8323353</v>
      </c>
      <c r="F234" s="17"/>
      <c r="G234" s="17"/>
      <c r="H234" s="25">
        <f t="shared" si="37"/>
        <v>277.38806999999997</v>
      </c>
      <c r="I234" s="25">
        <f t="shared" si="38"/>
        <v>271.35192999999998</v>
      </c>
      <c r="J234" s="25"/>
    </row>
    <row r="235" spans="1:10" x14ac:dyDescent="0.25">
      <c r="A235">
        <v>1.2</v>
      </c>
      <c r="B235" s="17"/>
      <c r="C235" s="17"/>
      <c r="D235" s="17">
        <v>0.79566559999999997</v>
      </c>
      <c r="E235" s="17">
        <v>0.81237519999999996</v>
      </c>
      <c r="F235" s="17"/>
      <c r="G235" s="17"/>
      <c r="H235" s="25">
        <f t="shared" si="37"/>
        <v>277.66244</v>
      </c>
      <c r="I235" s="25">
        <f t="shared" si="38"/>
        <v>271.07756000000001</v>
      </c>
      <c r="J235" s="25"/>
    </row>
    <row r="236" spans="1:10" x14ac:dyDescent="0.25">
      <c r="A236">
        <v>1.3</v>
      </c>
      <c r="B236" s="17"/>
      <c r="C236" s="17"/>
      <c r="D236" s="17">
        <v>0.77399379999999995</v>
      </c>
      <c r="E236" s="17">
        <v>0.78642710000000005</v>
      </c>
      <c r="F236" s="17"/>
      <c r="G236" s="17"/>
      <c r="H236" s="25">
        <f t="shared" si="37"/>
        <v>277.93680999999998</v>
      </c>
      <c r="I236" s="25">
        <f t="shared" si="38"/>
        <v>270.80319000000003</v>
      </c>
      <c r="J236" s="25"/>
    </row>
    <row r="237" spans="1:10" x14ac:dyDescent="0.25">
      <c r="A237">
        <v>1.4</v>
      </c>
      <c r="B237" s="17"/>
      <c r="C237" s="17"/>
      <c r="D237" s="17">
        <v>0.74612999999999996</v>
      </c>
      <c r="E237" s="17">
        <v>0.77245509999999995</v>
      </c>
      <c r="F237" s="17"/>
      <c r="G237" s="17"/>
      <c r="H237" s="25">
        <f t="shared" si="37"/>
        <v>278.21118000000001</v>
      </c>
      <c r="I237" s="25">
        <f t="shared" si="38"/>
        <v>270.52882</v>
      </c>
      <c r="J237" s="25"/>
    </row>
    <row r="238" spans="1:10" x14ac:dyDescent="0.25">
      <c r="A238">
        <v>1.5</v>
      </c>
      <c r="B238" s="17"/>
      <c r="C238" s="17"/>
      <c r="D238" s="17">
        <v>0.73374609999999996</v>
      </c>
      <c r="E238" s="17">
        <v>0.75648700000000002</v>
      </c>
      <c r="F238" s="17"/>
      <c r="G238" s="17"/>
      <c r="H238" s="25">
        <f t="shared" si="37"/>
        <v>278.48554999999999</v>
      </c>
      <c r="I238" s="25">
        <f t="shared" si="38"/>
        <v>270.25445000000002</v>
      </c>
      <c r="J238" s="25"/>
    </row>
    <row r="239" spans="1:10" x14ac:dyDescent="0.25">
      <c r="A239">
        <v>1.6</v>
      </c>
      <c r="B239" s="17"/>
      <c r="C239" s="17"/>
      <c r="D239" s="17">
        <v>0.71826630000000002</v>
      </c>
      <c r="E239" s="17">
        <v>0.73453089999999999</v>
      </c>
      <c r="F239" s="17"/>
      <c r="G239" s="17"/>
      <c r="H239" s="25">
        <f t="shared" si="37"/>
        <v>278.75992000000002</v>
      </c>
      <c r="I239" s="25">
        <f t="shared" si="38"/>
        <v>269.98007999999999</v>
      </c>
      <c r="J239" s="25"/>
    </row>
    <row r="240" spans="1:10" x14ac:dyDescent="0.25">
      <c r="A240">
        <v>1.7</v>
      </c>
      <c r="B240" s="17"/>
      <c r="C240" s="17"/>
      <c r="D240" s="17">
        <v>0.70588240000000002</v>
      </c>
      <c r="E240" s="17">
        <v>0.71257490000000001</v>
      </c>
      <c r="F240" s="17"/>
      <c r="G240" s="17"/>
      <c r="H240" s="25">
        <f t="shared" si="37"/>
        <v>279.03429</v>
      </c>
      <c r="I240" s="25">
        <f t="shared" si="38"/>
        <v>269.70571000000001</v>
      </c>
      <c r="J240" s="25"/>
    </row>
    <row r="241" spans="1:10" x14ac:dyDescent="0.25">
      <c r="A241">
        <v>1.8</v>
      </c>
      <c r="B241" s="17"/>
      <c r="C241" s="17"/>
      <c r="D241" s="17">
        <v>0.69659439999999995</v>
      </c>
      <c r="E241" s="17">
        <v>0.69261479999999997</v>
      </c>
      <c r="F241" s="17"/>
      <c r="G241" s="17"/>
      <c r="H241" s="25">
        <f t="shared" si="37"/>
        <v>279.30866000000003</v>
      </c>
      <c r="I241" s="25">
        <f t="shared" si="38"/>
        <v>269.43133999999998</v>
      </c>
      <c r="J241" s="25"/>
    </row>
    <row r="242" spans="1:10" x14ac:dyDescent="0.25">
      <c r="A242">
        <v>1.9</v>
      </c>
      <c r="B242" s="17"/>
      <c r="C242" s="17"/>
      <c r="D242" s="17">
        <v>0.67182660000000005</v>
      </c>
      <c r="E242" s="17">
        <v>0.67465070000000005</v>
      </c>
      <c r="F242" s="17"/>
      <c r="G242" s="17"/>
      <c r="H242" s="25">
        <f t="shared" si="37"/>
        <v>279.58302999999995</v>
      </c>
      <c r="I242" s="25">
        <f t="shared" si="38"/>
        <v>269.15697</v>
      </c>
      <c r="J242" s="25"/>
    </row>
    <row r="243" spans="1:10" x14ac:dyDescent="0.25">
      <c r="A243">
        <v>2</v>
      </c>
      <c r="B243" s="17"/>
      <c r="C243" s="17"/>
      <c r="D243" s="17">
        <v>0.66563470000000002</v>
      </c>
      <c r="E243" s="17">
        <v>0.64670660000000002</v>
      </c>
      <c r="F243" s="17"/>
      <c r="G243" s="17"/>
      <c r="H243" s="25">
        <f t="shared" si="37"/>
        <v>279.85739999999998</v>
      </c>
      <c r="I243" s="25">
        <f t="shared" si="38"/>
        <v>268.88260000000002</v>
      </c>
      <c r="J243" s="25"/>
    </row>
    <row r="244" spans="1:10" x14ac:dyDescent="0.25">
      <c r="A244">
        <v>2.1</v>
      </c>
      <c r="B244" s="17"/>
      <c r="C244" s="17"/>
      <c r="D244" s="17">
        <v>0.63777090000000003</v>
      </c>
      <c r="E244" s="17">
        <v>0.62874249999999998</v>
      </c>
      <c r="F244" s="17"/>
      <c r="G244" s="17"/>
      <c r="H244" s="25">
        <f t="shared" si="37"/>
        <v>280.13176999999996</v>
      </c>
      <c r="I244" s="25">
        <f t="shared" si="38"/>
        <v>268.60822999999999</v>
      </c>
      <c r="J244" s="25"/>
    </row>
    <row r="245" spans="1:10" x14ac:dyDescent="0.25">
      <c r="A245">
        <v>2.2000000000000002</v>
      </c>
      <c r="B245" s="17"/>
      <c r="C245" s="17"/>
      <c r="D245" s="17">
        <v>0.62229100000000004</v>
      </c>
      <c r="E245" s="17">
        <v>0.6127745</v>
      </c>
      <c r="F245" s="17"/>
      <c r="G245" s="17"/>
      <c r="H245" s="25">
        <f t="shared" si="37"/>
        <v>280.40613999999999</v>
      </c>
      <c r="I245" s="25">
        <f t="shared" si="38"/>
        <v>268.33386000000002</v>
      </c>
      <c r="J245" s="25"/>
    </row>
    <row r="246" spans="1:10" x14ac:dyDescent="0.25">
      <c r="A246">
        <v>2.2999999999999998</v>
      </c>
      <c r="B246" s="17"/>
      <c r="C246" s="17"/>
      <c r="D246" s="17">
        <v>0.60681110000000005</v>
      </c>
      <c r="E246" s="17">
        <v>0.60079839999999995</v>
      </c>
      <c r="F246" s="17"/>
      <c r="G246" s="17"/>
      <c r="H246" s="25">
        <f t="shared" si="37"/>
        <v>280.68050999999997</v>
      </c>
      <c r="I246" s="25">
        <f t="shared" si="38"/>
        <v>268.05948999999998</v>
      </c>
      <c r="J246" s="25"/>
    </row>
    <row r="247" spans="1:10" x14ac:dyDescent="0.25">
      <c r="A247">
        <v>2.4</v>
      </c>
      <c r="B247" s="17"/>
      <c r="C247" s="17"/>
      <c r="D247" s="17">
        <v>0.58823530000000002</v>
      </c>
      <c r="E247" s="17">
        <v>0.58283430000000003</v>
      </c>
      <c r="F247" s="17"/>
      <c r="G247" s="17"/>
      <c r="H247" s="25">
        <f t="shared" si="37"/>
        <v>280.95488</v>
      </c>
      <c r="I247" s="25">
        <f t="shared" si="38"/>
        <v>267.78512000000001</v>
      </c>
      <c r="J247" s="25"/>
    </row>
    <row r="248" spans="1:10" x14ac:dyDescent="0.25">
      <c r="A248">
        <v>2.5</v>
      </c>
      <c r="B248" s="17"/>
      <c r="C248" s="17"/>
      <c r="D248" s="17">
        <v>0.58204330000000004</v>
      </c>
      <c r="E248" s="17">
        <v>0.56886230000000004</v>
      </c>
      <c r="F248" s="17"/>
      <c r="G248" s="17"/>
      <c r="H248" s="25">
        <f t="shared" si="37"/>
        <v>281.22924999999998</v>
      </c>
      <c r="I248" s="25">
        <f t="shared" si="38"/>
        <v>267.51074999999997</v>
      </c>
      <c r="J248" s="25"/>
    </row>
    <row r="249" spans="1:10" x14ac:dyDescent="0.25">
      <c r="A249">
        <v>2.6</v>
      </c>
      <c r="B249" s="17"/>
      <c r="C249" s="17"/>
      <c r="D249" s="17">
        <v>0.56346750000000001</v>
      </c>
      <c r="E249" s="17">
        <v>0.5528942</v>
      </c>
      <c r="F249" s="17"/>
      <c r="G249" s="17"/>
      <c r="H249" s="25">
        <f t="shared" si="37"/>
        <v>281.50362000000001</v>
      </c>
      <c r="I249" s="25">
        <f t="shared" si="38"/>
        <v>267.23638</v>
      </c>
      <c r="J249" s="25"/>
    </row>
    <row r="250" spans="1:10" x14ac:dyDescent="0.25">
      <c r="A250">
        <v>2.7</v>
      </c>
      <c r="B250" s="17"/>
      <c r="C250" s="17"/>
      <c r="D250" s="17">
        <v>0.5386997</v>
      </c>
      <c r="E250" s="17">
        <v>0.53892220000000002</v>
      </c>
      <c r="F250" s="17"/>
      <c r="G250" s="17"/>
      <c r="H250" s="25">
        <f t="shared" si="37"/>
        <v>281.77798999999999</v>
      </c>
      <c r="I250" s="25">
        <f t="shared" si="38"/>
        <v>266.96201000000002</v>
      </c>
      <c r="J250" s="25"/>
    </row>
    <row r="251" spans="1:10" x14ac:dyDescent="0.25">
      <c r="A251">
        <v>2.8</v>
      </c>
      <c r="B251" s="17"/>
      <c r="C251" s="17"/>
      <c r="D251" s="17">
        <v>0.51702789999999998</v>
      </c>
      <c r="E251" s="17">
        <v>0.52095809999999998</v>
      </c>
      <c r="F251" s="17"/>
      <c r="G251" s="17"/>
      <c r="H251" s="25">
        <f t="shared" si="37"/>
        <v>282.05236000000002</v>
      </c>
      <c r="I251" s="25">
        <f t="shared" si="38"/>
        <v>266.68763999999999</v>
      </c>
      <c r="J251" s="25"/>
    </row>
    <row r="252" spans="1:10" x14ac:dyDescent="0.25">
      <c r="A252">
        <v>2.9</v>
      </c>
      <c r="B252" s="17"/>
      <c r="C252" s="17"/>
      <c r="D252" s="17">
        <v>0.49535600000000002</v>
      </c>
      <c r="E252" s="17">
        <v>0.50299400000000005</v>
      </c>
      <c r="F252" s="17"/>
      <c r="G252" s="17"/>
      <c r="H252" s="25">
        <f t="shared" si="37"/>
        <v>282.32673</v>
      </c>
      <c r="I252" s="25">
        <f t="shared" si="38"/>
        <v>266.41327000000001</v>
      </c>
      <c r="J252" s="25"/>
    </row>
    <row r="253" spans="1:10" x14ac:dyDescent="0.25">
      <c r="A253">
        <v>3</v>
      </c>
      <c r="B253" s="17"/>
      <c r="C253" s="17"/>
      <c r="D253" s="17">
        <v>0.4613003</v>
      </c>
      <c r="E253" s="17">
        <v>0.47704590000000002</v>
      </c>
      <c r="F253" s="17"/>
      <c r="G253" s="17"/>
      <c r="H253" s="25">
        <f t="shared" si="37"/>
        <v>282.60110000000003</v>
      </c>
      <c r="I253" s="25">
        <f t="shared" si="38"/>
        <v>266.13889999999998</v>
      </c>
      <c r="J253" s="25"/>
    </row>
    <row r="254" spans="1:10" x14ac:dyDescent="0.25">
      <c r="A254">
        <v>3.1</v>
      </c>
      <c r="B254" s="17"/>
      <c r="C254" s="17"/>
      <c r="D254" s="17">
        <v>0.4334365</v>
      </c>
      <c r="E254" s="17">
        <v>0.46706589999999998</v>
      </c>
      <c r="F254" s="17"/>
      <c r="G254" s="17"/>
      <c r="H254" s="25">
        <f t="shared" si="37"/>
        <v>282.87547000000001</v>
      </c>
      <c r="I254" s="25">
        <f t="shared" si="38"/>
        <v>265.86453</v>
      </c>
      <c r="J254" s="25"/>
    </row>
    <row r="255" spans="1:10" x14ac:dyDescent="0.25">
      <c r="A255">
        <v>3.2</v>
      </c>
      <c r="B255" s="17"/>
      <c r="C255" s="17"/>
      <c r="D255" s="17">
        <v>0.42414859999999999</v>
      </c>
      <c r="E255" s="17">
        <v>0.45708579999999999</v>
      </c>
      <c r="F255" s="17"/>
      <c r="G255" s="17"/>
      <c r="H255" s="25">
        <f t="shared" si="37"/>
        <v>283.14984000000004</v>
      </c>
      <c r="I255" s="25">
        <f t="shared" si="38"/>
        <v>265.59015999999997</v>
      </c>
      <c r="J255" s="25"/>
    </row>
    <row r="256" spans="1:10" x14ac:dyDescent="0.25">
      <c r="A256">
        <v>3.3</v>
      </c>
      <c r="B256" s="17"/>
      <c r="C256" s="17"/>
      <c r="D256" s="17">
        <v>0.41486070000000003</v>
      </c>
      <c r="E256" s="17">
        <v>0.4411178</v>
      </c>
      <c r="F256" s="17"/>
      <c r="G256" s="17"/>
      <c r="H256" s="25">
        <f t="shared" si="37"/>
        <v>283.42420999999996</v>
      </c>
      <c r="I256" s="25">
        <f t="shared" si="38"/>
        <v>265.31578999999999</v>
      </c>
      <c r="J256" s="25"/>
    </row>
    <row r="257" spans="1:10" x14ac:dyDescent="0.25">
      <c r="A257">
        <v>3.4</v>
      </c>
      <c r="B257" s="17"/>
      <c r="C257" s="17"/>
      <c r="D257" s="17">
        <v>0.39628479999999999</v>
      </c>
      <c r="E257" s="17">
        <v>0.41716569999999997</v>
      </c>
      <c r="F257" s="17"/>
      <c r="G257" s="17"/>
      <c r="H257" s="25">
        <f t="shared" si="37"/>
        <v>283.69857999999999</v>
      </c>
      <c r="I257" s="25">
        <f t="shared" si="38"/>
        <v>265.04142000000002</v>
      </c>
      <c r="J257" s="25"/>
    </row>
    <row r="258" spans="1:10" x14ac:dyDescent="0.25">
      <c r="A258">
        <v>3.5</v>
      </c>
      <c r="B258" s="17"/>
      <c r="C258" s="17"/>
      <c r="D258" s="17">
        <v>0.39009290000000002</v>
      </c>
      <c r="E258" s="17">
        <v>0.41516969999999997</v>
      </c>
      <c r="F258" s="17"/>
      <c r="G258" s="17"/>
      <c r="H258" s="25">
        <f t="shared" si="37"/>
        <v>283.97294999999997</v>
      </c>
      <c r="I258" s="25">
        <f t="shared" si="38"/>
        <v>264.76704999999998</v>
      </c>
      <c r="J258" s="25"/>
    </row>
    <row r="259" spans="1:10" x14ac:dyDescent="0.25">
      <c r="A259">
        <v>3.6</v>
      </c>
      <c r="B259" s="17"/>
      <c r="C259" s="17"/>
      <c r="D259" s="17">
        <v>0.37770900000000002</v>
      </c>
      <c r="E259" s="17">
        <v>0.40518959999999998</v>
      </c>
      <c r="F259" s="17"/>
      <c r="G259" s="17"/>
      <c r="H259" s="25">
        <f t="shared" si="37"/>
        <v>284.24732</v>
      </c>
      <c r="I259" s="25">
        <f t="shared" si="38"/>
        <v>264.49268000000001</v>
      </c>
      <c r="J259" s="25"/>
    </row>
    <row r="260" spans="1:10" x14ac:dyDescent="0.25">
      <c r="A260">
        <v>3.7</v>
      </c>
      <c r="B260" s="17"/>
      <c r="C260" s="17"/>
      <c r="D260" s="17">
        <v>0.3684211</v>
      </c>
      <c r="E260" s="17">
        <v>0.38123750000000001</v>
      </c>
      <c r="F260" s="17"/>
      <c r="G260" s="17"/>
      <c r="H260" s="25">
        <f t="shared" si="37"/>
        <v>284.52168999999998</v>
      </c>
      <c r="I260" s="25">
        <f t="shared" si="38"/>
        <v>264.21830999999997</v>
      </c>
      <c r="J260" s="25"/>
    </row>
    <row r="261" spans="1:10" x14ac:dyDescent="0.25">
      <c r="A261">
        <v>3.8</v>
      </c>
      <c r="B261" s="17"/>
      <c r="C261" s="17"/>
      <c r="D261" s="17">
        <v>0.34984520000000002</v>
      </c>
      <c r="E261" s="17">
        <v>0.37125750000000002</v>
      </c>
      <c r="F261" s="17"/>
      <c r="G261" s="17"/>
      <c r="H261" s="25">
        <f t="shared" si="37"/>
        <v>284.79606000000001</v>
      </c>
      <c r="I261" s="25">
        <f t="shared" si="38"/>
        <v>263.94394</v>
      </c>
      <c r="J261" s="25"/>
    </row>
    <row r="262" spans="1:10" x14ac:dyDescent="0.25">
      <c r="A262">
        <v>3.9</v>
      </c>
      <c r="B262" s="17"/>
      <c r="C262" s="17"/>
      <c r="D262" s="17">
        <v>0.3281734</v>
      </c>
      <c r="E262" s="17">
        <v>0.35928139999999997</v>
      </c>
      <c r="F262" s="17"/>
      <c r="G262" s="17"/>
      <c r="H262" s="25">
        <f t="shared" si="37"/>
        <v>285.07042999999999</v>
      </c>
      <c r="I262" s="25">
        <f t="shared" si="38"/>
        <v>263.66957000000002</v>
      </c>
      <c r="J262" s="25"/>
    </row>
    <row r="263" spans="1:10" x14ac:dyDescent="0.25">
      <c r="A263">
        <v>4</v>
      </c>
      <c r="B263" s="17"/>
      <c r="C263" s="17"/>
      <c r="D263" s="17">
        <v>0.31888539999999999</v>
      </c>
      <c r="E263" s="17">
        <v>0.35129739999999998</v>
      </c>
      <c r="F263" s="17"/>
      <c r="G263" s="17"/>
      <c r="H263" s="25">
        <f t="shared" si="37"/>
        <v>285.34480000000002</v>
      </c>
      <c r="I263" s="25">
        <f t="shared" si="38"/>
        <v>263.39519999999999</v>
      </c>
      <c r="J263" s="25"/>
    </row>
    <row r="264" spans="1:10" x14ac:dyDescent="0.25">
      <c r="A264">
        <v>4.0999999999999996</v>
      </c>
      <c r="B264" s="17"/>
      <c r="C264" s="17"/>
      <c r="D264" s="17">
        <v>0.30959750000000003</v>
      </c>
      <c r="E264" s="17">
        <v>0.3333333</v>
      </c>
      <c r="F264" s="17"/>
      <c r="G264" s="17"/>
      <c r="H264" s="25">
        <f t="shared" si="37"/>
        <v>285.61917</v>
      </c>
      <c r="I264" s="25">
        <f t="shared" si="38"/>
        <v>263.12083000000001</v>
      </c>
      <c r="J264" s="25"/>
    </row>
    <row r="265" spans="1:10" x14ac:dyDescent="0.25">
      <c r="A265">
        <v>4.2</v>
      </c>
      <c r="B265" s="17"/>
      <c r="C265" s="17"/>
      <c r="D265" s="17">
        <v>0.29102169999999999</v>
      </c>
      <c r="E265" s="17">
        <v>0.32135730000000001</v>
      </c>
      <c r="F265" s="17"/>
      <c r="G265" s="17"/>
      <c r="H265" s="25">
        <f t="shared" si="37"/>
        <v>285.89354000000003</v>
      </c>
      <c r="I265" s="25">
        <f t="shared" si="38"/>
        <v>262.84645999999998</v>
      </c>
      <c r="J265" s="25"/>
    </row>
    <row r="266" spans="1:10" x14ac:dyDescent="0.25">
      <c r="A266">
        <v>4.3</v>
      </c>
      <c r="B266" s="17"/>
      <c r="C266" s="17"/>
      <c r="D266" s="17">
        <v>0.26934979999999997</v>
      </c>
      <c r="E266" s="17">
        <v>0.31337330000000002</v>
      </c>
      <c r="F266" s="17"/>
      <c r="G266" s="17"/>
      <c r="H266" s="25">
        <f t="shared" si="37"/>
        <v>286.16791000000001</v>
      </c>
      <c r="I266" s="25">
        <f t="shared" si="38"/>
        <v>262.57209</v>
      </c>
      <c r="J266" s="25"/>
    </row>
    <row r="267" spans="1:10" x14ac:dyDescent="0.25">
      <c r="A267">
        <v>4.4000000000000004</v>
      </c>
      <c r="B267" s="17"/>
      <c r="C267" s="17"/>
      <c r="D267" s="17">
        <v>0.25696590000000002</v>
      </c>
      <c r="E267" s="17">
        <v>0.30139719999999998</v>
      </c>
      <c r="F267" s="17"/>
      <c r="G267" s="17"/>
      <c r="H267" s="25">
        <f t="shared" si="37"/>
        <v>286.44228000000004</v>
      </c>
      <c r="I267" s="25">
        <f t="shared" si="38"/>
        <v>262.29771999999997</v>
      </c>
      <c r="J267" s="25"/>
    </row>
    <row r="268" spans="1:10" x14ac:dyDescent="0.25">
      <c r="A268">
        <v>4.5</v>
      </c>
      <c r="B268" s="17"/>
      <c r="C268" s="17"/>
      <c r="D268" s="17">
        <v>0.24458199999999999</v>
      </c>
      <c r="E268" s="17">
        <v>0.28942119999999999</v>
      </c>
      <c r="F268" s="17"/>
      <c r="G268" s="17"/>
      <c r="H268" s="25">
        <f t="shared" si="37"/>
        <v>286.71664999999996</v>
      </c>
      <c r="I268" s="25">
        <f t="shared" si="38"/>
        <v>262.02334999999999</v>
      </c>
      <c r="J268" s="25"/>
    </row>
    <row r="269" spans="1:10" x14ac:dyDescent="0.25">
      <c r="A269">
        <v>4.5999999999999996</v>
      </c>
      <c r="D269" s="17">
        <v>0.24148610000000001</v>
      </c>
      <c r="E269" s="17">
        <v>0.2774451</v>
      </c>
    </row>
    <row r="270" spans="1:10" x14ac:dyDescent="0.25">
      <c r="A270">
        <v>4.7</v>
      </c>
      <c r="D270" s="17">
        <v>0.23219809999999999</v>
      </c>
      <c r="E270" s="17">
        <v>0.27145710000000001</v>
      </c>
    </row>
    <row r="271" spans="1:10" x14ac:dyDescent="0.25">
      <c r="A271">
        <v>4.8</v>
      </c>
      <c r="D271" s="17">
        <v>0.22910220000000001</v>
      </c>
      <c r="E271" s="17">
        <v>0.26147700000000001</v>
      </c>
    </row>
    <row r="272" spans="1:10" x14ac:dyDescent="0.25">
      <c r="A272">
        <v>4.9000000000000004</v>
      </c>
      <c r="D272" s="17">
        <v>0.21362229999999999</v>
      </c>
      <c r="E272" s="17">
        <v>0.25349300000000002</v>
      </c>
    </row>
    <row r="273" spans="1:5" x14ac:dyDescent="0.25">
      <c r="A273">
        <v>5</v>
      </c>
      <c r="D273" s="17">
        <v>0.2043344</v>
      </c>
      <c r="E273" s="17">
        <v>0.249501</v>
      </c>
    </row>
    <row r="274" spans="1:5" x14ac:dyDescent="0.25">
      <c r="A274">
        <v>5.0999999999999996</v>
      </c>
      <c r="D274" s="17">
        <v>0.1981424</v>
      </c>
      <c r="E274" s="17">
        <v>0.24550900000000001</v>
      </c>
    </row>
    <row r="275" spans="1:5" x14ac:dyDescent="0.25">
      <c r="A275">
        <v>5.2</v>
      </c>
      <c r="D275" s="17">
        <v>0.1981424</v>
      </c>
      <c r="E275" s="17">
        <v>0.23353289999999999</v>
      </c>
    </row>
    <row r="276" spans="1:5" x14ac:dyDescent="0.25">
      <c r="A276">
        <v>5.3</v>
      </c>
      <c r="D276" s="17">
        <v>0.17647060000000001</v>
      </c>
      <c r="E276" s="17">
        <v>0.2215569</v>
      </c>
    </row>
    <row r="277" spans="1:5" x14ac:dyDescent="0.25">
      <c r="A277">
        <v>5.4</v>
      </c>
      <c r="D277" s="17">
        <v>0.16099069999999999</v>
      </c>
      <c r="E277" s="17">
        <v>0.21357290000000001</v>
      </c>
    </row>
    <row r="278" spans="1:5" x14ac:dyDescent="0.25">
      <c r="A278">
        <v>5.5</v>
      </c>
      <c r="D278" s="17">
        <v>0.1455108</v>
      </c>
      <c r="E278" s="17">
        <v>0.20958080000000001</v>
      </c>
    </row>
    <row r="279" spans="1:5" x14ac:dyDescent="0.25">
      <c r="A279">
        <v>5.6</v>
      </c>
      <c r="D279" s="17">
        <v>0.14241490000000001</v>
      </c>
      <c r="E279" s="17">
        <v>0.20558879999999999</v>
      </c>
    </row>
    <row r="280" spans="1:5" x14ac:dyDescent="0.25">
      <c r="A280">
        <v>5.7</v>
      </c>
      <c r="D280" s="17">
        <v>0.13622290000000001</v>
      </c>
      <c r="E280" s="17">
        <v>0.20159679999999999</v>
      </c>
    </row>
    <row r="281" spans="1:5" x14ac:dyDescent="0.25">
      <c r="A281">
        <v>5.8</v>
      </c>
      <c r="D281" s="17">
        <v>0.13003100000000001</v>
      </c>
      <c r="E281" s="17">
        <v>0.1976048</v>
      </c>
    </row>
    <row r="282" spans="1:5" x14ac:dyDescent="0.25">
      <c r="A282">
        <v>5.9</v>
      </c>
      <c r="D282" s="17">
        <v>0.120743</v>
      </c>
      <c r="E282" s="17">
        <v>0.1956088</v>
      </c>
    </row>
    <row r="283" spans="1:5" x14ac:dyDescent="0.25">
      <c r="A283">
        <v>5.9999999999999902</v>
      </c>
      <c r="D283" s="17">
        <v>0.1145511</v>
      </c>
      <c r="E283" s="17">
        <v>0.18762480000000001</v>
      </c>
    </row>
    <row r="284" spans="1:5" x14ac:dyDescent="0.25">
      <c r="A284">
        <v>6.0999999999999899</v>
      </c>
      <c r="D284" s="17">
        <v>0.1114551</v>
      </c>
      <c r="E284" s="17">
        <v>0.17764469999999999</v>
      </c>
    </row>
    <row r="285" spans="1:5" x14ac:dyDescent="0.25">
      <c r="A285">
        <v>6.1999999999999904</v>
      </c>
      <c r="D285" s="17">
        <v>0.1021672</v>
      </c>
      <c r="E285" s="17">
        <v>0.17564869999999999</v>
      </c>
    </row>
    <row r="286" spans="1:5" x14ac:dyDescent="0.25">
      <c r="A286">
        <v>6.2999999999999901</v>
      </c>
      <c r="D286" s="17">
        <v>9.5975229999999995E-2</v>
      </c>
      <c r="E286" s="17">
        <v>0.1656687</v>
      </c>
    </row>
    <row r="287" spans="1:5" x14ac:dyDescent="0.25">
      <c r="A287">
        <v>6.3999999999999897</v>
      </c>
      <c r="D287" s="17">
        <v>8.9783279999999993E-2</v>
      </c>
      <c r="E287" s="17">
        <v>0.1636727</v>
      </c>
    </row>
    <row r="288" spans="1:5" x14ac:dyDescent="0.25">
      <c r="A288">
        <v>6.4999999999999902</v>
      </c>
      <c r="D288" s="17">
        <v>8.6687310000000004E-2</v>
      </c>
      <c r="E288" s="17">
        <v>0.15968060000000001</v>
      </c>
    </row>
    <row r="290" spans="1:14" x14ac:dyDescent="0.25">
      <c r="A290" t="s">
        <v>27</v>
      </c>
      <c r="D290" s="25">
        <v>2.5</v>
      </c>
      <c r="E290" s="25">
        <v>4.3</v>
      </c>
    </row>
    <row r="291" spans="1:14" x14ac:dyDescent="0.25">
      <c r="A291" t="s">
        <v>26</v>
      </c>
      <c r="D291">
        <v>3</v>
      </c>
      <c r="E291">
        <v>3</v>
      </c>
    </row>
    <row r="292" spans="1:14" x14ac:dyDescent="0.25">
      <c r="A292" t="s">
        <v>25</v>
      </c>
      <c r="D292" s="25">
        <v>3.3</v>
      </c>
      <c r="E292" s="25">
        <v>5.0999999999999996</v>
      </c>
    </row>
    <row r="293" spans="1:14" x14ac:dyDescent="0.25">
      <c r="A293" s="17" t="s">
        <v>76</v>
      </c>
      <c r="B293" s="17"/>
      <c r="C293" s="17"/>
      <c r="D293" s="17">
        <v>0.1237113</v>
      </c>
      <c r="E293" s="17">
        <v>0.1326531</v>
      </c>
      <c r="F293" s="17"/>
      <c r="G293" s="17"/>
      <c r="K293" t="s">
        <v>158</v>
      </c>
      <c r="L293">
        <v>10</v>
      </c>
    </row>
    <row r="294" spans="1:14" x14ac:dyDescent="0.25">
      <c r="A294" s="17" t="s">
        <v>133</v>
      </c>
      <c r="B294" s="17"/>
      <c r="C294" s="17"/>
      <c r="D294" s="17">
        <v>6.1855670000000001E-2</v>
      </c>
      <c r="E294" s="17">
        <v>4.0816329999999998E-2</v>
      </c>
      <c r="F294" s="17"/>
      <c r="G294" s="17"/>
      <c r="K294" t="s">
        <v>27</v>
      </c>
      <c r="L294">
        <v>2.5</v>
      </c>
      <c r="M294">
        <v>4.3</v>
      </c>
    </row>
    <row r="295" spans="1:14" x14ac:dyDescent="0.25">
      <c r="A295" t="s">
        <v>78</v>
      </c>
      <c r="B295" s="17"/>
      <c r="C295" s="17"/>
      <c r="D295" s="17">
        <v>0.25773200000000002</v>
      </c>
      <c r="E295" s="17">
        <v>0.39795920000000001</v>
      </c>
      <c r="F295" s="17"/>
      <c r="G295" s="17"/>
      <c r="K295" t="s">
        <v>26</v>
      </c>
      <c r="L295">
        <v>3</v>
      </c>
      <c r="M295">
        <v>3</v>
      </c>
    </row>
    <row r="296" spans="1:14" x14ac:dyDescent="0.25">
      <c r="A296" t="s">
        <v>135</v>
      </c>
      <c r="B296" s="17"/>
      <c r="C296" s="17"/>
      <c r="D296" s="17">
        <v>0.1237113</v>
      </c>
      <c r="E296" s="17">
        <v>0.34693879999999999</v>
      </c>
      <c r="F296" s="17"/>
      <c r="G296" s="17"/>
      <c r="K296" t="s">
        <v>25</v>
      </c>
      <c r="L296">
        <v>3.3</v>
      </c>
      <c r="M296">
        <v>5.0999999999999996</v>
      </c>
    </row>
    <row r="297" spans="1:14" x14ac:dyDescent="0.25">
      <c r="A297" t="s">
        <v>136</v>
      </c>
      <c r="D297">
        <v>14</v>
      </c>
      <c r="E297">
        <v>25</v>
      </c>
      <c r="K297" t="s">
        <v>159</v>
      </c>
      <c r="L297">
        <v>0.1237113</v>
      </c>
      <c r="M297">
        <v>0.1326531</v>
      </c>
    </row>
    <row r="298" spans="1:14" x14ac:dyDescent="0.25">
      <c r="K298" t="s">
        <v>160</v>
      </c>
      <c r="L298">
        <v>6.1855670000000001E-2</v>
      </c>
      <c r="M298">
        <v>4.0816329999999998E-2</v>
      </c>
    </row>
    <row r="299" spans="1:14" x14ac:dyDescent="0.25">
      <c r="K299" t="s">
        <v>162</v>
      </c>
      <c r="L299" t="s">
        <v>56</v>
      </c>
      <c r="M299">
        <v>0.25773200000000002</v>
      </c>
      <c r="N299">
        <v>0.39795920000000001</v>
      </c>
    </row>
    <row r="300" spans="1:14" x14ac:dyDescent="0.25">
      <c r="K300" t="s">
        <v>163</v>
      </c>
      <c r="L300" t="s">
        <v>56</v>
      </c>
      <c r="M300">
        <v>0.1237113</v>
      </c>
      <c r="N300">
        <v>0.34693879999999999</v>
      </c>
    </row>
    <row r="301" spans="1:14" x14ac:dyDescent="0.25">
      <c r="K301" t="s">
        <v>136</v>
      </c>
      <c r="L301" t="s">
        <v>161</v>
      </c>
      <c r="M301">
        <v>14</v>
      </c>
      <c r="N301">
        <v>25</v>
      </c>
    </row>
  </sheetData>
  <conditionalFormatting sqref="V8:V3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:Z4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A4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B2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4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:B9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E99 D100:E117 D126:E12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:F1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3:G12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3:W97 W98:X9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3:X9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8:AN2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8:AR5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8:AS5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73:AO9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73:AP9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0:F19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0:G19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0:B17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E17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6:E179 D180:E19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E179 D180:E19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0:W17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50:X17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76:X17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50:X17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50:AO17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50:AP17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6:AP17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50:AP17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4:B26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4:E249 D224:E28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0:E26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4:E268 D224:E28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50:Z199 AB150:AB19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50:AR19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3:Y117 Y1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3:Z117 Z12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3:AA12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3:AB1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73:AQ1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73:AR11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73:AS1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3:AT12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0:AA19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150:AS19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150:AT19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4:F24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0:F26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4:F26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4:G2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0:G2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4:G2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:Y31 X32:X53 X62 X31:Y52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25 D26:D53 D62 E25:E44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:AQ27 AP28:AQ54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56"/>
  <sheetViews>
    <sheetView topLeftCell="F76" zoomScale="85" zoomScaleNormal="85" workbookViewId="0">
      <selection activeCell="W85" sqref="W85:X85"/>
    </sheetView>
  </sheetViews>
  <sheetFormatPr defaultRowHeight="15" x14ac:dyDescent="0.25"/>
  <cols>
    <col min="1" max="1" width="18.42578125" customWidth="1"/>
    <col min="2" max="2" width="15.42578125" bestFit="1" customWidth="1"/>
    <col min="3" max="3" width="16.28515625" bestFit="1" customWidth="1"/>
    <col min="4" max="4" width="10.140625" bestFit="1" customWidth="1"/>
    <col min="5" max="5" width="10" bestFit="1" customWidth="1"/>
    <col min="6" max="11" width="10" customWidth="1"/>
    <col min="12" max="12" width="10.5703125" customWidth="1"/>
    <col min="13" max="14" width="12" bestFit="1" customWidth="1"/>
    <col min="18" max="18" width="21.28515625" customWidth="1"/>
    <col min="19" max="19" width="16.140625" customWidth="1"/>
    <col min="20" max="20" width="19.7109375" customWidth="1"/>
    <col min="21" max="21" width="11" bestFit="1" customWidth="1"/>
    <col min="30" max="31" width="12" bestFit="1" customWidth="1"/>
  </cols>
  <sheetData>
    <row r="1" spans="1:32" x14ac:dyDescent="0.25">
      <c r="A1" t="s">
        <v>68</v>
      </c>
      <c r="C1" s="14">
        <f>C5/SQRT(3)</f>
        <v>4.5826952450321564E-3</v>
      </c>
      <c r="E1" s="14">
        <f>(E5+1)^(1/3)-1</f>
        <v>1.1927980005719263E-3</v>
      </c>
      <c r="G1" s="14">
        <f>(G5+1)^(1/3)-1</f>
        <v>1.2929379243937777E-3</v>
      </c>
      <c r="H1" s="14"/>
      <c r="I1" s="14"/>
      <c r="R1" t="s">
        <v>68</v>
      </c>
      <c r="T1" s="14">
        <f>T5/SQRT(3)</f>
        <v>7.0822980171222211E-3</v>
      </c>
      <c r="V1" s="14">
        <f>(V5+1)^(1/3)-1</f>
        <v>7.9770882475971305E-4</v>
      </c>
      <c r="X1" s="14">
        <f>(X5+1)^(1/3)-1</f>
        <v>7.9294473911639685E-4</v>
      </c>
      <c r="Y1" s="14"/>
      <c r="Z1" s="14"/>
    </row>
    <row r="2" spans="1:32" x14ac:dyDescent="0.25">
      <c r="C2" s="14">
        <f>C6/SQRT(5)</f>
        <v>4.4494743004748101E-3</v>
      </c>
      <c r="E2" s="14">
        <f>(E6+1)^(1/5)-1</f>
        <v>1.1752722217768241E-3</v>
      </c>
      <c r="G2" s="14">
        <f>(G6+1)^(1/5)-1</f>
        <v>1.2263635736855516E-3</v>
      </c>
      <c r="H2" s="14"/>
      <c r="I2" s="14"/>
      <c r="T2" s="14">
        <f>T6/SQRT(5)</f>
        <v>6.9461036767615256E-3</v>
      </c>
      <c r="V2" s="14">
        <f>(V6+1)^(1/5)-1</f>
        <v>7.0857513079491952E-4</v>
      </c>
      <c r="X2" s="14">
        <f>(X6+1)^(1/5)-1</f>
        <v>7.3020940944856783E-4</v>
      </c>
      <c r="Y2" s="14"/>
      <c r="Z2" s="14"/>
    </row>
    <row r="3" spans="1:32" x14ac:dyDescent="0.25">
      <c r="C3" s="14">
        <f>C7/SQRT(5)</f>
        <v>5.9207189285913576E-3</v>
      </c>
      <c r="E3" s="14">
        <f>(E7+1)^(1/5)-1</f>
        <v>2.0106879933503574E-3</v>
      </c>
      <c r="G3" s="14">
        <f>(G7+1)^(1/5)-1</f>
        <v>2.1345856154406651E-3</v>
      </c>
      <c r="H3" s="14"/>
      <c r="I3" s="14"/>
      <c r="T3" s="14">
        <f>T7/SQRT(5)</f>
        <v>9.1454554180707692E-3</v>
      </c>
      <c r="V3" s="14">
        <f>(V7+1)^(1/5)-1</f>
        <v>1.2812187480477633E-3</v>
      </c>
      <c r="X3" s="14">
        <f>(X7+1)^(1/5)-1</f>
        <v>1.3498661998767592E-3</v>
      </c>
      <c r="Y3" s="14"/>
      <c r="Z3" s="14"/>
    </row>
    <row r="4" spans="1:32" x14ac:dyDescent="0.25">
      <c r="A4" t="s">
        <v>61</v>
      </c>
      <c r="B4" t="s">
        <v>27</v>
      </c>
      <c r="C4" s="14">
        <v>4.7669059999999996E-3</v>
      </c>
      <c r="D4" t="s">
        <v>26</v>
      </c>
      <c r="E4" s="14">
        <v>1.0753799999999999E-3</v>
      </c>
      <c r="F4" t="s">
        <v>25</v>
      </c>
      <c r="G4" s="14">
        <v>1.3763060000000001E-3</v>
      </c>
      <c r="H4" s="14"/>
      <c r="I4" s="14"/>
      <c r="S4" t="s">
        <v>27</v>
      </c>
      <c r="T4" s="14">
        <v>7.1984249999999996E-3</v>
      </c>
      <c r="U4" t="s">
        <v>26</v>
      </c>
      <c r="V4" s="14">
        <v>5.9361760000000005E-4</v>
      </c>
      <c r="W4" t="s">
        <v>25</v>
      </c>
      <c r="X4" s="14">
        <v>8.2598899999999996E-4</v>
      </c>
      <c r="Y4" s="14"/>
      <c r="Z4" s="14"/>
    </row>
    <row r="5" spans="1:32" x14ac:dyDescent="0.25">
      <c r="A5" t="s">
        <v>55</v>
      </c>
      <c r="B5" t="s">
        <v>27</v>
      </c>
      <c r="C5" s="14">
        <v>7.9374609999999998E-3</v>
      </c>
      <c r="D5" t="s">
        <v>26</v>
      </c>
      <c r="E5" s="14">
        <v>3.5826640000000002E-3</v>
      </c>
      <c r="F5" t="s">
        <v>25</v>
      </c>
      <c r="G5" s="14">
        <v>3.8838309999999999E-3</v>
      </c>
      <c r="H5" s="14"/>
      <c r="I5" s="14"/>
      <c r="S5" t="s">
        <v>27</v>
      </c>
      <c r="T5" s="14">
        <v>1.2266900000000001E-2</v>
      </c>
      <c r="U5" t="s">
        <v>26</v>
      </c>
      <c r="V5" s="14">
        <v>2.3950360000000001E-3</v>
      </c>
      <c r="W5" t="s">
        <v>25</v>
      </c>
      <c r="X5" s="14">
        <v>2.3807210000000001E-3</v>
      </c>
      <c r="Y5" s="14"/>
      <c r="Z5" s="14"/>
    </row>
    <row r="6" spans="1:32" x14ac:dyDescent="0.25">
      <c r="A6" t="s">
        <v>64</v>
      </c>
      <c r="B6" t="s">
        <v>27</v>
      </c>
      <c r="C6" s="14">
        <v>9.9493270000000009E-3</v>
      </c>
      <c r="D6" t="s">
        <v>26</v>
      </c>
      <c r="E6" s="14">
        <v>5.89019E-3</v>
      </c>
      <c r="F6" t="s">
        <v>25</v>
      </c>
      <c r="G6" s="14">
        <v>6.1468759999999999E-3</v>
      </c>
      <c r="H6" s="14"/>
      <c r="I6" s="14"/>
      <c r="S6" t="s">
        <v>27</v>
      </c>
      <c r="T6" s="14">
        <v>1.5531959999999999E-2</v>
      </c>
      <c r="U6" t="s">
        <v>26</v>
      </c>
      <c r="V6" s="14">
        <v>3.5479000000000001E-3</v>
      </c>
      <c r="W6" t="s">
        <v>25</v>
      </c>
      <c r="X6" s="14">
        <v>3.656383E-3</v>
      </c>
      <c r="Y6" s="14"/>
      <c r="Z6" s="14"/>
    </row>
    <row r="7" spans="1:32" x14ac:dyDescent="0.25">
      <c r="A7" t="s">
        <v>72</v>
      </c>
      <c r="B7" t="s">
        <v>27</v>
      </c>
      <c r="C7" s="14">
        <v>1.323913E-2</v>
      </c>
      <c r="D7" t="s">
        <v>26</v>
      </c>
      <c r="E7" s="14">
        <v>1.0093950000000001E-2</v>
      </c>
      <c r="F7" t="s">
        <v>25</v>
      </c>
      <c r="G7" s="14">
        <v>1.071859E-2</v>
      </c>
      <c r="H7" s="14"/>
      <c r="I7" s="14"/>
      <c r="S7" t="s">
        <v>27</v>
      </c>
      <c r="T7" s="14">
        <v>2.044986E-2</v>
      </c>
      <c r="U7" t="s">
        <v>26</v>
      </c>
      <c r="V7" s="14">
        <v>6.4225300000000001E-3</v>
      </c>
      <c r="W7" t="s">
        <v>25</v>
      </c>
      <c r="X7" s="14">
        <v>6.7675770000000003E-3</v>
      </c>
      <c r="Y7" s="14"/>
      <c r="Z7" s="14"/>
    </row>
    <row r="8" spans="1:32" x14ac:dyDescent="0.25">
      <c r="B8" t="s">
        <v>69</v>
      </c>
      <c r="C8" s="13">
        <v>13.83</v>
      </c>
      <c r="S8" s="13">
        <v>13.83</v>
      </c>
      <c r="T8" t="s">
        <v>45</v>
      </c>
      <c r="U8">
        <v>17.739999999999998</v>
      </c>
    </row>
    <row r="9" spans="1:32" x14ac:dyDescent="0.25">
      <c r="B9" t="s">
        <v>68</v>
      </c>
      <c r="C9" t="s">
        <v>27</v>
      </c>
      <c r="D9" s="14">
        <f>D12/SQRT(3)</f>
        <v>3.2741175808576784E-3</v>
      </c>
      <c r="E9" s="14">
        <f>E12/SQRT(3)</f>
        <v>2.4335735312039234E-3</v>
      </c>
      <c r="F9" s="14">
        <f>F12/SQRT(5)</f>
        <v>3.2764330394784201E-3</v>
      </c>
      <c r="G9" s="14">
        <f>G12/SQRT(5)</f>
        <v>2.2839851254032278E-3</v>
      </c>
      <c r="H9" s="14">
        <f t="shared" ref="H9:I9" si="0">H12/SQRT(5)</f>
        <v>4.6984036736427825E-3</v>
      </c>
      <c r="I9" s="14">
        <f t="shared" si="0"/>
        <v>2.7465274141025425E-3</v>
      </c>
      <c r="K9" s="14"/>
      <c r="S9" t="s">
        <v>68</v>
      </c>
      <c r="T9" t="s">
        <v>27</v>
      </c>
      <c r="U9" s="14">
        <f>U12/SQRT(3)</f>
        <v>4.7911643028808772E-3</v>
      </c>
      <c r="V9" s="14">
        <f>V12/SQRT(3)</f>
        <v>3.9139821824946183E-3</v>
      </c>
      <c r="W9" s="14">
        <f>W12/SQRT(5)</f>
        <v>4.7569841825173221E-3</v>
      </c>
      <c r="X9" s="14">
        <f>X12/SQRT(5)</f>
        <v>3.6594929502767179E-3</v>
      </c>
      <c r="Y9" s="14">
        <f t="shared" ref="Y9:Z9" si="1">Y12/SQRT(5)</f>
        <v>6.3568818761465121E-3</v>
      </c>
      <c r="Z9" s="14">
        <f t="shared" si="1"/>
        <v>4.3652143397330673E-3</v>
      </c>
      <c r="AB9" s="14"/>
    </row>
    <row r="10" spans="1:32" x14ac:dyDescent="0.25">
      <c r="B10" t="s">
        <v>68</v>
      </c>
      <c r="C10" t="s">
        <v>26</v>
      </c>
      <c r="D10" s="14">
        <f>(D13+1)^(1/3)-1</f>
        <v>2.2834389379289277E-3</v>
      </c>
      <c r="E10" s="14">
        <f t="shared" ref="E10:E11" si="2">(E13+1)^(1/3)-1</f>
        <v>-1.3392133584632093E-3</v>
      </c>
      <c r="F10" s="14">
        <f t="shared" ref="F10:G11" si="3">(F13+1)^(1/5)-1</f>
        <v>1.8770386130297911E-3</v>
      </c>
      <c r="G10" s="14">
        <f t="shared" si="3"/>
        <v>-8.8003496055688579E-4</v>
      </c>
      <c r="H10" s="14">
        <f t="shared" ref="H10:I10" si="4">(H13+1)^(1/5)-1</f>
        <v>2.6499898395380139E-3</v>
      </c>
      <c r="I10" s="14">
        <f t="shared" si="4"/>
        <v>-1.1127360088454274E-3</v>
      </c>
      <c r="K10" s="14"/>
      <c r="S10" t="s">
        <v>68</v>
      </c>
      <c r="T10" t="s">
        <v>26</v>
      </c>
      <c r="U10" s="14">
        <f>(U13+1)^(1/3)-1</f>
        <v>2.8218675732814003E-3</v>
      </c>
      <c r="V10" s="14">
        <f>(V13+1)^(1/3)-1</f>
        <v>-2.5445231062503071E-3</v>
      </c>
      <c r="W10" s="14">
        <f>(W13+1)^(1/5)-1</f>
        <v>2.2654125331391661E-3</v>
      </c>
      <c r="X10" s="14">
        <f>(X13+1)^(1/5)-1</f>
        <v>-1.8955034587936348E-3</v>
      </c>
      <c r="Y10" s="14">
        <f t="shared" ref="Y10:Z10" si="5">(Y13+1)^(1/5)-1</f>
        <v>3.3534235528942524E-3</v>
      </c>
      <c r="Z10" s="14">
        <f t="shared" si="5"/>
        <v>-2.2945356544722406E-3</v>
      </c>
      <c r="AB10" s="14"/>
    </row>
    <row r="11" spans="1:32" x14ac:dyDescent="0.25">
      <c r="B11" t="s">
        <v>68</v>
      </c>
      <c r="C11" t="s">
        <v>25</v>
      </c>
      <c r="D11" s="14">
        <f>(D14+1)^(1/3)-1</f>
        <v>2.5996032071804454E-3</v>
      </c>
      <c r="E11" s="14">
        <f t="shared" si="2"/>
        <v>-1.6925514475012449E-3</v>
      </c>
      <c r="F11" s="14">
        <f t="shared" si="3"/>
        <v>2.0977325548163783E-3</v>
      </c>
      <c r="G11" s="14">
        <f t="shared" si="3"/>
        <v>-1.177817642858292E-3</v>
      </c>
      <c r="H11" s="14">
        <f t="shared" ref="H11:I11" si="6">(H14+1)^(1/5)-1</f>
        <v>3.018162322643736E-3</v>
      </c>
      <c r="I11" s="14">
        <f t="shared" si="6"/>
        <v>-1.4203762100967188E-3</v>
      </c>
      <c r="L11" t="s">
        <v>61</v>
      </c>
      <c r="M11" t="s">
        <v>55</v>
      </c>
      <c r="N11" t="s">
        <v>63</v>
      </c>
      <c r="O11" t="s">
        <v>72</v>
      </c>
      <c r="S11" t="s">
        <v>68</v>
      </c>
      <c r="T11" t="s">
        <v>25</v>
      </c>
      <c r="U11" s="14">
        <f>(U14+1)^(1/3)-1</f>
        <v>3.4681447337916449E-3</v>
      </c>
      <c r="V11" s="14">
        <f>(V14+1)^(1/3)-1</f>
        <v>-2.9869714485161181E-3</v>
      </c>
      <c r="W11" s="14">
        <f>(W14+1)^(1/5)-1</f>
        <v>2.7351113539408889E-3</v>
      </c>
      <c r="X11" s="14">
        <f>(X14+1)^(1/5)-1</f>
        <v>-2.1904067680026396E-3</v>
      </c>
      <c r="Y11" s="14">
        <f t="shared" ref="Y11:Z11" si="7">(Y14+1)^(1/5)-1</f>
        <v>3.8762703449051195E-3</v>
      </c>
      <c r="Z11" s="14">
        <f t="shared" si="7"/>
        <v>-2.6951020507064438E-3</v>
      </c>
      <c r="AB11" s="14"/>
      <c r="AC11" t="s">
        <v>61</v>
      </c>
      <c r="AD11" t="s">
        <v>55</v>
      </c>
      <c r="AE11" t="s">
        <v>64</v>
      </c>
      <c r="AF11" t="s">
        <v>72</v>
      </c>
    </row>
    <row r="12" spans="1:32" x14ac:dyDescent="0.25">
      <c r="A12" s="14" t="s">
        <v>27</v>
      </c>
      <c r="B12" s="14">
        <v>3.414158E-3</v>
      </c>
      <c r="C12" s="14">
        <v>2.7395090000000002E-3</v>
      </c>
      <c r="D12" s="14">
        <v>5.6709380000000004E-3</v>
      </c>
      <c r="E12" s="14">
        <v>4.2150729999999997E-3</v>
      </c>
      <c r="F12" s="14">
        <v>7.3263269999999997E-3</v>
      </c>
      <c r="G12" s="14">
        <v>5.1071459999999999E-3</v>
      </c>
      <c r="H12" s="14">
        <v>1.050595E-2</v>
      </c>
      <c r="I12" s="14">
        <v>6.1414219999999997E-3</v>
      </c>
      <c r="J12" s="14"/>
      <c r="K12" s="21" t="s">
        <v>40</v>
      </c>
      <c r="L12">
        <v>1272</v>
      </c>
      <c r="M12">
        <v>1431</v>
      </c>
      <c r="N12">
        <v>1509</v>
      </c>
      <c r="O12">
        <v>1647</v>
      </c>
      <c r="R12" t="s">
        <v>27</v>
      </c>
      <c r="S12" s="14">
        <v>4.9048959999999997E-3</v>
      </c>
      <c r="T12" s="14">
        <v>4.3570420000000002E-3</v>
      </c>
      <c r="U12" s="14">
        <v>8.2985400000000001E-3</v>
      </c>
      <c r="V12" s="14">
        <v>6.7792160000000002E-3</v>
      </c>
      <c r="W12" s="14">
        <v>1.0636939999999999E-2</v>
      </c>
      <c r="X12" s="14">
        <v>8.1828749999999992E-3</v>
      </c>
      <c r="Y12" s="14">
        <v>1.421442E-2</v>
      </c>
      <c r="Z12" s="14">
        <v>9.7609159999999997E-3</v>
      </c>
      <c r="AA12" s="14"/>
      <c r="AB12" s="21" t="s">
        <v>40</v>
      </c>
      <c r="AC12">
        <v>1113</v>
      </c>
      <c r="AD12">
        <v>1202</v>
      </c>
      <c r="AE12">
        <v>1216</v>
      </c>
      <c r="AF12">
        <v>1261</v>
      </c>
    </row>
    <row r="13" spans="1:32" x14ac:dyDescent="0.25">
      <c r="A13" s="14" t="s">
        <v>26</v>
      </c>
      <c r="B13" s="14">
        <v>3.3491329999999998E-3</v>
      </c>
      <c r="C13" s="14">
        <v>-2.2941010000000002E-3</v>
      </c>
      <c r="D13" s="14">
        <v>6.8659710000000002E-3</v>
      </c>
      <c r="E13" s="14">
        <v>-4.0122619999999999E-3</v>
      </c>
      <c r="F13" s="14">
        <v>9.4204920000000008E-3</v>
      </c>
      <c r="G13" s="14">
        <v>-4.3924369999999999E-3</v>
      </c>
      <c r="H13" s="14">
        <v>1.332036E-2</v>
      </c>
      <c r="I13" s="14">
        <v>-5.5513120000000001E-3</v>
      </c>
      <c r="J13" s="14"/>
      <c r="K13" s="21" t="s">
        <v>41</v>
      </c>
      <c r="L13">
        <v>786</v>
      </c>
      <c r="M13">
        <v>629</v>
      </c>
      <c r="N13">
        <v>550</v>
      </c>
      <c r="O13">
        <v>413</v>
      </c>
      <c r="R13" t="s">
        <v>26</v>
      </c>
      <c r="S13" s="14">
        <v>4.5735970000000004E-3</v>
      </c>
      <c r="T13" s="14">
        <v>-3.9404679999999999E-3</v>
      </c>
      <c r="U13" s="14">
        <v>8.4895140000000001E-3</v>
      </c>
      <c r="V13" s="14">
        <v>-7.6141619999999998E-3</v>
      </c>
      <c r="W13" s="14">
        <v>1.13785E-2</v>
      </c>
      <c r="X13" s="14">
        <v>-9.4416559999999997E-3</v>
      </c>
      <c r="Y13" s="14">
        <v>1.6879950000000001E-2</v>
      </c>
      <c r="Z13" s="14">
        <v>-1.142015E-2</v>
      </c>
      <c r="AA13" s="14"/>
      <c r="AB13" s="21" t="s">
        <v>41</v>
      </c>
      <c r="AC13">
        <v>946</v>
      </c>
      <c r="AD13">
        <v>856</v>
      </c>
      <c r="AE13">
        <v>843</v>
      </c>
      <c r="AF13">
        <v>798</v>
      </c>
    </row>
    <row r="14" spans="1:32" x14ac:dyDescent="0.25">
      <c r="A14" s="14" t="s">
        <v>25</v>
      </c>
      <c r="B14" s="14">
        <v>4.1758089999999999E-3</v>
      </c>
      <c r="C14" s="14">
        <v>-3.1506849999999999E-3</v>
      </c>
      <c r="D14" s="14">
        <v>7.8191010000000002E-3</v>
      </c>
      <c r="E14" s="14">
        <v>-5.0690650000000002E-3</v>
      </c>
      <c r="F14" s="14">
        <v>1.053276E-2</v>
      </c>
      <c r="G14" s="14">
        <v>-5.8752320000000002E-3</v>
      </c>
      <c r="H14" s="14">
        <v>1.518218E-2</v>
      </c>
      <c r="I14" s="14">
        <v>-7.0817349999999996E-3</v>
      </c>
      <c r="J14" s="14"/>
      <c r="K14" t="s">
        <v>42</v>
      </c>
      <c r="L14" s="13">
        <f>L12/L13</f>
        <v>1.6183206106870229</v>
      </c>
      <c r="M14" s="13">
        <f>M12/M13</f>
        <v>2.2750397456279807</v>
      </c>
      <c r="N14" s="13">
        <f>N12/N13</f>
        <v>2.7436363636363637</v>
      </c>
      <c r="O14" s="13">
        <f>O12/O13</f>
        <v>3.9878934624697338</v>
      </c>
      <c r="Q14" s="13"/>
      <c r="R14" t="s">
        <v>25</v>
      </c>
      <c r="S14" s="14">
        <v>5.8828719999999999E-3</v>
      </c>
      <c r="T14" s="14">
        <v>-5.1235999999999999E-3</v>
      </c>
      <c r="U14" s="14">
        <v>1.044056E-2</v>
      </c>
      <c r="V14" s="14">
        <v>-8.9341750000000008E-3</v>
      </c>
      <c r="W14" s="14">
        <v>1.375057E-2</v>
      </c>
      <c r="X14" s="14">
        <v>-1.090416E-2</v>
      </c>
      <c r="Y14" s="14">
        <v>1.9532190000000001E-2</v>
      </c>
      <c r="Z14" s="14">
        <v>-1.340307E-2</v>
      </c>
      <c r="AA14" s="14"/>
      <c r="AB14" t="s">
        <v>42</v>
      </c>
      <c r="AC14" s="13">
        <f>AC12/AC13</f>
        <v>1.1765327695560253</v>
      </c>
      <c r="AD14" s="13">
        <f>AD12/AD13</f>
        <v>1.4042056074766356</v>
      </c>
      <c r="AE14" s="13">
        <f>AE12/AE13</f>
        <v>1.4424673784104389</v>
      </c>
      <c r="AF14" s="13">
        <f>AF12/AF13</f>
        <v>1.5802005012531328</v>
      </c>
    </row>
    <row r="15" spans="1:32" x14ac:dyDescent="0.25">
      <c r="A15" t="s">
        <v>31</v>
      </c>
      <c r="B15" t="s">
        <v>30</v>
      </c>
      <c r="C15" t="s">
        <v>33</v>
      </c>
      <c r="D15" t="s">
        <v>58</v>
      </c>
      <c r="E15" t="s">
        <v>59</v>
      </c>
      <c r="F15" t="s">
        <v>65</v>
      </c>
      <c r="G15" t="s">
        <v>66</v>
      </c>
      <c r="H15" t="s">
        <v>73</v>
      </c>
      <c r="I15" t="s">
        <v>74</v>
      </c>
      <c r="J15" s="21" t="s">
        <v>53</v>
      </c>
      <c r="K15" t="s">
        <v>54</v>
      </c>
      <c r="L15" s="17">
        <f>L12/SUM(L12:L13)</f>
        <v>0.61807580174927113</v>
      </c>
      <c r="M15" s="17">
        <f>M12/SUM(M12:M13)</f>
        <v>0.69466019417475733</v>
      </c>
      <c r="N15" s="17">
        <f>N12/SUM(N12:N13)</f>
        <v>0.73288003885381248</v>
      </c>
      <c r="O15" s="17">
        <f>O12/SUM(O12:O13)</f>
        <v>0.79951456310679614</v>
      </c>
      <c r="R15" t="s">
        <v>31</v>
      </c>
      <c r="S15" t="s">
        <v>30</v>
      </c>
      <c r="T15" t="s">
        <v>33</v>
      </c>
      <c r="U15" t="s">
        <v>58</v>
      </c>
      <c r="V15" t="s">
        <v>59</v>
      </c>
      <c r="W15" t="s">
        <v>65</v>
      </c>
      <c r="X15" t="s">
        <v>66</v>
      </c>
      <c r="Y15" t="s">
        <v>73</v>
      </c>
      <c r="Z15" t="s">
        <v>74</v>
      </c>
      <c r="AA15" s="21" t="s">
        <v>53</v>
      </c>
      <c r="AB15" t="s">
        <v>54</v>
      </c>
      <c r="AC15" s="17">
        <f>AC12/SUM(AC12:AC13)</f>
        <v>0.54055366682855754</v>
      </c>
      <c r="AD15" s="17">
        <f>AD12/SUM(AD12:AD13)</f>
        <v>0.58406219630709422</v>
      </c>
      <c r="AE15" s="17">
        <f>AE12/SUM(AE12:AE13)</f>
        <v>0.59057795046138906</v>
      </c>
      <c r="AF15" s="17">
        <f>AF12/SUM(AF12:AF13)</f>
        <v>0.61243322000971345</v>
      </c>
    </row>
    <row r="16" spans="1:32" x14ac:dyDescent="0.25">
      <c r="A16">
        <v>0.1</v>
      </c>
      <c r="B16" s="17">
        <v>0.82154090000000002</v>
      </c>
      <c r="C16" s="17">
        <v>0.77480919999999998</v>
      </c>
      <c r="D16" s="17">
        <v>0.92522709999999997</v>
      </c>
      <c r="E16" s="17">
        <v>0.86963429999999997</v>
      </c>
      <c r="F16" s="14">
        <v>0.94963549999999997</v>
      </c>
      <c r="G16" s="14">
        <v>0.87454549999999998</v>
      </c>
      <c r="H16" s="17">
        <v>0.96842740000000005</v>
      </c>
      <c r="I16" s="17">
        <v>0.89346250000000005</v>
      </c>
      <c r="J16" s="25">
        <f t="shared" ref="J16:J59" si="8">($A16/100+1)*$N$77</f>
        <v>409.92951999999991</v>
      </c>
      <c r="K16" s="25">
        <f t="shared" ref="K16:K59" si="9">(1-$A16/100)*$N$77</f>
        <v>409.11048</v>
      </c>
      <c r="L16" s="17">
        <f>L13/SUM(L12:L13)</f>
        <v>0.38192419825072887</v>
      </c>
      <c r="M16" s="17">
        <f>M13/SUM(M12:M13)</f>
        <v>0.30533980582524273</v>
      </c>
      <c r="N16" s="17">
        <f>N13/SUM(N12:N13)</f>
        <v>0.26711996114618747</v>
      </c>
      <c r="O16" s="17">
        <f>O13/SUM(O12:O13)</f>
        <v>0.20048543689320389</v>
      </c>
      <c r="R16">
        <v>0.1</v>
      </c>
      <c r="S16" s="17">
        <v>0.87241690000000005</v>
      </c>
      <c r="T16" s="17">
        <v>0.85517969999999999</v>
      </c>
      <c r="U16" s="17">
        <v>0.94675540000000002</v>
      </c>
      <c r="V16" s="17">
        <v>0.91588789999999998</v>
      </c>
      <c r="W16" s="17">
        <v>0.9588816</v>
      </c>
      <c r="X16" s="17">
        <v>0.94068799999999997</v>
      </c>
      <c r="Y16" s="17">
        <v>0.97145119999999996</v>
      </c>
      <c r="Z16" s="17">
        <v>0.95488720000000005</v>
      </c>
      <c r="AA16" s="25">
        <f t="shared" ref="AA16:AA60" si="10">($A16/100+1)*$N$77</f>
        <v>409.92951999999991</v>
      </c>
      <c r="AB16" s="25">
        <f t="shared" ref="AB16:AB60" si="11">(1-$A16/100)*$N$77</f>
        <v>409.11048</v>
      </c>
      <c r="AC16" s="17">
        <f>AC13/SUM(AC12:AC13)</f>
        <v>0.45944633317144246</v>
      </c>
      <c r="AD16" s="17">
        <f>AD13/SUM(AD12:AD13)</f>
        <v>0.41593780369290573</v>
      </c>
      <c r="AE16" s="17">
        <f>AE13/SUM(AE12:AE13)</f>
        <v>0.409422049538611</v>
      </c>
      <c r="AF16" s="17">
        <f>AF13/SUM(AF12:AF13)</f>
        <v>0.38756677999028655</v>
      </c>
    </row>
    <row r="17" spans="1:28" x14ac:dyDescent="0.25">
      <c r="A17">
        <v>0.2</v>
      </c>
      <c r="B17" s="17">
        <v>0.66194969999999997</v>
      </c>
      <c r="C17" s="17">
        <v>0.55852420000000003</v>
      </c>
      <c r="D17" s="17">
        <v>0.84556249999999999</v>
      </c>
      <c r="E17" s="17">
        <v>0.7249603</v>
      </c>
      <c r="F17" s="14">
        <v>0.89662030000000004</v>
      </c>
      <c r="G17" s="14">
        <v>0.74181819999999998</v>
      </c>
      <c r="H17" s="17">
        <v>0.93564060000000004</v>
      </c>
      <c r="I17" s="17">
        <v>0.76755450000000003</v>
      </c>
      <c r="J17" s="25">
        <f t="shared" si="8"/>
        <v>410.33903999999995</v>
      </c>
      <c r="K17" s="25">
        <f t="shared" si="9"/>
        <v>408.70096000000001</v>
      </c>
      <c r="R17">
        <v>0.2</v>
      </c>
      <c r="S17" s="17">
        <v>0.75292000000000003</v>
      </c>
      <c r="T17" s="17">
        <v>0.7219873</v>
      </c>
      <c r="U17" s="17">
        <v>0.87437600000000004</v>
      </c>
      <c r="V17" s="17">
        <v>0.84579439999999995</v>
      </c>
      <c r="W17" s="17">
        <v>0.9161184</v>
      </c>
      <c r="X17" s="17">
        <v>0.88256230000000002</v>
      </c>
      <c r="Y17" s="17">
        <v>0.94131640000000005</v>
      </c>
      <c r="Z17" s="17">
        <v>0.91353379999999995</v>
      </c>
      <c r="AA17" s="25">
        <f t="shared" si="10"/>
        <v>410.33903999999995</v>
      </c>
      <c r="AB17" s="25">
        <f t="shared" si="11"/>
        <v>408.70096000000001</v>
      </c>
    </row>
    <row r="18" spans="1:28" x14ac:dyDescent="0.25">
      <c r="A18">
        <v>0.3</v>
      </c>
      <c r="B18" s="17">
        <v>0.53144650000000004</v>
      </c>
      <c r="C18" s="17">
        <v>0.4058524</v>
      </c>
      <c r="D18" s="17">
        <v>0.76519919999999997</v>
      </c>
      <c r="E18" s="17">
        <v>0.6073132</v>
      </c>
      <c r="F18" s="14">
        <v>0.84227969999999996</v>
      </c>
      <c r="G18" s="14">
        <v>0.62363639999999998</v>
      </c>
      <c r="H18" s="17">
        <v>0.89981789999999995</v>
      </c>
      <c r="I18" s="17">
        <v>0.70460049999999996</v>
      </c>
      <c r="J18" s="25">
        <f t="shared" si="8"/>
        <v>410.74855999999994</v>
      </c>
      <c r="K18" s="25">
        <f t="shared" si="9"/>
        <v>408.29143999999997</v>
      </c>
      <c r="R18">
        <v>0.3</v>
      </c>
      <c r="S18" s="17">
        <v>0.64600179999999996</v>
      </c>
      <c r="T18" s="17">
        <v>0.59090909999999996</v>
      </c>
      <c r="U18" s="17">
        <v>0.82029949999999996</v>
      </c>
      <c r="V18" s="17">
        <v>0.78971959999999997</v>
      </c>
      <c r="W18" s="17">
        <v>0.87335529999999995</v>
      </c>
      <c r="X18" s="17">
        <v>0.82443650000000002</v>
      </c>
      <c r="Y18" s="17">
        <v>0.91276760000000001</v>
      </c>
      <c r="Z18" s="17">
        <v>0.86340850000000002</v>
      </c>
      <c r="AA18" s="25">
        <f t="shared" si="10"/>
        <v>410.74855999999994</v>
      </c>
      <c r="AB18" s="25">
        <f t="shared" si="11"/>
        <v>408.29143999999997</v>
      </c>
    </row>
    <row r="19" spans="1:28" x14ac:dyDescent="0.25">
      <c r="A19">
        <v>0.4</v>
      </c>
      <c r="B19" s="17">
        <v>0.43710690000000002</v>
      </c>
      <c r="C19" s="17">
        <v>0.27735369999999998</v>
      </c>
      <c r="D19" s="17">
        <v>0.69811319999999999</v>
      </c>
      <c r="E19" s="17">
        <v>0.50238470000000002</v>
      </c>
      <c r="F19" s="14">
        <v>0.78197479999999997</v>
      </c>
      <c r="G19" s="14">
        <v>0.53818180000000004</v>
      </c>
      <c r="H19" s="17">
        <v>0.86217359999999998</v>
      </c>
      <c r="I19" s="17">
        <v>0.61259079999999999</v>
      </c>
      <c r="J19" s="25">
        <f t="shared" si="8"/>
        <v>411.15807999999998</v>
      </c>
      <c r="K19" s="25">
        <f t="shared" si="9"/>
        <v>407.88191999999998</v>
      </c>
      <c r="R19">
        <v>0.4</v>
      </c>
      <c r="S19" s="17">
        <v>0.55435760000000001</v>
      </c>
      <c r="T19" s="17">
        <v>0.49365750000000003</v>
      </c>
      <c r="U19" s="17">
        <v>0.76206320000000005</v>
      </c>
      <c r="V19" s="17">
        <v>0.72196260000000001</v>
      </c>
      <c r="W19" s="17">
        <v>0.8273026</v>
      </c>
      <c r="X19" s="17">
        <v>0.76275210000000004</v>
      </c>
      <c r="Y19" s="17">
        <v>0.88501189999999996</v>
      </c>
      <c r="Z19" s="17">
        <v>0.81578949999999995</v>
      </c>
      <c r="AA19" s="25">
        <f t="shared" si="10"/>
        <v>411.15807999999998</v>
      </c>
      <c r="AB19" s="25">
        <f t="shared" si="11"/>
        <v>407.88191999999998</v>
      </c>
    </row>
    <row r="20" spans="1:28" x14ac:dyDescent="0.25">
      <c r="A20">
        <v>0.5</v>
      </c>
      <c r="B20" s="17">
        <v>0.33411950000000001</v>
      </c>
      <c r="C20" s="17">
        <v>0.2035623</v>
      </c>
      <c r="D20" s="17">
        <v>0.63801540000000001</v>
      </c>
      <c r="E20" s="17">
        <v>0.40222580000000002</v>
      </c>
      <c r="F20" s="14">
        <v>0.7342611</v>
      </c>
      <c r="G20" s="14">
        <v>0.45636359999999998</v>
      </c>
      <c r="H20" s="17">
        <v>0.83060109999999998</v>
      </c>
      <c r="I20" s="17">
        <v>0.54721549999999997</v>
      </c>
      <c r="J20" s="25">
        <f t="shared" si="8"/>
        <v>411.56759999999991</v>
      </c>
      <c r="K20" s="25">
        <f t="shared" si="9"/>
        <v>407.47239999999999</v>
      </c>
      <c r="R20">
        <v>0.5</v>
      </c>
      <c r="S20" s="17">
        <v>0.47259659999999998</v>
      </c>
      <c r="T20" s="17">
        <v>0.4133192</v>
      </c>
      <c r="U20" s="17">
        <v>0.70798669999999997</v>
      </c>
      <c r="V20" s="17">
        <v>0.66238319999999995</v>
      </c>
      <c r="W20" s="17">
        <v>0.7820724</v>
      </c>
      <c r="X20" s="17">
        <v>0.70937130000000004</v>
      </c>
      <c r="Y20" s="17">
        <v>0.8588422</v>
      </c>
      <c r="Z20" s="17">
        <v>0.76942359999999999</v>
      </c>
      <c r="AA20" s="25">
        <f t="shared" si="10"/>
        <v>411.56759999999991</v>
      </c>
      <c r="AB20" s="25">
        <f t="shared" si="11"/>
        <v>407.47239999999999</v>
      </c>
    </row>
    <row r="21" spans="1:28" x14ac:dyDescent="0.25">
      <c r="A21">
        <v>0.6</v>
      </c>
      <c r="B21" s="17">
        <v>0.259434</v>
      </c>
      <c r="C21" s="17">
        <v>0.15139949999999999</v>
      </c>
      <c r="D21" s="17">
        <v>0.56114609999999998</v>
      </c>
      <c r="E21" s="17">
        <v>0.32432430000000001</v>
      </c>
      <c r="F21" s="14">
        <v>0.67660699999999996</v>
      </c>
      <c r="G21" s="14">
        <v>0.38727270000000003</v>
      </c>
      <c r="H21" s="17">
        <v>0.79659990000000003</v>
      </c>
      <c r="I21" s="17">
        <v>0.45520579999999999</v>
      </c>
      <c r="J21" s="25">
        <f t="shared" si="8"/>
        <v>411.97711999999996</v>
      </c>
      <c r="K21" s="25">
        <f t="shared" si="9"/>
        <v>407.06288000000001</v>
      </c>
      <c r="R21">
        <v>0.6</v>
      </c>
      <c r="S21" s="17">
        <v>0.39982030000000002</v>
      </c>
      <c r="T21" s="17">
        <v>0.34355180000000002</v>
      </c>
      <c r="U21" s="17">
        <v>0.65391010000000005</v>
      </c>
      <c r="V21" s="17">
        <v>0.59345789999999998</v>
      </c>
      <c r="W21" s="17">
        <v>0.73190789999999994</v>
      </c>
      <c r="X21" s="17">
        <v>0.65954919999999995</v>
      </c>
      <c r="Y21" s="17">
        <v>0.83187949999999999</v>
      </c>
      <c r="Z21" s="17">
        <v>0.72556390000000004</v>
      </c>
      <c r="AA21" s="25">
        <f t="shared" si="10"/>
        <v>411.97711999999996</v>
      </c>
      <c r="AB21" s="25">
        <f t="shared" si="11"/>
        <v>407.06288000000001</v>
      </c>
    </row>
    <row r="22" spans="1:28" x14ac:dyDescent="0.25">
      <c r="A22">
        <v>0.7</v>
      </c>
      <c r="B22" s="17">
        <v>0.2004717</v>
      </c>
      <c r="C22" s="17">
        <v>0.10941480000000001</v>
      </c>
      <c r="D22" s="17">
        <v>0.4842767</v>
      </c>
      <c r="E22" s="17">
        <v>0.25596180000000002</v>
      </c>
      <c r="F22" s="14">
        <v>0.61696490000000004</v>
      </c>
      <c r="G22" s="14">
        <v>0.32727270000000003</v>
      </c>
      <c r="H22" s="17">
        <v>0.75409839999999995</v>
      </c>
      <c r="I22" s="17">
        <v>0.39951569999999997</v>
      </c>
      <c r="J22" s="25">
        <f t="shared" si="8"/>
        <v>412.38663999999994</v>
      </c>
      <c r="K22" s="25">
        <f t="shared" si="9"/>
        <v>406.65335999999996</v>
      </c>
      <c r="R22">
        <v>0.7</v>
      </c>
      <c r="S22" s="17">
        <v>0.32973940000000002</v>
      </c>
      <c r="T22" s="17">
        <v>0.2780127</v>
      </c>
      <c r="U22" s="17">
        <v>0.57986689999999996</v>
      </c>
      <c r="V22" s="17">
        <v>0.52686920000000004</v>
      </c>
      <c r="W22" s="17">
        <v>0.6883224</v>
      </c>
      <c r="X22" s="17">
        <v>0.60616840000000005</v>
      </c>
      <c r="Y22" s="17">
        <v>0.79698650000000004</v>
      </c>
      <c r="Z22" s="17">
        <v>0.68295740000000005</v>
      </c>
      <c r="AA22" s="25">
        <f t="shared" si="10"/>
        <v>412.38663999999994</v>
      </c>
      <c r="AB22" s="25">
        <f t="shared" si="11"/>
        <v>406.65335999999996</v>
      </c>
    </row>
    <row r="23" spans="1:28" x14ac:dyDescent="0.25">
      <c r="A23">
        <v>0.8</v>
      </c>
      <c r="B23" s="17">
        <v>0.15015719999999999</v>
      </c>
      <c r="C23" s="17">
        <v>6.9974549999999996E-2</v>
      </c>
      <c r="D23" s="17">
        <v>0.42557650000000002</v>
      </c>
      <c r="E23" s="17">
        <v>0.2034976</v>
      </c>
      <c r="F23" s="14">
        <v>0.56991389999999997</v>
      </c>
      <c r="G23" s="14">
        <v>0.27818179999999998</v>
      </c>
      <c r="H23" s="17">
        <v>0.71038250000000003</v>
      </c>
      <c r="I23" s="17">
        <v>0.32929779999999997</v>
      </c>
      <c r="J23" s="25">
        <f t="shared" si="8"/>
        <v>412.79615999999999</v>
      </c>
      <c r="K23" s="25">
        <f t="shared" si="9"/>
        <v>406.24383999999998</v>
      </c>
      <c r="R23">
        <v>0.8</v>
      </c>
      <c r="S23" s="17">
        <v>0.27313569999999998</v>
      </c>
      <c r="T23" s="17">
        <v>0.22410150000000001</v>
      </c>
      <c r="U23" s="17">
        <v>0.52579030000000004</v>
      </c>
      <c r="V23" s="17">
        <v>0.47429909999999997</v>
      </c>
      <c r="W23" s="17">
        <v>0.64391449999999995</v>
      </c>
      <c r="X23" s="17">
        <v>0.56702249999999998</v>
      </c>
      <c r="Y23" s="17">
        <v>0.77002380000000004</v>
      </c>
      <c r="Z23" s="17">
        <v>0.64160399999999995</v>
      </c>
      <c r="AA23" s="25">
        <f t="shared" si="10"/>
        <v>412.79615999999999</v>
      </c>
      <c r="AB23" s="25">
        <f t="shared" si="11"/>
        <v>406.24383999999998</v>
      </c>
    </row>
    <row r="24" spans="1:28" x14ac:dyDescent="0.25">
      <c r="A24">
        <v>0.9</v>
      </c>
      <c r="B24" s="17">
        <v>0.10455970000000001</v>
      </c>
      <c r="C24" s="17">
        <v>4.4529260000000001E-2</v>
      </c>
      <c r="D24" s="17">
        <v>0.36617749999999999</v>
      </c>
      <c r="E24" s="17">
        <v>0.1589825</v>
      </c>
      <c r="F24" s="14">
        <v>0.51954940000000005</v>
      </c>
      <c r="G24" s="14">
        <v>0.2381818</v>
      </c>
      <c r="H24" s="17">
        <v>0.67030970000000001</v>
      </c>
      <c r="I24" s="17">
        <v>0.27602910000000003</v>
      </c>
      <c r="J24" s="25">
        <f t="shared" si="8"/>
        <v>413.20567999999992</v>
      </c>
      <c r="K24" s="25">
        <f t="shared" si="9"/>
        <v>405.83431999999999</v>
      </c>
      <c r="R24">
        <v>0.9</v>
      </c>
      <c r="S24" s="17">
        <v>0.2273136</v>
      </c>
      <c r="T24" s="17">
        <v>0.17547570000000001</v>
      </c>
      <c r="U24" s="17">
        <v>0.47171380000000002</v>
      </c>
      <c r="V24" s="17">
        <v>0.42873830000000002</v>
      </c>
      <c r="W24" s="17">
        <v>0.5986842</v>
      </c>
      <c r="X24" s="17">
        <v>0.51364180000000004</v>
      </c>
      <c r="Y24" s="17">
        <v>0.73037269999999999</v>
      </c>
      <c r="Z24" s="17">
        <v>0.59273180000000003</v>
      </c>
      <c r="AA24" s="25">
        <f t="shared" si="10"/>
        <v>413.20567999999992</v>
      </c>
      <c r="AB24" s="25">
        <f t="shared" si="11"/>
        <v>405.83431999999999</v>
      </c>
    </row>
    <row r="25" spans="1:28" x14ac:dyDescent="0.25">
      <c r="A25">
        <v>1</v>
      </c>
      <c r="B25" s="17">
        <v>6.6037739999999998E-2</v>
      </c>
      <c r="C25" s="17">
        <v>2.9262090000000001E-2</v>
      </c>
      <c r="D25" s="17">
        <v>0.30957370000000001</v>
      </c>
      <c r="E25" s="17">
        <v>0.1303657</v>
      </c>
      <c r="F25" s="14">
        <v>0.46322069999999999</v>
      </c>
      <c r="G25" s="14">
        <v>0.18363640000000001</v>
      </c>
      <c r="H25" s="17">
        <v>0.62962960000000001</v>
      </c>
      <c r="I25" s="17">
        <v>0.24455209999999999</v>
      </c>
      <c r="J25" s="25">
        <f t="shared" si="8"/>
        <v>413.61519999999996</v>
      </c>
      <c r="K25" s="25">
        <f t="shared" si="9"/>
        <v>405.4248</v>
      </c>
      <c r="R25">
        <v>1</v>
      </c>
      <c r="S25" s="17">
        <v>0.19586700000000001</v>
      </c>
      <c r="T25" s="17">
        <v>0.13319239999999999</v>
      </c>
      <c r="U25" s="17">
        <v>0.42179699999999998</v>
      </c>
      <c r="V25" s="17">
        <v>0.37616820000000001</v>
      </c>
      <c r="W25" s="17">
        <v>0.56085529999999995</v>
      </c>
      <c r="X25" s="17">
        <v>0.46975090000000003</v>
      </c>
      <c r="Y25" s="17">
        <v>0.70023789999999997</v>
      </c>
      <c r="Z25" s="17">
        <v>0.5526316</v>
      </c>
      <c r="AA25" s="25">
        <f t="shared" si="10"/>
        <v>413.61519999999996</v>
      </c>
      <c r="AB25" s="25">
        <f t="shared" si="11"/>
        <v>405.4248</v>
      </c>
    </row>
    <row r="26" spans="1:28" x14ac:dyDescent="0.25">
      <c r="A26">
        <v>1.1000000000000001</v>
      </c>
      <c r="B26" s="17">
        <v>4.2452829999999997E-2</v>
      </c>
      <c r="C26" s="17">
        <v>1.9083969999999999E-2</v>
      </c>
      <c r="D26" s="17">
        <v>0.26135570000000002</v>
      </c>
      <c r="E26" s="17">
        <v>9.6979330000000002E-2</v>
      </c>
      <c r="F26" s="14">
        <v>0.42213390000000001</v>
      </c>
      <c r="G26" s="14">
        <v>0.15090909999999999</v>
      </c>
      <c r="H26" s="17">
        <v>0.58955679999999999</v>
      </c>
      <c r="I26" s="17">
        <v>0.21791769999999999</v>
      </c>
      <c r="J26" s="25">
        <f t="shared" si="8"/>
        <v>414.02471999999995</v>
      </c>
      <c r="K26" s="25">
        <f t="shared" si="9"/>
        <v>405.01527999999996</v>
      </c>
      <c r="R26">
        <v>1.1000000000000001</v>
      </c>
      <c r="S26" s="17">
        <v>0.15902959999999999</v>
      </c>
      <c r="T26" s="17">
        <v>9.7251589999999999E-2</v>
      </c>
      <c r="U26" s="17">
        <v>0.38019969999999997</v>
      </c>
      <c r="V26" s="17">
        <v>0.32827099999999998</v>
      </c>
      <c r="W26" s="17">
        <v>0.51809210000000006</v>
      </c>
      <c r="X26" s="17">
        <v>0.43297750000000002</v>
      </c>
      <c r="Y26" s="17">
        <v>0.66375890000000004</v>
      </c>
      <c r="Z26" s="17">
        <v>0.52005009999999996</v>
      </c>
      <c r="AA26" s="25">
        <f t="shared" si="10"/>
        <v>414.02471999999995</v>
      </c>
      <c r="AB26" s="25">
        <f t="shared" si="11"/>
        <v>405.01527999999996</v>
      </c>
    </row>
    <row r="27" spans="1:28" x14ac:dyDescent="0.25">
      <c r="A27">
        <v>1.2</v>
      </c>
      <c r="B27" s="17">
        <v>3.1446540000000002E-2</v>
      </c>
      <c r="C27" s="17">
        <v>1.145038E-2</v>
      </c>
      <c r="D27" s="17">
        <v>0.21593290000000001</v>
      </c>
      <c r="E27" s="17">
        <v>7.3131959999999996E-2</v>
      </c>
      <c r="F27" s="14">
        <v>0.3797217</v>
      </c>
      <c r="G27" s="14">
        <v>0.1254545</v>
      </c>
      <c r="H27" s="17">
        <v>0.55069820000000003</v>
      </c>
      <c r="I27" s="17">
        <v>0.19128329999999999</v>
      </c>
      <c r="J27" s="25">
        <f t="shared" si="8"/>
        <v>414.43423999999999</v>
      </c>
      <c r="K27" s="25">
        <f t="shared" si="9"/>
        <v>404.60575999999998</v>
      </c>
      <c r="R27">
        <v>1.2</v>
      </c>
      <c r="S27" s="17">
        <v>0.12398919999999999</v>
      </c>
      <c r="T27" s="17">
        <v>7.3995770000000002E-2</v>
      </c>
      <c r="U27" s="17">
        <v>0.33527449999999998</v>
      </c>
      <c r="V27" s="17">
        <v>0.28154210000000002</v>
      </c>
      <c r="W27" s="17">
        <v>0.4769737</v>
      </c>
      <c r="X27" s="17">
        <v>0.38671410000000001</v>
      </c>
      <c r="Y27" s="17">
        <v>0.63045200000000001</v>
      </c>
      <c r="Z27" s="17">
        <v>0.47619050000000002</v>
      </c>
      <c r="AA27" s="25">
        <f t="shared" si="10"/>
        <v>414.43423999999999</v>
      </c>
      <c r="AB27" s="25">
        <f t="shared" si="11"/>
        <v>404.60575999999998</v>
      </c>
    </row>
    <row r="28" spans="1:28" x14ac:dyDescent="0.25">
      <c r="A28">
        <v>1.3</v>
      </c>
      <c r="B28" s="17">
        <v>2.044025E-2</v>
      </c>
      <c r="C28" s="17">
        <v>6.3613230000000003E-3</v>
      </c>
      <c r="D28" s="17">
        <v>0.1754018</v>
      </c>
      <c r="E28" s="17">
        <v>5.8823529999999999E-2</v>
      </c>
      <c r="F28" s="14">
        <v>0.33399600000000002</v>
      </c>
      <c r="G28" s="14">
        <v>0.1018182</v>
      </c>
      <c r="H28" s="17">
        <v>0.50819669999999995</v>
      </c>
      <c r="I28" s="17">
        <v>0.157385</v>
      </c>
      <c r="J28" s="25">
        <f t="shared" si="8"/>
        <v>414.84375999999992</v>
      </c>
      <c r="K28" s="25">
        <f t="shared" si="9"/>
        <v>404.19623999999999</v>
      </c>
      <c r="R28">
        <v>1.3</v>
      </c>
      <c r="S28" s="17">
        <v>9.6136570000000005E-2</v>
      </c>
      <c r="T28" s="17">
        <v>6.3424949999999994E-2</v>
      </c>
      <c r="U28" s="17">
        <v>0.29866890000000001</v>
      </c>
      <c r="V28" s="17">
        <v>0.239486</v>
      </c>
      <c r="W28" s="17">
        <v>0.4399671</v>
      </c>
      <c r="X28" s="17">
        <v>0.3380783</v>
      </c>
      <c r="Y28" s="17">
        <v>0.60666140000000002</v>
      </c>
      <c r="Z28" s="17">
        <v>0.45739350000000001</v>
      </c>
      <c r="AA28" s="25">
        <f t="shared" si="10"/>
        <v>414.84375999999992</v>
      </c>
      <c r="AB28" s="25">
        <f t="shared" si="11"/>
        <v>404.19623999999999</v>
      </c>
    </row>
    <row r="29" spans="1:28" x14ac:dyDescent="0.25">
      <c r="A29">
        <v>1.4</v>
      </c>
      <c r="B29" s="17">
        <v>1.0220129999999999E-2</v>
      </c>
      <c r="C29" s="17">
        <v>2.5445289999999998E-3</v>
      </c>
      <c r="D29" s="17">
        <v>0.13766600000000001</v>
      </c>
      <c r="E29" s="17">
        <v>4.6104930000000002E-2</v>
      </c>
      <c r="F29" s="14">
        <v>0.29489729999999997</v>
      </c>
      <c r="G29" s="14">
        <v>8.1818180000000004E-2</v>
      </c>
      <c r="H29" s="17">
        <v>0.46873100000000001</v>
      </c>
      <c r="I29" s="17">
        <v>0.13801450000000001</v>
      </c>
      <c r="J29" s="25">
        <f t="shared" si="8"/>
        <v>415.25327999999996</v>
      </c>
      <c r="K29" s="25">
        <f t="shared" si="9"/>
        <v>403.78672</v>
      </c>
      <c r="R29">
        <v>1.4</v>
      </c>
      <c r="S29" s="17">
        <v>7.2776279999999999E-2</v>
      </c>
      <c r="T29" s="17">
        <v>4.756871E-2</v>
      </c>
      <c r="U29" s="17">
        <v>0.26705489999999998</v>
      </c>
      <c r="V29" s="17">
        <v>0.21144859999999999</v>
      </c>
      <c r="W29" s="17">
        <v>0.4029605</v>
      </c>
      <c r="X29" s="17">
        <v>0.29655989999999999</v>
      </c>
      <c r="Y29" s="17">
        <v>0.5844568</v>
      </c>
      <c r="Z29" s="17">
        <v>0.4210526</v>
      </c>
      <c r="AA29" s="25">
        <f t="shared" si="10"/>
        <v>415.25327999999996</v>
      </c>
      <c r="AB29" s="25">
        <f t="shared" si="11"/>
        <v>403.78672</v>
      </c>
    </row>
    <row r="30" spans="1:28" x14ac:dyDescent="0.25">
      <c r="A30">
        <v>1.5</v>
      </c>
      <c r="B30" s="17">
        <v>6.2893080000000004E-3</v>
      </c>
      <c r="C30" s="17">
        <v>0</v>
      </c>
      <c r="D30" s="17">
        <v>0.1125087</v>
      </c>
      <c r="E30" s="17">
        <v>3.4976149999999998E-2</v>
      </c>
      <c r="F30" s="14">
        <v>0.25911200000000001</v>
      </c>
      <c r="G30" s="14">
        <v>7.2727269999999997E-2</v>
      </c>
      <c r="H30" s="17">
        <v>0.4335155</v>
      </c>
      <c r="I30" s="17">
        <v>0.1186441</v>
      </c>
      <c r="J30" s="25">
        <f t="shared" si="8"/>
        <v>415.66279999999995</v>
      </c>
      <c r="K30" s="25">
        <f t="shared" si="9"/>
        <v>403.37719999999996</v>
      </c>
      <c r="R30">
        <v>1.5</v>
      </c>
      <c r="S30" s="17">
        <v>5.6603769999999998E-2</v>
      </c>
      <c r="T30" s="17">
        <v>3.488372E-2</v>
      </c>
      <c r="U30" s="17">
        <v>0.23460900000000001</v>
      </c>
      <c r="V30" s="17">
        <v>0.17406540000000001</v>
      </c>
      <c r="W30" s="17">
        <v>0.3692434</v>
      </c>
      <c r="X30" s="17">
        <v>0.27639380000000002</v>
      </c>
      <c r="Y30" s="17">
        <v>0.55432199999999998</v>
      </c>
      <c r="Z30" s="17">
        <v>0.38471179999999999</v>
      </c>
      <c r="AA30" s="25">
        <f t="shared" si="10"/>
        <v>415.66279999999995</v>
      </c>
      <c r="AB30" s="25">
        <f t="shared" si="11"/>
        <v>403.37719999999996</v>
      </c>
    </row>
    <row r="31" spans="1:28" x14ac:dyDescent="0.25">
      <c r="A31">
        <v>1.6</v>
      </c>
      <c r="B31" s="17">
        <v>4.7169810000000003E-3</v>
      </c>
      <c r="C31" s="17"/>
      <c r="D31" s="17">
        <v>9.4339619999999999E-2</v>
      </c>
      <c r="E31" s="17">
        <v>2.702703E-2</v>
      </c>
      <c r="F31" s="14">
        <v>0.21272369999999999</v>
      </c>
      <c r="G31" s="14">
        <v>4.5454550000000003E-2</v>
      </c>
      <c r="H31" s="17">
        <v>0.40255010000000002</v>
      </c>
      <c r="I31" s="17">
        <v>0.10411620000000001</v>
      </c>
      <c r="J31" s="25">
        <f t="shared" si="8"/>
        <v>416.07231999999999</v>
      </c>
      <c r="K31" s="25">
        <f t="shared" si="9"/>
        <v>402.96767999999997</v>
      </c>
      <c r="R31">
        <v>1.6</v>
      </c>
      <c r="S31" s="17">
        <v>4.7619050000000003E-2</v>
      </c>
      <c r="T31" s="17">
        <v>2.536998E-2</v>
      </c>
      <c r="U31" s="17">
        <v>0.21297840000000001</v>
      </c>
      <c r="V31" s="17">
        <v>0.14135510000000001</v>
      </c>
      <c r="W31" s="17">
        <v>0.3379934</v>
      </c>
      <c r="X31" s="17">
        <v>0.23962040000000001</v>
      </c>
      <c r="Y31" s="17">
        <v>0.52815230000000002</v>
      </c>
      <c r="Z31" s="17">
        <v>0.36215540000000002</v>
      </c>
      <c r="AA31" s="25">
        <f t="shared" si="10"/>
        <v>416.07231999999999</v>
      </c>
      <c r="AB31" s="25">
        <f t="shared" si="11"/>
        <v>402.96767999999997</v>
      </c>
    </row>
    <row r="32" spans="1:28" x14ac:dyDescent="0.25">
      <c r="A32">
        <v>1.7</v>
      </c>
      <c r="B32" s="17">
        <v>3.1446540000000002E-3</v>
      </c>
      <c r="C32" s="17"/>
      <c r="D32" s="17">
        <v>7.3375259999999998E-2</v>
      </c>
      <c r="E32" s="17">
        <v>2.2257550000000001E-2</v>
      </c>
      <c r="F32" s="14">
        <v>0.18157719999999999</v>
      </c>
      <c r="G32" s="14">
        <v>4.5454550000000003E-2</v>
      </c>
      <c r="H32" s="17">
        <v>0.3776563</v>
      </c>
      <c r="I32" s="17">
        <v>9.2009690000000005E-2</v>
      </c>
      <c r="J32" s="25">
        <f t="shared" si="8"/>
        <v>416.48183999999992</v>
      </c>
      <c r="K32" s="25">
        <f t="shared" si="9"/>
        <v>402.55815999999999</v>
      </c>
      <c r="R32">
        <v>1.7</v>
      </c>
      <c r="S32" s="17">
        <v>3.234501E-2</v>
      </c>
      <c r="T32" s="17">
        <v>1.7970400000000001E-2</v>
      </c>
      <c r="U32" s="17">
        <v>0.1846922</v>
      </c>
      <c r="V32" s="17">
        <v>0.1226636</v>
      </c>
      <c r="W32" s="17">
        <v>0.3125</v>
      </c>
      <c r="X32" s="17">
        <v>0.21352309999999999</v>
      </c>
      <c r="Y32" s="17">
        <v>0.4980174</v>
      </c>
      <c r="Z32" s="17">
        <v>0.3245614</v>
      </c>
      <c r="AA32" s="25">
        <f t="shared" si="10"/>
        <v>416.48183999999992</v>
      </c>
      <c r="AB32" s="25">
        <f t="shared" si="11"/>
        <v>402.55815999999999</v>
      </c>
    </row>
    <row r="33" spans="1:28" x14ac:dyDescent="0.25">
      <c r="A33">
        <v>1.8</v>
      </c>
      <c r="B33" s="17">
        <v>1.5723270000000001E-3</v>
      </c>
      <c r="C33" s="17"/>
      <c r="D33" s="17">
        <v>5.730259E-2</v>
      </c>
      <c r="E33" s="17">
        <v>1.27186E-2</v>
      </c>
      <c r="F33" s="14">
        <v>0.15308150000000001</v>
      </c>
      <c r="G33" s="14">
        <v>3.4545449999999998E-2</v>
      </c>
      <c r="H33" s="17">
        <v>0.34426230000000002</v>
      </c>
      <c r="I33" s="17">
        <v>7.9903150000000006E-2</v>
      </c>
      <c r="J33" s="25">
        <f t="shared" si="8"/>
        <v>416.89135999999996</v>
      </c>
      <c r="K33" s="25">
        <f t="shared" si="9"/>
        <v>402.14864</v>
      </c>
      <c r="R33">
        <v>1.8</v>
      </c>
      <c r="S33" s="17">
        <v>2.4258760000000001E-2</v>
      </c>
      <c r="T33" s="17">
        <v>1.374207E-2</v>
      </c>
      <c r="U33" s="17">
        <v>0.1630616</v>
      </c>
      <c r="V33" s="17">
        <v>0.1098131</v>
      </c>
      <c r="W33" s="17">
        <v>0.2796053</v>
      </c>
      <c r="X33" s="17">
        <v>0.18505340000000001</v>
      </c>
      <c r="Y33" s="17">
        <v>0.47184769999999998</v>
      </c>
      <c r="Z33" s="17">
        <v>0.29573929999999998</v>
      </c>
      <c r="AA33" s="25">
        <f t="shared" si="10"/>
        <v>416.89135999999996</v>
      </c>
      <c r="AB33" s="25">
        <f t="shared" si="11"/>
        <v>402.14864</v>
      </c>
    </row>
    <row r="34" spans="1:28" x14ac:dyDescent="0.25">
      <c r="A34">
        <v>1.9</v>
      </c>
      <c r="B34" s="17">
        <v>7.8616350000000005E-4</v>
      </c>
      <c r="C34" s="17"/>
      <c r="D34" s="17">
        <v>4.4723970000000002E-2</v>
      </c>
      <c r="E34" s="17">
        <v>7.9491260000000008E-3</v>
      </c>
      <c r="F34" s="14">
        <v>0.13055</v>
      </c>
      <c r="G34" s="14">
        <v>2.7272729999999999E-2</v>
      </c>
      <c r="H34" s="17">
        <v>0.31511840000000002</v>
      </c>
      <c r="I34" s="17">
        <v>6.7796609999999993E-2</v>
      </c>
      <c r="J34" s="25">
        <f t="shared" si="8"/>
        <v>417.30087999999995</v>
      </c>
      <c r="K34" s="25">
        <f t="shared" si="9"/>
        <v>401.73911999999996</v>
      </c>
      <c r="R34">
        <v>1.9</v>
      </c>
      <c r="S34" s="17">
        <v>2.0664869999999998E-2</v>
      </c>
      <c r="T34" s="17">
        <v>1.057082E-2</v>
      </c>
      <c r="U34" s="17">
        <v>0.14392679999999999</v>
      </c>
      <c r="V34" s="17">
        <v>9.1121499999999994E-2</v>
      </c>
      <c r="W34" s="17">
        <v>0.2541118</v>
      </c>
      <c r="X34" s="17">
        <v>0.15183869999999999</v>
      </c>
      <c r="Y34" s="17">
        <v>0.44091989999999998</v>
      </c>
      <c r="Z34" s="17">
        <v>0.26691730000000002</v>
      </c>
      <c r="AA34" s="25">
        <f t="shared" si="10"/>
        <v>417.30087999999995</v>
      </c>
      <c r="AB34" s="25">
        <f t="shared" si="11"/>
        <v>401.73911999999996</v>
      </c>
    </row>
    <row r="35" spans="1:28" x14ac:dyDescent="0.25">
      <c r="A35">
        <v>2</v>
      </c>
      <c r="B35" s="17">
        <v>7.8616350000000005E-4</v>
      </c>
      <c r="C35" s="17"/>
      <c r="D35" s="17">
        <v>3.4241790000000001E-2</v>
      </c>
      <c r="E35" s="17">
        <v>6.3593E-3</v>
      </c>
      <c r="F35" s="14">
        <v>0.1126574</v>
      </c>
      <c r="G35" s="14">
        <v>1.8181820000000001E-2</v>
      </c>
      <c r="H35" s="17">
        <v>0.2890103</v>
      </c>
      <c r="I35" s="17">
        <v>5.326877E-2</v>
      </c>
      <c r="J35" s="25">
        <f t="shared" si="8"/>
        <v>417.71039999999999</v>
      </c>
      <c r="K35" s="25">
        <f t="shared" si="9"/>
        <v>401.32959999999997</v>
      </c>
      <c r="R35">
        <v>2</v>
      </c>
      <c r="S35" s="17">
        <v>1.3477090000000001E-2</v>
      </c>
      <c r="T35" s="17">
        <v>7.3995770000000001E-3</v>
      </c>
      <c r="U35" s="17">
        <v>0.13311149999999999</v>
      </c>
      <c r="V35" s="17">
        <v>8.0607479999999995E-2</v>
      </c>
      <c r="W35" s="17">
        <v>0.2245066</v>
      </c>
      <c r="X35" s="17">
        <v>0.1399763</v>
      </c>
      <c r="Y35" s="17">
        <v>0.41078510000000001</v>
      </c>
      <c r="Z35" s="17">
        <v>0.23934839999999999</v>
      </c>
      <c r="AA35" s="25">
        <f t="shared" si="10"/>
        <v>417.71039999999999</v>
      </c>
      <c r="AB35" s="25">
        <f t="shared" si="11"/>
        <v>401.32959999999997</v>
      </c>
    </row>
    <row r="36" spans="1:28" x14ac:dyDescent="0.25">
      <c r="A36">
        <v>2.1</v>
      </c>
      <c r="B36" s="17">
        <v>7.8616350000000005E-4</v>
      </c>
      <c r="C36" s="17"/>
      <c r="D36" s="17">
        <v>2.4458420000000002E-2</v>
      </c>
      <c r="E36" s="17">
        <v>4.7694749999999996E-3</v>
      </c>
      <c r="F36" s="14">
        <v>9.5427440000000002E-2</v>
      </c>
      <c r="G36" s="14">
        <v>1.454545E-2</v>
      </c>
      <c r="H36" s="17">
        <v>0.26897389999999999</v>
      </c>
      <c r="I36" s="17">
        <v>4.1162230000000001E-2</v>
      </c>
      <c r="J36" s="25">
        <f t="shared" si="8"/>
        <v>418.11991999999992</v>
      </c>
      <c r="K36" s="25">
        <f t="shared" si="9"/>
        <v>400.92007999999998</v>
      </c>
      <c r="R36">
        <v>2.1</v>
      </c>
      <c r="S36" s="17">
        <v>1.168014E-2</v>
      </c>
      <c r="T36" s="17">
        <v>6.3424950000000001E-3</v>
      </c>
      <c r="U36" s="17">
        <v>0.12146419999999999</v>
      </c>
      <c r="V36" s="17">
        <v>6.5420560000000003E-2</v>
      </c>
      <c r="W36" s="17">
        <v>0.2080592</v>
      </c>
      <c r="X36" s="17">
        <v>0.1304864</v>
      </c>
      <c r="Y36" s="17">
        <v>0.3806503</v>
      </c>
      <c r="Z36" s="17">
        <v>0.21177940000000001</v>
      </c>
      <c r="AA36" s="25">
        <f t="shared" si="10"/>
        <v>418.11991999999992</v>
      </c>
      <c r="AB36" s="25">
        <f t="shared" si="11"/>
        <v>400.92007999999998</v>
      </c>
    </row>
    <row r="37" spans="1:28" x14ac:dyDescent="0.25">
      <c r="A37">
        <v>2.2000000000000002</v>
      </c>
      <c r="B37" s="17">
        <v>0</v>
      </c>
      <c r="C37" s="17"/>
      <c r="D37" s="17">
        <v>1.886792E-2</v>
      </c>
      <c r="E37" s="17">
        <v>1.589825E-3</v>
      </c>
      <c r="F37" s="14">
        <v>8.2836320000000005E-2</v>
      </c>
      <c r="G37" s="14">
        <v>1.090909E-2</v>
      </c>
      <c r="H37" s="17">
        <v>0.23740130000000001</v>
      </c>
      <c r="I37" s="17">
        <v>2.1791769999999999E-2</v>
      </c>
      <c r="J37" s="25">
        <f t="shared" si="8"/>
        <v>418.52943999999997</v>
      </c>
      <c r="K37" s="25">
        <f t="shared" si="9"/>
        <v>400.51056</v>
      </c>
      <c r="R37">
        <v>2.2000000000000002</v>
      </c>
      <c r="S37" s="17">
        <v>6.2893080000000004E-3</v>
      </c>
      <c r="T37" s="17">
        <v>5.2854119999999997E-3</v>
      </c>
      <c r="U37" s="17">
        <v>0.1039933</v>
      </c>
      <c r="V37" s="17">
        <v>5.257009E-2</v>
      </c>
      <c r="W37" s="17">
        <v>0.1875</v>
      </c>
      <c r="X37" s="17">
        <v>0.11150649999999999</v>
      </c>
      <c r="Y37" s="17">
        <v>0.35448059999999998</v>
      </c>
      <c r="Z37" s="17">
        <v>0.18922310000000001</v>
      </c>
      <c r="AA37" s="25">
        <f t="shared" si="10"/>
        <v>418.52943999999997</v>
      </c>
      <c r="AB37" s="25">
        <f t="shared" si="11"/>
        <v>400.51056</v>
      </c>
    </row>
    <row r="38" spans="1:28" x14ac:dyDescent="0.25">
      <c r="A38">
        <v>2.2999999999999998</v>
      </c>
      <c r="B38" s="17"/>
      <c r="C38" s="17"/>
      <c r="D38" s="17">
        <v>1.327743E-2</v>
      </c>
      <c r="E38" s="17">
        <v>0</v>
      </c>
      <c r="F38" s="14">
        <v>6.6269049999999996E-2</v>
      </c>
      <c r="G38" s="14">
        <v>5.4545449999999999E-3</v>
      </c>
      <c r="H38" s="17">
        <v>0.2155434</v>
      </c>
      <c r="I38" s="17">
        <v>1.452785E-2</v>
      </c>
      <c r="J38" s="25">
        <f t="shared" si="8"/>
        <v>418.93895999999995</v>
      </c>
      <c r="K38" s="25">
        <f t="shared" si="9"/>
        <v>400.10103999999995</v>
      </c>
      <c r="R38">
        <v>2.2999999999999998</v>
      </c>
      <c r="S38" s="17">
        <v>5.3908360000000004E-3</v>
      </c>
      <c r="T38" s="17">
        <v>2.1141649999999999E-3</v>
      </c>
      <c r="U38" s="17">
        <v>8.5690520000000006E-2</v>
      </c>
      <c r="V38" s="17">
        <v>4.2056070000000001E-2</v>
      </c>
      <c r="W38" s="17">
        <v>0.1768092</v>
      </c>
      <c r="X38" s="17">
        <v>0.1008304</v>
      </c>
      <c r="Y38" s="17">
        <v>0.33624110000000001</v>
      </c>
      <c r="Z38" s="17">
        <v>0.1704261</v>
      </c>
      <c r="AA38" s="25">
        <f t="shared" si="10"/>
        <v>418.93895999999995</v>
      </c>
      <c r="AB38" s="25">
        <f t="shared" si="11"/>
        <v>400.10103999999995</v>
      </c>
    </row>
    <row r="39" spans="1:28" x14ac:dyDescent="0.25">
      <c r="A39">
        <v>2.4</v>
      </c>
      <c r="B39" s="17"/>
      <c r="C39" s="17"/>
      <c r="D39" s="17">
        <v>1.0482180000000001E-2</v>
      </c>
      <c r="E39" s="17"/>
      <c r="F39" s="14">
        <v>5.4340619999999999E-2</v>
      </c>
      <c r="G39" s="14">
        <v>5.4545449999999999E-3</v>
      </c>
      <c r="H39" s="17">
        <v>0.19247120000000001</v>
      </c>
      <c r="I39" s="17">
        <v>1.2106540000000001E-2</v>
      </c>
      <c r="J39" s="25">
        <f t="shared" si="8"/>
        <v>419.34848</v>
      </c>
      <c r="K39" s="25">
        <f t="shared" si="9"/>
        <v>399.69151999999997</v>
      </c>
      <c r="R39">
        <v>2.4</v>
      </c>
      <c r="S39" s="17">
        <v>4.4923630000000001E-3</v>
      </c>
      <c r="T39" s="17">
        <v>2.1141649999999999E-3</v>
      </c>
      <c r="U39" s="17">
        <v>7.8202999999999995E-2</v>
      </c>
      <c r="V39" s="17">
        <v>3.2710280000000001E-2</v>
      </c>
      <c r="W39" s="17">
        <v>0.1603618</v>
      </c>
      <c r="X39" s="17">
        <v>8.7781730000000002E-2</v>
      </c>
      <c r="Y39" s="17">
        <v>0.31958760000000003</v>
      </c>
      <c r="Z39" s="17">
        <v>0.14786969999999999</v>
      </c>
      <c r="AA39" s="25">
        <f t="shared" si="10"/>
        <v>419.34848</v>
      </c>
      <c r="AB39" s="25">
        <f t="shared" si="11"/>
        <v>399.69151999999997</v>
      </c>
    </row>
    <row r="40" spans="1:28" x14ac:dyDescent="0.25">
      <c r="A40">
        <v>2.5</v>
      </c>
      <c r="B40" s="17"/>
      <c r="C40" s="17"/>
      <c r="D40" s="17">
        <v>9.0845560000000006E-3</v>
      </c>
      <c r="E40" s="17"/>
      <c r="F40" s="14">
        <v>3.976143E-2</v>
      </c>
      <c r="G40" s="14">
        <v>3.636364E-3</v>
      </c>
      <c r="H40" s="17">
        <v>0.1748634</v>
      </c>
      <c r="I40" s="17">
        <v>1.2106540000000001E-2</v>
      </c>
      <c r="J40" s="25">
        <f t="shared" si="8"/>
        <v>419.75799999999992</v>
      </c>
      <c r="K40" s="25">
        <f t="shared" si="9"/>
        <v>399.28199999999998</v>
      </c>
      <c r="R40">
        <v>2.5</v>
      </c>
      <c r="S40" s="17">
        <v>2.6954180000000002E-3</v>
      </c>
      <c r="T40" s="17">
        <v>0</v>
      </c>
      <c r="U40" s="17">
        <v>6.9883529999999999E-2</v>
      </c>
      <c r="V40" s="17">
        <v>2.686916E-2</v>
      </c>
      <c r="W40" s="17">
        <v>0.1488487</v>
      </c>
      <c r="X40" s="17">
        <v>6.7615659999999994E-2</v>
      </c>
      <c r="Y40" s="17">
        <v>0.29500399999999999</v>
      </c>
      <c r="Z40" s="17">
        <v>0.122807</v>
      </c>
      <c r="AA40" s="25">
        <f t="shared" si="10"/>
        <v>419.75799999999992</v>
      </c>
      <c r="AB40" s="25">
        <f t="shared" si="11"/>
        <v>399.28199999999998</v>
      </c>
    </row>
    <row r="41" spans="1:28" x14ac:dyDescent="0.25">
      <c r="A41">
        <v>2.6</v>
      </c>
      <c r="B41" s="17"/>
      <c r="C41" s="17"/>
      <c r="D41" s="17">
        <v>6.9881199999999996E-3</v>
      </c>
      <c r="E41" s="17"/>
      <c r="F41" s="14">
        <v>3.4459910000000003E-2</v>
      </c>
      <c r="G41" s="14">
        <v>1.818182E-3</v>
      </c>
      <c r="H41" s="17">
        <v>0.1578628</v>
      </c>
      <c r="I41" s="17">
        <v>9.6852299999999995E-3</v>
      </c>
      <c r="J41" s="25">
        <f t="shared" si="8"/>
        <v>420.16751999999997</v>
      </c>
      <c r="K41" s="25">
        <f t="shared" si="9"/>
        <v>398.87248</v>
      </c>
      <c r="R41">
        <v>2.6</v>
      </c>
      <c r="S41" s="17">
        <v>8.9847259999999997E-4</v>
      </c>
      <c r="T41" s="17"/>
      <c r="U41" s="17">
        <v>5.823627E-2</v>
      </c>
      <c r="V41" s="17">
        <v>2.2196259999999999E-2</v>
      </c>
      <c r="W41" s="17">
        <v>0.1315789</v>
      </c>
      <c r="X41" s="17">
        <v>6.1684460000000003E-2</v>
      </c>
      <c r="Y41" s="17">
        <v>0.27597149999999998</v>
      </c>
      <c r="Z41" s="17">
        <v>0.1090226</v>
      </c>
      <c r="AA41" s="25">
        <f t="shared" si="10"/>
        <v>420.16751999999997</v>
      </c>
      <c r="AB41" s="25">
        <f t="shared" si="11"/>
        <v>398.87248</v>
      </c>
    </row>
    <row r="42" spans="1:28" x14ac:dyDescent="0.25">
      <c r="A42">
        <v>2.7</v>
      </c>
      <c r="B42" s="17"/>
      <c r="C42" s="17"/>
      <c r="D42" s="17">
        <v>5.5904960000000004E-3</v>
      </c>
      <c r="E42" s="17"/>
      <c r="F42" s="14">
        <v>2.9158380000000001E-2</v>
      </c>
      <c r="G42" s="14">
        <v>0</v>
      </c>
      <c r="H42" s="17">
        <v>0.14207649999999999</v>
      </c>
      <c r="I42" s="17">
        <v>7.2639230000000003E-3</v>
      </c>
      <c r="J42" s="25">
        <f t="shared" si="8"/>
        <v>420.57703999999995</v>
      </c>
      <c r="K42" s="25">
        <f t="shared" si="9"/>
        <v>398.46295999999995</v>
      </c>
      <c r="R42">
        <v>2.7</v>
      </c>
      <c r="S42" s="17">
        <v>8.9847259999999997E-4</v>
      </c>
      <c r="T42" s="17"/>
      <c r="U42" s="17">
        <v>5.0748750000000002E-2</v>
      </c>
      <c r="V42" s="17">
        <v>1.7523360000000002E-2</v>
      </c>
      <c r="W42" s="17">
        <v>0.1184211</v>
      </c>
      <c r="X42" s="17">
        <v>4.8635820000000003E-2</v>
      </c>
      <c r="Y42" s="17">
        <v>0.25614589999999998</v>
      </c>
      <c r="Z42" s="17">
        <v>9.2731830000000001E-2</v>
      </c>
      <c r="AA42" s="25">
        <f t="shared" si="10"/>
        <v>420.57703999999995</v>
      </c>
      <c r="AB42" s="25">
        <f t="shared" si="11"/>
        <v>398.46295999999995</v>
      </c>
    </row>
    <row r="43" spans="1:28" x14ac:dyDescent="0.25">
      <c r="A43">
        <v>2.8</v>
      </c>
      <c r="B43" s="17"/>
      <c r="C43" s="17"/>
      <c r="D43" s="17">
        <v>3.4940599999999998E-3</v>
      </c>
      <c r="E43" s="17"/>
      <c r="F43" s="14">
        <v>2.319417E-2</v>
      </c>
      <c r="G43" s="14"/>
      <c r="H43" s="17">
        <v>0.1317547</v>
      </c>
      <c r="I43" s="17">
        <v>7.2639230000000003E-3</v>
      </c>
      <c r="J43" s="25">
        <f t="shared" si="8"/>
        <v>420.98656</v>
      </c>
      <c r="K43" s="25">
        <f t="shared" si="9"/>
        <v>398.05343999999997</v>
      </c>
      <c r="R43">
        <v>2.8</v>
      </c>
      <c r="S43" s="17">
        <v>8.9847259999999997E-4</v>
      </c>
      <c r="T43" s="17"/>
      <c r="U43" s="17">
        <v>4.5757069999999997E-2</v>
      </c>
      <c r="V43" s="17">
        <v>1.2850469999999999E-2</v>
      </c>
      <c r="W43" s="17">
        <v>0.1077303</v>
      </c>
      <c r="X43" s="17">
        <v>4.1518390000000002E-2</v>
      </c>
      <c r="Y43" s="17">
        <v>0.23869940000000001</v>
      </c>
      <c r="Z43" s="17">
        <v>8.77193E-2</v>
      </c>
      <c r="AA43" s="25">
        <f t="shared" si="10"/>
        <v>420.98656</v>
      </c>
      <c r="AB43" s="25">
        <f t="shared" si="11"/>
        <v>398.05343999999997</v>
      </c>
    </row>
    <row r="44" spans="1:28" x14ac:dyDescent="0.25">
      <c r="A44">
        <v>2.9</v>
      </c>
      <c r="B44" s="17"/>
      <c r="C44" s="17"/>
      <c r="D44" s="17">
        <v>2.0964360000000001E-3</v>
      </c>
      <c r="E44" s="17"/>
      <c r="F44" s="14">
        <v>1.7229950000000001E-2</v>
      </c>
      <c r="G44" s="14"/>
      <c r="H44" s="17">
        <v>0.11961140000000001</v>
      </c>
      <c r="I44" s="17">
        <v>7.2639230000000003E-3</v>
      </c>
      <c r="J44" s="25">
        <f t="shared" si="8"/>
        <v>421.39607999999993</v>
      </c>
      <c r="K44" s="25">
        <f t="shared" si="9"/>
        <v>397.64391999999998</v>
      </c>
      <c r="R44">
        <v>2.9</v>
      </c>
      <c r="S44" s="17">
        <v>8.9847259999999997E-4</v>
      </c>
      <c r="T44" s="17"/>
      <c r="U44" s="17">
        <v>3.9933440000000001E-2</v>
      </c>
      <c r="V44" s="17">
        <v>1.0514020000000001E-2</v>
      </c>
      <c r="W44" s="17">
        <v>9.6217109999999995E-2</v>
      </c>
      <c r="X44" s="17">
        <v>3.6773430000000003E-2</v>
      </c>
      <c r="Y44" s="17">
        <v>0.22125300000000001</v>
      </c>
      <c r="Z44" s="17">
        <v>7.5187970000000007E-2</v>
      </c>
      <c r="AA44" s="25">
        <f t="shared" si="10"/>
        <v>421.39607999999993</v>
      </c>
      <c r="AB44" s="25">
        <f t="shared" si="11"/>
        <v>397.64391999999998</v>
      </c>
    </row>
    <row r="45" spans="1:28" x14ac:dyDescent="0.25">
      <c r="A45">
        <v>3</v>
      </c>
      <c r="B45" s="17"/>
      <c r="C45" s="17"/>
      <c r="D45" s="17">
        <v>1.3976240000000001E-3</v>
      </c>
      <c r="E45" s="17"/>
      <c r="F45" s="14">
        <v>1.5241879999999999E-2</v>
      </c>
      <c r="G45" s="14"/>
      <c r="H45" s="17">
        <v>0.10443230000000001</v>
      </c>
      <c r="I45" s="17">
        <v>4.8426149999999998E-3</v>
      </c>
      <c r="J45" s="25">
        <f t="shared" si="8"/>
        <v>421.80559999999997</v>
      </c>
      <c r="K45" s="25">
        <f t="shared" si="9"/>
        <v>397.23439999999999</v>
      </c>
      <c r="R45">
        <v>3</v>
      </c>
      <c r="S45" s="17">
        <v>0</v>
      </c>
      <c r="T45" s="17"/>
      <c r="U45" s="17">
        <v>2.9118140000000001E-2</v>
      </c>
      <c r="V45" s="17">
        <v>8.1775700000000003E-3</v>
      </c>
      <c r="W45" s="17">
        <v>8.7993420000000003E-2</v>
      </c>
      <c r="X45" s="17">
        <v>2.965599E-2</v>
      </c>
      <c r="Y45" s="17">
        <v>0.20539250000000001</v>
      </c>
      <c r="Z45" s="17">
        <v>6.5162910000000004E-2</v>
      </c>
      <c r="AA45" s="25">
        <f t="shared" si="10"/>
        <v>421.80559999999997</v>
      </c>
      <c r="AB45" s="25">
        <f t="shared" si="11"/>
        <v>397.23439999999999</v>
      </c>
    </row>
    <row r="46" spans="1:28" x14ac:dyDescent="0.25">
      <c r="A46">
        <v>3.1</v>
      </c>
      <c r="B46" s="17"/>
      <c r="C46" s="17"/>
      <c r="D46" s="17">
        <v>6.9881200000000004E-4</v>
      </c>
      <c r="E46" s="17"/>
      <c r="F46" s="14">
        <v>9.2776669999999999E-3</v>
      </c>
      <c r="G46" s="14"/>
      <c r="H46" s="17">
        <v>8.8038859999999997E-2</v>
      </c>
      <c r="I46" s="17">
        <v>4.8426149999999998E-3</v>
      </c>
      <c r="J46" s="25">
        <f t="shared" si="8"/>
        <v>422.21511999999996</v>
      </c>
      <c r="K46" s="25">
        <f t="shared" si="9"/>
        <v>396.82487999999995</v>
      </c>
      <c r="R46">
        <v>3.1</v>
      </c>
      <c r="S46" s="17"/>
      <c r="T46" s="17"/>
      <c r="U46" s="17">
        <v>2.6622300000000002E-2</v>
      </c>
      <c r="V46" s="17">
        <v>7.0093459999999996E-3</v>
      </c>
      <c r="W46" s="17">
        <v>7.4835529999999997E-2</v>
      </c>
      <c r="X46" s="17">
        <v>2.4911030000000001E-2</v>
      </c>
      <c r="Y46" s="17">
        <v>0.1903251</v>
      </c>
      <c r="Z46" s="17">
        <v>6.0150380000000003E-2</v>
      </c>
      <c r="AA46" s="25">
        <f t="shared" si="10"/>
        <v>422.21511999999996</v>
      </c>
      <c r="AB46" s="25">
        <f t="shared" si="11"/>
        <v>396.82487999999995</v>
      </c>
    </row>
    <row r="47" spans="1:28" x14ac:dyDescent="0.25">
      <c r="A47">
        <v>3.2</v>
      </c>
      <c r="B47" s="17"/>
      <c r="C47" s="17"/>
      <c r="D47" s="17">
        <v>6.9881200000000004E-4</v>
      </c>
      <c r="E47" s="17"/>
      <c r="F47" s="14">
        <v>7.9522859999999994E-3</v>
      </c>
      <c r="G47" s="14"/>
      <c r="H47" s="17">
        <v>7.7109899999999995E-2</v>
      </c>
      <c r="I47" s="17">
        <v>2.4213080000000001E-3</v>
      </c>
      <c r="J47" s="25">
        <f t="shared" si="8"/>
        <v>422.62464</v>
      </c>
      <c r="K47" s="25">
        <f t="shared" si="9"/>
        <v>396.41535999999996</v>
      </c>
      <c r="R47">
        <v>3.2</v>
      </c>
      <c r="S47" s="17"/>
      <c r="T47" s="17"/>
      <c r="U47" s="17">
        <v>1.996672E-2</v>
      </c>
      <c r="V47" s="17">
        <v>3.5046729999999998E-3</v>
      </c>
      <c r="W47" s="17">
        <v>6.3322370000000003E-2</v>
      </c>
      <c r="X47" s="17">
        <v>1.7793590000000001E-2</v>
      </c>
      <c r="Y47" s="17">
        <v>0.18080889999999999</v>
      </c>
      <c r="Z47" s="17">
        <v>5.3884710000000002E-2</v>
      </c>
      <c r="AA47" s="25">
        <f t="shared" si="10"/>
        <v>422.62464</v>
      </c>
      <c r="AB47" s="25">
        <f t="shared" si="11"/>
        <v>396.41535999999996</v>
      </c>
    </row>
    <row r="48" spans="1:28" x14ac:dyDescent="0.25">
      <c r="A48">
        <v>3.3</v>
      </c>
      <c r="B48" s="17"/>
      <c r="C48" s="17"/>
      <c r="D48" s="17">
        <v>6.9881200000000004E-4</v>
      </c>
      <c r="E48" s="17"/>
      <c r="F48" s="14">
        <v>7.2895959999999997E-3</v>
      </c>
      <c r="G48" s="14"/>
      <c r="H48" s="17">
        <v>6.1323620000000002E-2</v>
      </c>
      <c r="I48" s="17">
        <v>2.4213080000000001E-3</v>
      </c>
      <c r="J48" s="25">
        <f t="shared" si="8"/>
        <v>423.03415999999993</v>
      </c>
      <c r="K48" s="25">
        <f t="shared" si="9"/>
        <v>396.00583999999998</v>
      </c>
      <c r="R48">
        <v>3.3</v>
      </c>
      <c r="S48" s="17"/>
      <c r="T48" s="17"/>
      <c r="U48" s="17">
        <v>1.6638940000000001E-2</v>
      </c>
      <c r="V48" s="17">
        <v>2.336449E-3</v>
      </c>
      <c r="W48" s="17">
        <v>5.345395E-2</v>
      </c>
      <c r="X48" s="17">
        <v>1.18624E-2</v>
      </c>
      <c r="Y48" s="17">
        <v>0.16970660000000001</v>
      </c>
      <c r="Z48" s="17">
        <v>5.1378449999999999E-2</v>
      </c>
      <c r="AA48" s="25">
        <f t="shared" si="10"/>
        <v>423.03415999999993</v>
      </c>
      <c r="AB48" s="25">
        <f t="shared" si="11"/>
        <v>396.00583999999998</v>
      </c>
    </row>
    <row r="49" spans="1:30" x14ac:dyDescent="0.25">
      <c r="A49">
        <v>3.4</v>
      </c>
      <c r="B49" s="17"/>
      <c r="C49" s="17"/>
      <c r="D49" s="17">
        <v>6.9881200000000004E-4</v>
      </c>
      <c r="E49" s="17"/>
      <c r="F49" s="14">
        <v>5.9642150000000001E-3</v>
      </c>
      <c r="G49" s="14"/>
      <c r="H49" s="17">
        <v>4.9787489999999997E-2</v>
      </c>
      <c r="I49" s="17">
        <v>0</v>
      </c>
      <c r="J49" s="25">
        <f t="shared" si="8"/>
        <v>423.44367999999997</v>
      </c>
      <c r="K49" s="25">
        <f t="shared" si="9"/>
        <v>395.59631999999999</v>
      </c>
      <c r="R49">
        <v>3.4</v>
      </c>
      <c r="S49" s="17"/>
      <c r="T49" s="17"/>
      <c r="U49" s="17">
        <v>1.3311150000000001E-2</v>
      </c>
      <c r="V49" s="17">
        <v>2.336449E-3</v>
      </c>
      <c r="W49" s="17">
        <v>4.9342110000000002E-2</v>
      </c>
      <c r="X49" s="17">
        <v>1.0676160000000001E-2</v>
      </c>
      <c r="Y49" s="17">
        <v>0.15781129999999999</v>
      </c>
      <c r="Z49" s="17">
        <v>4.0100249999999997E-2</v>
      </c>
      <c r="AA49" s="25">
        <f t="shared" si="10"/>
        <v>423.44367999999997</v>
      </c>
      <c r="AB49" s="25">
        <f t="shared" si="11"/>
        <v>395.59631999999999</v>
      </c>
    </row>
    <row r="50" spans="1:30" x14ac:dyDescent="0.25">
      <c r="A50">
        <v>3.5</v>
      </c>
      <c r="B50" s="17"/>
      <c r="C50" s="17"/>
      <c r="D50" s="17">
        <v>0</v>
      </c>
      <c r="E50" s="17"/>
      <c r="F50" s="14">
        <v>3.3134530000000001E-3</v>
      </c>
      <c r="G50" s="14"/>
      <c r="H50" s="17">
        <v>4.2501520000000001E-2</v>
      </c>
      <c r="I50" s="14"/>
      <c r="J50" s="25">
        <f t="shared" si="8"/>
        <v>423.85319999999996</v>
      </c>
      <c r="K50" s="25">
        <f t="shared" si="9"/>
        <v>395.18679999999995</v>
      </c>
      <c r="R50">
        <v>3.5</v>
      </c>
      <c r="S50" s="17"/>
      <c r="T50" s="17"/>
      <c r="U50" s="17">
        <v>1.2479199999999999E-2</v>
      </c>
      <c r="V50" s="17">
        <v>1.168224E-3</v>
      </c>
      <c r="W50" s="17">
        <v>4.6052629999999997E-2</v>
      </c>
      <c r="X50" s="17">
        <v>7.1174380000000002E-3</v>
      </c>
      <c r="Y50" s="17">
        <v>0.14750199999999999</v>
      </c>
      <c r="Z50" s="17">
        <v>3.2581449999999998E-2</v>
      </c>
      <c r="AA50" s="25">
        <f t="shared" si="10"/>
        <v>423.85319999999996</v>
      </c>
      <c r="AB50" s="25">
        <f t="shared" si="11"/>
        <v>395.18679999999995</v>
      </c>
    </row>
    <row r="51" spans="1:30" x14ac:dyDescent="0.25">
      <c r="A51">
        <v>3.6</v>
      </c>
      <c r="B51" s="17"/>
      <c r="C51" s="17"/>
      <c r="D51" s="14"/>
      <c r="E51" s="14"/>
      <c r="F51" s="14">
        <v>6.6269050000000002E-4</v>
      </c>
      <c r="G51" s="14"/>
      <c r="H51" s="17">
        <v>3.703704E-2</v>
      </c>
      <c r="I51" s="14"/>
      <c r="J51" s="25">
        <f t="shared" si="8"/>
        <v>424.26272</v>
      </c>
      <c r="K51" s="25">
        <f t="shared" si="9"/>
        <v>394.77727999999996</v>
      </c>
      <c r="R51">
        <v>3.6</v>
      </c>
      <c r="S51" s="17"/>
      <c r="T51" s="17"/>
      <c r="U51" s="17">
        <v>9.9833609999999996E-3</v>
      </c>
      <c r="V51" s="17">
        <v>1.168224E-3</v>
      </c>
      <c r="W51" s="17">
        <v>3.9473679999999997E-2</v>
      </c>
      <c r="X51" s="17">
        <v>7.1174380000000002E-3</v>
      </c>
      <c r="Y51" s="17">
        <v>0.1356067</v>
      </c>
      <c r="Z51" s="17">
        <v>2.6315789999999999E-2</v>
      </c>
      <c r="AA51" s="25">
        <f t="shared" si="10"/>
        <v>424.26272</v>
      </c>
      <c r="AB51" s="25">
        <f t="shared" si="11"/>
        <v>394.77727999999996</v>
      </c>
    </row>
    <row r="52" spans="1:30" x14ac:dyDescent="0.25">
      <c r="A52">
        <v>3.7</v>
      </c>
      <c r="B52" s="17"/>
      <c r="C52" s="17"/>
      <c r="D52" s="14"/>
      <c r="E52" s="14"/>
      <c r="F52" s="14">
        <v>6.6269050000000002E-4</v>
      </c>
      <c r="G52" s="14"/>
      <c r="H52" s="17">
        <v>3.0965389999999999E-2</v>
      </c>
      <c r="I52" s="14"/>
      <c r="J52" s="25">
        <f t="shared" si="8"/>
        <v>424.67223999999993</v>
      </c>
      <c r="K52" s="25">
        <f t="shared" si="9"/>
        <v>394.36775999999998</v>
      </c>
      <c r="R52">
        <v>3.7</v>
      </c>
      <c r="S52" s="17"/>
      <c r="T52" s="17"/>
      <c r="U52" s="17">
        <v>9.1514140000000001E-3</v>
      </c>
      <c r="V52" s="17">
        <v>1.168224E-3</v>
      </c>
      <c r="W52" s="17">
        <v>3.7006579999999997E-2</v>
      </c>
      <c r="X52" s="17">
        <v>4.7449579999999996E-3</v>
      </c>
      <c r="Y52" s="17">
        <v>0.1276764</v>
      </c>
      <c r="Z52" s="17">
        <v>2.506266E-2</v>
      </c>
      <c r="AA52" s="25">
        <f t="shared" si="10"/>
        <v>424.67223999999993</v>
      </c>
      <c r="AB52" s="25">
        <f t="shared" si="11"/>
        <v>394.36775999999998</v>
      </c>
    </row>
    <row r="53" spans="1:30" x14ac:dyDescent="0.25">
      <c r="A53">
        <v>3.8</v>
      </c>
      <c r="B53" s="17"/>
      <c r="C53" s="17"/>
      <c r="D53" s="14"/>
      <c r="E53" s="14"/>
      <c r="F53" s="14">
        <v>6.6269050000000002E-4</v>
      </c>
      <c r="G53" s="14"/>
      <c r="H53" s="17">
        <v>2.7929570000000001E-2</v>
      </c>
      <c r="I53" s="14"/>
      <c r="J53" s="25">
        <f t="shared" si="8"/>
        <v>425.08175999999997</v>
      </c>
      <c r="K53" s="25">
        <f t="shared" si="9"/>
        <v>393.95823999999999</v>
      </c>
      <c r="R53">
        <v>3.8</v>
      </c>
      <c r="S53" s="17"/>
      <c r="T53" s="17"/>
      <c r="U53" s="17">
        <v>8.319468E-3</v>
      </c>
      <c r="V53" s="17">
        <v>1.168224E-3</v>
      </c>
      <c r="W53" s="17">
        <v>3.2072370000000003E-2</v>
      </c>
      <c r="X53" s="17">
        <v>3.5587190000000001E-3</v>
      </c>
      <c r="Y53" s="17">
        <v>0.1213323</v>
      </c>
      <c r="Z53" s="17">
        <v>2.0050129999999999E-2</v>
      </c>
      <c r="AA53" s="25">
        <f t="shared" si="10"/>
        <v>425.08175999999997</v>
      </c>
      <c r="AB53" s="25">
        <f t="shared" si="11"/>
        <v>393.95823999999999</v>
      </c>
    </row>
    <row r="54" spans="1:30" x14ac:dyDescent="0.25">
      <c r="A54">
        <v>3.9</v>
      </c>
      <c r="B54" s="17"/>
      <c r="C54" s="17"/>
      <c r="D54" s="14"/>
      <c r="E54" s="14"/>
      <c r="F54" s="14">
        <v>6.6269050000000002E-4</v>
      </c>
      <c r="G54" s="14"/>
      <c r="H54" s="17">
        <v>2.367942E-2</v>
      </c>
      <c r="I54" s="14"/>
      <c r="J54" s="25">
        <f t="shared" si="8"/>
        <v>425.49127999999996</v>
      </c>
      <c r="K54" s="25">
        <f t="shared" si="9"/>
        <v>393.54871999999995</v>
      </c>
      <c r="R54">
        <v>3.9</v>
      </c>
      <c r="S54" s="17"/>
      <c r="T54" s="17"/>
      <c r="U54" s="17">
        <v>7.4875209999999996E-3</v>
      </c>
      <c r="V54" s="17">
        <v>0</v>
      </c>
      <c r="W54" s="17">
        <v>2.7138160000000001E-2</v>
      </c>
      <c r="X54" s="17">
        <v>1.1862400000000001E-3</v>
      </c>
      <c r="Y54" s="17">
        <v>0.112609</v>
      </c>
      <c r="Z54" s="17">
        <v>1.378446E-2</v>
      </c>
      <c r="AA54" s="25">
        <f t="shared" si="10"/>
        <v>425.49127999999996</v>
      </c>
      <c r="AB54" s="25">
        <f t="shared" si="11"/>
        <v>393.54871999999995</v>
      </c>
    </row>
    <row r="55" spans="1:30" x14ac:dyDescent="0.25">
      <c r="A55">
        <v>4</v>
      </c>
      <c r="B55" s="17"/>
      <c r="C55" s="17"/>
      <c r="D55" s="14"/>
      <c r="E55" s="14"/>
      <c r="F55" s="14">
        <v>6.6269050000000002E-4</v>
      </c>
      <c r="G55" s="14"/>
      <c r="H55" s="17">
        <v>2.064359E-2</v>
      </c>
      <c r="I55" s="14"/>
      <c r="J55" s="25">
        <f t="shared" si="8"/>
        <v>425.9008</v>
      </c>
      <c r="K55" s="25">
        <f t="shared" si="9"/>
        <v>393.13919999999996</v>
      </c>
      <c r="R55">
        <v>4</v>
      </c>
      <c r="S55" s="17"/>
      <c r="T55" s="17"/>
      <c r="U55" s="17">
        <v>5.8236269999999996E-3</v>
      </c>
      <c r="V55" s="17"/>
      <c r="W55" s="17">
        <v>2.3026319999999999E-2</v>
      </c>
      <c r="X55" s="17">
        <v>0</v>
      </c>
      <c r="Y55" s="17">
        <v>0.1022998</v>
      </c>
      <c r="Z55" s="17">
        <v>8.7719300000000007E-3</v>
      </c>
      <c r="AA55" s="25">
        <f t="shared" si="10"/>
        <v>425.9008</v>
      </c>
      <c r="AB55" s="25">
        <f t="shared" si="11"/>
        <v>393.13919999999996</v>
      </c>
    </row>
    <row r="56" spans="1:30" x14ac:dyDescent="0.25">
      <c r="A56">
        <v>4.0999999999999996</v>
      </c>
      <c r="B56" s="17"/>
      <c r="C56" s="17"/>
      <c r="D56" s="14"/>
      <c r="E56" s="14"/>
      <c r="F56" s="14">
        <v>6.6269050000000002E-4</v>
      </c>
      <c r="G56" s="14"/>
      <c r="H56" s="17">
        <v>1.7607769999999998E-2</v>
      </c>
      <c r="I56" s="14"/>
      <c r="J56" s="25">
        <f t="shared" si="8"/>
        <v>426.31031999999993</v>
      </c>
      <c r="K56" s="25">
        <f t="shared" si="9"/>
        <v>392.72967999999997</v>
      </c>
      <c r="R56">
        <v>4.0999999999999996</v>
      </c>
      <c r="S56" s="17"/>
      <c r="T56" s="17"/>
      <c r="U56" s="17">
        <v>4.9916810000000004E-3</v>
      </c>
      <c r="V56" s="17"/>
      <c r="W56" s="17">
        <v>2.220395E-2</v>
      </c>
      <c r="X56" s="17">
        <v>0</v>
      </c>
      <c r="Y56" s="17">
        <v>9.8334660000000004E-2</v>
      </c>
      <c r="Z56" s="17">
        <v>8.7719300000000007E-3</v>
      </c>
      <c r="AA56" s="25">
        <f t="shared" si="10"/>
        <v>426.31031999999993</v>
      </c>
      <c r="AB56" s="25">
        <f t="shared" si="11"/>
        <v>392.72967999999997</v>
      </c>
    </row>
    <row r="57" spans="1:30" x14ac:dyDescent="0.25">
      <c r="A57">
        <v>4.2</v>
      </c>
      <c r="B57" s="17"/>
      <c r="C57" s="17"/>
      <c r="D57" s="14"/>
      <c r="E57" s="14"/>
      <c r="F57" s="14">
        <v>6.6269050000000002E-4</v>
      </c>
      <c r="G57" s="14"/>
      <c r="H57" s="17">
        <v>1.578628E-2</v>
      </c>
      <c r="I57" s="14"/>
      <c r="J57" s="25">
        <f t="shared" si="8"/>
        <v>426.71983999999998</v>
      </c>
      <c r="K57" s="25">
        <f t="shared" si="9"/>
        <v>392.32015999999999</v>
      </c>
      <c r="R57">
        <v>4.2</v>
      </c>
      <c r="S57" s="17"/>
      <c r="T57" s="17"/>
      <c r="U57" s="17">
        <v>4.9916810000000004E-3</v>
      </c>
      <c r="V57" s="17"/>
      <c r="W57" s="17">
        <v>1.9736839999999999E-2</v>
      </c>
      <c r="X57" s="17">
        <v>0</v>
      </c>
      <c r="Y57" s="17">
        <v>8.6439329999999995E-2</v>
      </c>
      <c r="Z57" s="17">
        <v>7.5187969999999998E-3</v>
      </c>
      <c r="AA57" s="25">
        <f t="shared" si="10"/>
        <v>426.71983999999998</v>
      </c>
      <c r="AB57" s="25">
        <f t="shared" si="11"/>
        <v>392.32015999999999</v>
      </c>
    </row>
    <row r="58" spans="1:30" x14ac:dyDescent="0.25">
      <c r="A58">
        <v>4.3</v>
      </c>
      <c r="B58" s="17"/>
      <c r="C58" s="17"/>
      <c r="D58" s="14"/>
      <c r="E58" s="14"/>
      <c r="F58" s="14">
        <v>0</v>
      </c>
      <c r="G58" s="14"/>
      <c r="H58" s="17">
        <v>1.578628E-2</v>
      </c>
      <c r="I58" s="14"/>
      <c r="J58" s="25">
        <f t="shared" si="8"/>
        <v>427.12935999999996</v>
      </c>
      <c r="K58" s="25">
        <f t="shared" si="9"/>
        <v>391.91063999999994</v>
      </c>
      <c r="R58">
        <v>4.3</v>
      </c>
      <c r="S58" s="17"/>
      <c r="T58" s="17"/>
      <c r="U58" s="17">
        <v>3.327787E-3</v>
      </c>
      <c r="V58" s="17"/>
      <c r="W58" s="17">
        <v>1.7269739999999999E-2</v>
      </c>
      <c r="X58" s="17">
        <v>0</v>
      </c>
      <c r="Y58" s="17">
        <v>7.6130059999999999E-2</v>
      </c>
      <c r="Z58" s="17">
        <v>7.5187969999999998E-3</v>
      </c>
      <c r="AA58" s="25">
        <f t="shared" si="10"/>
        <v>427.12935999999996</v>
      </c>
      <c r="AB58" s="25">
        <f t="shared" si="11"/>
        <v>391.91063999999994</v>
      </c>
    </row>
    <row r="59" spans="1:30" x14ac:dyDescent="0.25">
      <c r="A59">
        <v>4.4000000000000004</v>
      </c>
      <c r="B59" s="17"/>
      <c r="C59" s="17"/>
      <c r="D59" s="14"/>
      <c r="E59" s="14"/>
      <c r="F59" s="14"/>
      <c r="G59" s="14"/>
      <c r="H59" s="17">
        <v>1.3357620000000001E-2</v>
      </c>
      <c r="I59" s="14"/>
      <c r="J59" s="25">
        <f t="shared" si="8"/>
        <v>427.53888000000001</v>
      </c>
      <c r="K59" s="25">
        <f t="shared" si="9"/>
        <v>391.50111999999996</v>
      </c>
      <c r="R59">
        <v>4.4000000000000004</v>
      </c>
      <c r="S59" s="17"/>
      <c r="T59" s="17"/>
      <c r="U59" s="17">
        <v>2.49584E-3</v>
      </c>
      <c r="V59" s="17"/>
      <c r="W59" s="17">
        <v>1.4802630000000001E-2</v>
      </c>
      <c r="X59" s="17">
        <v>0</v>
      </c>
      <c r="Y59" s="17">
        <v>6.9785879999999995E-2</v>
      </c>
      <c r="Z59" s="17">
        <v>7.5187969999999998E-3</v>
      </c>
      <c r="AA59" s="25">
        <f t="shared" si="10"/>
        <v>427.53888000000001</v>
      </c>
      <c r="AB59" s="25">
        <f t="shared" si="11"/>
        <v>391.50111999999996</v>
      </c>
    </row>
    <row r="60" spans="1:30" x14ac:dyDescent="0.25">
      <c r="A60">
        <v>4.5</v>
      </c>
      <c r="B60" s="17"/>
      <c r="C60" s="17"/>
      <c r="D60" s="14"/>
      <c r="E60" s="14"/>
      <c r="F60" s="14"/>
      <c r="G60" s="14"/>
      <c r="H60" s="17">
        <v>1.2143289999999999E-2</v>
      </c>
      <c r="I60" s="14"/>
      <c r="J60" s="25"/>
      <c r="K60" s="25"/>
      <c r="R60">
        <v>4.5</v>
      </c>
      <c r="S60" s="17"/>
      <c r="T60" s="17"/>
      <c r="U60" s="17">
        <v>2.49584E-3</v>
      </c>
      <c r="V60" s="17"/>
      <c r="W60" s="17">
        <v>1.315789E-2</v>
      </c>
      <c r="X60" s="17">
        <v>0</v>
      </c>
      <c r="Y60" s="17">
        <v>6.5027760000000004E-2</v>
      </c>
      <c r="Z60" s="17">
        <v>3.7593980000000002E-3</v>
      </c>
      <c r="AA60" s="25">
        <f t="shared" si="10"/>
        <v>427.94839999999994</v>
      </c>
      <c r="AB60" s="25">
        <f t="shared" si="11"/>
        <v>391.09159999999997</v>
      </c>
      <c r="AC60" s="25"/>
      <c r="AD60" s="25"/>
    </row>
    <row r="61" spans="1:30" x14ac:dyDescent="0.25">
      <c r="A61">
        <v>4.5999999999999996</v>
      </c>
      <c r="B61" s="17"/>
      <c r="C61" s="17"/>
      <c r="D61" s="14"/>
      <c r="E61" s="14"/>
      <c r="F61" s="14"/>
      <c r="G61" s="14"/>
      <c r="H61" s="14"/>
      <c r="I61" s="14"/>
      <c r="J61" s="25"/>
      <c r="K61" s="25"/>
      <c r="R61">
        <v>4.5999999999999996</v>
      </c>
      <c r="S61" s="17"/>
      <c r="T61" s="17"/>
      <c r="U61" s="14"/>
      <c r="V61" s="14"/>
      <c r="W61" s="14"/>
      <c r="X61" s="14"/>
      <c r="Y61" s="14"/>
      <c r="Z61" s="14"/>
      <c r="AA61" s="14"/>
      <c r="AB61" s="14"/>
      <c r="AC61" s="25"/>
      <c r="AD61" s="25"/>
    </row>
    <row r="62" spans="1:30" x14ac:dyDescent="0.25">
      <c r="A62" t="s">
        <v>27</v>
      </c>
      <c r="B62">
        <v>1.7</v>
      </c>
      <c r="C62">
        <v>0.8</v>
      </c>
      <c r="D62">
        <v>4.2</v>
      </c>
      <c r="E62">
        <v>1.6</v>
      </c>
      <c r="F62" s="25">
        <v>7</v>
      </c>
      <c r="G62">
        <v>2</v>
      </c>
      <c r="H62">
        <v>13.1</v>
      </c>
      <c r="I62">
        <v>2.8</v>
      </c>
      <c r="J62" s="14"/>
      <c r="K62" s="14"/>
      <c r="L62" s="25"/>
      <c r="M62" s="25"/>
      <c r="R62" t="s">
        <v>27</v>
      </c>
      <c r="S62">
        <v>1.6</v>
      </c>
      <c r="T62">
        <v>1.2</v>
      </c>
      <c r="U62">
        <v>4.5</v>
      </c>
      <c r="V62">
        <v>2.1</v>
      </c>
      <c r="W62" s="25">
        <v>5.9</v>
      </c>
      <c r="X62">
        <v>3.2</v>
      </c>
      <c r="Y62">
        <v>12</v>
      </c>
      <c r="Z62">
        <v>5</v>
      </c>
      <c r="AA62" s="14"/>
      <c r="AB62" s="14"/>
      <c r="AC62" s="25"/>
      <c r="AD62" s="25"/>
    </row>
    <row r="63" spans="1:30" x14ac:dyDescent="0.25">
      <c r="A63" t="s">
        <v>26</v>
      </c>
      <c r="B63">
        <v>2</v>
      </c>
      <c r="C63">
        <v>1</v>
      </c>
      <c r="D63">
        <v>4</v>
      </c>
      <c r="E63">
        <v>2</v>
      </c>
      <c r="F63" s="25">
        <v>6</v>
      </c>
      <c r="G63">
        <v>2</v>
      </c>
      <c r="H63">
        <v>7</v>
      </c>
      <c r="I63">
        <v>2</v>
      </c>
      <c r="J63" s="14"/>
      <c r="K63" s="14"/>
      <c r="R63" t="s">
        <v>26</v>
      </c>
      <c r="S63">
        <v>2</v>
      </c>
      <c r="T63">
        <v>1</v>
      </c>
      <c r="U63">
        <v>3</v>
      </c>
      <c r="V63">
        <v>2</v>
      </c>
      <c r="W63" s="25">
        <v>4</v>
      </c>
      <c r="X63">
        <v>3</v>
      </c>
      <c r="Y63">
        <v>3</v>
      </c>
      <c r="Z63">
        <v>3</v>
      </c>
      <c r="AA63" s="14"/>
      <c r="AB63" s="14"/>
      <c r="AC63" s="25"/>
      <c r="AD63" s="25"/>
    </row>
    <row r="64" spans="1:30" x14ac:dyDescent="0.25">
      <c r="A64" t="s">
        <v>25</v>
      </c>
      <c r="B64">
        <v>2.5</v>
      </c>
      <c r="C64">
        <v>1.5</v>
      </c>
      <c r="D64">
        <v>5.3</v>
      </c>
      <c r="E64">
        <v>2.2999999999999998</v>
      </c>
      <c r="F64" s="25">
        <v>7.5</v>
      </c>
      <c r="G64">
        <v>2.8</v>
      </c>
      <c r="H64">
        <v>11.8</v>
      </c>
      <c r="I64">
        <v>3</v>
      </c>
      <c r="J64" s="14"/>
      <c r="K64" s="14"/>
      <c r="L64" s="25"/>
      <c r="R64" t="s">
        <v>25</v>
      </c>
      <c r="S64">
        <v>2.2000000000000002</v>
      </c>
      <c r="T64">
        <v>1.8</v>
      </c>
      <c r="U64">
        <v>4.2</v>
      </c>
      <c r="V64">
        <v>3</v>
      </c>
      <c r="W64" s="25">
        <v>5.7</v>
      </c>
      <c r="X64">
        <v>4</v>
      </c>
      <c r="Y64">
        <v>7.3</v>
      </c>
      <c r="Z64">
        <v>4.5999999999999996</v>
      </c>
      <c r="AA64" s="14"/>
      <c r="AB64" s="14"/>
      <c r="AC64" s="25"/>
      <c r="AD64" s="25"/>
    </row>
    <row r="65" spans="1:30" x14ac:dyDescent="0.25">
      <c r="A65" t="s">
        <v>77</v>
      </c>
      <c r="B65" s="17">
        <v>0.1254826</v>
      </c>
      <c r="C65" s="17">
        <v>0.1237911</v>
      </c>
      <c r="D65" s="17">
        <v>0.14338239999999999</v>
      </c>
      <c r="E65" s="17">
        <v>0.21033209999999999</v>
      </c>
      <c r="F65" s="17">
        <v>0.13432839999999999</v>
      </c>
      <c r="G65" s="17">
        <v>0.16500000000000001</v>
      </c>
      <c r="H65" s="14"/>
      <c r="I65" s="14"/>
      <c r="J65" s="14"/>
      <c r="K65" s="14"/>
      <c r="R65" t="s">
        <v>77</v>
      </c>
      <c r="S65" s="17">
        <v>0.15280460000000001</v>
      </c>
      <c r="T65" s="17">
        <v>8.7209300000000003E-2</v>
      </c>
      <c r="U65" s="17">
        <v>0.1111111</v>
      </c>
      <c r="V65" s="17">
        <v>0.12847220000000001</v>
      </c>
      <c r="W65" s="17">
        <v>0.135514</v>
      </c>
      <c r="X65" s="17">
        <v>0.1361502</v>
      </c>
      <c r="Y65" s="14"/>
      <c r="Z65" s="14"/>
      <c r="AA65" s="14"/>
      <c r="AB65" s="14"/>
      <c r="AC65" s="25"/>
      <c r="AD65" s="25"/>
    </row>
    <row r="66" spans="1:30" x14ac:dyDescent="0.25">
      <c r="A66" t="s">
        <v>78</v>
      </c>
      <c r="B66" s="17">
        <v>0.2142857</v>
      </c>
      <c r="C66" s="17">
        <v>0.1237911</v>
      </c>
      <c r="D66" s="17">
        <v>0.34926469999999998</v>
      </c>
      <c r="E66" s="17">
        <v>0.21033209999999999</v>
      </c>
      <c r="F66" s="17">
        <v>0.36318410000000001</v>
      </c>
      <c r="G66" s="17">
        <v>0.29499999999999998</v>
      </c>
      <c r="H66" s="14"/>
      <c r="I66" s="14"/>
      <c r="J66" s="14"/>
      <c r="K66" s="14"/>
      <c r="L66" s="25"/>
      <c r="M66" s="25"/>
      <c r="R66" t="s">
        <v>78</v>
      </c>
      <c r="S66" s="17">
        <v>0.15280460000000001</v>
      </c>
      <c r="T66" s="17">
        <v>0.21317829999999999</v>
      </c>
      <c r="U66" s="17">
        <v>0.2916667</v>
      </c>
      <c r="V66" s="17">
        <v>0.30555559999999998</v>
      </c>
      <c r="W66" s="17">
        <v>0.36915890000000001</v>
      </c>
      <c r="X66" s="17">
        <v>0.3755869</v>
      </c>
      <c r="Y66" s="14"/>
      <c r="Z66" s="14"/>
      <c r="AA66" s="14"/>
      <c r="AB66" s="14"/>
      <c r="AC66" s="25"/>
      <c r="AD66" s="25"/>
    </row>
    <row r="67" spans="1:30" x14ac:dyDescent="0.25">
      <c r="B67" s="17"/>
      <c r="C67" s="17"/>
      <c r="D67" s="14"/>
      <c r="E67" s="14"/>
      <c r="F67" s="14"/>
      <c r="G67" s="14"/>
      <c r="H67" s="14"/>
      <c r="I67" s="14"/>
      <c r="J67" s="14"/>
      <c r="K67" s="14"/>
      <c r="S67" s="17"/>
      <c r="T67" s="17"/>
      <c r="U67" s="14"/>
      <c r="V67" s="14"/>
      <c r="W67" s="14"/>
      <c r="X67" s="14"/>
      <c r="Y67" s="14"/>
      <c r="Z67" s="14"/>
      <c r="AA67" s="14"/>
      <c r="AB67" s="14"/>
      <c r="AC67" s="25"/>
      <c r="AD67" s="25"/>
    </row>
    <row r="68" spans="1:30" x14ac:dyDescent="0.25">
      <c r="B68" s="17"/>
      <c r="C68" s="17"/>
      <c r="D68" s="14"/>
      <c r="E68" s="14"/>
      <c r="F68" s="14"/>
      <c r="G68" s="14"/>
      <c r="H68" s="14"/>
      <c r="I68" s="14"/>
      <c r="J68" s="14"/>
      <c r="K68" s="14"/>
      <c r="L68" s="25"/>
      <c r="S68" s="17"/>
      <c r="T68" s="17"/>
      <c r="U68" s="14"/>
      <c r="V68" s="14"/>
      <c r="W68" s="14"/>
      <c r="X68" s="14"/>
      <c r="Y68" s="14"/>
      <c r="Z68" s="14"/>
      <c r="AA68" s="14"/>
      <c r="AB68" s="14"/>
      <c r="AC68" s="25"/>
      <c r="AD68" s="25"/>
    </row>
    <row r="69" spans="1:30" x14ac:dyDescent="0.25">
      <c r="B69" s="17"/>
      <c r="C69" s="17"/>
      <c r="D69" s="14"/>
      <c r="E69" s="14"/>
      <c r="F69" s="14"/>
      <c r="G69" s="14"/>
      <c r="H69" s="14"/>
      <c r="I69" s="14"/>
      <c r="J69" s="14"/>
      <c r="K69" s="14"/>
      <c r="S69" s="17"/>
      <c r="T69" s="17"/>
      <c r="U69" s="14"/>
      <c r="V69" s="14"/>
      <c r="W69" s="14"/>
      <c r="X69" s="14"/>
      <c r="Y69" s="14"/>
      <c r="Z69" s="14"/>
      <c r="AA69" s="14"/>
      <c r="AB69" s="14"/>
      <c r="AC69" s="25"/>
      <c r="AD69" s="25"/>
    </row>
    <row r="70" spans="1:30" x14ac:dyDescent="0.25">
      <c r="B70" s="17"/>
      <c r="C70" s="17"/>
      <c r="D70" s="14"/>
      <c r="E70" s="14"/>
      <c r="F70" s="14"/>
      <c r="G70" s="14"/>
      <c r="H70" s="14"/>
      <c r="I70" s="14"/>
      <c r="J70" s="14"/>
      <c r="K70" s="14"/>
      <c r="L70" s="25"/>
      <c r="M70" s="25"/>
      <c r="S70" s="17"/>
      <c r="T70" s="17"/>
      <c r="U70" s="14"/>
      <c r="V70" s="14"/>
      <c r="W70" s="14"/>
      <c r="X70" s="14"/>
      <c r="Y70" s="14"/>
      <c r="Z70" s="14"/>
      <c r="AA70" s="14"/>
      <c r="AB70" s="14"/>
      <c r="AC70" s="25"/>
      <c r="AD70" s="25"/>
    </row>
    <row r="71" spans="1:30" x14ac:dyDescent="0.25">
      <c r="B71" s="17"/>
      <c r="C71" s="17"/>
      <c r="D71" s="14"/>
      <c r="E71" s="14"/>
      <c r="F71" s="14"/>
      <c r="G71" s="14"/>
      <c r="H71" s="14"/>
      <c r="I71" s="14"/>
      <c r="J71" s="14"/>
      <c r="K71" s="14"/>
      <c r="L71" s="25"/>
      <c r="M71" s="25"/>
      <c r="S71" s="17"/>
      <c r="T71" s="17"/>
      <c r="U71" s="14"/>
      <c r="V71" s="14"/>
      <c r="W71" s="14"/>
      <c r="X71" s="14"/>
      <c r="Y71" s="14"/>
      <c r="Z71" s="14"/>
      <c r="AA71" s="14"/>
      <c r="AB71" s="14"/>
      <c r="AC71" s="25"/>
      <c r="AD71" s="25"/>
    </row>
    <row r="72" spans="1:30" x14ac:dyDescent="0.25">
      <c r="B72" s="17"/>
      <c r="C72" s="17"/>
      <c r="D72" s="14"/>
      <c r="E72" s="14"/>
      <c r="F72" s="14"/>
      <c r="G72" s="14"/>
      <c r="H72" s="14"/>
      <c r="I72" s="14"/>
      <c r="J72" s="14"/>
      <c r="K72" s="14"/>
      <c r="L72" s="25"/>
      <c r="M72" s="25"/>
      <c r="S72" s="17"/>
      <c r="T72" s="17"/>
      <c r="U72" s="14"/>
      <c r="V72" s="14"/>
      <c r="W72" s="14"/>
      <c r="X72" s="14"/>
      <c r="Y72" s="14"/>
      <c r="Z72" s="14"/>
      <c r="AA72" s="14"/>
      <c r="AB72" s="14"/>
      <c r="AC72" s="25"/>
      <c r="AD72" s="25"/>
    </row>
    <row r="73" spans="1:30" x14ac:dyDescent="0.25">
      <c r="B73" s="17"/>
      <c r="C73" s="17"/>
      <c r="D73" s="14"/>
      <c r="E73" s="14"/>
      <c r="F73" s="14"/>
      <c r="G73" s="14"/>
      <c r="H73" s="14"/>
      <c r="I73" s="14"/>
      <c r="J73" s="14"/>
      <c r="K73" s="14"/>
      <c r="L73" s="25"/>
      <c r="M73" s="25"/>
      <c r="S73" s="17"/>
      <c r="T73" s="17"/>
      <c r="U73" s="14"/>
      <c r="V73" s="14"/>
      <c r="W73" s="14"/>
      <c r="X73" s="14"/>
      <c r="Y73" s="14"/>
      <c r="Z73" s="14"/>
      <c r="AA73" s="14"/>
      <c r="AB73" s="14"/>
      <c r="AC73" s="25"/>
      <c r="AD73" s="25"/>
    </row>
    <row r="74" spans="1:30" x14ac:dyDescent="0.25">
      <c r="A74" t="s">
        <v>68</v>
      </c>
      <c r="C74" s="14">
        <f>C78/SQRT(3)</f>
        <v>9.5175903200775229E-3</v>
      </c>
      <c r="E74" s="14">
        <f>(E78+1)^(1/3)-1</f>
        <v>5.7703197006153673E-4</v>
      </c>
      <c r="G74" s="14">
        <f>(G78+1)^(1/3)-1</f>
        <v>6.0812377717400778E-4</v>
      </c>
      <c r="H74" s="14"/>
      <c r="I74" s="14"/>
      <c r="L74" s="25"/>
      <c r="M74" s="25"/>
      <c r="S74" s="17"/>
      <c r="T74" t="s">
        <v>68</v>
      </c>
      <c r="V74" s="14">
        <f>V78/SQRT(3)</f>
        <v>1.708979313461791E-2</v>
      </c>
      <c r="X74" s="14">
        <f>(X78+1)^(1/3)-1</f>
        <v>-1.5420634038868508E-3</v>
      </c>
      <c r="Z74" s="14">
        <f>(Z78+1)^(1/3)-1</f>
        <v>-1.2807616501050445E-3</v>
      </c>
    </row>
    <row r="75" spans="1:30" x14ac:dyDescent="0.25">
      <c r="C75" s="14">
        <f>C79/SQRT(5)</f>
        <v>9.1655263642368076E-3</v>
      </c>
      <c r="E75" s="14">
        <f>(E79+1)^(1/5)-1</f>
        <v>5.0793673837801201E-4</v>
      </c>
      <c r="G75" s="14">
        <f>(G79+1)^(1/5)-1</f>
        <v>5.8944749357880966E-4</v>
      </c>
      <c r="H75" s="14"/>
      <c r="I75" s="14"/>
      <c r="L75" s="25"/>
      <c r="M75" s="25"/>
      <c r="S75" s="17"/>
      <c r="V75" s="14">
        <f>V79/SQRT(5)</f>
        <v>1.6654189575058882E-2</v>
      </c>
      <c r="X75" s="14">
        <f>(X79+1)^(1/5)-1</f>
        <v>-1.2722211777704828E-3</v>
      </c>
      <c r="Z75" s="14">
        <f>(Z79+1)^(1/5)-1</f>
        <v>-1.1473190632719232E-3</v>
      </c>
    </row>
    <row r="76" spans="1:30" x14ac:dyDescent="0.25">
      <c r="C76" s="14">
        <f>C80/SQRT(5)</f>
        <v>1.2569680476094847E-2</v>
      </c>
      <c r="E76" s="14">
        <f>(E80+1)^(1/5)-1</f>
        <v>1.0895053681625466E-3</v>
      </c>
      <c r="G76" s="14">
        <f>(G80+1)^(1/5)-1</f>
        <v>1.1997099365697039E-3</v>
      </c>
      <c r="H76" s="14"/>
      <c r="I76" s="14"/>
      <c r="L76" s="25"/>
      <c r="M76" s="25"/>
      <c r="S76" s="17"/>
      <c r="V76" s="14">
        <f>V80/SQRT(5)</f>
        <v>2.1914123583483321E-2</v>
      </c>
      <c r="X76" s="14">
        <f>(X80+1)^(1/5)-1</f>
        <v>-1.9154242588289572E-3</v>
      </c>
      <c r="Z76" s="14">
        <f>(AB80+1)^(1/5)-1</f>
        <v>0</v>
      </c>
    </row>
    <row r="77" spans="1:30" x14ac:dyDescent="0.25">
      <c r="B77" t="s">
        <v>27</v>
      </c>
      <c r="C77" s="14">
        <v>9.8003759999999995E-3</v>
      </c>
      <c r="D77" t="s">
        <v>26</v>
      </c>
      <c r="E77" s="14">
        <v>7.0346389999999996E-4</v>
      </c>
      <c r="F77" t="s">
        <v>25</v>
      </c>
      <c r="G77" s="14">
        <v>6.9037549999999997E-4</v>
      </c>
      <c r="H77" s="14"/>
      <c r="I77" s="14"/>
      <c r="M77" t="s">
        <v>19</v>
      </c>
      <c r="N77" s="7">
        <v>409.52</v>
      </c>
      <c r="O77" s="7"/>
      <c r="P77" s="7"/>
      <c r="Q77" s="7"/>
      <c r="U77" t="s">
        <v>27</v>
      </c>
      <c r="V77" s="14">
        <v>1.8759419999999999E-2</v>
      </c>
      <c r="W77" t="s">
        <v>26</v>
      </c>
      <c r="X77" s="14">
        <v>-1.529835E-3</v>
      </c>
      <c r="Y77" t="s">
        <v>25</v>
      </c>
      <c r="Z77" s="14">
        <v>-1.442629E-3</v>
      </c>
    </row>
    <row r="78" spans="1:30" x14ac:dyDescent="0.25">
      <c r="B78" t="s">
        <v>27</v>
      </c>
      <c r="C78" s="14">
        <v>1.6484950000000002E-2</v>
      </c>
      <c r="D78" t="s">
        <v>26</v>
      </c>
      <c r="E78" s="14">
        <v>1.7320949999999999E-3</v>
      </c>
      <c r="F78" t="s">
        <v>25</v>
      </c>
      <c r="G78" s="14">
        <v>1.8254809999999999E-3</v>
      </c>
      <c r="H78" s="14"/>
      <c r="I78" s="14"/>
      <c r="U78" t="s">
        <v>27</v>
      </c>
      <c r="V78" s="14">
        <v>2.9600390000000001E-2</v>
      </c>
      <c r="W78" t="s">
        <v>26</v>
      </c>
      <c r="X78" s="14">
        <v>-4.6190600000000004E-3</v>
      </c>
      <c r="Y78" t="s">
        <v>25</v>
      </c>
      <c r="Z78" s="14">
        <v>-3.837366E-3</v>
      </c>
    </row>
    <row r="79" spans="1:30" x14ac:dyDescent="0.25">
      <c r="B79" t="s">
        <v>27</v>
      </c>
      <c r="C79" s="14">
        <v>2.0494740000000001E-2</v>
      </c>
      <c r="D79" t="s">
        <v>26</v>
      </c>
      <c r="E79" s="14">
        <v>2.5422650000000001E-3</v>
      </c>
      <c r="F79" t="s">
        <v>25</v>
      </c>
      <c r="G79" s="14">
        <v>2.9507140000000001E-3</v>
      </c>
      <c r="H79" s="14"/>
      <c r="I79" s="14"/>
      <c r="U79" t="s">
        <v>27</v>
      </c>
      <c r="V79" s="14">
        <v>3.7239899999999999E-2</v>
      </c>
      <c r="W79" t="s">
        <v>26</v>
      </c>
      <c r="X79" s="14">
        <v>-6.3449409999999998E-3</v>
      </c>
      <c r="Y79" t="s">
        <v>25</v>
      </c>
      <c r="Z79" s="14">
        <v>-5.7234470000000004E-3</v>
      </c>
    </row>
    <row r="80" spans="1:30" x14ac:dyDescent="0.25">
      <c r="B80" t="s">
        <v>27</v>
      </c>
      <c r="C80" s="14">
        <v>2.8106659999999999E-2</v>
      </c>
      <c r="D80" t="s">
        <v>26</v>
      </c>
      <c r="E80" s="14">
        <v>5.4594099999999996E-3</v>
      </c>
      <c r="F80" t="s">
        <v>25</v>
      </c>
      <c r="G80" s="14">
        <v>6.0129600000000004E-3</v>
      </c>
      <c r="H80" s="14"/>
      <c r="I80" s="14"/>
      <c r="U80" t="s">
        <v>27</v>
      </c>
      <c r="V80" s="14">
        <v>4.9001469999999998E-2</v>
      </c>
      <c r="W80" t="s">
        <v>26</v>
      </c>
      <c r="X80" s="14">
        <v>-9.5405030000000005E-3</v>
      </c>
      <c r="Y80" s="14" t="s">
        <v>25</v>
      </c>
      <c r="Z80" s="14">
        <v>-9.5816440000000003E-3</v>
      </c>
      <c r="AB80" s="14"/>
    </row>
    <row r="81" spans="1:34" x14ac:dyDescent="0.25">
      <c r="B81">
        <v>17.739999999999998</v>
      </c>
      <c r="C81" t="s">
        <v>70</v>
      </c>
      <c r="D81">
        <v>23.07</v>
      </c>
      <c r="U81">
        <v>23.07</v>
      </c>
      <c r="V81" t="s">
        <v>110</v>
      </c>
      <c r="W81">
        <v>82.69</v>
      </c>
      <c r="AF81" s="14"/>
    </row>
    <row r="82" spans="1:34" x14ac:dyDescent="0.25">
      <c r="B82" t="s">
        <v>68</v>
      </c>
      <c r="C82" t="s">
        <v>27</v>
      </c>
      <c r="D82" s="14">
        <f>D85/SQRT(3)</f>
        <v>6.0617736813026379E-3</v>
      </c>
      <c r="E82" s="14">
        <f>E85/SQRT(3)</f>
        <v>5.2229582183548375E-3</v>
      </c>
      <c r="F82" s="14">
        <f>F85/SQRT(5)</f>
        <v>5.906242624505024E-3</v>
      </c>
      <c r="G82" s="14">
        <f>G85/SQRT(5)</f>
        <v>4.9540577976462889E-3</v>
      </c>
      <c r="H82" s="14">
        <f t="shared" ref="H82:I82" si="12">H85/SQRT(5)</f>
        <v>8.5489127308974212E-3</v>
      </c>
      <c r="I82" s="14">
        <f t="shared" si="12"/>
        <v>6.1955719322496772E-3</v>
      </c>
      <c r="K82" s="14"/>
      <c r="U82" t="s">
        <v>68</v>
      </c>
      <c r="V82" t="s">
        <v>27</v>
      </c>
      <c r="W82" s="14">
        <f>W85/SQRT(3)</f>
        <v>1.0786450327183637E-2</v>
      </c>
      <c r="X82" s="14">
        <f>X85/SQRT(3)</f>
        <v>1.1257475770799302E-2</v>
      </c>
      <c r="Y82" s="14">
        <f>Y85/SQRT(5)</f>
        <v>1.0464704219843961E-2</v>
      </c>
      <c r="Z82" s="14">
        <f>Z85/SQRT(5)</f>
        <v>1.1108803600762775E-2</v>
      </c>
      <c r="AA82" s="14">
        <f t="shared" ref="AA82:AB82" si="13">AA85/SQRT(5)</f>
        <v>1.3107325132740853E-2</v>
      </c>
      <c r="AB82" s="14">
        <f t="shared" si="13"/>
        <v>1.5314878771391566E-2</v>
      </c>
      <c r="AD82" s="14"/>
      <c r="AF82" s="14"/>
    </row>
    <row r="83" spans="1:34" x14ac:dyDescent="0.25">
      <c r="C83" t="s">
        <v>26</v>
      </c>
      <c r="D83" s="14">
        <f>(D86+1)^(1/3)-1</f>
        <v>3.9464384689709142E-3</v>
      </c>
      <c r="E83" s="14">
        <f>(E86+1)^(1/3)-1</f>
        <v>-3.7489671913970568E-3</v>
      </c>
      <c r="F83" s="14">
        <f>(F86+1)^(1/5)-1</f>
        <v>2.9695688703081924E-3</v>
      </c>
      <c r="G83" s="14">
        <f>(G86+1)^(1/5)-1</f>
        <v>-2.7465052031568904E-3</v>
      </c>
      <c r="H83" s="14">
        <f t="shared" ref="H83:I83" si="14">(H86+1)^(1/5)-1</f>
        <v>4.3024148282952979E-3</v>
      </c>
      <c r="I83" s="14">
        <f t="shared" si="14"/>
        <v>-3.5966833754934591E-3</v>
      </c>
      <c r="K83" s="14"/>
      <c r="V83" t="s">
        <v>26</v>
      </c>
      <c r="W83" s="14">
        <f>(W86+1)^(1/3)-1</f>
        <v>5.5897564053144499E-3</v>
      </c>
      <c r="X83" s="14">
        <f>(X86+1)^(1/3)-1</f>
        <v>-6.73953597219068E-3</v>
      </c>
      <c r="Y83" s="14">
        <f>(Y86+1)^(1/5)-1</f>
        <v>4.2970379036655348E-3</v>
      </c>
      <c r="Z83" s="14">
        <f>(Z86+1)^(1/5)-1</f>
        <v>-5.1946511800667894E-3</v>
      </c>
      <c r="AA83" s="14">
        <f t="shared" ref="AA83:AB83" si="15">(AA86+1)^(1/5)-1</f>
        <v>5.2496228164222725E-3</v>
      </c>
      <c r="AB83" s="14">
        <f t="shared" si="15"/>
        <v>-6.8374791040561878E-3</v>
      </c>
      <c r="AD83" s="14"/>
      <c r="AF83" s="14"/>
    </row>
    <row r="84" spans="1:34" x14ac:dyDescent="0.25">
      <c r="C84" t="s">
        <v>25</v>
      </c>
      <c r="D84" s="14">
        <f>(D87+1)^(1/3)-1</f>
        <v>4.6181399526870059E-3</v>
      </c>
      <c r="E84" s="14">
        <f>(E87+1)^(1/3)-1</f>
        <v>-4.2172838139579172E-3</v>
      </c>
      <c r="F84" s="14">
        <f>(F87+1)^(1/5)-1</f>
        <v>3.5265766413503652E-3</v>
      </c>
      <c r="G84" s="14">
        <f>(G87+1)^(1/5)-1</f>
        <v>-3.0590261185647893E-3</v>
      </c>
      <c r="H84" s="14">
        <f t="shared" ref="H84:I84" si="16">(H87+1)^(1/5)-1</f>
        <v>5.0389749260935091E-3</v>
      </c>
      <c r="I84" s="14">
        <f t="shared" si="16"/>
        <v>-3.9652113600204819E-3</v>
      </c>
      <c r="L84" t="s">
        <v>61</v>
      </c>
      <c r="M84" t="s">
        <v>55</v>
      </c>
      <c r="N84" t="s">
        <v>64</v>
      </c>
      <c r="O84" t="s">
        <v>72</v>
      </c>
      <c r="V84" t="s">
        <v>25</v>
      </c>
      <c r="W84" s="14">
        <f>(W87+1)^(1/3)-1</f>
        <v>7.1018575552674879E-3</v>
      </c>
      <c r="X84" s="14">
        <f>(X87+1)^(1/3)-1</f>
        <v>-8.0611983047114144E-3</v>
      </c>
      <c r="Y84" s="14">
        <f>(Y87+1)^(1/5)-1</f>
        <v>5.3680048533348845E-3</v>
      </c>
      <c r="Z84" s="14">
        <f>(Z87+1)^(1/5)-1</f>
        <v>-6.0837551775160259E-3</v>
      </c>
      <c r="AA84" s="14">
        <f t="shared" ref="AA84:AB84" si="17">(AA87+1)^(1/5)-1</f>
        <v>6.6997862426232402E-3</v>
      </c>
      <c r="AB84" s="14">
        <f t="shared" si="17"/>
        <v>-8.2977535138947234E-3</v>
      </c>
      <c r="AE84" t="s">
        <v>61</v>
      </c>
      <c r="AF84" t="s">
        <v>55</v>
      </c>
      <c r="AG84" t="s">
        <v>64</v>
      </c>
      <c r="AH84" t="s">
        <v>71</v>
      </c>
    </row>
    <row r="85" spans="1:34" x14ac:dyDescent="0.25">
      <c r="A85" t="s">
        <v>27</v>
      </c>
      <c r="B85" s="14">
        <v>6.2417940000000002E-3</v>
      </c>
      <c r="C85" s="14">
        <v>6.0645339999999999E-3</v>
      </c>
      <c r="D85" s="14">
        <v>1.04993E-2</v>
      </c>
      <c r="E85" s="14">
        <v>9.0464289999999999E-3</v>
      </c>
      <c r="F85" s="14">
        <v>1.320676E-2</v>
      </c>
      <c r="G85" s="14">
        <v>1.107761E-2</v>
      </c>
      <c r="H85" s="14">
        <v>1.911595E-2</v>
      </c>
      <c r="I85" s="14">
        <v>1.385372E-2</v>
      </c>
      <c r="K85" s="21" t="s">
        <v>40</v>
      </c>
      <c r="L85">
        <v>1080</v>
      </c>
      <c r="M85">
        <v>1120</v>
      </c>
      <c r="N85">
        <v>1134</v>
      </c>
      <c r="O85">
        <v>1172</v>
      </c>
      <c r="T85" t="s">
        <v>27</v>
      </c>
      <c r="U85" s="14">
        <v>1.3120039999999999E-2</v>
      </c>
      <c r="V85" s="14">
        <v>1.2896299999999999E-2</v>
      </c>
      <c r="W85" s="14">
        <v>1.868268E-2</v>
      </c>
      <c r="X85" s="14">
        <v>1.9498519999999998E-2</v>
      </c>
      <c r="Y85" s="14">
        <v>2.339979E-2</v>
      </c>
      <c r="Z85" s="14">
        <v>2.4840040000000001E-2</v>
      </c>
      <c r="AA85" s="14">
        <v>2.9308870000000001E-2</v>
      </c>
      <c r="AB85" s="14">
        <v>3.4245110000000002E-2</v>
      </c>
      <c r="AC85" s="14"/>
      <c r="AD85" s="21" t="s">
        <v>40</v>
      </c>
      <c r="AE85">
        <v>949</v>
      </c>
      <c r="AF85">
        <v>913</v>
      </c>
      <c r="AG85">
        <v>876</v>
      </c>
      <c r="AH85">
        <v>860</v>
      </c>
    </row>
    <row r="86" spans="1:34" x14ac:dyDescent="0.25">
      <c r="A86" t="s">
        <v>26</v>
      </c>
      <c r="B86" s="14">
        <v>6.5069869999999997E-3</v>
      </c>
      <c r="C86" s="14">
        <v>-5.9730670000000003E-3</v>
      </c>
      <c r="D86" s="14">
        <v>1.18861E-2</v>
      </c>
      <c r="E86" s="14">
        <v>-1.1204789999999999E-2</v>
      </c>
      <c r="F86" s="14">
        <v>1.493629E-2</v>
      </c>
      <c r="G86" s="14">
        <v>-1.3657300000000001E-2</v>
      </c>
      <c r="H86" s="14">
        <v>2.1697979999999999E-2</v>
      </c>
      <c r="I86" s="14">
        <v>-1.7854519999999999E-2</v>
      </c>
      <c r="K86" s="21" t="s">
        <v>41</v>
      </c>
      <c r="L86">
        <v>977</v>
      </c>
      <c r="M86">
        <v>939</v>
      </c>
      <c r="N86">
        <v>925</v>
      </c>
      <c r="O86">
        <v>887</v>
      </c>
      <c r="T86" t="s">
        <v>26</v>
      </c>
      <c r="U86" s="14">
        <v>9.7606259999999997E-3</v>
      </c>
      <c r="V86" s="14">
        <v>-1.078611E-2</v>
      </c>
      <c r="W86" s="14">
        <v>1.6863179999999998E-2</v>
      </c>
      <c r="X86" s="14">
        <v>-2.0082650000000001E-2</v>
      </c>
      <c r="Y86" s="14">
        <v>2.167063E-2</v>
      </c>
      <c r="Z86" s="14">
        <v>-2.5704810000000002E-2</v>
      </c>
      <c r="AA86" s="14">
        <v>2.6525150000000001E-2</v>
      </c>
      <c r="AB86" s="14">
        <v>-3.3723070000000001E-2</v>
      </c>
      <c r="AC86" s="14"/>
      <c r="AD86" s="21" t="s">
        <v>41</v>
      </c>
      <c r="AE86">
        <v>1109</v>
      </c>
      <c r="AF86">
        <v>1146</v>
      </c>
      <c r="AG86">
        <v>1183</v>
      </c>
      <c r="AH86">
        <v>1199</v>
      </c>
    </row>
    <row r="87" spans="1:34" x14ac:dyDescent="0.25">
      <c r="A87" t="s">
        <v>25</v>
      </c>
      <c r="B87" s="14">
        <v>7.9474469999999998E-3</v>
      </c>
      <c r="C87" s="14">
        <v>-7.3303580000000004E-3</v>
      </c>
      <c r="D87" s="14">
        <v>1.39185E-2</v>
      </c>
      <c r="E87" s="14">
        <v>-1.259857E-2</v>
      </c>
      <c r="F87" s="14">
        <v>1.775769E-2</v>
      </c>
      <c r="G87" s="14">
        <v>-1.5201839999999999E-2</v>
      </c>
      <c r="H87" s="14">
        <v>2.5450070000000002E-2</v>
      </c>
      <c r="I87" s="14">
        <v>-1.9669450000000002E-2</v>
      </c>
      <c r="K87" t="s">
        <v>42</v>
      </c>
      <c r="L87" s="13">
        <f>L85/L86</f>
        <v>1.1054247697031729</v>
      </c>
      <c r="M87" s="13">
        <f>M85/M86</f>
        <v>1.192758253461129</v>
      </c>
      <c r="N87" s="13">
        <f>N85/N86</f>
        <v>1.2259459459459459</v>
      </c>
      <c r="O87" s="13">
        <f>O85/O86</f>
        <v>1.3213077790304397</v>
      </c>
      <c r="Q87" s="13"/>
      <c r="T87" t="s">
        <v>25</v>
      </c>
      <c r="U87" s="14">
        <v>1.318362E-2</v>
      </c>
      <c r="V87" s="14">
        <v>-1.395999E-2</v>
      </c>
      <c r="W87" s="14">
        <v>2.1457239999999999E-2</v>
      </c>
      <c r="X87" s="14">
        <v>-2.3989170000000001E-2</v>
      </c>
      <c r="Y87" s="14">
        <v>2.7129730000000001E-2</v>
      </c>
      <c r="Z87" s="14">
        <v>-3.0050899999999998E-2</v>
      </c>
      <c r="AA87" s="14">
        <v>3.395082E-2</v>
      </c>
      <c r="AB87" s="14">
        <v>-4.0805929999999997E-2</v>
      </c>
      <c r="AC87" s="14"/>
      <c r="AD87" t="s">
        <v>42</v>
      </c>
      <c r="AE87" s="13">
        <f>AE85/AE86</f>
        <v>0.85572587917042375</v>
      </c>
      <c r="AF87" s="13">
        <f>AF85/AF86</f>
        <v>0.79668411867364752</v>
      </c>
      <c r="AG87" s="13">
        <f>AG85/AG86</f>
        <v>0.7404902789518174</v>
      </c>
      <c r="AH87" s="13">
        <f>AH85/AH86</f>
        <v>0.71726438698915762</v>
      </c>
    </row>
    <row r="88" spans="1:34" x14ac:dyDescent="0.25">
      <c r="A88" t="s">
        <v>31</v>
      </c>
      <c r="B88" t="s">
        <v>30</v>
      </c>
      <c r="C88" t="s">
        <v>33</v>
      </c>
      <c r="D88" t="s">
        <v>58</v>
      </c>
      <c r="E88" t="s">
        <v>59</v>
      </c>
      <c r="F88" t="s">
        <v>65</v>
      </c>
      <c r="G88" t="s">
        <v>66</v>
      </c>
      <c r="H88" t="s">
        <v>73</v>
      </c>
      <c r="I88" t="s">
        <v>74</v>
      </c>
      <c r="J88" s="21" t="s">
        <v>53</v>
      </c>
      <c r="K88" t="s">
        <v>54</v>
      </c>
      <c r="L88" s="17">
        <f>L85/SUM(L85:L86)</f>
        <v>0.52503646086533784</v>
      </c>
      <c r="M88" s="17">
        <f>M85/SUM(M85:M86)</f>
        <v>0.54395337542496358</v>
      </c>
      <c r="N88" s="17">
        <f>N85/SUM(N85:N86)</f>
        <v>0.55075279261777565</v>
      </c>
      <c r="O88" s="17">
        <f>O85/SUM(O85:O86)</f>
        <v>0.56920835356969401</v>
      </c>
      <c r="T88" t="s">
        <v>31</v>
      </c>
      <c r="U88" t="s">
        <v>30</v>
      </c>
      <c r="V88" t="s">
        <v>33</v>
      </c>
      <c r="W88" t="s">
        <v>58</v>
      </c>
      <c r="X88" t="s">
        <v>59</v>
      </c>
      <c r="Y88" t="s">
        <v>65</v>
      </c>
      <c r="Z88" t="s">
        <v>66</v>
      </c>
      <c r="AA88" t="s">
        <v>73</v>
      </c>
      <c r="AB88" t="s">
        <v>74</v>
      </c>
      <c r="AC88" s="21" t="s">
        <v>53</v>
      </c>
      <c r="AD88" t="s">
        <v>54</v>
      </c>
      <c r="AE88" s="17">
        <f>AE85/SUM(AE85:AE86)</f>
        <v>0.4611273080660836</v>
      </c>
      <c r="AF88" s="17">
        <f>AF85/SUM(AF85:AF86)</f>
        <v>0.4434191355026712</v>
      </c>
      <c r="AG88" s="17">
        <f>AG85/SUM(AG85:AG86)</f>
        <v>0.4254492472073822</v>
      </c>
      <c r="AH88" s="17">
        <f>AH85/SUM(AH85:AH86)</f>
        <v>0.4176784847013113</v>
      </c>
    </row>
    <row r="89" spans="1:34" x14ac:dyDescent="0.25">
      <c r="A89">
        <v>0.1</v>
      </c>
      <c r="B89" s="17">
        <v>0.92777779999999999</v>
      </c>
      <c r="C89" s="17">
        <v>0.89662229999999998</v>
      </c>
      <c r="D89" s="17">
        <v>0.96160710000000005</v>
      </c>
      <c r="E89" s="17">
        <v>0.94355699999999998</v>
      </c>
      <c r="F89" s="17">
        <v>0.96119929999999998</v>
      </c>
      <c r="G89" s="17">
        <v>0.94918919999999996</v>
      </c>
      <c r="H89" s="17">
        <v>0.97354949999999996</v>
      </c>
      <c r="I89" s="17">
        <v>0.96392330000000004</v>
      </c>
      <c r="J89" s="25">
        <f t="shared" ref="J89:J120" si="18">($A89/100+1)*$N$77</f>
        <v>409.92951999999991</v>
      </c>
      <c r="K89" s="25">
        <f t="shared" ref="K89:K120" si="19">(1-$A89/100)*$N$77</f>
        <v>409.11048</v>
      </c>
      <c r="L89" s="17">
        <f>L86/SUM(L85:L86)</f>
        <v>0.4749635391346621</v>
      </c>
      <c r="M89" s="17">
        <f>M86/SUM(M85:M86)</f>
        <v>0.45604662457503642</v>
      </c>
      <c r="N89" s="17">
        <f>N86/SUM(N85:N86)</f>
        <v>0.4492472073822244</v>
      </c>
      <c r="O89" s="17">
        <f>O86/SUM(O85:O86)</f>
        <v>0.43079164643030599</v>
      </c>
      <c r="T89">
        <v>0.1</v>
      </c>
      <c r="U89" s="17">
        <v>0.93361430000000001</v>
      </c>
      <c r="V89" s="17">
        <v>0.9477006</v>
      </c>
      <c r="W89" s="17">
        <v>0.97042720000000005</v>
      </c>
      <c r="X89" s="17">
        <v>0.97905759999999997</v>
      </c>
      <c r="Y89" s="17">
        <v>0.97260270000000004</v>
      </c>
      <c r="Z89" s="17">
        <v>0.9856298</v>
      </c>
      <c r="AA89" s="17">
        <v>0.97674419999999995</v>
      </c>
      <c r="AB89" s="17">
        <v>0.98331939999999995</v>
      </c>
      <c r="AC89" s="25">
        <f t="shared" ref="AC89:AC119" si="20">($A89/100+1)*$N$77</f>
        <v>409.92951999999991</v>
      </c>
      <c r="AD89" s="25">
        <f t="shared" ref="AD89:AD119" si="21">(1-$A89/100)*$N$77</f>
        <v>409.11048</v>
      </c>
      <c r="AE89" s="17">
        <f>AE86/SUM(AE85:AE86)</f>
        <v>0.5388726919339164</v>
      </c>
      <c r="AF89" s="17">
        <f>AF86/SUM(AF85:AF86)</f>
        <v>0.5565808644973288</v>
      </c>
      <c r="AG89" s="17">
        <f>AG86/SUM(AG85:AG86)</f>
        <v>0.5745507527926178</v>
      </c>
      <c r="AH89" s="17">
        <f>AH86/SUM(AH85:AH86)</f>
        <v>0.5823215152986887</v>
      </c>
    </row>
    <row r="90" spans="1:34" x14ac:dyDescent="0.25">
      <c r="A90">
        <v>0.2</v>
      </c>
      <c r="B90" s="17">
        <v>0.84814809999999996</v>
      </c>
      <c r="C90" s="17">
        <v>0.79017400000000004</v>
      </c>
      <c r="D90" s="17">
        <v>0.91071429999999998</v>
      </c>
      <c r="E90" s="17">
        <v>0.89776359999999999</v>
      </c>
      <c r="F90" s="17">
        <v>0.9276896</v>
      </c>
      <c r="G90" s="17">
        <v>0.90378380000000003</v>
      </c>
      <c r="H90" s="17">
        <v>0.94795220000000002</v>
      </c>
      <c r="I90" s="17">
        <v>0.92559190000000002</v>
      </c>
      <c r="J90" s="25">
        <f t="shared" si="18"/>
        <v>410.33903999999995</v>
      </c>
      <c r="K90" s="25">
        <f t="shared" si="19"/>
        <v>408.70096000000001</v>
      </c>
      <c r="T90">
        <v>0.2</v>
      </c>
      <c r="U90" s="17">
        <v>0.87776609999999999</v>
      </c>
      <c r="V90" s="17">
        <v>0.89900809999999998</v>
      </c>
      <c r="W90" s="17">
        <v>0.93428259999999996</v>
      </c>
      <c r="X90" s="17">
        <v>0.95287960000000005</v>
      </c>
      <c r="Y90" s="17">
        <v>0.94520550000000003</v>
      </c>
      <c r="Z90" s="17">
        <v>0.96956889999999996</v>
      </c>
      <c r="AA90" s="17">
        <v>0.95465120000000003</v>
      </c>
      <c r="AB90" s="17">
        <v>0.96330280000000001</v>
      </c>
      <c r="AC90" s="25">
        <f t="shared" si="20"/>
        <v>410.33903999999995</v>
      </c>
      <c r="AD90" s="25">
        <f t="shared" si="21"/>
        <v>408.70096000000001</v>
      </c>
    </row>
    <row r="91" spans="1:34" x14ac:dyDescent="0.25">
      <c r="A91">
        <v>0.3</v>
      </c>
      <c r="B91" s="17">
        <v>0.75925929999999997</v>
      </c>
      <c r="C91" s="17">
        <v>0.69805530000000005</v>
      </c>
      <c r="D91" s="17">
        <v>0.87232140000000002</v>
      </c>
      <c r="E91" s="17">
        <v>0.84877530000000001</v>
      </c>
      <c r="F91" s="17">
        <v>0.89417990000000003</v>
      </c>
      <c r="G91" s="17">
        <v>0.86162159999999999</v>
      </c>
      <c r="H91" s="17">
        <v>0.92406140000000003</v>
      </c>
      <c r="I91" s="17">
        <v>0.89740699999999995</v>
      </c>
      <c r="J91" s="25">
        <f t="shared" si="18"/>
        <v>410.74855999999994</v>
      </c>
      <c r="K91" s="25">
        <f t="shared" si="19"/>
        <v>408.29143999999997</v>
      </c>
      <c r="T91">
        <v>0.3</v>
      </c>
      <c r="U91" s="17">
        <v>0.81770279999999995</v>
      </c>
      <c r="V91" s="17">
        <v>0.84490529999999997</v>
      </c>
      <c r="W91" s="17">
        <v>0.90032860000000003</v>
      </c>
      <c r="X91" s="17">
        <v>0.92757420000000002</v>
      </c>
      <c r="Y91" s="17">
        <v>0.91552509999999998</v>
      </c>
      <c r="Z91" s="17">
        <v>0.94505490000000003</v>
      </c>
      <c r="AA91" s="17">
        <v>0.93488369999999998</v>
      </c>
      <c r="AB91" s="17">
        <v>0.95079230000000003</v>
      </c>
      <c r="AC91" s="25">
        <f t="shared" si="20"/>
        <v>410.74855999999994</v>
      </c>
      <c r="AD91" s="25">
        <f t="shared" si="21"/>
        <v>408.29143999999997</v>
      </c>
    </row>
    <row r="92" spans="1:34" x14ac:dyDescent="0.25">
      <c r="A92">
        <v>0.4</v>
      </c>
      <c r="B92" s="17">
        <v>0.67314810000000003</v>
      </c>
      <c r="C92" s="17">
        <v>0.62333669999999997</v>
      </c>
      <c r="D92" s="17">
        <v>0.82857139999999996</v>
      </c>
      <c r="E92" s="17">
        <v>0.79872200000000004</v>
      </c>
      <c r="F92" s="17">
        <v>0.87037039999999999</v>
      </c>
      <c r="G92" s="17">
        <v>0.82810810000000001</v>
      </c>
      <c r="H92" s="17">
        <v>0.90955629999999998</v>
      </c>
      <c r="I92" s="17">
        <v>0.8658399</v>
      </c>
      <c r="J92" s="25">
        <f t="shared" si="18"/>
        <v>411.15807999999998</v>
      </c>
      <c r="K92" s="25">
        <f t="shared" si="19"/>
        <v>407.88191999999998</v>
      </c>
      <c r="T92">
        <v>0.4</v>
      </c>
      <c r="U92" s="17">
        <v>0.76712329999999995</v>
      </c>
      <c r="V92" s="17">
        <v>0.79621280000000005</v>
      </c>
      <c r="W92" s="17">
        <v>0.86199340000000002</v>
      </c>
      <c r="X92" s="17">
        <v>0.90924959999999999</v>
      </c>
      <c r="Y92" s="17">
        <v>0.89155249999999997</v>
      </c>
      <c r="Z92" s="17">
        <v>0.92138629999999999</v>
      </c>
      <c r="AA92" s="17">
        <v>0.90465119999999999</v>
      </c>
      <c r="AB92" s="17">
        <v>0.9382819</v>
      </c>
      <c r="AC92" s="25">
        <f t="shared" si="20"/>
        <v>411.15807999999998</v>
      </c>
      <c r="AD92" s="25">
        <f t="shared" si="21"/>
        <v>407.88191999999998</v>
      </c>
    </row>
    <row r="93" spans="1:34" x14ac:dyDescent="0.25">
      <c r="A93">
        <v>0.5</v>
      </c>
      <c r="B93" s="17">
        <v>0.59444439999999998</v>
      </c>
      <c r="C93" s="17">
        <v>0.55885359999999995</v>
      </c>
      <c r="D93" s="17">
        <v>0.79196429999999995</v>
      </c>
      <c r="E93" s="17">
        <v>0.74973380000000001</v>
      </c>
      <c r="F93" s="17">
        <v>0.84215169999999995</v>
      </c>
      <c r="G93" s="17">
        <v>0.78486489999999998</v>
      </c>
      <c r="H93" s="17">
        <v>0.89078500000000005</v>
      </c>
      <c r="I93" s="17">
        <v>0.83878240000000004</v>
      </c>
      <c r="J93" s="25">
        <f t="shared" si="18"/>
        <v>411.56759999999991</v>
      </c>
      <c r="K93" s="25">
        <f t="shared" si="19"/>
        <v>407.47239999999999</v>
      </c>
      <c r="T93">
        <v>0.5</v>
      </c>
      <c r="U93" s="17">
        <v>0.71443619999999997</v>
      </c>
      <c r="V93" s="17">
        <v>0.74481509999999995</v>
      </c>
      <c r="W93" s="17">
        <v>0.83023000000000002</v>
      </c>
      <c r="X93" s="17">
        <v>0.88045379999999995</v>
      </c>
      <c r="Y93" s="17">
        <v>0.87100460000000002</v>
      </c>
      <c r="Z93" s="17">
        <v>0.90025359999999999</v>
      </c>
      <c r="AA93" s="17">
        <v>0.87906980000000001</v>
      </c>
      <c r="AB93" s="17">
        <v>0.92660549999999997</v>
      </c>
      <c r="AC93" s="25">
        <f t="shared" si="20"/>
        <v>411.56759999999991</v>
      </c>
      <c r="AD93" s="25">
        <f t="shared" si="21"/>
        <v>407.47239999999999</v>
      </c>
    </row>
    <row r="94" spans="1:34" x14ac:dyDescent="0.25">
      <c r="A94">
        <v>0.6</v>
      </c>
      <c r="B94" s="17">
        <v>0.53148150000000005</v>
      </c>
      <c r="C94" s="17">
        <v>0.49846469999999998</v>
      </c>
      <c r="D94" s="17">
        <v>0.7446429</v>
      </c>
      <c r="E94" s="17">
        <v>0.71671989999999997</v>
      </c>
      <c r="F94" s="17">
        <v>0.8015873</v>
      </c>
      <c r="G94" s="17">
        <v>0.74486490000000005</v>
      </c>
      <c r="H94" s="17">
        <v>0.86689419999999995</v>
      </c>
      <c r="I94" s="17">
        <v>0.80721529999999997</v>
      </c>
      <c r="J94" s="25">
        <f t="shared" si="18"/>
        <v>411.97711999999996</v>
      </c>
      <c r="K94" s="25">
        <f t="shared" si="19"/>
        <v>407.06288000000001</v>
      </c>
      <c r="T94">
        <v>0.6</v>
      </c>
      <c r="U94" s="17">
        <v>0.65542679999999998</v>
      </c>
      <c r="V94" s="17">
        <v>0.69161410000000001</v>
      </c>
      <c r="W94" s="17">
        <v>0.80722890000000003</v>
      </c>
      <c r="X94" s="17">
        <v>0.84554969999999996</v>
      </c>
      <c r="Y94" s="17">
        <v>0.84360729999999995</v>
      </c>
      <c r="Z94" s="17">
        <v>0.8774303</v>
      </c>
      <c r="AA94" s="17">
        <v>0.86860470000000001</v>
      </c>
      <c r="AB94" s="17">
        <v>0.91075899999999999</v>
      </c>
      <c r="AC94" s="25">
        <f t="shared" si="20"/>
        <v>411.97711999999996</v>
      </c>
      <c r="AD94" s="25">
        <f t="shared" si="21"/>
        <v>407.06288000000001</v>
      </c>
    </row>
    <row r="95" spans="1:34" x14ac:dyDescent="0.25">
      <c r="A95">
        <v>0.7</v>
      </c>
      <c r="B95" s="17">
        <v>0.47037040000000002</v>
      </c>
      <c r="C95" s="17">
        <v>0.42886390000000002</v>
      </c>
      <c r="D95" s="17">
        <v>0.6910714</v>
      </c>
      <c r="E95" s="17">
        <v>0.67412139999999998</v>
      </c>
      <c r="F95" s="17">
        <v>0.76807760000000003</v>
      </c>
      <c r="G95" s="17">
        <v>0.71891890000000003</v>
      </c>
      <c r="H95" s="17">
        <v>0.84129690000000001</v>
      </c>
      <c r="I95" s="17">
        <v>0.78128520000000001</v>
      </c>
      <c r="J95" s="25">
        <f t="shared" si="18"/>
        <v>412.38663999999994</v>
      </c>
      <c r="K95" s="25">
        <f t="shared" si="19"/>
        <v>406.65335999999996</v>
      </c>
      <c r="T95">
        <v>0.7</v>
      </c>
      <c r="U95" s="17">
        <v>0.61327710000000002</v>
      </c>
      <c r="V95" s="17">
        <v>0.65103699999999998</v>
      </c>
      <c r="W95" s="17">
        <v>0.78203719999999999</v>
      </c>
      <c r="X95" s="17">
        <v>0.81588130000000003</v>
      </c>
      <c r="Y95" s="17">
        <v>0.81735159999999996</v>
      </c>
      <c r="Z95" s="17">
        <v>0.85883350000000003</v>
      </c>
      <c r="AA95" s="17">
        <v>0.84767440000000005</v>
      </c>
      <c r="AB95" s="17">
        <v>0.89991659999999996</v>
      </c>
      <c r="AC95" s="25">
        <f t="shared" si="20"/>
        <v>412.38663999999994</v>
      </c>
      <c r="AD95" s="25">
        <f t="shared" si="21"/>
        <v>406.65335999999996</v>
      </c>
    </row>
    <row r="96" spans="1:34" x14ac:dyDescent="0.25">
      <c r="A96">
        <v>0.8</v>
      </c>
      <c r="B96" s="17">
        <v>0.42222219999999999</v>
      </c>
      <c r="C96" s="17">
        <v>0.37666329999999998</v>
      </c>
      <c r="D96" s="17">
        <v>0.6508929</v>
      </c>
      <c r="E96" s="17">
        <v>0.63365280000000002</v>
      </c>
      <c r="F96" s="17">
        <v>0.73015870000000005</v>
      </c>
      <c r="G96" s="17">
        <v>0.68</v>
      </c>
      <c r="H96" s="17">
        <v>0.82167239999999997</v>
      </c>
      <c r="I96" s="17">
        <v>0.76099209999999995</v>
      </c>
      <c r="J96" s="25">
        <f t="shared" si="18"/>
        <v>412.79615999999999</v>
      </c>
      <c r="K96" s="25">
        <f t="shared" si="19"/>
        <v>406.24383999999998</v>
      </c>
      <c r="T96">
        <v>0.8</v>
      </c>
      <c r="U96" s="17">
        <v>0.56269760000000002</v>
      </c>
      <c r="V96" s="17">
        <v>0.60775469999999998</v>
      </c>
      <c r="W96" s="17">
        <v>0.75794090000000003</v>
      </c>
      <c r="X96" s="17">
        <v>0.7949389</v>
      </c>
      <c r="Y96" s="17">
        <v>0.78881279999999998</v>
      </c>
      <c r="Z96" s="17">
        <v>0.83347420000000005</v>
      </c>
      <c r="AA96" s="17">
        <v>0.83023259999999999</v>
      </c>
      <c r="AB96" s="17">
        <v>0.89074229999999999</v>
      </c>
      <c r="AC96" s="25">
        <f t="shared" si="20"/>
        <v>412.79615999999999</v>
      </c>
      <c r="AD96" s="25">
        <f t="shared" si="21"/>
        <v>406.24383999999998</v>
      </c>
    </row>
    <row r="97" spans="1:30" x14ac:dyDescent="0.25">
      <c r="A97">
        <v>0.9</v>
      </c>
      <c r="B97" s="17">
        <v>0.3592593</v>
      </c>
      <c r="C97" s="17">
        <v>0.32241560000000002</v>
      </c>
      <c r="D97" s="17">
        <v>0.61339290000000002</v>
      </c>
      <c r="E97" s="17">
        <v>0.59318420000000005</v>
      </c>
      <c r="F97" s="17">
        <v>0.70105819999999996</v>
      </c>
      <c r="G97" s="17">
        <v>0.65405409999999997</v>
      </c>
      <c r="H97" s="17">
        <v>0.79778159999999998</v>
      </c>
      <c r="I97" s="17">
        <v>0.73167979999999999</v>
      </c>
      <c r="J97" s="25">
        <f t="shared" si="18"/>
        <v>413.20567999999992</v>
      </c>
      <c r="K97" s="25">
        <f t="shared" si="19"/>
        <v>405.83431999999999</v>
      </c>
      <c r="T97">
        <v>0.9</v>
      </c>
      <c r="U97" s="17">
        <v>0.52792410000000001</v>
      </c>
      <c r="V97" s="17">
        <v>0.55545540000000004</v>
      </c>
      <c r="W97" s="17">
        <v>0.72398689999999999</v>
      </c>
      <c r="X97" s="17">
        <v>0.76788829999999997</v>
      </c>
      <c r="Y97" s="17">
        <v>0.76598169999999999</v>
      </c>
      <c r="Z97" s="17">
        <v>0.81403210000000004</v>
      </c>
      <c r="AA97" s="17">
        <v>0.80348839999999999</v>
      </c>
      <c r="AB97" s="17">
        <v>0.87239370000000005</v>
      </c>
      <c r="AC97" s="25">
        <f t="shared" si="20"/>
        <v>413.20567999999992</v>
      </c>
      <c r="AD97" s="25">
        <f t="shared" si="21"/>
        <v>405.83431999999999</v>
      </c>
    </row>
    <row r="98" spans="1:30" x14ac:dyDescent="0.25">
      <c r="A98">
        <v>1</v>
      </c>
      <c r="B98" s="17">
        <v>0.31388890000000003</v>
      </c>
      <c r="C98" s="17">
        <v>0.28045039999999999</v>
      </c>
      <c r="D98" s="17">
        <v>0.5642857</v>
      </c>
      <c r="E98" s="17">
        <v>0.55910539999999997</v>
      </c>
      <c r="F98" s="17">
        <v>0.67372129999999997</v>
      </c>
      <c r="G98" s="17">
        <v>0.61945950000000005</v>
      </c>
      <c r="H98" s="17">
        <v>0.77303750000000004</v>
      </c>
      <c r="I98" s="17">
        <v>0.70349490000000003</v>
      </c>
      <c r="J98" s="25">
        <f t="shared" si="18"/>
        <v>413.61519999999996</v>
      </c>
      <c r="K98" s="25">
        <f t="shared" si="19"/>
        <v>405.4248</v>
      </c>
      <c r="T98">
        <v>1</v>
      </c>
      <c r="U98" s="17">
        <v>0.48788199999999998</v>
      </c>
      <c r="V98" s="17">
        <v>0.52840399999999998</v>
      </c>
      <c r="W98" s="17">
        <v>0.6955093</v>
      </c>
      <c r="X98" s="17">
        <v>0.74956370000000005</v>
      </c>
      <c r="Y98" s="17">
        <v>0.74771690000000002</v>
      </c>
      <c r="Z98" s="17">
        <v>0.79205409999999998</v>
      </c>
      <c r="AA98" s="17">
        <v>0.78139530000000001</v>
      </c>
      <c r="AB98" s="17">
        <v>0.8557131</v>
      </c>
      <c r="AC98" s="25">
        <f t="shared" si="20"/>
        <v>413.61519999999996</v>
      </c>
      <c r="AD98" s="25">
        <f t="shared" si="21"/>
        <v>405.4248</v>
      </c>
    </row>
    <row r="99" spans="1:30" x14ac:dyDescent="0.25">
      <c r="A99">
        <v>1.1000000000000001</v>
      </c>
      <c r="B99" s="17">
        <v>0.26481480000000002</v>
      </c>
      <c r="C99" s="17">
        <v>0.24667349999999999</v>
      </c>
      <c r="D99" s="17">
        <v>0.52678570000000002</v>
      </c>
      <c r="E99" s="17">
        <v>0.51011709999999999</v>
      </c>
      <c r="F99" s="17">
        <v>0.63932979999999995</v>
      </c>
      <c r="G99" s="17">
        <v>0.59027030000000003</v>
      </c>
      <c r="H99" s="17">
        <v>0.7491468</v>
      </c>
      <c r="I99" s="17">
        <v>0.67756479999999997</v>
      </c>
      <c r="J99" s="25">
        <f t="shared" si="18"/>
        <v>414.02471999999995</v>
      </c>
      <c r="K99" s="25">
        <f t="shared" si="19"/>
        <v>405.01527999999996</v>
      </c>
      <c r="T99">
        <v>1.1000000000000001</v>
      </c>
      <c r="U99" s="17">
        <v>0.45416230000000002</v>
      </c>
      <c r="V99" s="17">
        <v>0.49233539999999998</v>
      </c>
      <c r="W99" s="17">
        <v>0.6637459</v>
      </c>
      <c r="X99" s="17">
        <v>0.72687610000000002</v>
      </c>
      <c r="Y99" s="17">
        <v>0.73059359999999995</v>
      </c>
      <c r="Z99" s="17">
        <v>0.77261199999999997</v>
      </c>
      <c r="AA99" s="17">
        <v>0.77093020000000001</v>
      </c>
      <c r="AB99" s="17">
        <v>0.83569640000000001</v>
      </c>
      <c r="AC99" s="25">
        <f t="shared" si="20"/>
        <v>414.02471999999995</v>
      </c>
      <c r="AD99" s="25">
        <f t="shared" si="21"/>
        <v>405.01527999999996</v>
      </c>
    </row>
    <row r="100" spans="1:30" x14ac:dyDescent="0.25">
      <c r="A100">
        <v>1.2</v>
      </c>
      <c r="B100" s="17">
        <v>0.2240741</v>
      </c>
      <c r="C100" s="17">
        <v>0.2108495</v>
      </c>
      <c r="D100" s="17">
        <v>0.49196430000000002</v>
      </c>
      <c r="E100" s="17">
        <v>0.46751860000000001</v>
      </c>
      <c r="F100" s="17">
        <v>0.60582009999999997</v>
      </c>
      <c r="G100" s="17">
        <v>0.55459460000000005</v>
      </c>
      <c r="H100" s="17">
        <v>0.72013649999999996</v>
      </c>
      <c r="I100" s="17">
        <v>0.64148819999999995</v>
      </c>
      <c r="J100" s="25">
        <f t="shared" si="18"/>
        <v>414.43423999999999</v>
      </c>
      <c r="K100" s="25">
        <f t="shared" si="19"/>
        <v>404.60575999999998</v>
      </c>
      <c r="T100">
        <v>1.2</v>
      </c>
      <c r="U100" s="17">
        <v>0.41833510000000002</v>
      </c>
      <c r="V100" s="17">
        <v>0.45897199999999999</v>
      </c>
      <c r="W100" s="17">
        <v>0.62979189999999996</v>
      </c>
      <c r="X100" s="17">
        <v>0.70244329999999999</v>
      </c>
      <c r="Y100" s="17">
        <v>0.71461189999999997</v>
      </c>
      <c r="Z100" s="17">
        <v>0.75908710000000001</v>
      </c>
      <c r="AA100" s="17">
        <v>0.75116280000000002</v>
      </c>
      <c r="AB100" s="17">
        <v>0.82068390000000002</v>
      </c>
      <c r="AC100" s="25">
        <f t="shared" si="20"/>
        <v>414.43423999999999</v>
      </c>
      <c r="AD100" s="25">
        <f t="shared" si="21"/>
        <v>404.60575999999998</v>
      </c>
    </row>
    <row r="101" spans="1:30" x14ac:dyDescent="0.25">
      <c r="A101">
        <v>1.3</v>
      </c>
      <c r="B101" s="17">
        <v>0.19351850000000001</v>
      </c>
      <c r="C101" s="17">
        <v>0.17809620000000001</v>
      </c>
      <c r="D101" s="17">
        <v>0.46428570000000002</v>
      </c>
      <c r="E101" s="17">
        <v>0.42811500000000002</v>
      </c>
      <c r="F101" s="17">
        <v>0.56437389999999998</v>
      </c>
      <c r="G101" s="17">
        <v>0.51459460000000001</v>
      </c>
      <c r="H101" s="17">
        <v>0.69965869999999997</v>
      </c>
      <c r="I101" s="17">
        <v>0.61894020000000005</v>
      </c>
      <c r="J101" s="25">
        <f t="shared" si="18"/>
        <v>414.84375999999992</v>
      </c>
      <c r="K101" s="25">
        <f t="shared" si="19"/>
        <v>404.19623999999999</v>
      </c>
      <c r="T101">
        <v>1.3</v>
      </c>
      <c r="U101" s="17">
        <v>0.38566909999999999</v>
      </c>
      <c r="V101" s="17">
        <v>0.42380519999999999</v>
      </c>
      <c r="W101" s="17">
        <v>0.59583790000000003</v>
      </c>
      <c r="X101" s="17">
        <v>0.67364749999999995</v>
      </c>
      <c r="Y101" s="17">
        <v>0.69292240000000005</v>
      </c>
      <c r="Z101" s="17">
        <v>0.73710900000000001</v>
      </c>
      <c r="AA101" s="17">
        <v>0.73488370000000003</v>
      </c>
      <c r="AB101" s="17">
        <v>0.80817349999999999</v>
      </c>
      <c r="AC101" s="25">
        <f t="shared" si="20"/>
        <v>414.84375999999992</v>
      </c>
      <c r="AD101" s="25">
        <f t="shared" si="21"/>
        <v>404.19623999999999</v>
      </c>
    </row>
    <row r="102" spans="1:30" x14ac:dyDescent="0.25">
      <c r="A102">
        <v>1.4</v>
      </c>
      <c r="B102" s="17">
        <v>0.16481480000000001</v>
      </c>
      <c r="C102" s="17">
        <v>0.14738999999999999</v>
      </c>
      <c r="D102" s="17">
        <v>0.42499999999999999</v>
      </c>
      <c r="E102" s="17">
        <v>0.38551649999999998</v>
      </c>
      <c r="F102" s="17">
        <v>0.53262790000000004</v>
      </c>
      <c r="G102" s="17">
        <v>0.48864859999999999</v>
      </c>
      <c r="H102" s="17">
        <v>0.67576789999999998</v>
      </c>
      <c r="I102" s="17">
        <v>0.59639229999999999</v>
      </c>
      <c r="J102" s="25">
        <f t="shared" si="18"/>
        <v>415.25327999999996</v>
      </c>
      <c r="K102" s="25">
        <f t="shared" si="19"/>
        <v>403.78672</v>
      </c>
      <c r="T102">
        <v>1.4</v>
      </c>
      <c r="U102" s="17">
        <v>0.34668070000000001</v>
      </c>
      <c r="V102" s="17">
        <v>0.39585209999999998</v>
      </c>
      <c r="W102" s="17">
        <v>0.57064619999999999</v>
      </c>
      <c r="X102" s="17">
        <v>0.64659690000000003</v>
      </c>
      <c r="Y102" s="17">
        <v>0.67579909999999999</v>
      </c>
      <c r="Z102" s="17">
        <v>0.7176669</v>
      </c>
      <c r="AA102" s="17">
        <v>0.71395350000000002</v>
      </c>
      <c r="AB102" s="17">
        <v>0.78899079999999999</v>
      </c>
      <c r="AC102" s="25">
        <f t="shared" si="20"/>
        <v>415.25327999999996</v>
      </c>
      <c r="AD102" s="25">
        <f t="shared" si="21"/>
        <v>403.78672</v>
      </c>
    </row>
    <row r="103" spans="1:30" x14ac:dyDescent="0.25">
      <c r="A103">
        <v>1.5</v>
      </c>
      <c r="B103" s="17">
        <v>0.12962960000000001</v>
      </c>
      <c r="C103" s="17">
        <v>0.1197544</v>
      </c>
      <c r="D103" s="17">
        <v>0.39107140000000001</v>
      </c>
      <c r="E103" s="17">
        <v>0.3525027</v>
      </c>
      <c r="F103" s="17">
        <v>0.49911820000000001</v>
      </c>
      <c r="G103" s="17">
        <v>0.46162160000000002</v>
      </c>
      <c r="H103" s="17">
        <v>0.65614329999999998</v>
      </c>
      <c r="I103" s="17">
        <v>0.57384440000000003</v>
      </c>
      <c r="J103" s="25">
        <f t="shared" si="18"/>
        <v>415.66279999999995</v>
      </c>
      <c r="K103" s="25">
        <f t="shared" si="19"/>
        <v>403.37719999999996</v>
      </c>
      <c r="T103">
        <v>1.5</v>
      </c>
      <c r="U103" s="17">
        <v>0.32033719999999999</v>
      </c>
      <c r="V103" s="17">
        <v>0.36970239999999999</v>
      </c>
      <c r="W103" s="17">
        <v>0.54216869999999995</v>
      </c>
      <c r="X103" s="17">
        <v>0.6256545</v>
      </c>
      <c r="Y103" s="17">
        <v>0.65068490000000001</v>
      </c>
      <c r="Z103" s="17">
        <v>0.69991550000000002</v>
      </c>
      <c r="AA103" s="17">
        <v>0.70116279999999997</v>
      </c>
      <c r="AB103" s="17">
        <v>0.77564639999999996</v>
      </c>
      <c r="AC103" s="25">
        <f t="shared" si="20"/>
        <v>415.66279999999995</v>
      </c>
      <c r="AD103" s="25">
        <f t="shared" si="21"/>
        <v>403.37719999999996</v>
      </c>
    </row>
    <row r="104" spans="1:30" x14ac:dyDescent="0.25">
      <c r="A104">
        <v>1.6</v>
      </c>
      <c r="B104" s="17">
        <v>0.1037037</v>
      </c>
      <c r="C104" s="17">
        <v>9.4165810000000003E-2</v>
      </c>
      <c r="D104" s="17">
        <v>0.36249999999999999</v>
      </c>
      <c r="E104" s="17">
        <v>0.3237487</v>
      </c>
      <c r="F104" s="17">
        <v>0.46649030000000002</v>
      </c>
      <c r="G104" s="17">
        <v>0.42270269999999999</v>
      </c>
      <c r="H104" s="17">
        <v>0.6271331</v>
      </c>
      <c r="I104" s="17">
        <v>0.55016909999999997</v>
      </c>
      <c r="J104" s="25">
        <f t="shared" si="18"/>
        <v>416.07231999999999</v>
      </c>
      <c r="K104" s="25">
        <f t="shared" si="19"/>
        <v>402.96767999999997</v>
      </c>
      <c r="T104">
        <v>1.6</v>
      </c>
      <c r="U104" s="17">
        <v>0.2897787</v>
      </c>
      <c r="V104" s="17">
        <v>0.33814250000000001</v>
      </c>
      <c r="W104" s="17">
        <v>0.51369109999999996</v>
      </c>
      <c r="X104" s="17">
        <v>0.60209420000000002</v>
      </c>
      <c r="Y104" s="17">
        <v>0.62557079999999998</v>
      </c>
      <c r="Z104" s="17">
        <v>0.67878280000000002</v>
      </c>
      <c r="AA104" s="17">
        <v>0.68837210000000004</v>
      </c>
      <c r="AB104" s="17">
        <v>0.76063389999999997</v>
      </c>
      <c r="AC104" s="25">
        <f t="shared" si="20"/>
        <v>416.07231999999999</v>
      </c>
      <c r="AD104" s="25">
        <f t="shared" si="21"/>
        <v>402.96767999999997</v>
      </c>
    </row>
    <row r="105" spans="1:30" x14ac:dyDescent="0.25">
      <c r="A105">
        <v>1.7</v>
      </c>
      <c r="B105" s="17">
        <v>8.7037039999999996E-2</v>
      </c>
      <c r="C105" s="17">
        <v>7.8812690000000005E-2</v>
      </c>
      <c r="D105" s="17">
        <v>0.32410709999999998</v>
      </c>
      <c r="E105" s="17">
        <v>0.28966989999999998</v>
      </c>
      <c r="F105" s="17">
        <v>0.4365079</v>
      </c>
      <c r="G105" s="17">
        <v>0.39135140000000002</v>
      </c>
      <c r="H105" s="17">
        <v>0.59982939999999996</v>
      </c>
      <c r="I105" s="17">
        <v>0.51972940000000001</v>
      </c>
      <c r="J105" s="25">
        <f t="shared" si="18"/>
        <v>416.48183999999992</v>
      </c>
      <c r="K105" s="25">
        <f t="shared" si="19"/>
        <v>402.55815999999999</v>
      </c>
      <c r="T105">
        <v>1.7</v>
      </c>
      <c r="U105" s="17">
        <v>0.26238149999999999</v>
      </c>
      <c r="V105" s="17">
        <v>0.30838589999999999</v>
      </c>
      <c r="W105" s="17">
        <v>0.4983571</v>
      </c>
      <c r="X105" s="17">
        <v>0.5802792</v>
      </c>
      <c r="Y105" s="17">
        <v>0.60730589999999995</v>
      </c>
      <c r="Z105" s="17">
        <v>0.66272189999999997</v>
      </c>
      <c r="AA105" s="17">
        <v>0.66976740000000001</v>
      </c>
      <c r="AB105" s="17">
        <v>0.74311930000000004</v>
      </c>
      <c r="AC105" s="25">
        <f t="shared" si="20"/>
        <v>416.48183999999992</v>
      </c>
      <c r="AD105" s="25">
        <f t="shared" si="21"/>
        <v>402.55815999999999</v>
      </c>
    </row>
    <row r="106" spans="1:30" x14ac:dyDescent="0.25">
      <c r="A106">
        <v>1.8</v>
      </c>
      <c r="B106" s="17">
        <v>7.0370370000000002E-2</v>
      </c>
      <c r="C106" s="17">
        <v>6.3459570000000007E-2</v>
      </c>
      <c r="D106" s="17">
        <v>0.29553570000000001</v>
      </c>
      <c r="E106" s="17">
        <v>0.256656</v>
      </c>
      <c r="F106" s="17">
        <v>0.41534389999999999</v>
      </c>
      <c r="G106" s="17">
        <v>0.35459459999999998</v>
      </c>
      <c r="H106" s="17">
        <v>0.58191130000000002</v>
      </c>
      <c r="I106" s="17">
        <v>0.4960541</v>
      </c>
      <c r="J106" s="25">
        <f t="shared" si="18"/>
        <v>416.89135999999996</v>
      </c>
      <c r="K106" s="25">
        <f t="shared" si="19"/>
        <v>402.14864</v>
      </c>
      <c r="T106">
        <v>1.8</v>
      </c>
      <c r="U106" s="17">
        <v>0.24025289999999999</v>
      </c>
      <c r="V106" s="17">
        <v>0.28223619999999999</v>
      </c>
      <c r="W106" s="17">
        <v>0.47864180000000001</v>
      </c>
      <c r="X106" s="17">
        <v>0.55671899999999996</v>
      </c>
      <c r="Y106" s="17">
        <v>0.58219180000000004</v>
      </c>
      <c r="Z106" s="17">
        <v>0.64666100000000004</v>
      </c>
      <c r="AA106" s="17">
        <v>0.65</v>
      </c>
      <c r="AB106" s="17">
        <v>0.73060879999999995</v>
      </c>
      <c r="AC106" s="25">
        <f t="shared" si="20"/>
        <v>416.89135999999996</v>
      </c>
      <c r="AD106" s="25">
        <f t="shared" si="21"/>
        <v>402.14864</v>
      </c>
    </row>
    <row r="107" spans="1:30" x14ac:dyDescent="0.25">
      <c r="A107">
        <v>1.9</v>
      </c>
      <c r="B107" s="17">
        <v>6.1111110000000003E-2</v>
      </c>
      <c r="C107" s="17">
        <v>4.6059370000000002E-2</v>
      </c>
      <c r="D107" s="17">
        <v>0.27232139999999999</v>
      </c>
      <c r="E107" s="17">
        <v>0.2257721</v>
      </c>
      <c r="F107" s="17">
        <v>0.38888889999999998</v>
      </c>
      <c r="G107" s="17">
        <v>0.33189190000000002</v>
      </c>
      <c r="H107" s="17">
        <v>0.55460750000000003</v>
      </c>
      <c r="I107" s="17">
        <v>0.46899659999999999</v>
      </c>
      <c r="J107" s="25">
        <f t="shared" si="18"/>
        <v>417.30087999999995</v>
      </c>
      <c r="K107" s="25">
        <f t="shared" si="19"/>
        <v>401.73911999999996</v>
      </c>
      <c r="T107">
        <v>1.9</v>
      </c>
      <c r="U107" s="17">
        <v>0.21917809999999999</v>
      </c>
      <c r="V107" s="17">
        <v>0.25338139999999998</v>
      </c>
      <c r="W107" s="17">
        <v>0.44797369999999997</v>
      </c>
      <c r="X107" s="17">
        <v>0.52443280000000003</v>
      </c>
      <c r="Y107" s="17">
        <v>0.55936070000000004</v>
      </c>
      <c r="Z107" s="17">
        <v>0.62552830000000004</v>
      </c>
      <c r="AA107" s="17">
        <v>0.63255810000000001</v>
      </c>
      <c r="AB107" s="17">
        <v>0.71476229999999996</v>
      </c>
      <c r="AC107" s="25">
        <f t="shared" si="20"/>
        <v>417.30087999999995</v>
      </c>
      <c r="AD107" s="25">
        <f t="shared" si="21"/>
        <v>401.73911999999996</v>
      </c>
    </row>
    <row r="108" spans="1:30" x14ac:dyDescent="0.25">
      <c r="A108">
        <v>2</v>
      </c>
      <c r="B108" s="17">
        <v>0.05</v>
      </c>
      <c r="C108" s="17">
        <v>3.787103E-2</v>
      </c>
      <c r="D108" s="17">
        <v>0.2464286</v>
      </c>
      <c r="E108" s="17">
        <v>0.2034079</v>
      </c>
      <c r="F108" s="17">
        <v>0.35978840000000001</v>
      </c>
      <c r="G108" s="17">
        <v>0.30054049999999999</v>
      </c>
      <c r="H108" s="17">
        <v>0.53412970000000004</v>
      </c>
      <c r="I108" s="17">
        <v>0.44081169999999997</v>
      </c>
      <c r="J108" s="25">
        <f t="shared" si="18"/>
        <v>417.71039999999999</v>
      </c>
      <c r="K108" s="25">
        <f t="shared" si="19"/>
        <v>401.32959999999997</v>
      </c>
      <c r="T108">
        <v>2</v>
      </c>
      <c r="U108" s="17">
        <v>0.20021069999999999</v>
      </c>
      <c r="V108" s="17">
        <v>0.23534720000000001</v>
      </c>
      <c r="W108" s="17">
        <v>0.43263960000000001</v>
      </c>
      <c r="X108" s="17">
        <v>0.5017452</v>
      </c>
      <c r="Y108" s="17">
        <v>0.53767120000000002</v>
      </c>
      <c r="Z108" s="17">
        <v>0.60270500000000005</v>
      </c>
      <c r="AA108" s="17">
        <v>0.60813950000000006</v>
      </c>
      <c r="AB108" s="17">
        <v>0.69891579999999998</v>
      </c>
      <c r="AC108" s="25">
        <f t="shared" si="20"/>
        <v>417.71039999999999</v>
      </c>
      <c r="AD108" s="25">
        <f t="shared" si="21"/>
        <v>401.32959999999997</v>
      </c>
    </row>
    <row r="109" spans="1:30" x14ac:dyDescent="0.25">
      <c r="A109">
        <v>2.1</v>
      </c>
      <c r="B109" s="17">
        <v>4.259259E-2</v>
      </c>
      <c r="C109" s="17">
        <v>2.8659159999999999E-2</v>
      </c>
      <c r="D109" s="17">
        <v>0.22589290000000001</v>
      </c>
      <c r="E109" s="17">
        <v>0.1842386</v>
      </c>
      <c r="F109" s="17">
        <v>0.33862429999999999</v>
      </c>
      <c r="G109" s="17">
        <v>0.26810810000000002</v>
      </c>
      <c r="H109" s="17">
        <v>0.51365190000000005</v>
      </c>
      <c r="I109" s="17">
        <v>0.42277340000000002</v>
      </c>
      <c r="J109" s="25">
        <f t="shared" si="18"/>
        <v>418.11991999999992</v>
      </c>
      <c r="K109" s="25">
        <f t="shared" si="19"/>
        <v>400.92007999999998</v>
      </c>
      <c r="T109">
        <v>2.1</v>
      </c>
      <c r="U109" s="17">
        <v>0.19283459999999999</v>
      </c>
      <c r="V109" s="17">
        <v>0.21550949999999999</v>
      </c>
      <c r="W109" s="17">
        <v>0.4173056</v>
      </c>
      <c r="X109" s="17">
        <v>0.48342059999999998</v>
      </c>
      <c r="Y109" s="17">
        <v>0.51255709999999999</v>
      </c>
      <c r="Z109" s="17">
        <v>0.58326290000000003</v>
      </c>
      <c r="AA109" s="17">
        <v>0.59418599999999999</v>
      </c>
      <c r="AB109" s="17">
        <v>0.68223520000000004</v>
      </c>
      <c r="AC109" s="25">
        <f t="shared" si="20"/>
        <v>418.11991999999992</v>
      </c>
      <c r="AD109" s="25">
        <f t="shared" si="21"/>
        <v>400.92007999999998</v>
      </c>
    </row>
    <row r="110" spans="1:30" x14ac:dyDescent="0.25">
      <c r="A110">
        <v>2.2000000000000002</v>
      </c>
      <c r="B110" s="17">
        <v>3.3333330000000001E-2</v>
      </c>
      <c r="C110" s="17">
        <v>2.3541449999999998E-2</v>
      </c>
      <c r="D110" s="17">
        <v>0.19910710000000001</v>
      </c>
      <c r="E110" s="17">
        <v>0.16400429999999999</v>
      </c>
      <c r="F110" s="17">
        <v>0.31834220000000002</v>
      </c>
      <c r="G110" s="17">
        <v>0.2454054</v>
      </c>
      <c r="H110" s="17">
        <v>0.4957338</v>
      </c>
      <c r="I110" s="17">
        <v>0.39233370000000001</v>
      </c>
      <c r="J110" s="25">
        <f t="shared" si="18"/>
        <v>418.52943999999997</v>
      </c>
      <c r="K110" s="25">
        <f t="shared" si="19"/>
        <v>400.51056</v>
      </c>
      <c r="T110">
        <v>2.2000000000000002</v>
      </c>
      <c r="U110" s="17">
        <v>0.17913589999999999</v>
      </c>
      <c r="V110" s="17">
        <v>0.1992786</v>
      </c>
      <c r="W110" s="17">
        <v>0.39649509999999999</v>
      </c>
      <c r="X110" s="17">
        <v>0.46509600000000001</v>
      </c>
      <c r="Y110" s="17">
        <v>0.49200909999999998</v>
      </c>
      <c r="Z110" s="17">
        <v>0.56635670000000005</v>
      </c>
      <c r="AA110" s="17">
        <v>0.57674420000000004</v>
      </c>
      <c r="AB110" s="17">
        <v>0.66889069999999995</v>
      </c>
      <c r="AC110" s="25">
        <f t="shared" si="20"/>
        <v>418.52943999999997</v>
      </c>
      <c r="AD110" s="25">
        <f t="shared" si="21"/>
        <v>400.51056</v>
      </c>
    </row>
    <row r="111" spans="1:30" x14ac:dyDescent="0.25">
      <c r="A111">
        <v>2.2999999999999998</v>
      </c>
      <c r="B111" s="17">
        <v>2.3148149999999999E-2</v>
      </c>
      <c r="C111" s="17">
        <v>1.9447289999999999E-2</v>
      </c>
      <c r="D111" s="17">
        <v>0.18035709999999999</v>
      </c>
      <c r="E111" s="17">
        <v>0.14057510000000001</v>
      </c>
      <c r="F111" s="17">
        <v>0.3015873</v>
      </c>
      <c r="G111" s="17">
        <v>0.2205405</v>
      </c>
      <c r="H111" s="17">
        <v>0.47866890000000001</v>
      </c>
      <c r="I111" s="17">
        <v>0.3697858</v>
      </c>
      <c r="J111" s="25">
        <f t="shared" si="18"/>
        <v>418.93895999999995</v>
      </c>
      <c r="K111" s="25">
        <f t="shared" si="19"/>
        <v>400.10103999999995</v>
      </c>
      <c r="T111">
        <v>2.2999999999999998</v>
      </c>
      <c r="U111" s="17">
        <v>0.1591149</v>
      </c>
      <c r="V111" s="17">
        <v>0.17944089999999999</v>
      </c>
      <c r="W111" s="17">
        <v>0.37897039999999999</v>
      </c>
      <c r="X111" s="17">
        <v>0.43717279999999997</v>
      </c>
      <c r="Y111" s="17">
        <v>0.466895</v>
      </c>
      <c r="Z111" s="17">
        <v>0.54268810000000001</v>
      </c>
      <c r="AA111" s="17">
        <v>0.55813950000000001</v>
      </c>
      <c r="AB111" s="17">
        <v>0.65721430000000003</v>
      </c>
      <c r="AC111" s="25">
        <f t="shared" si="20"/>
        <v>418.93895999999995</v>
      </c>
      <c r="AD111" s="25">
        <f t="shared" si="21"/>
        <v>400.10103999999995</v>
      </c>
    </row>
    <row r="112" spans="1:30" x14ac:dyDescent="0.25">
      <c r="A112">
        <v>2.4</v>
      </c>
      <c r="B112" s="17">
        <v>1.6666670000000001E-2</v>
      </c>
      <c r="C112" s="17">
        <v>1.330604E-2</v>
      </c>
      <c r="D112" s="17">
        <v>0.1508929</v>
      </c>
      <c r="E112" s="17">
        <v>0.1267306</v>
      </c>
      <c r="F112" s="17">
        <v>0.27777780000000002</v>
      </c>
      <c r="G112" s="17">
        <v>0.20324320000000001</v>
      </c>
      <c r="H112" s="17">
        <v>0.46075090000000002</v>
      </c>
      <c r="I112" s="17">
        <v>0.34836529999999999</v>
      </c>
      <c r="J112" s="25">
        <f t="shared" si="18"/>
        <v>419.34848</v>
      </c>
      <c r="K112" s="25">
        <f t="shared" si="19"/>
        <v>399.69151999999997</v>
      </c>
      <c r="T112">
        <v>2.4</v>
      </c>
      <c r="U112" s="17">
        <v>0.1443625</v>
      </c>
      <c r="V112" s="17">
        <v>0.16501350000000001</v>
      </c>
      <c r="W112" s="17">
        <v>0.3592552</v>
      </c>
      <c r="X112" s="17">
        <v>0.4197208</v>
      </c>
      <c r="Y112" s="17">
        <v>0.44406390000000001</v>
      </c>
      <c r="Z112" s="17">
        <v>0.53085380000000004</v>
      </c>
      <c r="AA112" s="17">
        <v>0.54302329999999999</v>
      </c>
      <c r="AB112" s="17">
        <v>0.64053380000000004</v>
      </c>
      <c r="AC112" s="25">
        <f t="shared" si="20"/>
        <v>419.34848</v>
      </c>
      <c r="AD112" s="25">
        <f t="shared" si="21"/>
        <v>399.69151999999997</v>
      </c>
    </row>
    <row r="113" spans="1:30" x14ac:dyDescent="0.25">
      <c r="A113">
        <v>2.5</v>
      </c>
      <c r="B113" s="17">
        <v>1.3888889999999999E-2</v>
      </c>
      <c r="C113" s="17">
        <v>1.125896E-2</v>
      </c>
      <c r="D113" s="17">
        <v>0.14017859999999999</v>
      </c>
      <c r="E113" s="17">
        <v>0.1096912</v>
      </c>
      <c r="F113" s="17">
        <v>0.26278659999999998</v>
      </c>
      <c r="G113" s="17">
        <v>0.1848649</v>
      </c>
      <c r="H113" s="17">
        <v>0.43941980000000003</v>
      </c>
      <c r="I113" s="17">
        <v>0.32581739999999998</v>
      </c>
      <c r="J113" s="25">
        <f t="shared" si="18"/>
        <v>419.75799999999992</v>
      </c>
      <c r="K113" s="25">
        <f t="shared" si="19"/>
        <v>399.28199999999998</v>
      </c>
      <c r="T113">
        <v>2.5</v>
      </c>
      <c r="U113" s="17">
        <v>0.1306639</v>
      </c>
      <c r="V113" s="17">
        <v>0.14427409999999999</v>
      </c>
      <c r="W113" s="17">
        <v>0.33954000000000001</v>
      </c>
      <c r="X113" s="17">
        <v>0.39354280000000003</v>
      </c>
      <c r="Y113" s="17">
        <v>0.42123290000000002</v>
      </c>
      <c r="Z113" s="17">
        <v>0.51056639999999998</v>
      </c>
      <c r="AA113" s="17">
        <v>0.53139530000000001</v>
      </c>
      <c r="AB113" s="17">
        <v>0.62552129999999995</v>
      </c>
      <c r="AC113" s="25">
        <f t="shared" si="20"/>
        <v>419.75799999999992</v>
      </c>
      <c r="AD113" s="25">
        <f t="shared" si="21"/>
        <v>399.28199999999998</v>
      </c>
    </row>
    <row r="114" spans="1:30" x14ac:dyDescent="0.25">
      <c r="A114">
        <v>2.6</v>
      </c>
      <c r="B114" s="17">
        <v>1.111111E-2</v>
      </c>
      <c r="C114" s="17">
        <v>7.1647899999999999E-3</v>
      </c>
      <c r="D114" s="17">
        <v>0.1276786</v>
      </c>
      <c r="E114" s="17">
        <v>9.5846650000000005E-2</v>
      </c>
      <c r="F114" s="17">
        <v>0.2363316</v>
      </c>
      <c r="G114" s="17">
        <v>0.16432430000000001</v>
      </c>
      <c r="H114" s="17">
        <v>0.42320819999999998</v>
      </c>
      <c r="I114" s="17">
        <v>0.30890640000000003</v>
      </c>
      <c r="J114" s="25">
        <f t="shared" si="18"/>
        <v>420.16751999999997</v>
      </c>
      <c r="K114" s="25">
        <f t="shared" si="19"/>
        <v>398.87248</v>
      </c>
      <c r="T114">
        <v>2.6</v>
      </c>
      <c r="U114" s="17">
        <v>0.12012639999999999</v>
      </c>
      <c r="V114" s="17">
        <v>0.128945</v>
      </c>
      <c r="W114" s="17">
        <v>0.31982480000000002</v>
      </c>
      <c r="X114" s="17">
        <v>0.36561949999999999</v>
      </c>
      <c r="Y114" s="17">
        <v>0.41210049999999998</v>
      </c>
      <c r="Z114" s="17">
        <v>0.49196960000000001</v>
      </c>
      <c r="AA114" s="17">
        <v>0.51395349999999995</v>
      </c>
      <c r="AB114" s="17">
        <v>0.61551290000000003</v>
      </c>
      <c r="AC114" s="25">
        <f t="shared" si="20"/>
        <v>420.16751999999997</v>
      </c>
      <c r="AD114" s="25">
        <f t="shared" si="21"/>
        <v>398.87248</v>
      </c>
    </row>
    <row r="115" spans="1:30" x14ac:dyDescent="0.25">
      <c r="A115">
        <v>2.7</v>
      </c>
      <c r="B115" s="17">
        <v>1.111111E-2</v>
      </c>
      <c r="C115" s="17">
        <v>7.1647899999999999E-3</v>
      </c>
      <c r="D115" s="17">
        <v>0.11696429999999999</v>
      </c>
      <c r="E115" s="17">
        <v>8.0937170000000003E-2</v>
      </c>
      <c r="F115" s="17">
        <v>0.22398589999999999</v>
      </c>
      <c r="G115" s="17">
        <v>0.14810809999999999</v>
      </c>
      <c r="H115" s="17">
        <v>0.40273039999999999</v>
      </c>
      <c r="I115" s="17">
        <v>0.28861330000000002</v>
      </c>
      <c r="J115" s="25">
        <f t="shared" si="18"/>
        <v>420.57703999999995</v>
      </c>
      <c r="K115" s="25">
        <f t="shared" si="19"/>
        <v>398.46295999999995</v>
      </c>
      <c r="T115">
        <v>2.7</v>
      </c>
      <c r="U115" s="17">
        <v>0.10958900000000001</v>
      </c>
      <c r="V115" s="17">
        <v>0.12263300000000001</v>
      </c>
      <c r="W115" s="17">
        <v>0.30339539999999998</v>
      </c>
      <c r="X115" s="17">
        <v>0.34467710000000001</v>
      </c>
      <c r="Y115" s="17">
        <v>0.39611869999999999</v>
      </c>
      <c r="Z115" s="17">
        <v>0.46830090000000002</v>
      </c>
      <c r="AA115" s="17">
        <v>0.48837209999999998</v>
      </c>
      <c r="AB115" s="17">
        <v>0.60050040000000005</v>
      </c>
      <c r="AC115" s="25">
        <f t="shared" si="20"/>
        <v>420.57703999999995</v>
      </c>
      <c r="AD115" s="25">
        <f t="shared" si="21"/>
        <v>398.46295999999995</v>
      </c>
    </row>
    <row r="116" spans="1:30" x14ac:dyDescent="0.25">
      <c r="A116">
        <v>2.8</v>
      </c>
      <c r="B116" s="17">
        <v>8.3333330000000001E-3</v>
      </c>
      <c r="C116" s="17">
        <v>6.1412489999999997E-3</v>
      </c>
      <c r="D116" s="17">
        <v>0.1044643</v>
      </c>
      <c r="E116" s="17">
        <v>7.0287539999999996E-2</v>
      </c>
      <c r="F116" s="17">
        <v>0.20194000000000001</v>
      </c>
      <c r="G116" s="17">
        <v>0.1308108</v>
      </c>
      <c r="H116" s="17">
        <v>0.3788396</v>
      </c>
      <c r="I116" s="17">
        <v>0.26381060000000001</v>
      </c>
      <c r="J116" s="25">
        <f t="shared" si="18"/>
        <v>420.98656</v>
      </c>
      <c r="K116" s="25">
        <f t="shared" si="19"/>
        <v>398.05343999999997</v>
      </c>
      <c r="T116">
        <v>2.8</v>
      </c>
      <c r="U116" s="17">
        <v>0.1064278</v>
      </c>
      <c r="V116" s="17">
        <v>0.11361590000000001</v>
      </c>
      <c r="W116" s="17">
        <v>0.28915659999999999</v>
      </c>
      <c r="X116" s="17">
        <v>0.32111689999999998</v>
      </c>
      <c r="Y116" s="17">
        <v>0.3767123</v>
      </c>
      <c r="Z116" s="17">
        <v>0.4497041</v>
      </c>
      <c r="AA116" s="17">
        <v>0.47558139999999999</v>
      </c>
      <c r="AB116" s="17">
        <v>0.58465389999999995</v>
      </c>
      <c r="AC116" s="25">
        <f t="shared" si="20"/>
        <v>420.98656</v>
      </c>
      <c r="AD116" s="25">
        <f t="shared" si="21"/>
        <v>398.05343999999997</v>
      </c>
    </row>
    <row r="117" spans="1:30" x14ac:dyDescent="0.25">
      <c r="A117">
        <v>2.9</v>
      </c>
      <c r="B117" s="17">
        <v>5.5555559999999997E-3</v>
      </c>
      <c r="C117" s="17">
        <v>6.1412489999999997E-3</v>
      </c>
      <c r="D117" s="17">
        <v>9.1964290000000004E-2</v>
      </c>
      <c r="E117" s="17">
        <v>5.8572949999999999E-2</v>
      </c>
      <c r="F117" s="17">
        <v>0.18430340000000001</v>
      </c>
      <c r="G117" s="17">
        <v>0.11567570000000001</v>
      </c>
      <c r="H117" s="17">
        <v>0.35921500000000001</v>
      </c>
      <c r="I117" s="17">
        <v>0.2423901</v>
      </c>
      <c r="J117" s="25">
        <f t="shared" si="18"/>
        <v>421.39607999999993</v>
      </c>
      <c r="K117" s="25">
        <f t="shared" si="19"/>
        <v>397.64391999999998</v>
      </c>
      <c r="T117">
        <v>2.9</v>
      </c>
      <c r="U117" s="17">
        <v>9.7997890000000004E-2</v>
      </c>
      <c r="V117" s="17">
        <v>0.103697</v>
      </c>
      <c r="W117" s="17">
        <v>0.27272730000000001</v>
      </c>
      <c r="X117" s="17">
        <v>0.30017450000000001</v>
      </c>
      <c r="Y117" s="17">
        <v>0.36757990000000001</v>
      </c>
      <c r="Z117" s="17">
        <v>0.43110739999999997</v>
      </c>
      <c r="AA117" s="17">
        <v>0.46395350000000002</v>
      </c>
      <c r="AB117" s="17">
        <v>0.56463719999999995</v>
      </c>
      <c r="AC117" s="25">
        <f t="shared" si="20"/>
        <v>421.39607999999993</v>
      </c>
      <c r="AD117" s="25">
        <f t="shared" si="21"/>
        <v>397.64391999999998</v>
      </c>
    </row>
    <row r="118" spans="1:30" x14ac:dyDescent="0.25">
      <c r="A118">
        <v>3</v>
      </c>
      <c r="B118" s="17">
        <v>4.62963E-3</v>
      </c>
      <c r="C118" s="17">
        <v>5.117707E-3</v>
      </c>
      <c r="D118" s="17">
        <v>7.8571429999999998E-2</v>
      </c>
      <c r="E118" s="17">
        <v>5.2183170000000001E-2</v>
      </c>
      <c r="F118" s="17">
        <v>0.16843030000000001</v>
      </c>
      <c r="G118" s="17">
        <v>0.1048649</v>
      </c>
      <c r="H118" s="17">
        <v>0.34044370000000002</v>
      </c>
      <c r="I118" s="17">
        <v>0.22096959999999999</v>
      </c>
      <c r="J118" s="25">
        <f t="shared" si="18"/>
        <v>421.80559999999997</v>
      </c>
      <c r="K118" s="25">
        <f t="shared" si="19"/>
        <v>397.23439999999999</v>
      </c>
      <c r="T118">
        <v>3</v>
      </c>
      <c r="U118" s="17">
        <v>8.7460479999999993E-2</v>
      </c>
      <c r="V118" s="17">
        <v>8.8367899999999999E-2</v>
      </c>
      <c r="W118" s="17">
        <v>0.25958379999999998</v>
      </c>
      <c r="X118" s="17">
        <v>0.28184989999999999</v>
      </c>
      <c r="Y118" s="17">
        <v>0.35616439999999999</v>
      </c>
      <c r="Z118" s="17">
        <v>0.41758240000000002</v>
      </c>
      <c r="AA118" s="17">
        <v>0.44651160000000001</v>
      </c>
      <c r="AB118" s="17">
        <v>0.55546289999999998</v>
      </c>
      <c r="AC118" s="25">
        <f t="shared" si="20"/>
        <v>421.80559999999997</v>
      </c>
      <c r="AD118" s="25">
        <f t="shared" si="21"/>
        <v>397.23439999999999</v>
      </c>
    </row>
    <row r="119" spans="1:30" x14ac:dyDescent="0.25">
      <c r="A119">
        <v>3.1</v>
      </c>
      <c r="B119" s="17">
        <v>4.62963E-3</v>
      </c>
      <c r="C119" s="17">
        <v>4.0941659999999998E-3</v>
      </c>
      <c r="D119" s="17">
        <v>6.6964289999999996E-2</v>
      </c>
      <c r="E119" s="17">
        <v>4.0468579999999997E-2</v>
      </c>
      <c r="F119" s="17">
        <v>0.16137570000000001</v>
      </c>
      <c r="G119" s="17">
        <v>9.405405E-2</v>
      </c>
      <c r="H119" s="17">
        <v>0.31825940000000003</v>
      </c>
      <c r="I119" s="17">
        <v>0.21195040000000001</v>
      </c>
      <c r="J119" s="25">
        <f t="shared" si="18"/>
        <v>422.21511999999996</v>
      </c>
      <c r="K119" s="25">
        <f t="shared" si="19"/>
        <v>396.82487999999995</v>
      </c>
      <c r="T119">
        <v>3.1</v>
      </c>
      <c r="U119" s="17">
        <v>8.4299260000000001E-2</v>
      </c>
      <c r="V119" s="17">
        <v>7.7547340000000006E-2</v>
      </c>
      <c r="W119" s="17">
        <v>0.24315439999999999</v>
      </c>
      <c r="X119" s="17">
        <v>0.26527050000000002</v>
      </c>
      <c r="Y119" s="17">
        <v>0.34132420000000002</v>
      </c>
      <c r="Z119" s="17">
        <v>0.39391379999999998</v>
      </c>
      <c r="AA119" s="17">
        <v>0.43139529999999998</v>
      </c>
      <c r="AB119" s="17">
        <v>0.53961630000000005</v>
      </c>
      <c r="AC119" s="25">
        <f t="shared" si="20"/>
        <v>422.21511999999996</v>
      </c>
      <c r="AD119" s="25">
        <f t="shared" si="21"/>
        <v>396.82487999999995</v>
      </c>
    </row>
    <row r="120" spans="1:30" x14ac:dyDescent="0.25">
      <c r="A120">
        <v>3.2</v>
      </c>
      <c r="B120" s="17">
        <v>4.62963E-3</v>
      </c>
      <c r="C120" s="17">
        <v>4.0941659999999998E-3</v>
      </c>
      <c r="D120" s="17">
        <v>5.8035709999999997E-2</v>
      </c>
      <c r="E120" s="17">
        <v>3.1948879999999999E-2</v>
      </c>
      <c r="F120" s="17">
        <v>0.15167549999999999</v>
      </c>
      <c r="G120" s="17">
        <v>8.5405410000000001E-2</v>
      </c>
      <c r="H120" s="17">
        <v>0.29607509999999998</v>
      </c>
      <c r="I120" s="17">
        <v>0.1860203</v>
      </c>
      <c r="J120" s="25">
        <f t="shared" si="18"/>
        <v>422.62464</v>
      </c>
      <c r="K120" s="25">
        <f t="shared" si="19"/>
        <v>396.41535999999996</v>
      </c>
      <c r="T120">
        <v>3.2</v>
      </c>
      <c r="U120" s="17">
        <v>7.903056E-2</v>
      </c>
      <c r="V120" s="17">
        <v>7.0333629999999994E-2</v>
      </c>
      <c r="W120" s="17">
        <v>0.23548740000000001</v>
      </c>
      <c r="X120" s="17">
        <v>0.2504363</v>
      </c>
      <c r="Y120" s="17">
        <v>0.33219179999999998</v>
      </c>
      <c r="Z120" s="17">
        <v>0.3837701</v>
      </c>
      <c r="AA120" s="17">
        <v>0.4186047</v>
      </c>
      <c r="AB120" s="17">
        <v>0.52210179999999995</v>
      </c>
      <c r="AC120" s="25">
        <f t="shared" ref="AC120:AC133" si="22">($A120/100+1)*$N$77</f>
        <v>422.62464</v>
      </c>
      <c r="AD120" s="25">
        <f t="shared" ref="AD120:AD133" si="23">(1-$A120/100)*$N$77</f>
        <v>396.41535999999996</v>
      </c>
    </row>
    <row r="121" spans="1:30" x14ac:dyDescent="0.25">
      <c r="A121">
        <v>3.3</v>
      </c>
      <c r="B121" s="17">
        <v>4.62963E-3</v>
      </c>
      <c r="C121" s="17">
        <v>2.0470829999999999E-3</v>
      </c>
      <c r="D121" s="17">
        <v>5.6250000000000001E-2</v>
      </c>
      <c r="E121" s="17">
        <v>2.768903E-2</v>
      </c>
      <c r="F121" s="17">
        <v>0.13580249999999999</v>
      </c>
      <c r="G121" s="17">
        <v>7.6756759999999993E-2</v>
      </c>
      <c r="H121" s="17">
        <v>0.27901019999999999</v>
      </c>
      <c r="I121" s="17">
        <v>0.17249149999999999</v>
      </c>
      <c r="J121" s="25">
        <f t="shared" ref="J121:J134" si="24">($A121/100+1)*$N$77</f>
        <v>423.03415999999993</v>
      </c>
      <c r="K121" s="25">
        <f t="shared" ref="K121:K134" si="25">(1-$A121/100)*$N$77</f>
        <v>396.00583999999998</v>
      </c>
      <c r="T121">
        <v>3.3</v>
      </c>
      <c r="U121" s="17">
        <v>7.4815599999999996E-2</v>
      </c>
      <c r="V121" s="17">
        <v>6.5825069999999999E-2</v>
      </c>
      <c r="W121" s="17">
        <v>0.22124859999999999</v>
      </c>
      <c r="X121" s="17">
        <v>0.23909250000000001</v>
      </c>
      <c r="Y121" s="17">
        <v>0.31849319999999998</v>
      </c>
      <c r="Z121" s="17">
        <v>0.36432799999999999</v>
      </c>
      <c r="AA121" s="17">
        <v>0.40465119999999999</v>
      </c>
      <c r="AB121" s="17">
        <v>0.51209340000000003</v>
      </c>
      <c r="AC121" s="25">
        <f t="shared" si="22"/>
        <v>423.03415999999993</v>
      </c>
      <c r="AD121" s="25">
        <f t="shared" si="23"/>
        <v>396.00583999999998</v>
      </c>
    </row>
    <row r="122" spans="1:30" x14ac:dyDescent="0.25">
      <c r="A122">
        <v>3.4</v>
      </c>
      <c r="B122" s="17">
        <v>4.62963E-3</v>
      </c>
      <c r="C122" s="17">
        <v>2.0470829999999999E-3</v>
      </c>
      <c r="D122" s="17">
        <v>4.9107140000000001E-2</v>
      </c>
      <c r="E122" s="17">
        <v>2.2364220000000001E-2</v>
      </c>
      <c r="F122" s="17">
        <v>0.12522050000000001</v>
      </c>
      <c r="G122" s="17">
        <v>7.0270269999999996E-2</v>
      </c>
      <c r="H122" s="17">
        <v>0.26706479999999999</v>
      </c>
      <c r="I122" s="17">
        <v>0.15783539999999999</v>
      </c>
      <c r="J122" s="25">
        <f t="shared" si="24"/>
        <v>423.44367999999997</v>
      </c>
      <c r="K122" s="25">
        <f t="shared" si="25"/>
        <v>395.59631999999999</v>
      </c>
      <c r="T122">
        <v>3.4</v>
      </c>
      <c r="U122" s="17">
        <v>6.7439410000000005E-2</v>
      </c>
      <c r="V122" s="17">
        <v>5.9513070000000001E-2</v>
      </c>
      <c r="W122" s="17">
        <v>0.20262869999999999</v>
      </c>
      <c r="X122" s="17">
        <v>0.2286213</v>
      </c>
      <c r="Y122" s="17">
        <v>0.31050230000000001</v>
      </c>
      <c r="Z122" s="17">
        <v>0.3482671</v>
      </c>
      <c r="AA122" s="17">
        <v>0.3953488</v>
      </c>
      <c r="AB122" s="17">
        <v>0.49541279999999999</v>
      </c>
      <c r="AC122" s="25">
        <f t="shared" si="22"/>
        <v>423.44367999999997</v>
      </c>
      <c r="AD122" s="25">
        <f t="shared" si="23"/>
        <v>395.59631999999999</v>
      </c>
    </row>
    <row r="123" spans="1:30" x14ac:dyDescent="0.25">
      <c r="A123">
        <v>3.5</v>
      </c>
      <c r="B123" s="17">
        <v>3.7037039999999999E-3</v>
      </c>
      <c r="C123" s="17">
        <v>1.023541E-3</v>
      </c>
      <c r="D123" s="17">
        <v>4.1071429999999999E-2</v>
      </c>
      <c r="E123" s="17">
        <v>1.70394E-2</v>
      </c>
      <c r="F123" s="17">
        <v>0.11640209999999999</v>
      </c>
      <c r="G123" s="17">
        <v>5.8378380000000001E-2</v>
      </c>
      <c r="H123" s="17">
        <v>0.253413</v>
      </c>
      <c r="I123" s="17">
        <v>0.14543400000000001</v>
      </c>
      <c r="J123" s="25">
        <f t="shared" si="24"/>
        <v>423.85319999999996</v>
      </c>
      <c r="K123" s="25">
        <f t="shared" si="25"/>
        <v>395.18679999999995</v>
      </c>
      <c r="T123">
        <v>3.5</v>
      </c>
      <c r="U123" s="17">
        <v>6.006322E-2</v>
      </c>
      <c r="V123" s="17">
        <v>5.3201079999999998E-2</v>
      </c>
      <c r="W123" s="17">
        <v>0.19167580000000001</v>
      </c>
      <c r="X123" s="17">
        <v>0.21553230000000001</v>
      </c>
      <c r="Y123" s="17">
        <v>0.293379</v>
      </c>
      <c r="Z123" s="17">
        <v>0.32967030000000003</v>
      </c>
      <c r="AA123" s="17">
        <v>0.38139529999999999</v>
      </c>
      <c r="AB123" s="17">
        <v>0.48206840000000001</v>
      </c>
      <c r="AC123" s="25">
        <f t="shared" si="22"/>
        <v>423.85319999999996</v>
      </c>
      <c r="AD123" s="25">
        <f t="shared" si="23"/>
        <v>395.18679999999995</v>
      </c>
    </row>
    <row r="124" spans="1:30" x14ac:dyDescent="0.25">
      <c r="A124">
        <v>3.6</v>
      </c>
      <c r="B124" s="17">
        <v>1.851852E-3</v>
      </c>
      <c r="C124" s="17">
        <v>1.023541E-3</v>
      </c>
      <c r="D124" s="17">
        <v>3.3035710000000003E-2</v>
      </c>
      <c r="E124" s="17">
        <v>1.3844520000000001E-2</v>
      </c>
      <c r="F124" s="17">
        <v>0.10317460000000001</v>
      </c>
      <c r="G124" s="17">
        <v>5.2972970000000001E-2</v>
      </c>
      <c r="H124" s="17">
        <v>0.2397611</v>
      </c>
      <c r="I124" s="17">
        <v>0.1330327</v>
      </c>
      <c r="J124" s="25">
        <f t="shared" si="24"/>
        <v>424.26272</v>
      </c>
      <c r="K124" s="25">
        <f t="shared" si="25"/>
        <v>394.77727999999996</v>
      </c>
      <c r="T124">
        <v>3.6</v>
      </c>
      <c r="U124" s="17">
        <v>5.6902000000000001E-2</v>
      </c>
      <c r="V124" s="17">
        <v>4.8692520000000003E-2</v>
      </c>
      <c r="W124" s="17">
        <v>0.1752464</v>
      </c>
      <c r="X124" s="17">
        <v>0.19633510000000001</v>
      </c>
      <c r="Y124" s="17">
        <v>0.27511419999999998</v>
      </c>
      <c r="Z124" s="17">
        <v>0.31614540000000002</v>
      </c>
      <c r="AA124" s="17">
        <v>0.37209300000000001</v>
      </c>
      <c r="AB124" s="17">
        <v>0.47122599999999998</v>
      </c>
      <c r="AC124" s="25">
        <f t="shared" si="22"/>
        <v>424.26272</v>
      </c>
      <c r="AD124" s="25">
        <f t="shared" si="23"/>
        <v>394.77727999999996</v>
      </c>
    </row>
    <row r="125" spans="1:30" x14ac:dyDescent="0.25">
      <c r="A125">
        <v>3.7</v>
      </c>
      <c r="B125" s="17">
        <v>1.851852E-3</v>
      </c>
      <c r="C125" s="17">
        <v>0</v>
      </c>
      <c r="D125" s="17">
        <v>3.0357140000000001E-2</v>
      </c>
      <c r="E125" s="17">
        <v>1.171459E-2</v>
      </c>
      <c r="F125" s="17">
        <v>9.3474429999999997E-2</v>
      </c>
      <c r="G125" s="17">
        <v>5.0810809999999998E-2</v>
      </c>
      <c r="H125" s="17">
        <v>0.22781570000000001</v>
      </c>
      <c r="I125" s="17">
        <v>0.1206313</v>
      </c>
      <c r="J125" s="25">
        <f t="shared" si="24"/>
        <v>424.67223999999993</v>
      </c>
      <c r="K125" s="25">
        <f t="shared" si="25"/>
        <v>394.36775999999998</v>
      </c>
      <c r="T125">
        <v>3.7</v>
      </c>
      <c r="U125" s="17">
        <v>5.4794519999999999E-2</v>
      </c>
      <c r="V125" s="17">
        <v>4.5987380000000001E-2</v>
      </c>
      <c r="W125" s="17">
        <v>0.15991240000000001</v>
      </c>
      <c r="X125" s="17">
        <v>0.1849913</v>
      </c>
      <c r="Y125" s="17">
        <v>0.26940639999999999</v>
      </c>
      <c r="Z125" s="17">
        <v>0.30177510000000002</v>
      </c>
      <c r="AA125" s="17">
        <v>0.36279070000000002</v>
      </c>
      <c r="AB125" s="17">
        <v>0.46288570000000001</v>
      </c>
      <c r="AC125" s="25">
        <f t="shared" si="22"/>
        <v>424.67223999999993</v>
      </c>
      <c r="AD125" s="25">
        <f t="shared" si="23"/>
        <v>394.36775999999998</v>
      </c>
    </row>
    <row r="126" spans="1:30" x14ac:dyDescent="0.25">
      <c r="A126">
        <v>3.8</v>
      </c>
      <c r="B126" s="17">
        <v>9.2592589999999995E-4</v>
      </c>
      <c r="C126" s="17">
        <v>0</v>
      </c>
      <c r="D126" s="17">
        <v>2.589286E-2</v>
      </c>
      <c r="E126" s="17">
        <v>7.4547390000000002E-3</v>
      </c>
      <c r="F126" s="17">
        <v>8.201058E-2</v>
      </c>
      <c r="G126" s="17">
        <v>4.6486489999999998E-2</v>
      </c>
      <c r="H126" s="17">
        <v>0.21416379999999999</v>
      </c>
      <c r="I126" s="17">
        <v>0.11048479999999999</v>
      </c>
      <c r="J126" s="25">
        <f t="shared" si="24"/>
        <v>425.08175999999997</v>
      </c>
      <c r="K126" s="25">
        <f t="shared" si="25"/>
        <v>393.95823999999999</v>
      </c>
      <c r="T126">
        <v>3.8</v>
      </c>
      <c r="U126" s="17">
        <v>5.2687039999999997E-2</v>
      </c>
      <c r="V126" s="17">
        <v>4.508566E-2</v>
      </c>
      <c r="W126" s="17">
        <v>0.15443589999999999</v>
      </c>
      <c r="X126" s="17">
        <v>0.17190230000000001</v>
      </c>
      <c r="Y126" s="17">
        <v>0.24885840000000001</v>
      </c>
      <c r="Z126" s="17">
        <v>0.2899408</v>
      </c>
      <c r="AA126" s="17">
        <v>0.35581400000000002</v>
      </c>
      <c r="AB126" s="17">
        <v>0.44870729999999998</v>
      </c>
      <c r="AC126" s="25">
        <f t="shared" si="22"/>
        <v>425.08175999999997</v>
      </c>
      <c r="AD126" s="25">
        <f t="shared" si="23"/>
        <v>393.95823999999999</v>
      </c>
    </row>
    <row r="127" spans="1:30" x14ac:dyDescent="0.25">
      <c r="A127">
        <v>3.9</v>
      </c>
      <c r="B127" s="17">
        <v>9.2592589999999995E-4</v>
      </c>
      <c r="C127" s="17">
        <v>0</v>
      </c>
      <c r="D127" s="17">
        <v>2.232143E-2</v>
      </c>
      <c r="E127" s="17">
        <v>6.3897759999999998E-3</v>
      </c>
      <c r="F127" s="17">
        <v>7.3192240000000006E-2</v>
      </c>
      <c r="G127" s="17">
        <v>0.04</v>
      </c>
      <c r="H127" s="17">
        <v>0.20051189999999999</v>
      </c>
      <c r="I127" s="17">
        <v>0.102593</v>
      </c>
      <c r="J127" s="25">
        <f t="shared" si="24"/>
        <v>425.49127999999996</v>
      </c>
      <c r="K127" s="25">
        <f t="shared" si="25"/>
        <v>393.54871999999995</v>
      </c>
      <c r="T127">
        <v>3.9</v>
      </c>
      <c r="U127" s="17">
        <v>4.6364589999999997E-2</v>
      </c>
      <c r="V127" s="17">
        <v>3.8773670000000003E-2</v>
      </c>
      <c r="W127" s="17">
        <v>0.14457829999999999</v>
      </c>
      <c r="X127" s="17">
        <v>0.1657941</v>
      </c>
      <c r="Y127" s="17">
        <v>0.22945209999999999</v>
      </c>
      <c r="Z127" s="17">
        <v>0.2755706</v>
      </c>
      <c r="AA127" s="17">
        <v>0.34767439999999999</v>
      </c>
      <c r="AB127" s="17">
        <v>0.4395329</v>
      </c>
      <c r="AC127" s="25">
        <f t="shared" si="22"/>
        <v>425.49127999999996</v>
      </c>
      <c r="AD127" s="25">
        <f t="shared" si="23"/>
        <v>393.54871999999995</v>
      </c>
    </row>
    <row r="128" spans="1:30" x14ac:dyDescent="0.25">
      <c r="A128">
        <v>4</v>
      </c>
      <c r="B128" s="17">
        <v>9.2592589999999995E-4</v>
      </c>
      <c r="C128" s="17">
        <v>0</v>
      </c>
      <c r="D128" s="17">
        <v>2.0535709999999999E-2</v>
      </c>
      <c r="E128" s="17">
        <v>3.1948879999999999E-3</v>
      </c>
      <c r="F128" s="17">
        <v>6.8783070000000002E-2</v>
      </c>
      <c r="G128" s="17">
        <v>3.4594590000000001E-2</v>
      </c>
      <c r="H128" s="17">
        <v>0.190273</v>
      </c>
      <c r="I128" s="17">
        <v>9.8083429999999999E-2</v>
      </c>
      <c r="J128" s="25">
        <f t="shared" si="24"/>
        <v>425.9008</v>
      </c>
      <c r="K128" s="25">
        <f t="shared" si="25"/>
        <v>393.13919999999996</v>
      </c>
      <c r="T128">
        <v>4</v>
      </c>
      <c r="U128" s="17">
        <v>4.3203369999999998E-2</v>
      </c>
      <c r="V128" s="17">
        <v>3.7871960000000003E-2</v>
      </c>
      <c r="W128" s="17">
        <v>0.13581599999999999</v>
      </c>
      <c r="X128" s="17">
        <v>0.15445030000000001</v>
      </c>
      <c r="Y128" s="17">
        <v>0.2214612</v>
      </c>
      <c r="Z128" s="17">
        <v>0.25612849999999998</v>
      </c>
      <c r="AA128" s="17">
        <v>0.33720929999999999</v>
      </c>
      <c r="AB128" s="17">
        <v>0.42118430000000001</v>
      </c>
      <c r="AC128" s="25">
        <f t="shared" si="22"/>
        <v>425.9008</v>
      </c>
      <c r="AD128" s="25">
        <f t="shared" si="23"/>
        <v>393.13919999999996</v>
      </c>
    </row>
    <row r="129" spans="1:30" x14ac:dyDescent="0.25">
      <c r="A129">
        <v>4.0999999999999996</v>
      </c>
      <c r="D129" s="17">
        <v>1.8749999999999999E-2</v>
      </c>
      <c r="E129" s="17">
        <v>1.0649629999999999E-3</v>
      </c>
      <c r="F129" s="17">
        <v>6.0846560000000001E-2</v>
      </c>
      <c r="G129" s="17">
        <v>2.918919E-2</v>
      </c>
      <c r="H129" s="17">
        <v>0.1791809</v>
      </c>
      <c r="I129" s="17">
        <v>8.793687E-2</v>
      </c>
      <c r="J129" s="25">
        <f t="shared" si="24"/>
        <v>426.31031999999993</v>
      </c>
      <c r="K129" s="25">
        <f t="shared" si="25"/>
        <v>392.72967999999997</v>
      </c>
      <c r="T129">
        <v>4.0999999999999996</v>
      </c>
      <c r="W129" s="17">
        <v>0.1226725</v>
      </c>
      <c r="X129" s="17">
        <v>0.1413613</v>
      </c>
      <c r="Y129" s="17">
        <v>0.21232880000000001</v>
      </c>
      <c r="Z129" s="17">
        <v>0.24513950000000001</v>
      </c>
      <c r="AA129" s="17">
        <v>0.3244186</v>
      </c>
      <c r="AB129" s="17">
        <v>0.40617180000000003</v>
      </c>
      <c r="AC129" s="25">
        <f t="shared" si="22"/>
        <v>426.31031999999993</v>
      </c>
      <c r="AD129" s="25">
        <f t="shared" si="23"/>
        <v>392.72967999999997</v>
      </c>
    </row>
    <row r="130" spans="1:30" x14ac:dyDescent="0.25">
      <c r="A130">
        <v>4.2</v>
      </c>
      <c r="D130" s="17">
        <v>1.7857140000000001E-2</v>
      </c>
      <c r="E130" s="17">
        <v>1.0649629999999999E-3</v>
      </c>
      <c r="F130" s="17">
        <v>5.4673720000000002E-2</v>
      </c>
      <c r="G130" s="17">
        <v>2.3783780000000001E-2</v>
      </c>
      <c r="H130" s="17">
        <v>0.16638230000000001</v>
      </c>
      <c r="I130" s="17">
        <v>8.0045099999999994E-2</v>
      </c>
      <c r="J130" s="25">
        <f t="shared" si="24"/>
        <v>426.71983999999998</v>
      </c>
      <c r="K130" s="25">
        <f t="shared" si="25"/>
        <v>392.32015999999999</v>
      </c>
      <c r="T130">
        <v>4.2</v>
      </c>
      <c r="W130" s="17">
        <v>0.1139102</v>
      </c>
      <c r="X130" s="17">
        <v>0.13438050000000001</v>
      </c>
      <c r="Y130" s="17">
        <v>0.20205480000000001</v>
      </c>
      <c r="Z130" s="17">
        <v>0.23330519999999999</v>
      </c>
      <c r="AA130" s="17">
        <v>0.3139535</v>
      </c>
      <c r="AB130" s="17">
        <v>0.38949119999999998</v>
      </c>
      <c r="AC130" s="25">
        <f t="shared" si="22"/>
        <v>426.71983999999998</v>
      </c>
      <c r="AD130" s="25">
        <f t="shared" si="23"/>
        <v>392.32015999999999</v>
      </c>
    </row>
    <row r="131" spans="1:30" x14ac:dyDescent="0.25">
      <c r="A131">
        <v>4.3</v>
      </c>
      <c r="D131" s="17">
        <v>1.5178570000000001E-2</v>
      </c>
      <c r="E131" s="17">
        <v>1.0649629999999999E-3</v>
      </c>
      <c r="F131" s="17">
        <v>4.9382719999999998E-2</v>
      </c>
      <c r="G131" s="17">
        <v>2.0540539999999999E-2</v>
      </c>
      <c r="H131" s="17">
        <v>0.15529009999999999</v>
      </c>
      <c r="I131" s="17">
        <v>6.989853E-2</v>
      </c>
      <c r="J131" s="25">
        <f t="shared" si="24"/>
        <v>427.12935999999996</v>
      </c>
      <c r="K131" s="25">
        <f t="shared" si="25"/>
        <v>391.91063999999994</v>
      </c>
      <c r="T131">
        <v>4.3</v>
      </c>
      <c r="W131" s="17">
        <v>0.109529</v>
      </c>
      <c r="X131" s="17">
        <v>0.1273997</v>
      </c>
      <c r="Y131" s="17">
        <v>0.19748859999999999</v>
      </c>
      <c r="Z131" s="17">
        <v>0.22231609999999999</v>
      </c>
      <c r="AA131" s="17">
        <v>0.30232560000000003</v>
      </c>
      <c r="AB131" s="17">
        <v>0.38198500000000002</v>
      </c>
      <c r="AC131" s="25">
        <f t="shared" si="22"/>
        <v>427.12935999999996</v>
      </c>
      <c r="AD131" s="25">
        <f t="shared" si="23"/>
        <v>391.91063999999994</v>
      </c>
    </row>
    <row r="132" spans="1:30" x14ac:dyDescent="0.25">
      <c r="A132">
        <v>4.4000000000000004</v>
      </c>
      <c r="D132" s="17">
        <v>1.3392859999999999E-2</v>
      </c>
      <c r="E132" s="17">
        <v>1.0649629999999999E-3</v>
      </c>
      <c r="F132" s="17">
        <v>4.4091709999999999E-2</v>
      </c>
      <c r="G132" s="17">
        <v>1.513514E-2</v>
      </c>
      <c r="H132" s="17">
        <v>0.14590439999999999</v>
      </c>
      <c r="I132" s="17">
        <v>6.6516350000000002E-2</v>
      </c>
      <c r="J132" s="25">
        <f t="shared" si="24"/>
        <v>427.53888000000001</v>
      </c>
      <c r="K132" s="25">
        <f t="shared" si="25"/>
        <v>391.50111999999996</v>
      </c>
      <c r="T132">
        <v>4.4000000000000004</v>
      </c>
      <c r="W132" s="17">
        <v>0.1062432</v>
      </c>
      <c r="X132" s="17">
        <v>0.12041880000000001</v>
      </c>
      <c r="Y132" s="17">
        <v>0.18949769999999999</v>
      </c>
      <c r="Z132" s="17">
        <v>0.2071006</v>
      </c>
      <c r="AA132" s="17">
        <v>0.2872093</v>
      </c>
      <c r="AB132" s="17">
        <v>0.37030859999999999</v>
      </c>
      <c r="AC132" s="25">
        <f t="shared" si="22"/>
        <v>427.53888000000001</v>
      </c>
      <c r="AD132" s="25">
        <f t="shared" si="23"/>
        <v>391.50111999999996</v>
      </c>
    </row>
    <row r="133" spans="1:30" x14ac:dyDescent="0.25">
      <c r="A133">
        <v>4.5</v>
      </c>
      <c r="D133" s="17">
        <v>1.160714E-2</v>
      </c>
      <c r="E133" s="17">
        <v>0</v>
      </c>
      <c r="F133" s="17">
        <v>4.0564370000000002E-2</v>
      </c>
      <c r="G133" s="17">
        <v>1.0810810000000001E-2</v>
      </c>
      <c r="H133" s="17">
        <v>0.14078499999999999</v>
      </c>
      <c r="I133" s="17">
        <v>5.6369790000000003E-2</v>
      </c>
      <c r="J133" s="25">
        <f t="shared" si="24"/>
        <v>427.94839999999994</v>
      </c>
      <c r="K133" s="25">
        <f t="shared" si="25"/>
        <v>391.09159999999997</v>
      </c>
      <c r="T133">
        <v>4.5</v>
      </c>
      <c r="W133" s="17">
        <v>9.5290250000000007E-2</v>
      </c>
      <c r="X133" s="17">
        <v>0.1125654</v>
      </c>
      <c r="Y133" s="17">
        <v>0.1769406</v>
      </c>
      <c r="Z133" s="17">
        <v>0.19442100000000001</v>
      </c>
      <c r="AA133" s="17">
        <v>0.27790700000000002</v>
      </c>
      <c r="AB133" s="17">
        <v>0.35696410000000001</v>
      </c>
      <c r="AC133" s="25">
        <f t="shared" si="22"/>
        <v>427.94839999999994</v>
      </c>
      <c r="AD133" s="25">
        <f t="shared" si="23"/>
        <v>391.09159999999997</v>
      </c>
    </row>
    <row r="134" spans="1:30" x14ac:dyDescent="0.25">
      <c r="A134">
        <v>4.5999999999999996</v>
      </c>
      <c r="J134" s="25">
        <f t="shared" si="24"/>
        <v>428.35791999999998</v>
      </c>
      <c r="K134" s="25">
        <f t="shared" si="25"/>
        <v>390.68207999999998</v>
      </c>
      <c r="T134">
        <v>4.5999999999999996</v>
      </c>
      <c r="Y134" s="17">
        <v>0.17237440000000001</v>
      </c>
      <c r="Z134" s="17">
        <v>0.180896</v>
      </c>
      <c r="AA134" s="17">
        <v>0.27209299999999997</v>
      </c>
      <c r="AB134" s="17">
        <v>0.34528769999999998</v>
      </c>
    </row>
    <row r="135" spans="1:30" x14ac:dyDescent="0.25">
      <c r="A135" t="s">
        <v>27</v>
      </c>
      <c r="B135">
        <v>1.5</v>
      </c>
      <c r="C135">
        <v>1.4</v>
      </c>
      <c r="D135">
        <v>3.7</v>
      </c>
      <c r="E135">
        <v>2.5</v>
      </c>
      <c r="F135" s="25">
        <v>4.9000000000000004</v>
      </c>
      <c r="G135">
        <v>3.5</v>
      </c>
      <c r="H135">
        <v>9</v>
      </c>
      <c r="I135">
        <v>5.8</v>
      </c>
      <c r="J135" s="25"/>
      <c r="K135" s="25"/>
      <c r="T135">
        <v>4.7</v>
      </c>
      <c r="Y135" s="17">
        <v>0.15867580000000001</v>
      </c>
      <c r="Z135" s="17">
        <v>0.17244290000000001</v>
      </c>
      <c r="AA135" s="17">
        <v>0.26976739999999999</v>
      </c>
      <c r="AB135" s="17">
        <v>0.3319433</v>
      </c>
    </row>
    <row r="136" spans="1:30" x14ac:dyDescent="0.25">
      <c r="A136" t="s">
        <v>26</v>
      </c>
      <c r="B136">
        <v>2</v>
      </c>
      <c r="C136">
        <v>1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 s="25"/>
      <c r="K136" s="25"/>
      <c r="T136">
        <v>4.8</v>
      </c>
      <c r="Y136" s="17">
        <v>0.14954339999999999</v>
      </c>
      <c r="Z136" s="17">
        <v>0.16145390000000001</v>
      </c>
      <c r="AA136" s="17">
        <v>0.25813950000000002</v>
      </c>
      <c r="AB136" s="17">
        <v>0.32026690000000002</v>
      </c>
    </row>
    <row r="137" spans="1:30" x14ac:dyDescent="0.25">
      <c r="A137" t="s">
        <v>25</v>
      </c>
      <c r="B137">
        <v>2.1</v>
      </c>
      <c r="C137">
        <v>1.9</v>
      </c>
      <c r="D137">
        <v>4</v>
      </c>
      <c r="E137">
        <v>3.4</v>
      </c>
      <c r="F137">
        <v>4.8</v>
      </c>
      <c r="G137">
        <v>4</v>
      </c>
      <c r="H137">
        <v>7</v>
      </c>
      <c r="I137">
        <v>5.3</v>
      </c>
      <c r="J137" s="25"/>
      <c r="K137" s="25"/>
      <c r="T137">
        <v>4.9000000000000004</v>
      </c>
      <c r="Y137" s="17">
        <v>0.14383560000000001</v>
      </c>
      <c r="Z137" s="17">
        <v>0.15046490000000001</v>
      </c>
      <c r="AA137" s="17">
        <v>0.24767439999999999</v>
      </c>
      <c r="AB137" s="17">
        <v>0.3110926</v>
      </c>
    </row>
    <row r="138" spans="1:30" x14ac:dyDescent="0.25">
      <c r="A138" t="s">
        <v>77</v>
      </c>
      <c r="B138" s="17">
        <v>0.14922479999999999</v>
      </c>
      <c r="C138" s="17">
        <v>8.7209300000000003E-2</v>
      </c>
      <c r="D138" s="17">
        <v>0.1281139</v>
      </c>
      <c r="E138" s="17">
        <v>0.1571429</v>
      </c>
      <c r="F138" s="17">
        <v>0.1446809</v>
      </c>
      <c r="G138" s="17">
        <v>0.1495726</v>
      </c>
      <c r="J138" s="25"/>
      <c r="K138" s="25"/>
      <c r="T138">
        <v>5</v>
      </c>
      <c r="Y138" s="17">
        <v>0.13698630000000001</v>
      </c>
      <c r="Z138" s="17">
        <v>0.1411665</v>
      </c>
      <c r="AA138" s="17">
        <v>0.2383721</v>
      </c>
      <c r="AB138" s="17">
        <v>0.29941620000000002</v>
      </c>
    </row>
    <row r="139" spans="1:30" x14ac:dyDescent="0.25">
      <c r="A139" t="s">
        <v>78</v>
      </c>
      <c r="B139" s="17">
        <v>0.15116280000000001</v>
      </c>
      <c r="C139" s="17">
        <v>0.2286822</v>
      </c>
      <c r="D139" s="17">
        <v>0.29893239999999999</v>
      </c>
      <c r="E139" s="17">
        <v>0.23214290000000001</v>
      </c>
      <c r="F139" s="17">
        <v>0.37021280000000001</v>
      </c>
      <c r="G139" s="17">
        <v>0.32478629999999997</v>
      </c>
      <c r="J139" s="25"/>
      <c r="K139" s="25"/>
      <c r="T139">
        <v>5.0999999999999996</v>
      </c>
      <c r="Y139" s="17">
        <v>0.130137</v>
      </c>
      <c r="Z139" s="17">
        <v>0.1335587</v>
      </c>
      <c r="AA139" s="17">
        <v>0.22558139999999999</v>
      </c>
      <c r="AB139" s="17">
        <v>0.28690579999999999</v>
      </c>
    </row>
    <row r="140" spans="1:30" x14ac:dyDescent="0.25">
      <c r="J140" s="25"/>
      <c r="T140">
        <v>5.2</v>
      </c>
      <c r="Y140" s="17">
        <v>0.12557080000000001</v>
      </c>
      <c r="Z140" s="17">
        <v>0.1267963</v>
      </c>
      <c r="AA140" s="17">
        <v>0.21744189999999999</v>
      </c>
      <c r="AB140" s="17">
        <v>0.27439530000000001</v>
      </c>
    </row>
    <row r="141" spans="1:30" x14ac:dyDescent="0.25">
      <c r="T141">
        <v>5.3</v>
      </c>
      <c r="Y141" s="17">
        <v>0.11872149999999999</v>
      </c>
      <c r="Z141" s="17">
        <v>0.12595100000000001</v>
      </c>
      <c r="AA141" s="17">
        <v>0.2127907</v>
      </c>
      <c r="AB141" s="17">
        <v>0.26522099999999998</v>
      </c>
    </row>
    <row r="142" spans="1:30" x14ac:dyDescent="0.25">
      <c r="T142">
        <v>5.4</v>
      </c>
      <c r="Y142" s="17">
        <v>0.11301369999999999</v>
      </c>
      <c r="Z142" s="17">
        <v>0.12426039999999999</v>
      </c>
      <c r="AA142" s="17">
        <v>0.2011628</v>
      </c>
      <c r="AB142" s="17">
        <v>0.25271060000000001</v>
      </c>
    </row>
    <row r="143" spans="1:30" x14ac:dyDescent="0.25">
      <c r="T143">
        <v>5.5</v>
      </c>
      <c r="Y143" s="17">
        <v>0.1038813</v>
      </c>
      <c r="Z143" s="17">
        <v>0.1158073</v>
      </c>
      <c r="AA143" s="17">
        <v>0.19302330000000001</v>
      </c>
      <c r="AB143" s="17">
        <v>0.2410342</v>
      </c>
    </row>
    <row r="144" spans="1:30" x14ac:dyDescent="0.25">
      <c r="T144">
        <v>5.6</v>
      </c>
      <c r="Y144" s="17">
        <v>9.703196E-2</v>
      </c>
      <c r="Z144" s="17">
        <v>0.112426</v>
      </c>
      <c r="AA144" s="17">
        <v>0.18837209999999999</v>
      </c>
      <c r="AB144" s="17">
        <v>0.23519599999999999</v>
      </c>
    </row>
    <row r="145" spans="20:28" x14ac:dyDescent="0.25">
      <c r="T145">
        <v>5.7</v>
      </c>
      <c r="Y145" s="17">
        <v>9.1324199999999994E-2</v>
      </c>
      <c r="Z145" s="17">
        <v>0.1081995</v>
      </c>
      <c r="AA145" s="17">
        <v>0.18372089999999999</v>
      </c>
      <c r="AB145" s="17">
        <v>0.22685569999999999</v>
      </c>
    </row>
    <row r="146" spans="20:28" x14ac:dyDescent="0.25">
      <c r="T146">
        <v>5.8</v>
      </c>
      <c r="Y146" s="17">
        <v>8.7899539999999998E-2</v>
      </c>
      <c r="Z146" s="17">
        <v>0.1031276</v>
      </c>
      <c r="AA146" s="17">
        <v>0.17441860000000001</v>
      </c>
      <c r="AB146" s="17">
        <v>0.22185150000000001</v>
      </c>
    </row>
    <row r="147" spans="20:28" x14ac:dyDescent="0.25">
      <c r="T147">
        <v>5.9</v>
      </c>
      <c r="Y147" s="17">
        <v>8.5616440000000002E-2</v>
      </c>
      <c r="Z147" s="17">
        <v>9.8055790000000004E-2</v>
      </c>
      <c r="AA147" s="17">
        <v>0.16162789999999999</v>
      </c>
      <c r="AB147" s="17">
        <v>0.21601329999999999</v>
      </c>
    </row>
    <row r="148" spans="20:28" x14ac:dyDescent="0.25">
      <c r="T148">
        <v>6</v>
      </c>
      <c r="Y148" s="17">
        <v>8.1050230000000001E-2</v>
      </c>
      <c r="Z148" s="17">
        <v>9.2983940000000001E-2</v>
      </c>
      <c r="AA148" s="17">
        <v>0.15465119999999999</v>
      </c>
      <c r="AB148" s="17">
        <v>0.20350289999999999</v>
      </c>
    </row>
    <row r="149" spans="20:28" x14ac:dyDescent="0.25">
      <c r="T149">
        <v>6.1</v>
      </c>
      <c r="Y149" s="17">
        <v>7.648402E-2</v>
      </c>
      <c r="Z149" s="17">
        <v>8.7912089999999998E-2</v>
      </c>
      <c r="AA149" s="17">
        <v>0.15</v>
      </c>
      <c r="AB149" s="17">
        <v>0.1984987</v>
      </c>
    </row>
    <row r="150" spans="20:28" x14ac:dyDescent="0.25">
      <c r="T150">
        <v>6.2</v>
      </c>
      <c r="Y150" s="17">
        <v>7.1917809999999999E-2</v>
      </c>
      <c r="Z150" s="17">
        <v>8.1994929999999994E-2</v>
      </c>
      <c r="AA150" s="17">
        <v>0.14302329999999999</v>
      </c>
      <c r="AB150" s="17">
        <v>0.19099250000000001</v>
      </c>
    </row>
    <row r="151" spans="20:28" x14ac:dyDescent="0.25">
      <c r="T151">
        <v>6.3</v>
      </c>
      <c r="Y151" s="17">
        <v>6.8493150000000003E-2</v>
      </c>
      <c r="Z151" s="17">
        <v>7.9459000000000002E-2</v>
      </c>
      <c r="AA151" s="17">
        <v>0.13604649999999999</v>
      </c>
      <c r="AB151" s="17">
        <v>0.18348619999999999</v>
      </c>
    </row>
    <row r="152" spans="20:28" x14ac:dyDescent="0.25">
      <c r="T152" t="s">
        <v>27</v>
      </c>
      <c r="U152">
        <v>1.1000000000000001</v>
      </c>
      <c r="V152">
        <v>1.5</v>
      </c>
      <c r="W152">
        <v>2.4</v>
      </c>
      <c r="X152">
        <v>3.3</v>
      </c>
      <c r="Y152">
        <v>3.6</v>
      </c>
      <c r="Z152">
        <v>4.5</v>
      </c>
      <c r="AA152">
        <v>6</v>
      </c>
      <c r="AB152">
        <v>9.9</v>
      </c>
    </row>
    <row r="153" spans="20:28" x14ac:dyDescent="0.25">
      <c r="T153" t="s">
        <v>26</v>
      </c>
      <c r="U153">
        <v>1</v>
      </c>
      <c r="V153">
        <v>1</v>
      </c>
      <c r="W153">
        <v>3</v>
      </c>
      <c r="X153">
        <v>3</v>
      </c>
      <c r="Y153">
        <v>3</v>
      </c>
      <c r="Z153">
        <v>5</v>
      </c>
      <c r="AA153">
        <v>3</v>
      </c>
      <c r="AB153">
        <v>4</v>
      </c>
    </row>
    <row r="154" spans="20:28" x14ac:dyDescent="0.25">
      <c r="T154" t="s">
        <v>25</v>
      </c>
      <c r="U154">
        <v>1.8</v>
      </c>
      <c r="V154">
        <v>2.1</v>
      </c>
      <c r="W154">
        <v>3.2</v>
      </c>
      <c r="X154">
        <v>4</v>
      </c>
      <c r="Y154">
        <v>4.0999999999999996</v>
      </c>
      <c r="Z154">
        <v>5.5</v>
      </c>
      <c r="AA154">
        <v>5.3</v>
      </c>
      <c r="AB154">
        <v>7.4</v>
      </c>
    </row>
    <row r="155" spans="20:28" x14ac:dyDescent="0.25">
      <c r="T155" t="s">
        <v>77</v>
      </c>
      <c r="U155" s="17">
        <v>0.2145522</v>
      </c>
      <c r="V155" s="17">
        <v>0.14738809999999999</v>
      </c>
      <c r="W155" s="17">
        <v>0.13937279999999999</v>
      </c>
      <c r="X155" s="17">
        <v>0.1184669</v>
      </c>
      <c r="Y155" s="17">
        <v>0.1209302</v>
      </c>
      <c r="Z155" s="17">
        <v>0.1488372</v>
      </c>
    </row>
    <row r="156" spans="20:28" x14ac:dyDescent="0.25">
      <c r="T156" t="s">
        <v>78</v>
      </c>
      <c r="U156" s="17">
        <v>0.2145522</v>
      </c>
      <c r="V156" s="17">
        <v>0.27374300000000001</v>
      </c>
      <c r="W156" s="17">
        <v>0.22996520000000001</v>
      </c>
      <c r="X156" s="17">
        <v>0.31944440000000002</v>
      </c>
      <c r="Y156" s="17">
        <v>0.35348839999999998</v>
      </c>
      <c r="Z156" s="17">
        <v>0.3209302</v>
      </c>
    </row>
  </sheetData>
  <conditionalFormatting sqref="S16:S61 S67:S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6:T61 T67:T7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6:U61 U67:U7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1:AB61 V16:Z60 V67:AB73 Y65:AB66 AA62:AB6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B61 B67:B7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C61 C67:C7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61 D67:D7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B12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:C12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9:D13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89:U12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9:W1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7:K73 H65:K66 E16:I61 J62:K6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89:V12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9:Y1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9:Z1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9:X133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9:I119 F120:I133 E119:E133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9:AA1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9:AB1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38"/>
  <sheetViews>
    <sheetView topLeftCell="A64" zoomScale="85" zoomScaleNormal="85" workbookViewId="0">
      <selection activeCell="N119" sqref="N119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6.28515625" bestFit="1" customWidth="1"/>
    <col min="4" max="4" width="10.140625" bestFit="1" customWidth="1"/>
    <col min="5" max="5" width="10" bestFit="1" customWidth="1"/>
    <col min="6" max="6" width="10.5703125" customWidth="1"/>
  </cols>
  <sheetData>
    <row r="1" spans="1:29" x14ac:dyDescent="0.25">
      <c r="A1" t="s">
        <v>38</v>
      </c>
      <c r="B1">
        <v>12.04</v>
      </c>
      <c r="C1" t="s">
        <v>27</v>
      </c>
      <c r="D1" s="14">
        <v>4.1961439999999997E-3</v>
      </c>
      <c r="E1" t="s">
        <v>26</v>
      </c>
      <c r="F1" s="14">
        <v>1.4273790000000001E-3</v>
      </c>
      <c r="G1" t="s">
        <v>25</v>
      </c>
      <c r="H1" s="14">
        <v>1.836676E-3</v>
      </c>
      <c r="K1">
        <v>12.04</v>
      </c>
      <c r="L1" t="s">
        <v>39</v>
      </c>
      <c r="M1">
        <v>13.19</v>
      </c>
      <c r="N1" t="s">
        <v>27</v>
      </c>
      <c r="O1" s="14">
        <v>4.8902199999999998E-3</v>
      </c>
      <c r="P1" t="s">
        <v>26</v>
      </c>
      <c r="Q1" s="14">
        <v>8.3568399999999995E-4</v>
      </c>
      <c r="R1" t="s">
        <v>25</v>
      </c>
      <c r="S1" s="14">
        <v>1.1666319999999999E-3</v>
      </c>
      <c r="U1">
        <v>13.19</v>
      </c>
      <c r="V1" t="s">
        <v>43</v>
      </c>
      <c r="W1">
        <v>14.61</v>
      </c>
      <c r="X1" t="s">
        <v>27</v>
      </c>
      <c r="Y1" s="14">
        <v>5.9882679999999997E-3</v>
      </c>
      <c r="Z1" t="s">
        <v>26</v>
      </c>
      <c r="AA1" s="14">
        <v>5.2984470000000004E-4</v>
      </c>
      <c r="AB1" t="s">
        <v>25</v>
      </c>
      <c r="AC1" s="14">
        <v>8.3176590000000003E-4</v>
      </c>
    </row>
    <row r="2" spans="1:29" x14ac:dyDescent="0.25">
      <c r="A2" t="s">
        <v>64</v>
      </c>
      <c r="C2" t="s">
        <v>27</v>
      </c>
      <c r="D2" s="14">
        <v>8.1719689999999994E-3</v>
      </c>
      <c r="E2" t="s">
        <v>26</v>
      </c>
      <c r="F2" s="14">
        <v>6.6346790000000001E-3</v>
      </c>
      <c r="G2" t="s">
        <v>25</v>
      </c>
      <c r="H2" s="14">
        <v>6.9162599999999996E-3</v>
      </c>
      <c r="N2" t="s">
        <v>27</v>
      </c>
      <c r="O2" s="14">
        <v>1.0255520000000001E-2</v>
      </c>
      <c r="P2" t="s">
        <v>26</v>
      </c>
      <c r="Q2" s="14">
        <v>5.6951190000000002E-3</v>
      </c>
      <c r="R2" t="s">
        <v>25</v>
      </c>
      <c r="S2" s="14">
        <v>6.0689359999999996E-3</v>
      </c>
      <c r="X2" t="s">
        <v>27</v>
      </c>
      <c r="Y2" s="14">
        <v>1.275717E-2</v>
      </c>
      <c r="Z2" t="s">
        <v>26</v>
      </c>
      <c r="AA2" s="14">
        <v>3.8552109999999999E-3</v>
      </c>
      <c r="AB2" t="s">
        <v>25</v>
      </c>
      <c r="AC2" s="14">
        <v>4.1411670000000003E-3</v>
      </c>
    </row>
    <row r="3" spans="1:29" x14ac:dyDescent="0.25">
      <c r="A3" t="s">
        <v>27</v>
      </c>
      <c r="B3" s="14">
        <v>3.1827679999999999E-3</v>
      </c>
      <c r="C3" s="14">
        <v>2.177086E-3</v>
      </c>
      <c r="D3" s="14">
        <v>6.453388E-3</v>
      </c>
      <c r="E3" s="14">
        <v>3.3212049999999998E-3</v>
      </c>
      <c r="F3" s="21" t="s">
        <v>40</v>
      </c>
      <c r="G3">
        <v>550</v>
      </c>
      <c r="H3">
        <v>617</v>
      </c>
      <c r="I3">
        <v>649</v>
      </c>
      <c r="K3" t="s">
        <v>27</v>
      </c>
      <c r="L3" s="14">
        <v>3.514508E-3</v>
      </c>
      <c r="M3" s="14">
        <v>2.8159230000000001E-3</v>
      </c>
      <c r="N3" s="14">
        <v>7.4954890000000001E-3</v>
      </c>
      <c r="O3" s="14">
        <v>5.1483700000000002E-3</v>
      </c>
      <c r="P3" s="21" t="s">
        <v>40</v>
      </c>
      <c r="Q3">
        <v>398</v>
      </c>
      <c r="R3">
        <v>564</v>
      </c>
      <c r="S3">
        <v>599</v>
      </c>
      <c r="U3" t="s">
        <v>27</v>
      </c>
      <c r="V3" s="14">
        <v>4.0622660000000001E-3</v>
      </c>
      <c r="W3" s="14">
        <v>3.5267599999999999E-3</v>
      </c>
      <c r="X3" s="14">
        <v>8.8103290000000004E-3</v>
      </c>
      <c r="Y3" s="14">
        <v>6.601048E-3</v>
      </c>
      <c r="Z3" s="21" t="s">
        <v>40</v>
      </c>
      <c r="AA3">
        <v>447</v>
      </c>
      <c r="AB3">
        <v>493</v>
      </c>
      <c r="AC3">
        <v>503</v>
      </c>
    </row>
    <row r="4" spans="1:29" x14ac:dyDescent="0.25">
      <c r="A4" t="s">
        <v>26</v>
      </c>
      <c r="B4" s="14">
        <v>3.1899630000000001E-3</v>
      </c>
      <c r="C4" s="14">
        <v>-1.853365E-3</v>
      </c>
      <c r="D4" s="14">
        <v>9.1489060000000001E-3</v>
      </c>
      <c r="E4" s="14">
        <v>-2.9561840000000002E-3</v>
      </c>
      <c r="F4" s="21" t="s">
        <v>41</v>
      </c>
      <c r="G4">
        <v>272</v>
      </c>
      <c r="H4">
        <v>207</v>
      </c>
      <c r="I4">
        <v>174</v>
      </c>
      <c r="K4" t="s">
        <v>26</v>
      </c>
      <c r="L4" s="14">
        <v>3.2441480000000001E-3</v>
      </c>
      <c r="M4" s="14">
        <v>-2.4032530000000002E-3</v>
      </c>
      <c r="N4" s="14">
        <v>9.2926410000000008E-3</v>
      </c>
      <c r="O4" s="14">
        <v>-4.8268790000000001E-3</v>
      </c>
      <c r="P4" s="21" t="s">
        <v>41</v>
      </c>
      <c r="Q4">
        <v>325</v>
      </c>
      <c r="R4">
        <v>260</v>
      </c>
      <c r="S4">
        <v>225</v>
      </c>
      <c r="U4" t="s">
        <v>26</v>
      </c>
      <c r="V4" s="14">
        <v>3.981119E-3</v>
      </c>
      <c r="W4" s="14">
        <v>-3.208322E-3</v>
      </c>
      <c r="X4" s="14">
        <v>9.9976279999999997E-3</v>
      </c>
      <c r="Y4" s="14">
        <v>-6.5326100000000003E-3</v>
      </c>
      <c r="Z4" s="21" t="s">
        <v>41</v>
      </c>
      <c r="AA4">
        <v>377</v>
      </c>
      <c r="AB4">
        <v>331</v>
      </c>
      <c r="AC4">
        <v>321</v>
      </c>
    </row>
    <row r="5" spans="1:29" x14ac:dyDescent="0.25">
      <c r="A5" t="s">
        <v>25</v>
      </c>
      <c r="B5" s="14">
        <v>3.9806449999999997E-3</v>
      </c>
      <c r="C5" s="14">
        <v>-2.4918050000000001E-3</v>
      </c>
      <c r="D5" s="14">
        <v>9.8359750000000003E-3</v>
      </c>
      <c r="E5" s="14">
        <v>-3.9341940000000002E-3</v>
      </c>
      <c r="F5" t="s">
        <v>42</v>
      </c>
      <c r="G5" s="13">
        <f>G3/G4</f>
        <v>2.0220588235294117</v>
      </c>
      <c r="H5" s="13">
        <f>H3/H4</f>
        <v>2.9806763285024154</v>
      </c>
      <c r="I5" s="13">
        <f>I3/I4</f>
        <v>3.7298850574712645</v>
      </c>
      <c r="K5" t="s">
        <v>25</v>
      </c>
      <c r="L5" s="14">
        <v>4.120917E-3</v>
      </c>
      <c r="M5" s="14">
        <v>-3.3475620000000001E-3</v>
      </c>
      <c r="N5" s="14">
        <v>1.0698930000000001E-2</v>
      </c>
      <c r="O5" s="14">
        <v>-6.2571299999999996E-3</v>
      </c>
      <c r="P5" t="s">
        <v>42</v>
      </c>
      <c r="Q5" s="13">
        <f>Q3/Q4</f>
        <v>1.2246153846153847</v>
      </c>
      <c r="R5" s="13">
        <f>R3/R4</f>
        <v>2.1692307692307691</v>
      </c>
      <c r="S5" s="13">
        <f>S3/S4</f>
        <v>2.6622222222222223</v>
      </c>
      <c r="U5" t="s">
        <v>25</v>
      </c>
      <c r="V5" s="14">
        <v>5.0660439999999996E-3</v>
      </c>
      <c r="W5" s="14">
        <v>-4.1774860000000002E-3</v>
      </c>
      <c r="X5" s="14">
        <v>1.2063030000000001E-2</v>
      </c>
      <c r="Y5" s="14">
        <v>-8.2722130000000005E-3</v>
      </c>
      <c r="Z5" t="s">
        <v>42</v>
      </c>
      <c r="AA5" s="13">
        <f>AA3/AA4</f>
        <v>1.1856763925729443</v>
      </c>
      <c r="AB5" s="13">
        <f>AB3/AB4</f>
        <v>1.4894259818731117</v>
      </c>
      <c r="AC5" s="13">
        <f>AC3/AC4</f>
        <v>1.5669781931464175</v>
      </c>
    </row>
    <row r="6" spans="1:29" x14ac:dyDescent="0.25">
      <c r="A6" t="s">
        <v>31</v>
      </c>
      <c r="B6" t="s">
        <v>30</v>
      </c>
      <c r="C6" t="s">
        <v>33</v>
      </c>
      <c r="D6" t="s">
        <v>65</v>
      </c>
      <c r="E6" t="s">
        <v>66</v>
      </c>
      <c r="G6" s="17">
        <f>G3/SUM(G3:G4)</f>
        <v>0.66909975669099753</v>
      </c>
      <c r="H6" s="17">
        <f>H3/SUM(H3:H4)</f>
        <v>0.74878640776699024</v>
      </c>
      <c r="I6" s="17">
        <f>I3/SUM(I3:I4)</f>
        <v>0.78857837181044954</v>
      </c>
      <c r="K6" t="s">
        <v>31</v>
      </c>
      <c r="L6" t="s">
        <v>30</v>
      </c>
      <c r="M6" t="s">
        <v>33</v>
      </c>
      <c r="N6" t="s">
        <v>65</v>
      </c>
      <c r="O6" t="s">
        <v>66</v>
      </c>
      <c r="Q6" s="17">
        <f>Q3/SUM(Q3:Q4)</f>
        <v>0.55048409405255883</v>
      </c>
      <c r="R6" s="17">
        <f>R3/SUM(R3:R4)</f>
        <v>0.68446601941747576</v>
      </c>
      <c r="S6" s="17">
        <f>S3/SUM(S3:S4)</f>
        <v>0.72694174757281549</v>
      </c>
      <c r="U6" t="s">
        <v>31</v>
      </c>
      <c r="V6" t="s">
        <v>30</v>
      </c>
      <c r="W6" t="s">
        <v>33</v>
      </c>
      <c r="X6" t="s">
        <v>65</v>
      </c>
      <c r="Y6" t="s">
        <v>66</v>
      </c>
      <c r="AA6" s="17">
        <f>AA3/SUM(AA3:AA4)</f>
        <v>0.54247572815533984</v>
      </c>
      <c r="AB6" s="17">
        <f>AB3/SUM(AB3:AB4)</f>
        <v>0.59830097087378642</v>
      </c>
      <c r="AC6" s="17">
        <f>AC3/SUM(AC3:AC4)</f>
        <v>0.6104368932038835</v>
      </c>
    </row>
    <row r="7" spans="1:29" x14ac:dyDescent="0.25">
      <c r="A7">
        <v>0.1</v>
      </c>
      <c r="B7" s="17">
        <v>0.82727269999999997</v>
      </c>
      <c r="C7" s="17">
        <v>0.72058820000000001</v>
      </c>
      <c r="D7" s="14"/>
      <c r="E7" s="14"/>
      <c r="G7" s="17">
        <f>G4/SUM(G3:G4)</f>
        <v>0.33090024330900242</v>
      </c>
      <c r="H7" s="17">
        <f>H4/SUM(H3:H4)</f>
        <v>0.25121359223300971</v>
      </c>
      <c r="I7" s="17">
        <f>I4/SUM(I3:I4)</f>
        <v>0.21142162818955043</v>
      </c>
      <c r="K7">
        <v>0.1</v>
      </c>
      <c r="L7" s="17">
        <v>0.79879279999999997</v>
      </c>
      <c r="M7" s="17">
        <v>0.7969231</v>
      </c>
      <c r="N7" s="14"/>
      <c r="O7" s="14"/>
      <c r="Q7" s="17">
        <f>Q4/SUM(Q3:Q4)</f>
        <v>0.44951590594744123</v>
      </c>
      <c r="R7" s="17">
        <f>R4/SUM(R3:R4)</f>
        <v>0.3155339805825243</v>
      </c>
      <c r="S7" s="17">
        <f>S4/SUM(S3:S4)</f>
        <v>0.27305825242718446</v>
      </c>
      <c r="U7">
        <v>0.1</v>
      </c>
      <c r="V7" s="17">
        <v>0.87443950000000004</v>
      </c>
      <c r="W7" s="17">
        <v>0.81697609999999998</v>
      </c>
      <c r="X7" s="14"/>
      <c r="Y7" s="14"/>
      <c r="AA7" s="17">
        <f>AA4/SUM(AA3:AA4)</f>
        <v>0.45752427184466021</v>
      </c>
      <c r="AB7" s="17">
        <f>AB4/SUM(AB3:AB4)</f>
        <v>0.40169902912621358</v>
      </c>
      <c r="AC7" s="17">
        <f>AC4/SUM(AC3:AC4)</f>
        <v>0.3895631067961165</v>
      </c>
    </row>
    <row r="8" spans="1:29" x14ac:dyDescent="0.25">
      <c r="A8">
        <v>0.2</v>
      </c>
      <c r="B8" s="17">
        <v>0.64181820000000001</v>
      </c>
      <c r="C8" s="17">
        <v>0.46323530000000002</v>
      </c>
      <c r="D8" s="14"/>
      <c r="E8" s="14"/>
      <c r="H8" t="s">
        <v>67</v>
      </c>
      <c r="I8" t="s">
        <v>64</v>
      </c>
      <c r="K8">
        <v>0.2</v>
      </c>
      <c r="L8" s="17">
        <v>0.64788730000000005</v>
      </c>
      <c r="M8" s="17">
        <v>0.6</v>
      </c>
      <c r="N8" s="14"/>
      <c r="O8" s="14"/>
      <c r="U8">
        <v>0.2</v>
      </c>
      <c r="V8" s="17">
        <v>0.73094170000000003</v>
      </c>
      <c r="W8" s="17">
        <v>0.66578250000000005</v>
      </c>
      <c r="X8" s="14"/>
      <c r="Y8" s="14"/>
    </row>
    <row r="9" spans="1:29" x14ac:dyDescent="0.25">
      <c r="A9">
        <v>0.3</v>
      </c>
      <c r="B9" s="17">
        <v>0.5127273</v>
      </c>
      <c r="C9" s="17">
        <v>0.29411759999999998</v>
      </c>
      <c r="D9" s="14"/>
      <c r="E9" s="14"/>
      <c r="K9">
        <v>0.3</v>
      </c>
      <c r="L9" s="17">
        <v>0.52515089999999998</v>
      </c>
      <c r="M9" s="17">
        <v>0.44615379999999999</v>
      </c>
      <c r="N9" s="14"/>
      <c r="O9" s="14"/>
      <c r="U9">
        <v>0.3</v>
      </c>
      <c r="V9" s="17">
        <v>0.59192829999999996</v>
      </c>
      <c r="W9" s="17">
        <v>0.53050399999999998</v>
      </c>
      <c r="X9" s="14"/>
      <c r="Y9" s="14"/>
    </row>
    <row r="10" spans="1:29" x14ac:dyDescent="0.25">
      <c r="A10">
        <v>0.4</v>
      </c>
      <c r="B10" s="17">
        <v>0.42727270000000001</v>
      </c>
      <c r="C10" s="17">
        <v>0.1875</v>
      </c>
      <c r="D10" s="14"/>
      <c r="E10" s="14"/>
      <c r="K10">
        <v>0.4</v>
      </c>
      <c r="L10" s="17">
        <v>0.42655939999999998</v>
      </c>
      <c r="M10" s="17">
        <v>0.30769229999999997</v>
      </c>
      <c r="N10" s="14"/>
      <c r="O10" s="14"/>
      <c r="U10">
        <v>0.4</v>
      </c>
      <c r="V10" s="17">
        <v>0.5</v>
      </c>
      <c r="W10" s="17">
        <v>0.40583550000000002</v>
      </c>
      <c r="X10" s="14"/>
      <c r="Y10" s="14"/>
    </row>
    <row r="11" spans="1:29" x14ac:dyDescent="0.25">
      <c r="A11">
        <v>0.5</v>
      </c>
      <c r="B11" s="17">
        <v>0.31818180000000001</v>
      </c>
      <c r="C11" s="17">
        <v>0.1323529</v>
      </c>
      <c r="D11" s="14"/>
      <c r="E11" s="14"/>
      <c r="K11">
        <v>0.5</v>
      </c>
      <c r="L11" s="17">
        <v>0.33199200000000001</v>
      </c>
      <c r="M11" s="17">
        <v>0.22461539999999999</v>
      </c>
      <c r="N11" s="14"/>
      <c r="O11" s="14"/>
      <c r="U11">
        <v>0.5</v>
      </c>
      <c r="V11" s="17">
        <v>0.39237670000000002</v>
      </c>
      <c r="W11" s="17">
        <v>0.31564989999999998</v>
      </c>
      <c r="X11" s="14"/>
      <c r="Y11" s="14"/>
    </row>
    <row r="12" spans="1:29" x14ac:dyDescent="0.25">
      <c r="A12">
        <v>0.6</v>
      </c>
      <c r="B12" s="17">
        <v>0.2490909</v>
      </c>
      <c r="C12" s="17">
        <v>8.8235289999999994E-2</v>
      </c>
      <c r="D12" s="14"/>
      <c r="E12" s="14"/>
      <c r="K12">
        <v>0.6</v>
      </c>
      <c r="L12" s="17">
        <v>0.2434608</v>
      </c>
      <c r="M12" s="17">
        <v>0.1753846</v>
      </c>
      <c r="N12" s="14"/>
      <c r="O12" s="14"/>
      <c r="U12">
        <v>0.6</v>
      </c>
      <c r="V12" s="17">
        <v>0.3430493</v>
      </c>
      <c r="W12" s="17">
        <v>0.25464189999999998</v>
      </c>
      <c r="X12" s="14"/>
      <c r="Y12" s="14"/>
    </row>
    <row r="13" spans="1:29" x14ac:dyDescent="0.25">
      <c r="A13">
        <v>0.7</v>
      </c>
      <c r="B13" s="17">
        <v>0.18727269999999999</v>
      </c>
      <c r="C13" s="17">
        <v>6.25E-2</v>
      </c>
      <c r="D13" s="14"/>
      <c r="E13" s="14"/>
      <c r="K13">
        <v>0.7</v>
      </c>
      <c r="L13" s="17">
        <v>0.19114690000000001</v>
      </c>
      <c r="M13" s="17">
        <v>0.1230769</v>
      </c>
      <c r="N13" s="14"/>
      <c r="O13" s="14"/>
      <c r="U13">
        <v>0.7</v>
      </c>
      <c r="V13" s="17">
        <v>0.2713004</v>
      </c>
      <c r="W13" s="17">
        <v>0.1909814</v>
      </c>
      <c r="X13" s="14"/>
      <c r="Y13" s="14"/>
    </row>
    <row r="14" spans="1:29" x14ac:dyDescent="0.25">
      <c r="A14">
        <v>0.8</v>
      </c>
      <c r="B14" s="17">
        <v>0.13454550000000001</v>
      </c>
      <c r="C14" s="17">
        <v>2.9411759999999999E-2</v>
      </c>
      <c r="D14" s="14"/>
      <c r="E14" s="14"/>
      <c r="K14">
        <v>0.8</v>
      </c>
      <c r="L14" s="17">
        <v>0.14688129999999999</v>
      </c>
      <c r="M14" s="17">
        <v>7.0769230000000002E-2</v>
      </c>
      <c r="N14" s="14"/>
      <c r="O14" s="14"/>
      <c r="U14">
        <v>0.8</v>
      </c>
      <c r="V14" s="17">
        <v>0.21076230000000001</v>
      </c>
      <c r="W14" s="17">
        <v>0.15649869999999999</v>
      </c>
      <c r="X14" s="14"/>
      <c r="Y14" s="14"/>
    </row>
    <row r="15" spans="1:29" x14ac:dyDescent="0.25">
      <c r="A15">
        <v>0.9</v>
      </c>
      <c r="B15" s="17">
        <v>8.3636360000000007E-2</v>
      </c>
      <c r="C15" s="17">
        <v>1.102941E-2</v>
      </c>
      <c r="D15" s="14"/>
      <c r="E15" s="14"/>
      <c r="K15">
        <v>0.9</v>
      </c>
      <c r="L15" s="17">
        <v>0.10462780000000001</v>
      </c>
      <c r="M15" s="17">
        <v>5.2307689999999997E-2</v>
      </c>
      <c r="N15" s="14"/>
      <c r="O15" s="14"/>
      <c r="U15">
        <v>0.9</v>
      </c>
      <c r="V15" s="17">
        <v>0.17937220000000001</v>
      </c>
      <c r="W15" s="17">
        <v>0.1114058</v>
      </c>
      <c r="X15" s="14"/>
      <c r="Y15" s="14"/>
    </row>
    <row r="16" spans="1:29" x14ac:dyDescent="0.25">
      <c r="A16">
        <v>1</v>
      </c>
      <c r="B16" s="17">
        <v>4.7272729999999999E-2</v>
      </c>
      <c r="C16" s="17">
        <v>7.352941E-3</v>
      </c>
      <c r="D16" s="14"/>
      <c r="E16" s="14"/>
      <c r="K16">
        <v>1</v>
      </c>
      <c r="L16" s="17">
        <v>6.8410460000000006E-2</v>
      </c>
      <c r="M16" s="17">
        <v>3.3846149999999998E-2</v>
      </c>
      <c r="N16" s="14"/>
      <c r="O16" s="14"/>
      <c r="U16">
        <v>1</v>
      </c>
      <c r="V16" s="17">
        <v>0.14573990000000001</v>
      </c>
      <c r="W16" s="17">
        <v>7.9575599999999996E-2</v>
      </c>
      <c r="X16" s="14"/>
      <c r="Y16" s="14"/>
    </row>
    <row r="17" spans="1:25" x14ac:dyDescent="0.25">
      <c r="A17">
        <v>1.1000000000000001</v>
      </c>
      <c r="B17" s="17">
        <v>3.090909E-2</v>
      </c>
      <c r="C17" s="17">
        <v>3.6764710000000002E-3</v>
      </c>
      <c r="D17" s="14"/>
      <c r="E17" s="14"/>
      <c r="K17">
        <v>1.1000000000000001</v>
      </c>
      <c r="L17" s="17">
        <v>4.2253520000000003E-2</v>
      </c>
      <c r="M17" s="17">
        <v>1.538462E-2</v>
      </c>
      <c r="N17" s="14"/>
      <c r="O17" s="14"/>
      <c r="U17">
        <v>1.1000000000000001</v>
      </c>
      <c r="V17" s="17">
        <v>0.1143498</v>
      </c>
      <c r="W17" s="17">
        <v>5.8355440000000001E-2</v>
      </c>
      <c r="X17" s="14"/>
      <c r="Y17" s="14"/>
    </row>
    <row r="18" spans="1:25" x14ac:dyDescent="0.25">
      <c r="A18">
        <v>1.2</v>
      </c>
      <c r="B18" s="17">
        <v>1.8181820000000001E-2</v>
      </c>
      <c r="C18" s="17">
        <v>0</v>
      </c>
      <c r="D18" s="14"/>
      <c r="E18" s="14"/>
      <c r="K18">
        <v>1.2</v>
      </c>
      <c r="L18" s="17">
        <v>3.822938E-2</v>
      </c>
      <c r="M18" s="17">
        <v>1.538462E-2</v>
      </c>
      <c r="N18" s="14"/>
      <c r="O18" s="14"/>
      <c r="U18">
        <v>1.2</v>
      </c>
      <c r="V18" s="17">
        <v>7.3991029999999999E-2</v>
      </c>
      <c r="W18" s="17">
        <v>2.9177720000000001E-2</v>
      </c>
      <c r="X18" s="14"/>
      <c r="Y18" s="14"/>
    </row>
    <row r="19" spans="1:25" x14ac:dyDescent="0.25">
      <c r="A19">
        <v>1.3</v>
      </c>
      <c r="B19" s="17">
        <v>9.0909089999999994E-3</v>
      </c>
      <c r="C19" s="17"/>
      <c r="D19" s="14"/>
      <c r="E19" s="14"/>
      <c r="K19">
        <v>1.3</v>
      </c>
      <c r="L19" s="17">
        <v>2.8169010000000001E-2</v>
      </c>
      <c r="M19" s="17">
        <v>9.2307689999999998E-3</v>
      </c>
      <c r="N19" s="14"/>
      <c r="O19" s="14"/>
      <c r="U19">
        <v>1.3</v>
      </c>
      <c r="V19" s="17">
        <v>5.1569509999999999E-2</v>
      </c>
      <c r="W19" s="17">
        <v>2.1220159999999998E-2</v>
      </c>
      <c r="X19" s="14"/>
      <c r="Y19" s="14"/>
    </row>
    <row r="20" spans="1:25" x14ac:dyDescent="0.25">
      <c r="A20">
        <v>1.4</v>
      </c>
      <c r="B20" s="17">
        <v>5.4545449999999999E-3</v>
      </c>
      <c r="C20" s="17"/>
      <c r="D20" s="14"/>
      <c r="E20" s="14"/>
      <c r="K20">
        <v>1.4</v>
      </c>
      <c r="L20" s="17">
        <v>1.207243E-2</v>
      </c>
      <c r="M20" s="17">
        <v>6.1538460000000001E-3</v>
      </c>
      <c r="N20" s="14"/>
      <c r="O20" s="14"/>
      <c r="U20">
        <v>1.4</v>
      </c>
      <c r="V20" s="17">
        <v>3.8116589999999999E-2</v>
      </c>
      <c r="W20" s="17">
        <v>1.3262599999999999E-2</v>
      </c>
      <c r="X20" s="14"/>
      <c r="Y20" s="14"/>
    </row>
    <row r="21" spans="1:25" x14ac:dyDescent="0.25">
      <c r="A21">
        <v>1.5</v>
      </c>
      <c r="B21" s="17">
        <v>3.636364E-3</v>
      </c>
      <c r="C21" s="17"/>
      <c r="D21" s="14"/>
      <c r="E21" s="14"/>
      <c r="K21">
        <v>1.5</v>
      </c>
      <c r="L21" s="17">
        <v>8.0482899999999996E-3</v>
      </c>
      <c r="M21" s="17">
        <v>0</v>
      </c>
      <c r="N21" s="14"/>
      <c r="O21" s="14"/>
      <c r="U21">
        <v>1.5</v>
      </c>
      <c r="V21" s="17">
        <v>2.466368E-2</v>
      </c>
      <c r="W21" s="17">
        <v>1.0610079999999999E-2</v>
      </c>
      <c r="X21" s="14"/>
      <c r="Y21" s="14"/>
    </row>
    <row r="22" spans="1:25" x14ac:dyDescent="0.25">
      <c r="A22">
        <v>1.6</v>
      </c>
      <c r="B22" s="17">
        <v>3.636364E-3</v>
      </c>
      <c r="C22" s="17"/>
      <c r="D22" s="14"/>
      <c r="E22" s="14"/>
      <c r="K22">
        <v>1.6</v>
      </c>
      <c r="L22" s="17">
        <v>6.036217E-3</v>
      </c>
      <c r="M22" s="17"/>
      <c r="N22" s="14"/>
      <c r="O22" s="14"/>
      <c r="U22">
        <v>1.6</v>
      </c>
      <c r="V22" s="17">
        <v>2.0179369999999999E-2</v>
      </c>
      <c r="W22" s="17">
        <v>5.3050399999999996E-3</v>
      </c>
      <c r="X22" s="14"/>
      <c r="Y22" s="14"/>
    </row>
    <row r="23" spans="1:25" x14ac:dyDescent="0.25">
      <c r="A23">
        <v>1.7</v>
      </c>
      <c r="B23" s="17">
        <v>1.818182E-3</v>
      </c>
      <c r="C23" s="17"/>
      <c r="D23" s="14"/>
      <c r="E23" s="14"/>
      <c r="K23">
        <v>1.7</v>
      </c>
      <c r="L23" s="17">
        <v>6.036217E-3</v>
      </c>
      <c r="M23" s="17"/>
      <c r="N23" s="14"/>
      <c r="O23" s="14"/>
      <c r="U23">
        <v>1.7</v>
      </c>
      <c r="V23" s="17">
        <v>4.4843050000000001E-3</v>
      </c>
      <c r="W23" s="17">
        <v>5.3050399999999996E-3</v>
      </c>
      <c r="X23" s="14"/>
      <c r="Y23" s="14"/>
    </row>
    <row r="24" spans="1:25" x14ac:dyDescent="0.25">
      <c r="A24">
        <v>1.8</v>
      </c>
      <c r="B24" s="17">
        <v>0</v>
      </c>
      <c r="C24" s="17"/>
      <c r="D24" s="14"/>
      <c r="E24" s="14"/>
      <c r="K24">
        <v>1.8</v>
      </c>
      <c r="L24" s="17">
        <v>4.0241449999999998E-3</v>
      </c>
      <c r="M24" s="17"/>
      <c r="N24" s="14"/>
      <c r="O24" s="14"/>
      <c r="U24">
        <v>1.8</v>
      </c>
      <c r="V24" s="17">
        <v>2.2421519999999999E-3</v>
      </c>
      <c r="W24" s="17">
        <v>5.3050399999999996E-3</v>
      </c>
      <c r="X24" s="14"/>
      <c r="Y24" s="14"/>
    </row>
    <row r="25" spans="1:25" x14ac:dyDescent="0.25">
      <c r="K25">
        <v>1.9</v>
      </c>
      <c r="L25" s="17">
        <v>2.0120720000000002E-3</v>
      </c>
      <c r="M25" s="17"/>
      <c r="N25" s="14"/>
      <c r="O25" s="14"/>
      <c r="U25">
        <v>1.9</v>
      </c>
      <c r="V25" s="17">
        <v>2.2421519999999999E-3</v>
      </c>
      <c r="W25" s="17">
        <v>2.6525199999999998E-3</v>
      </c>
      <c r="X25" s="14"/>
      <c r="Y25" s="14"/>
    </row>
    <row r="26" spans="1:25" x14ac:dyDescent="0.25">
      <c r="K26">
        <v>2</v>
      </c>
      <c r="L26" s="17">
        <v>2.0120720000000002E-3</v>
      </c>
      <c r="M26" s="17"/>
      <c r="N26" s="14"/>
      <c r="O26" s="14"/>
      <c r="U26">
        <v>2</v>
      </c>
      <c r="V26" s="17">
        <v>0</v>
      </c>
      <c r="W26" s="17">
        <v>0</v>
      </c>
      <c r="X26" s="14"/>
      <c r="Y26" s="14"/>
    </row>
    <row r="27" spans="1:25" x14ac:dyDescent="0.25">
      <c r="K27">
        <v>2.1</v>
      </c>
      <c r="L27" s="17">
        <v>2.0120720000000002E-3</v>
      </c>
      <c r="M27" s="17"/>
      <c r="N27" s="14"/>
      <c r="O27" s="14"/>
    </row>
    <row r="28" spans="1:25" x14ac:dyDescent="0.25">
      <c r="K28">
        <v>2.2000000000000002</v>
      </c>
      <c r="L28" s="17">
        <v>0</v>
      </c>
      <c r="M28" s="17"/>
      <c r="N28" s="14"/>
      <c r="O28" s="14"/>
    </row>
    <row r="29" spans="1:25" x14ac:dyDescent="0.25">
      <c r="K29">
        <v>2.2999999999999998</v>
      </c>
      <c r="L29" s="17"/>
      <c r="M29" s="17"/>
      <c r="N29" s="14"/>
      <c r="O29" s="14"/>
    </row>
    <row r="30" spans="1:25" x14ac:dyDescent="0.25">
      <c r="K30">
        <v>2.4</v>
      </c>
      <c r="L30" s="17"/>
      <c r="M30" s="17"/>
      <c r="N30" s="14"/>
      <c r="O30" s="14"/>
    </row>
    <row r="31" spans="1:25" x14ac:dyDescent="0.25">
      <c r="K31">
        <v>2.5</v>
      </c>
    </row>
    <row r="32" spans="1:25" x14ac:dyDescent="0.25">
      <c r="K32">
        <v>2.6</v>
      </c>
    </row>
    <row r="33" spans="1:30" x14ac:dyDescent="0.25">
      <c r="K33">
        <v>2.7</v>
      </c>
    </row>
    <row r="36" spans="1:30" x14ac:dyDescent="0.25">
      <c r="A36">
        <v>14.61</v>
      </c>
      <c r="B36" t="s">
        <v>44</v>
      </c>
      <c r="C36">
        <v>16.13</v>
      </c>
      <c r="D36" t="s">
        <v>27</v>
      </c>
      <c r="E36" s="14">
        <v>6.9006420000000002E-3</v>
      </c>
      <c r="F36" t="s">
        <v>26</v>
      </c>
      <c r="G36" s="14">
        <v>7.9664969999999999E-4</v>
      </c>
      <c r="H36" t="s">
        <v>25</v>
      </c>
      <c r="I36" s="14">
        <v>1.0447799999999999E-3</v>
      </c>
      <c r="J36" s="14"/>
      <c r="L36">
        <v>16.13</v>
      </c>
      <c r="M36" t="s">
        <v>45</v>
      </c>
      <c r="N36">
        <v>17.73</v>
      </c>
      <c r="O36" t="s">
        <v>27</v>
      </c>
      <c r="P36" s="14">
        <v>7.7968539999999998E-3</v>
      </c>
      <c r="Q36" t="s">
        <v>26</v>
      </c>
      <c r="R36" s="14">
        <v>2.7433999999999998E-4</v>
      </c>
      <c r="S36" t="s">
        <v>25</v>
      </c>
      <c r="T36" s="14">
        <v>6.4525460000000004E-4</v>
      </c>
      <c r="V36">
        <v>17.73</v>
      </c>
      <c r="W36" t="s">
        <v>46</v>
      </c>
      <c r="X36">
        <v>19.71</v>
      </c>
      <c r="Y36" t="s">
        <v>27</v>
      </c>
      <c r="Z36" s="14">
        <v>8.5734660000000001E-3</v>
      </c>
      <c r="AA36" t="s">
        <v>26</v>
      </c>
      <c r="AB36" s="14">
        <v>1.355261E-3</v>
      </c>
      <c r="AC36" t="s">
        <v>25</v>
      </c>
      <c r="AD36" s="14">
        <v>1.0744579999999999E-3</v>
      </c>
    </row>
    <row r="37" spans="1:30" x14ac:dyDescent="0.25">
      <c r="A37" t="s">
        <v>64</v>
      </c>
      <c r="D37" t="s">
        <v>27</v>
      </c>
      <c r="E37" s="14">
        <v>1.5923219999999998E-2</v>
      </c>
      <c r="F37" t="s">
        <v>26</v>
      </c>
      <c r="G37" s="14">
        <v>3.5479000000000001E-3</v>
      </c>
      <c r="H37" t="s">
        <v>25</v>
      </c>
      <c r="I37" s="14">
        <v>4.1784190000000001E-3</v>
      </c>
      <c r="J37" s="14"/>
      <c r="O37" t="s">
        <v>27</v>
      </c>
      <c r="P37" s="14">
        <v>1.6138220000000002E-2</v>
      </c>
      <c r="Q37" t="s">
        <v>26</v>
      </c>
      <c r="R37" s="14">
        <v>3.7201030000000002E-3</v>
      </c>
      <c r="S37" t="s">
        <v>25</v>
      </c>
      <c r="T37" s="14">
        <v>3.2418569999999999E-3</v>
      </c>
      <c r="Y37" t="s">
        <v>27</v>
      </c>
      <c r="Z37" s="14">
        <v>1.871797E-2</v>
      </c>
      <c r="AA37" t="s">
        <v>26</v>
      </c>
      <c r="AB37" s="14">
        <v>1.6309009999999999E-3</v>
      </c>
      <c r="AC37" t="s">
        <v>25</v>
      </c>
      <c r="AD37" s="14">
        <v>2.3479400000000002E-3</v>
      </c>
    </row>
    <row r="38" spans="1:30" x14ac:dyDescent="0.25">
      <c r="A38" t="s">
        <v>27</v>
      </c>
      <c r="B38" s="14">
        <v>4.70281E-3</v>
      </c>
      <c r="C38" s="14">
        <v>4.1465690000000001E-3</v>
      </c>
      <c r="D38" s="14">
        <v>1.142434E-2</v>
      </c>
      <c r="E38" s="14">
        <v>7.624423E-3</v>
      </c>
      <c r="F38" s="21" t="s">
        <v>40</v>
      </c>
      <c r="G38">
        <v>460</v>
      </c>
      <c r="H38">
        <v>482</v>
      </c>
      <c r="I38">
        <v>483</v>
      </c>
      <c r="L38" t="s">
        <v>27</v>
      </c>
      <c r="M38" s="14">
        <v>5.3198009999999999E-3</v>
      </c>
      <c r="N38" s="14">
        <v>4.6938020000000004E-3</v>
      </c>
      <c r="O38" s="14">
        <v>1.0528060000000001E-2</v>
      </c>
      <c r="P38" s="14">
        <v>8.9759609999999993E-3</v>
      </c>
      <c r="Q38" s="21" t="s">
        <v>40</v>
      </c>
      <c r="R38">
        <v>429</v>
      </c>
      <c r="S38">
        <v>477</v>
      </c>
      <c r="T38">
        <v>491</v>
      </c>
      <c r="V38" t="s">
        <v>27</v>
      </c>
      <c r="W38" s="14">
        <v>5.2392000000000003E-3</v>
      </c>
      <c r="X38" s="14">
        <v>5.3749210000000004E-3</v>
      </c>
      <c r="Y38" s="14">
        <v>1.20118E-2</v>
      </c>
      <c r="Z38" s="14">
        <v>1.02162E-2</v>
      </c>
      <c r="AA38" s="21" t="s">
        <v>40</v>
      </c>
      <c r="AB38">
        <v>455</v>
      </c>
      <c r="AC38">
        <v>455</v>
      </c>
      <c r="AD38">
        <v>444</v>
      </c>
    </row>
    <row r="39" spans="1:30" x14ac:dyDescent="0.25">
      <c r="A39" t="s">
        <v>26</v>
      </c>
      <c r="B39" s="14">
        <v>4.5735970000000004E-3</v>
      </c>
      <c r="C39" s="14">
        <v>-3.8399340000000001E-3</v>
      </c>
      <c r="D39" s="14">
        <v>1.220457E-2</v>
      </c>
      <c r="E39" s="14">
        <v>-9.2692469999999996E-3</v>
      </c>
      <c r="F39" s="21" t="s">
        <v>41</v>
      </c>
      <c r="G39">
        <v>363</v>
      </c>
      <c r="H39">
        <v>341</v>
      </c>
      <c r="I39">
        <v>340</v>
      </c>
      <c r="L39" t="s">
        <v>26</v>
      </c>
      <c r="M39" s="14">
        <v>5.0732959999999997E-3</v>
      </c>
      <c r="N39" s="14">
        <v>-4.3232019999999999E-3</v>
      </c>
      <c r="O39" s="14">
        <v>1.1395229999999999E-2</v>
      </c>
      <c r="P39" s="14">
        <v>-1.128666E-2</v>
      </c>
      <c r="Q39" s="21" t="s">
        <v>41</v>
      </c>
      <c r="R39">
        <v>394</v>
      </c>
      <c r="S39">
        <v>345</v>
      </c>
      <c r="T39">
        <v>332</v>
      </c>
      <c r="V39" t="s">
        <v>26</v>
      </c>
      <c r="W39" s="14">
        <v>6.0809310000000004E-3</v>
      </c>
      <c r="X39" s="14">
        <v>-4.8345460000000003E-3</v>
      </c>
      <c r="Y39" s="14">
        <v>1.4120209999999999E-2</v>
      </c>
      <c r="Z39" s="14">
        <v>-1.290052E-2</v>
      </c>
      <c r="AA39" s="21" t="s">
        <v>41</v>
      </c>
      <c r="AB39">
        <v>368</v>
      </c>
      <c r="AC39">
        <v>368</v>
      </c>
      <c r="AD39">
        <v>379</v>
      </c>
    </row>
    <row r="40" spans="1:30" x14ac:dyDescent="0.25">
      <c r="A40" t="s">
        <v>25</v>
      </c>
      <c r="B40" s="14">
        <v>5.7050390000000003E-3</v>
      </c>
      <c r="C40" s="14">
        <v>-4.8899709999999999E-3</v>
      </c>
      <c r="D40" s="14">
        <v>1.455155E-2</v>
      </c>
      <c r="E40" s="14">
        <v>-1.0557530000000001E-2</v>
      </c>
      <c r="F40" t="s">
        <v>42</v>
      </c>
      <c r="G40" s="13">
        <f>G38/G39</f>
        <v>1.2672176308539944</v>
      </c>
      <c r="H40" s="13">
        <f>H38/H39</f>
        <v>1.4134897360703813</v>
      </c>
      <c r="I40" s="13">
        <f>I38/I39</f>
        <v>1.4205882352941177</v>
      </c>
      <c r="L40" t="s">
        <v>25</v>
      </c>
      <c r="M40" s="14">
        <v>6.353526E-3</v>
      </c>
      <c r="N40" s="14">
        <v>-5.5700960000000001E-3</v>
      </c>
      <c r="O40" s="14">
        <v>1.369925E-2</v>
      </c>
      <c r="P40" s="14">
        <v>-1.222375E-2</v>
      </c>
      <c r="Q40" t="s">
        <v>42</v>
      </c>
      <c r="R40" s="13">
        <f>R38/R39</f>
        <v>1.0888324873096447</v>
      </c>
      <c r="S40" s="13">
        <f>S38/S39</f>
        <v>1.3826086956521739</v>
      </c>
      <c r="T40" s="13">
        <f>T38/T39</f>
        <v>1.4789156626506024</v>
      </c>
      <c r="V40" t="s">
        <v>25</v>
      </c>
      <c r="W40" s="14">
        <v>7.1334279999999998E-3</v>
      </c>
      <c r="X40" s="14">
        <v>-6.4169309999999999E-3</v>
      </c>
      <c r="Y40" s="14">
        <v>1.6186059999999999E-2</v>
      </c>
      <c r="Z40" s="14">
        <v>-1.3863479999999999E-2</v>
      </c>
      <c r="AA40" t="s">
        <v>42</v>
      </c>
      <c r="AB40" s="13">
        <f>AB38/AB39</f>
        <v>1.236413043478261</v>
      </c>
      <c r="AC40" s="13">
        <f>AC38/AC39</f>
        <v>1.236413043478261</v>
      </c>
      <c r="AD40" s="13">
        <f>AD38/AD39</f>
        <v>1.1715039577836412</v>
      </c>
    </row>
    <row r="41" spans="1:30" x14ac:dyDescent="0.25">
      <c r="A41" t="s">
        <v>31</v>
      </c>
      <c r="B41" t="s">
        <v>30</v>
      </c>
      <c r="C41" t="s">
        <v>33</v>
      </c>
      <c r="D41" t="s">
        <v>23</v>
      </c>
      <c r="E41" t="s">
        <v>24</v>
      </c>
      <c r="G41" s="17">
        <f>G38/SUM(G38:G39)</f>
        <v>0.55893074119076547</v>
      </c>
      <c r="H41" s="17">
        <f>H38/SUM(H38:H39)</f>
        <v>0.58566221142162822</v>
      </c>
      <c r="I41" s="17">
        <f>I38/SUM(I38:I39)</f>
        <v>0.58687727825030378</v>
      </c>
      <c r="L41" t="s">
        <v>31</v>
      </c>
      <c r="M41" t="s">
        <v>30</v>
      </c>
      <c r="N41" t="s">
        <v>33</v>
      </c>
      <c r="O41" t="s">
        <v>23</v>
      </c>
      <c r="P41" t="s">
        <v>24</v>
      </c>
      <c r="R41" s="17">
        <f>R38/SUM(R38:R39)</f>
        <v>0.52126366950182257</v>
      </c>
      <c r="S41" s="17">
        <f>S38/SUM(S38:S39)</f>
        <v>0.58029197080291972</v>
      </c>
      <c r="T41" s="17">
        <f>T38/SUM(T38:T39)</f>
        <v>0.59659781287970837</v>
      </c>
      <c r="V41" t="s">
        <v>31</v>
      </c>
      <c r="W41" t="s">
        <v>30</v>
      </c>
      <c r="X41" t="s">
        <v>33</v>
      </c>
      <c r="Y41" t="s">
        <v>23</v>
      </c>
      <c r="Z41" t="s">
        <v>24</v>
      </c>
      <c r="AB41" s="17">
        <f>AB38/SUM(AB38:AB39)</f>
        <v>0.55285540704738756</v>
      </c>
      <c r="AC41" s="17">
        <f>AC38/SUM(AC38:AC39)</f>
        <v>0.55285540704738756</v>
      </c>
      <c r="AD41" s="17">
        <f>AD38/SUM(AD38:AD39)</f>
        <v>0.53948967193195629</v>
      </c>
    </row>
    <row r="42" spans="1:30" x14ac:dyDescent="0.25">
      <c r="A42">
        <v>0.1</v>
      </c>
      <c r="B42" s="17">
        <v>0.86767899999999998</v>
      </c>
      <c r="C42" s="17">
        <v>0.87292820000000004</v>
      </c>
      <c r="D42" s="14"/>
      <c r="E42" s="14"/>
      <c r="G42" s="17">
        <f>G39/SUM(G38:G39)</f>
        <v>0.44106925880923453</v>
      </c>
      <c r="H42" s="17">
        <f>H39/SUM(H38:H39)</f>
        <v>0.41433778857837184</v>
      </c>
      <c r="I42" s="17">
        <f>I39/SUM(I38:I39)</f>
        <v>0.41312272174969622</v>
      </c>
      <c r="L42">
        <v>0.1</v>
      </c>
      <c r="M42" s="17">
        <v>0.86713289999999998</v>
      </c>
      <c r="N42" s="17">
        <v>0.85532989999999998</v>
      </c>
      <c r="O42" s="14"/>
      <c r="P42" s="14"/>
      <c r="R42" s="17">
        <f>R39/SUM(R38:R39)</f>
        <v>0.47873633049817738</v>
      </c>
      <c r="S42" s="17">
        <f>S39/SUM(S38:S39)</f>
        <v>0.41970802919708028</v>
      </c>
      <c r="T42" s="17">
        <f>T39/SUM(T38:T39)</f>
        <v>0.40340218712029163</v>
      </c>
      <c r="V42">
        <v>0.1</v>
      </c>
      <c r="W42" s="17">
        <v>0.92087909999999995</v>
      </c>
      <c r="X42" s="17">
        <v>0.88858700000000002</v>
      </c>
      <c r="Y42" s="14"/>
      <c r="Z42" s="14"/>
      <c r="AB42" s="17">
        <f>AB39/SUM(AB38:AB39)</f>
        <v>0.44714459295261239</v>
      </c>
      <c r="AC42" s="17">
        <f>AC39/SUM(AC38:AC39)</f>
        <v>0.44714459295261239</v>
      </c>
      <c r="AD42" s="17">
        <f>AD39/SUM(AD38:AD39)</f>
        <v>0.46051032806804376</v>
      </c>
    </row>
    <row r="43" spans="1:30" x14ac:dyDescent="0.25">
      <c r="A43">
        <v>0.2</v>
      </c>
      <c r="B43" s="17">
        <v>0.7635575</v>
      </c>
      <c r="C43" s="17">
        <v>0.72099449999999998</v>
      </c>
      <c r="D43" s="14"/>
      <c r="E43" s="14"/>
      <c r="L43">
        <v>0.2</v>
      </c>
      <c r="M43" s="17">
        <v>0.75990679999999999</v>
      </c>
      <c r="N43" s="17">
        <v>0.73096450000000002</v>
      </c>
      <c r="O43" s="14"/>
      <c r="P43" s="14"/>
      <c r="V43">
        <v>0.2</v>
      </c>
      <c r="W43" s="17">
        <v>0.82857139999999996</v>
      </c>
      <c r="X43" s="17">
        <v>0.76630430000000005</v>
      </c>
      <c r="Y43" s="14"/>
      <c r="Z43" s="14"/>
    </row>
    <row r="44" spans="1:30" x14ac:dyDescent="0.25">
      <c r="A44">
        <v>0.3</v>
      </c>
      <c r="B44" s="17">
        <v>0.66377439999999999</v>
      </c>
      <c r="C44" s="17">
        <v>0.57458560000000003</v>
      </c>
      <c r="D44" s="14"/>
      <c r="E44" s="14"/>
      <c r="L44">
        <v>0.3</v>
      </c>
      <c r="M44" s="17">
        <v>0.65501169999999997</v>
      </c>
      <c r="N44" s="17">
        <v>0.61928930000000004</v>
      </c>
      <c r="O44" s="14"/>
      <c r="P44" s="14"/>
      <c r="V44">
        <v>0.3</v>
      </c>
      <c r="W44" s="17">
        <v>0.72527470000000005</v>
      </c>
      <c r="X44" s="17">
        <v>0.66576089999999999</v>
      </c>
      <c r="Y44" s="14"/>
      <c r="Z44" s="14"/>
    </row>
    <row r="45" spans="1:30" x14ac:dyDescent="0.25">
      <c r="A45">
        <v>0.4</v>
      </c>
      <c r="B45" s="17">
        <v>0.55531450000000004</v>
      </c>
      <c r="C45" s="17">
        <v>0.4861878</v>
      </c>
      <c r="D45" s="14"/>
      <c r="E45" s="14"/>
      <c r="L45">
        <v>0.4</v>
      </c>
      <c r="M45" s="17">
        <v>0.57342660000000001</v>
      </c>
      <c r="N45" s="17">
        <v>0.51776650000000002</v>
      </c>
      <c r="O45" s="14"/>
      <c r="P45" s="14"/>
      <c r="V45">
        <v>0.4</v>
      </c>
      <c r="W45" s="17">
        <v>0.64175819999999995</v>
      </c>
      <c r="X45" s="17">
        <v>0.58423910000000001</v>
      </c>
      <c r="Y45" s="14"/>
      <c r="Z45" s="14"/>
    </row>
    <row r="46" spans="1:30" x14ac:dyDescent="0.25">
      <c r="A46">
        <v>0.5</v>
      </c>
      <c r="B46" s="17">
        <v>0.472885</v>
      </c>
      <c r="C46" s="17">
        <v>0.39502759999999998</v>
      </c>
      <c r="D46" s="14"/>
      <c r="E46" s="14"/>
      <c r="L46">
        <v>0.5</v>
      </c>
      <c r="M46" s="17">
        <v>0.50815849999999996</v>
      </c>
      <c r="N46" s="17">
        <v>0.45431470000000002</v>
      </c>
      <c r="O46" s="14"/>
      <c r="P46" s="14"/>
      <c r="V46">
        <v>0.5</v>
      </c>
      <c r="W46" s="17">
        <v>0.56043960000000004</v>
      </c>
      <c r="X46" s="17">
        <v>0.4918478</v>
      </c>
      <c r="Y46" s="14"/>
      <c r="Z46" s="14"/>
    </row>
    <row r="47" spans="1:30" x14ac:dyDescent="0.25">
      <c r="A47">
        <v>0.6</v>
      </c>
      <c r="B47" s="17">
        <v>0.37960949999999999</v>
      </c>
      <c r="C47" s="17">
        <v>0.3232044</v>
      </c>
      <c r="D47" s="14"/>
      <c r="E47" s="14"/>
      <c r="L47">
        <v>0.6</v>
      </c>
      <c r="M47" s="17">
        <v>0.44055939999999999</v>
      </c>
      <c r="N47" s="17">
        <v>0.37817260000000003</v>
      </c>
      <c r="O47" s="14"/>
      <c r="P47" s="14"/>
      <c r="V47">
        <v>0.6</v>
      </c>
      <c r="W47" s="17">
        <v>0.50769229999999999</v>
      </c>
      <c r="X47" s="17">
        <v>0.4375</v>
      </c>
      <c r="Y47" s="14"/>
      <c r="Z47" s="14"/>
    </row>
    <row r="48" spans="1:30" x14ac:dyDescent="0.25">
      <c r="A48">
        <v>0.7</v>
      </c>
      <c r="B48" s="17">
        <v>0.30802600000000002</v>
      </c>
      <c r="C48" s="17">
        <v>0.25690610000000003</v>
      </c>
      <c r="D48" s="14"/>
      <c r="E48" s="14"/>
      <c r="L48">
        <v>0.7</v>
      </c>
      <c r="M48" s="17">
        <v>0.3752914</v>
      </c>
      <c r="N48" s="17">
        <v>0.319797</v>
      </c>
      <c r="O48" s="14"/>
      <c r="P48" s="14"/>
      <c r="V48">
        <v>0.7</v>
      </c>
      <c r="W48" s="17">
        <v>0.45494509999999999</v>
      </c>
      <c r="X48" s="17">
        <v>0.36956519999999998</v>
      </c>
      <c r="Y48" s="14"/>
      <c r="Z48" s="14"/>
    </row>
    <row r="49" spans="1:26" x14ac:dyDescent="0.25">
      <c r="A49">
        <v>0.8</v>
      </c>
      <c r="B49" s="17">
        <v>0.26030370000000003</v>
      </c>
      <c r="C49" s="17">
        <v>0.19060769999999999</v>
      </c>
      <c r="D49" s="14"/>
      <c r="E49" s="14"/>
      <c r="L49">
        <v>0.8</v>
      </c>
      <c r="M49" s="17">
        <v>0.31235429999999997</v>
      </c>
      <c r="N49" s="17">
        <v>0.27157360000000003</v>
      </c>
      <c r="O49" s="14"/>
      <c r="P49" s="14"/>
      <c r="V49">
        <v>0.8</v>
      </c>
      <c r="W49" s="17">
        <v>0.39120880000000002</v>
      </c>
      <c r="X49" s="17">
        <v>0.32608700000000002</v>
      </c>
      <c r="Y49" s="14"/>
      <c r="Z49" s="14"/>
    </row>
    <row r="50" spans="1:26" x14ac:dyDescent="0.25">
      <c r="A50">
        <v>0.9</v>
      </c>
      <c r="B50" s="17">
        <v>0.1995662</v>
      </c>
      <c r="C50" s="17">
        <v>0.14640880000000001</v>
      </c>
      <c r="D50" s="14"/>
      <c r="E50" s="14"/>
      <c r="L50">
        <v>0.9</v>
      </c>
      <c r="M50" s="17">
        <v>0.27039629999999998</v>
      </c>
      <c r="N50" s="17">
        <v>0.21573600000000001</v>
      </c>
      <c r="O50" s="14"/>
      <c r="P50" s="14"/>
      <c r="V50">
        <v>0.9</v>
      </c>
      <c r="W50" s="17">
        <v>0.3274725</v>
      </c>
      <c r="X50" s="17">
        <v>0.25543480000000002</v>
      </c>
      <c r="Y50" s="14"/>
      <c r="Z50" s="14"/>
    </row>
    <row r="51" spans="1:26" x14ac:dyDescent="0.25">
      <c r="A51">
        <v>1</v>
      </c>
      <c r="B51" s="17">
        <v>0.16702819999999999</v>
      </c>
      <c r="C51" s="17">
        <v>0.1132597</v>
      </c>
      <c r="D51" s="14"/>
      <c r="E51" s="14"/>
      <c r="L51">
        <v>1</v>
      </c>
      <c r="M51" s="17">
        <v>0.23310020000000001</v>
      </c>
      <c r="N51" s="17">
        <v>0.16243650000000001</v>
      </c>
      <c r="O51" s="14"/>
      <c r="P51" s="14"/>
      <c r="V51">
        <v>1</v>
      </c>
      <c r="W51" s="17">
        <v>0.27692309999999998</v>
      </c>
      <c r="X51" s="17">
        <v>0.21739130000000001</v>
      </c>
      <c r="Y51" s="14"/>
      <c r="Z51" s="14"/>
    </row>
    <row r="52" spans="1:26" x14ac:dyDescent="0.25">
      <c r="A52">
        <v>1.1000000000000001</v>
      </c>
      <c r="B52" s="17">
        <v>0.13015180000000001</v>
      </c>
      <c r="C52" s="17">
        <v>7.1823200000000004E-2</v>
      </c>
      <c r="D52" s="14"/>
      <c r="E52" s="14"/>
      <c r="L52">
        <v>1.1000000000000001</v>
      </c>
      <c r="M52" s="17">
        <v>0.19114220000000001</v>
      </c>
      <c r="N52" s="17">
        <v>0.13197970000000001</v>
      </c>
      <c r="O52" s="14"/>
      <c r="P52" s="14"/>
      <c r="V52">
        <v>1.1000000000000001</v>
      </c>
      <c r="W52" s="17">
        <v>0.23296700000000001</v>
      </c>
      <c r="X52" s="17">
        <v>0.18478259999999999</v>
      </c>
      <c r="Y52" s="14"/>
      <c r="Z52" s="14"/>
    </row>
    <row r="53" spans="1:26" x14ac:dyDescent="0.25">
      <c r="A53">
        <v>1.2</v>
      </c>
      <c r="B53" s="17">
        <v>0.1084599</v>
      </c>
      <c r="C53" s="17">
        <v>6.0773479999999998E-2</v>
      </c>
      <c r="D53" s="14"/>
      <c r="E53" s="14"/>
      <c r="L53">
        <v>1.2</v>
      </c>
      <c r="M53" s="17">
        <v>0.15384619999999999</v>
      </c>
      <c r="N53" s="17">
        <v>0.1015228</v>
      </c>
      <c r="O53" s="14"/>
      <c r="P53" s="14"/>
      <c r="V53">
        <v>1.2</v>
      </c>
      <c r="W53" s="17">
        <v>0.18681320000000001</v>
      </c>
      <c r="X53" s="17">
        <v>0.16576089999999999</v>
      </c>
      <c r="Y53" s="14"/>
      <c r="Z53" s="14"/>
    </row>
    <row r="54" spans="1:26" x14ac:dyDescent="0.25">
      <c r="A54">
        <v>1.3</v>
      </c>
      <c r="B54" s="17">
        <v>8.2429500000000003E-2</v>
      </c>
      <c r="C54" s="17">
        <v>4.9723759999999999E-2</v>
      </c>
      <c r="D54" s="14"/>
      <c r="E54" s="14"/>
      <c r="L54">
        <v>1.3</v>
      </c>
      <c r="M54" s="17">
        <v>0.1235431</v>
      </c>
      <c r="N54" s="17">
        <v>8.883249E-2</v>
      </c>
      <c r="O54" s="14"/>
      <c r="P54" s="14"/>
      <c r="V54">
        <v>1.3</v>
      </c>
      <c r="W54" s="17">
        <v>0.15164839999999999</v>
      </c>
      <c r="X54" s="17">
        <v>0.1440217</v>
      </c>
      <c r="Y54" s="14"/>
      <c r="Z54" s="14"/>
    </row>
    <row r="55" spans="1:26" x14ac:dyDescent="0.25">
      <c r="A55">
        <v>1.4</v>
      </c>
      <c r="B55" s="17">
        <v>6.0737529999999998E-2</v>
      </c>
      <c r="C55" s="17">
        <v>4.1436460000000001E-2</v>
      </c>
      <c r="D55" s="14"/>
      <c r="E55" s="14"/>
      <c r="L55">
        <v>1.4</v>
      </c>
      <c r="M55" s="17">
        <v>9.3240089999999998E-2</v>
      </c>
      <c r="N55" s="17">
        <v>6.0913710000000003E-2</v>
      </c>
      <c r="O55" s="14"/>
      <c r="P55" s="14"/>
      <c r="V55">
        <v>1.4</v>
      </c>
      <c r="W55" s="17">
        <v>0.12527469999999999</v>
      </c>
      <c r="X55" s="17">
        <v>0.10869570000000001</v>
      </c>
      <c r="Y55" s="14"/>
      <c r="Z55" s="14"/>
    </row>
    <row r="56" spans="1:26" x14ac:dyDescent="0.25">
      <c r="A56">
        <v>1.5</v>
      </c>
      <c r="B56" s="17">
        <v>4.7722340000000002E-2</v>
      </c>
      <c r="C56" s="17">
        <v>2.209945E-2</v>
      </c>
      <c r="D56" s="14"/>
      <c r="E56" s="14"/>
      <c r="L56">
        <v>1.5</v>
      </c>
      <c r="M56" s="17">
        <v>7.4592069999999996E-2</v>
      </c>
      <c r="N56" s="17">
        <v>5.0761420000000002E-2</v>
      </c>
      <c r="O56" s="14"/>
      <c r="P56" s="14"/>
      <c r="V56">
        <v>1.5</v>
      </c>
      <c r="W56" s="17">
        <v>8.7912089999999998E-2</v>
      </c>
      <c r="X56" s="17">
        <v>8.4239129999999995E-2</v>
      </c>
      <c r="Y56" s="14"/>
      <c r="Z56" s="14"/>
    </row>
    <row r="57" spans="1:26" x14ac:dyDescent="0.25">
      <c r="A57">
        <v>1.6</v>
      </c>
      <c r="B57" s="17">
        <v>3.6876359999999997E-2</v>
      </c>
      <c r="C57" s="17">
        <v>1.657459E-2</v>
      </c>
      <c r="D57" s="14"/>
      <c r="E57" s="14"/>
      <c r="L57">
        <v>1.6</v>
      </c>
      <c r="M57" s="17">
        <v>6.5268069999999997E-2</v>
      </c>
      <c r="N57" s="17">
        <v>3.8071069999999999E-2</v>
      </c>
      <c r="O57" s="14"/>
      <c r="P57" s="14"/>
      <c r="V57">
        <v>1.6</v>
      </c>
      <c r="W57" s="17">
        <v>7.0329669999999997E-2</v>
      </c>
      <c r="X57" s="17">
        <v>6.521739E-2</v>
      </c>
      <c r="Y57" s="14"/>
      <c r="Z57" s="14"/>
    </row>
    <row r="58" spans="1:26" x14ac:dyDescent="0.25">
      <c r="A58">
        <v>1.7</v>
      </c>
      <c r="B58" s="17">
        <v>2.819957E-2</v>
      </c>
      <c r="C58" s="17">
        <v>1.381215E-2</v>
      </c>
      <c r="D58" s="14"/>
      <c r="E58" s="14"/>
      <c r="L58">
        <v>1.7</v>
      </c>
      <c r="M58" s="17">
        <v>4.8951050000000003E-2</v>
      </c>
      <c r="N58" s="17">
        <v>2.5380710000000001E-2</v>
      </c>
      <c r="O58" s="14"/>
      <c r="P58" s="14"/>
      <c r="V58">
        <v>1.7</v>
      </c>
      <c r="W58" s="17">
        <v>5.4945050000000002E-2</v>
      </c>
      <c r="X58" s="17">
        <v>4.3478259999999998E-2</v>
      </c>
      <c r="Y58" s="14"/>
      <c r="Z58" s="14"/>
    </row>
    <row r="59" spans="1:26" x14ac:dyDescent="0.25">
      <c r="A59">
        <v>1.8</v>
      </c>
      <c r="B59" s="17">
        <v>2.3861170000000001E-2</v>
      </c>
      <c r="C59" s="17">
        <v>1.381215E-2</v>
      </c>
      <c r="D59" s="14"/>
      <c r="E59" s="14"/>
      <c r="L59">
        <v>1.8</v>
      </c>
      <c r="M59" s="17">
        <v>3.4965030000000001E-2</v>
      </c>
      <c r="N59" s="17">
        <v>1.5228429999999999E-2</v>
      </c>
      <c r="O59" s="14"/>
      <c r="P59" s="14"/>
      <c r="V59">
        <v>1.8</v>
      </c>
      <c r="W59" s="17">
        <v>3.5164840000000003E-2</v>
      </c>
      <c r="X59" s="17">
        <v>3.5326089999999997E-2</v>
      </c>
      <c r="Y59" s="14"/>
      <c r="Z59" s="14"/>
    </row>
    <row r="60" spans="1:26" x14ac:dyDescent="0.25">
      <c r="A60">
        <v>1.9</v>
      </c>
      <c r="B60" s="17">
        <v>1.952278E-2</v>
      </c>
      <c r="C60" s="17">
        <v>1.1049720000000001E-2</v>
      </c>
      <c r="D60" s="14"/>
      <c r="E60" s="14"/>
      <c r="L60">
        <v>1.9</v>
      </c>
      <c r="M60" s="17">
        <v>3.0303030000000002E-2</v>
      </c>
      <c r="N60" s="17">
        <v>1.2690359999999999E-2</v>
      </c>
      <c r="O60" s="14"/>
      <c r="P60" s="14"/>
      <c r="V60">
        <v>1.9</v>
      </c>
      <c r="W60" s="17">
        <v>2.8571429999999998E-2</v>
      </c>
      <c r="X60" s="17">
        <v>2.4456519999999999E-2</v>
      </c>
      <c r="Y60" s="14"/>
      <c r="Z60" s="14"/>
    </row>
    <row r="61" spans="1:26" x14ac:dyDescent="0.25">
      <c r="A61">
        <v>2</v>
      </c>
      <c r="B61" s="17">
        <v>1.084599E-2</v>
      </c>
      <c r="C61" s="17">
        <v>1.1049720000000001E-2</v>
      </c>
      <c r="D61" s="14"/>
      <c r="E61" s="14"/>
      <c r="L61">
        <v>2</v>
      </c>
      <c r="M61" s="17">
        <v>2.3310020000000001E-2</v>
      </c>
      <c r="N61" s="17">
        <v>7.6142129999999999E-3</v>
      </c>
      <c r="O61" s="14"/>
      <c r="P61" s="14"/>
      <c r="V61">
        <v>2</v>
      </c>
      <c r="W61" s="17">
        <v>1.538462E-2</v>
      </c>
      <c r="X61" s="17">
        <v>2.1739129999999999E-2</v>
      </c>
      <c r="Y61" s="14"/>
      <c r="Z61" s="14"/>
    </row>
    <row r="62" spans="1:26" x14ac:dyDescent="0.25">
      <c r="A62">
        <v>2.1</v>
      </c>
      <c r="B62" s="17">
        <v>6.5075920000000004E-3</v>
      </c>
      <c r="C62" s="17">
        <v>8.2872929999999994E-3</v>
      </c>
      <c r="L62">
        <v>2.1</v>
      </c>
      <c r="M62" s="17">
        <v>2.3310020000000001E-2</v>
      </c>
      <c r="N62" s="17">
        <v>7.6142129999999999E-3</v>
      </c>
      <c r="V62">
        <v>2.1</v>
      </c>
      <c r="W62" s="17">
        <v>1.318681E-2</v>
      </c>
      <c r="X62" s="17">
        <v>1.086957E-2</v>
      </c>
    </row>
    <row r="63" spans="1:26" x14ac:dyDescent="0.25">
      <c r="A63">
        <v>2.2000000000000002</v>
      </c>
      <c r="B63" s="17">
        <v>4.3383950000000001E-3</v>
      </c>
      <c r="C63" s="17">
        <v>8.2872929999999994E-3</v>
      </c>
      <c r="L63">
        <v>2.2000000000000002</v>
      </c>
      <c r="M63" s="17">
        <v>1.165501E-2</v>
      </c>
      <c r="N63" s="17">
        <v>5.0761419999999996E-3</v>
      </c>
      <c r="V63">
        <v>2.2000000000000002</v>
      </c>
      <c r="W63" s="17">
        <v>8.7912089999999995E-3</v>
      </c>
      <c r="X63" s="17">
        <v>8.1521739999999999E-3</v>
      </c>
    </row>
    <row r="64" spans="1:26" x14ac:dyDescent="0.25">
      <c r="A64">
        <v>2.2999999999999998</v>
      </c>
      <c r="B64" s="17">
        <v>4.3383950000000001E-3</v>
      </c>
      <c r="C64" s="17">
        <v>2.7624310000000001E-3</v>
      </c>
      <c r="L64">
        <v>2.2999999999999998</v>
      </c>
      <c r="M64" s="17">
        <v>9.3240089999999994E-3</v>
      </c>
      <c r="N64" s="17">
        <v>2.5380709999999998E-3</v>
      </c>
      <c r="V64">
        <v>2.2999999999999998</v>
      </c>
      <c r="W64" s="17">
        <v>2.197802E-3</v>
      </c>
      <c r="X64" s="17">
        <v>5.4347830000000003E-3</v>
      </c>
    </row>
    <row r="65" spans="1:30" x14ac:dyDescent="0.25">
      <c r="A65">
        <v>2.4</v>
      </c>
      <c r="B65" s="17">
        <v>4.3383950000000001E-3</v>
      </c>
      <c r="C65" s="17">
        <v>2.7624310000000001E-3</v>
      </c>
      <c r="L65">
        <v>2.4</v>
      </c>
      <c r="M65" s="17">
        <v>6.9930069999999999E-3</v>
      </c>
      <c r="N65" s="17">
        <v>2.5380709999999998E-3</v>
      </c>
      <c r="V65">
        <v>2.4</v>
      </c>
      <c r="W65" s="17">
        <v>0</v>
      </c>
      <c r="X65" s="17">
        <v>2.717391E-3</v>
      </c>
    </row>
    <row r="66" spans="1:30" x14ac:dyDescent="0.25">
      <c r="A66">
        <v>2.5</v>
      </c>
      <c r="B66" s="17">
        <v>4.3383950000000001E-3</v>
      </c>
      <c r="C66" s="17"/>
      <c r="L66">
        <v>2.5</v>
      </c>
      <c r="M66" s="17">
        <v>2.331002E-3</v>
      </c>
      <c r="N66" s="17">
        <v>0</v>
      </c>
      <c r="V66">
        <v>2.5</v>
      </c>
      <c r="W66" s="17"/>
      <c r="X66" s="17">
        <v>2.717391E-3</v>
      </c>
    </row>
    <row r="67" spans="1:30" x14ac:dyDescent="0.25">
      <c r="A67">
        <v>2.6</v>
      </c>
      <c r="B67" s="17">
        <v>2.1691969999999999E-3</v>
      </c>
      <c r="C67" s="17"/>
      <c r="L67">
        <v>2.6</v>
      </c>
      <c r="M67" s="17">
        <v>0</v>
      </c>
      <c r="N67" s="17"/>
      <c r="V67">
        <v>2.6</v>
      </c>
      <c r="X67" s="17">
        <v>0</v>
      </c>
    </row>
    <row r="68" spans="1:30" x14ac:dyDescent="0.25">
      <c r="A68">
        <v>2.7</v>
      </c>
      <c r="B68" s="17">
        <v>2.1691969999999999E-3</v>
      </c>
      <c r="C68" s="17"/>
      <c r="L68">
        <v>2.7</v>
      </c>
      <c r="M68" s="17">
        <v>0</v>
      </c>
      <c r="N68" s="17"/>
    </row>
    <row r="70" spans="1:30" x14ac:dyDescent="0.25">
      <c r="A70">
        <v>19.71</v>
      </c>
      <c r="B70" t="s">
        <v>47</v>
      </c>
      <c r="C70" s="13">
        <v>21.809000000000001</v>
      </c>
      <c r="D70" t="s">
        <v>27</v>
      </c>
      <c r="E70" s="14">
        <v>1.0414959999999999E-2</v>
      </c>
      <c r="F70" t="s">
        <v>26</v>
      </c>
      <c r="G70" s="14">
        <v>-1.7403549999999999E-4</v>
      </c>
      <c r="H70" t="s">
        <v>25</v>
      </c>
      <c r="I70" s="14">
        <v>3.173413E-4</v>
      </c>
      <c r="J70" s="14"/>
      <c r="L70" s="13">
        <v>21.809000000000001</v>
      </c>
      <c r="M70" t="s">
        <v>50</v>
      </c>
      <c r="N70" s="13">
        <v>24.46</v>
      </c>
      <c r="O70" t="s">
        <v>27</v>
      </c>
      <c r="P70" s="14">
        <v>1.129285E-2</v>
      </c>
      <c r="Q70" t="s">
        <v>26</v>
      </c>
      <c r="R70" s="14">
        <v>5.3072619999999999E-5</v>
      </c>
      <c r="S70" t="s">
        <v>25</v>
      </c>
      <c r="T70" s="14">
        <v>4.8804619999999998E-5</v>
      </c>
      <c r="V70" s="13">
        <v>24.46</v>
      </c>
      <c r="W70" t="s">
        <v>49</v>
      </c>
      <c r="X70" s="13">
        <v>28.95</v>
      </c>
      <c r="Y70" t="s">
        <v>27</v>
      </c>
      <c r="Z70" s="14">
        <v>1.4072360000000001E-2</v>
      </c>
      <c r="AA70" t="s">
        <v>26</v>
      </c>
      <c r="AB70" s="14">
        <v>-1.150365E-3</v>
      </c>
      <c r="AC70" t="s">
        <v>25</v>
      </c>
      <c r="AD70" s="14">
        <v>-7.7417670000000003E-4</v>
      </c>
    </row>
    <row r="71" spans="1:30" x14ac:dyDescent="0.25">
      <c r="A71" t="s">
        <v>64</v>
      </c>
      <c r="C71" s="13"/>
      <c r="D71" t="s">
        <v>27</v>
      </c>
      <c r="E71" s="14">
        <v>2.123032E-2</v>
      </c>
      <c r="F71" t="s">
        <v>26</v>
      </c>
      <c r="G71" s="14">
        <v>3.6074710000000001E-3</v>
      </c>
      <c r="H71" t="s">
        <v>25</v>
      </c>
      <c r="I71" s="14">
        <v>3.2767529999999999E-3</v>
      </c>
      <c r="J71" s="14"/>
      <c r="L71" s="13"/>
      <c r="N71" s="13"/>
      <c r="O71" t="s">
        <v>27</v>
      </c>
      <c r="P71" s="14">
        <v>2.4612930000000002E-2</v>
      </c>
      <c r="Q71" t="s">
        <v>26</v>
      </c>
      <c r="R71" s="14">
        <v>3.018167E-3</v>
      </c>
      <c r="S71" t="s">
        <v>25</v>
      </c>
      <c r="T71" s="14">
        <v>3.1093539999999999E-3</v>
      </c>
      <c r="V71" s="13"/>
      <c r="X71" s="13"/>
      <c r="Y71" t="s">
        <v>27</v>
      </c>
      <c r="Z71" s="14">
        <v>2.8730350000000002E-2</v>
      </c>
      <c r="AA71" t="s">
        <v>26</v>
      </c>
      <c r="AB71" s="14">
        <v>-5.4822910000000002E-3</v>
      </c>
      <c r="AC71" t="s">
        <v>25</v>
      </c>
      <c r="AD71" s="14">
        <v>-3.7302540000000001E-3</v>
      </c>
    </row>
    <row r="72" spans="1:30" x14ac:dyDescent="0.25">
      <c r="A72" t="s">
        <v>27</v>
      </c>
      <c r="B72" s="14">
        <v>6.9093399999999999E-3</v>
      </c>
      <c r="C72" s="14">
        <v>6.4126410000000002E-3</v>
      </c>
      <c r="D72" s="14">
        <v>1.38079E-2</v>
      </c>
      <c r="E72" s="14">
        <v>1.1375339999999999E-2</v>
      </c>
      <c r="F72" s="21" t="s">
        <v>40</v>
      </c>
      <c r="G72">
        <v>407</v>
      </c>
      <c r="H72">
        <v>448</v>
      </c>
      <c r="I72">
        <v>459</v>
      </c>
      <c r="L72" t="s">
        <v>27</v>
      </c>
      <c r="M72" s="14">
        <v>7.1256640000000003E-3</v>
      </c>
      <c r="N72" s="14">
        <v>6.8305249999999996E-3</v>
      </c>
      <c r="O72" s="14">
        <v>1.524584E-2</v>
      </c>
      <c r="P72" s="14">
        <v>1.2846430000000001E-2</v>
      </c>
      <c r="Q72" s="21" t="s">
        <v>40</v>
      </c>
      <c r="R72">
        <v>412</v>
      </c>
      <c r="S72">
        <v>418</v>
      </c>
      <c r="T72">
        <v>448</v>
      </c>
      <c r="V72" t="s">
        <v>27</v>
      </c>
      <c r="W72" s="14">
        <v>9.2675629999999995E-3</v>
      </c>
      <c r="X72" s="14">
        <v>8.3943449999999992E-3</v>
      </c>
      <c r="Y72" s="14">
        <v>1.7221960000000001E-2</v>
      </c>
      <c r="Z72" s="14">
        <v>1.5835559999999999E-2</v>
      </c>
      <c r="AA72" s="21" t="s">
        <v>40</v>
      </c>
      <c r="AB72">
        <v>381</v>
      </c>
      <c r="AC72">
        <v>379</v>
      </c>
      <c r="AD72">
        <v>349</v>
      </c>
    </row>
    <row r="73" spans="1:30" x14ac:dyDescent="0.25">
      <c r="A73" t="s">
        <v>26</v>
      </c>
      <c r="B73" s="14">
        <v>6.9187959999999996E-3</v>
      </c>
      <c r="C73" s="14">
        <v>-6.2368789999999999E-3</v>
      </c>
      <c r="D73" s="14">
        <v>1.50843E-2</v>
      </c>
      <c r="E73" s="14">
        <v>-1.3648240000000001E-2</v>
      </c>
      <c r="F73" s="21" t="s">
        <v>41</v>
      </c>
      <c r="G73">
        <v>415</v>
      </c>
      <c r="H73">
        <v>375</v>
      </c>
      <c r="I73">
        <v>364</v>
      </c>
      <c r="L73" t="s">
        <v>26</v>
      </c>
      <c r="M73" s="14">
        <v>6.8290979999999996E-3</v>
      </c>
      <c r="N73" s="14">
        <v>-7.3944470000000002E-3</v>
      </c>
      <c r="O73" s="14">
        <v>1.836662E-2</v>
      </c>
      <c r="P73" s="14">
        <v>-1.6694029999999999E-2</v>
      </c>
      <c r="Q73" s="21" t="s">
        <v>41</v>
      </c>
      <c r="R73">
        <v>409</v>
      </c>
      <c r="S73">
        <v>405</v>
      </c>
      <c r="T73">
        <v>375</v>
      </c>
      <c r="V73" t="s">
        <v>26</v>
      </c>
      <c r="W73" s="14">
        <v>9.0408060000000002E-3</v>
      </c>
      <c r="X73" s="14">
        <v>-8.8273980000000002E-3</v>
      </c>
      <c r="Y73" s="14">
        <v>2.0682369999999999E-2</v>
      </c>
      <c r="Z73" s="14">
        <v>-2.214795E-2</v>
      </c>
      <c r="AA73" s="21" t="s">
        <v>41</v>
      </c>
      <c r="AB73">
        <v>442</v>
      </c>
      <c r="AC73">
        <v>444</v>
      </c>
      <c r="AD73">
        <v>474</v>
      </c>
    </row>
    <row r="74" spans="1:30" x14ac:dyDescent="0.25">
      <c r="A74" t="s">
        <v>25</v>
      </c>
      <c r="B74" s="14">
        <v>8.4276119999999993E-3</v>
      </c>
      <c r="C74" s="14">
        <v>-7.5972080000000003E-3</v>
      </c>
      <c r="D74" s="14">
        <v>1.8363250000000001E-2</v>
      </c>
      <c r="E74" s="14">
        <v>-1.5747150000000001E-2</v>
      </c>
      <c r="F74" t="s">
        <v>42</v>
      </c>
      <c r="G74" s="13">
        <f>G72/G73</f>
        <v>0.98072289156626502</v>
      </c>
      <c r="H74" s="13">
        <f>H72/H73</f>
        <v>1.1946666666666668</v>
      </c>
      <c r="I74" s="13">
        <f>I72/I73</f>
        <v>1.2609890109890109</v>
      </c>
      <c r="L74" t="s">
        <v>25</v>
      </c>
      <c r="M74" s="14">
        <v>8.8873010000000002E-3</v>
      </c>
      <c r="N74" s="14">
        <v>-8.8977669999999991E-3</v>
      </c>
      <c r="O74" s="14">
        <v>2.1494659999999999E-2</v>
      </c>
      <c r="P74" s="14">
        <v>-1.885496E-2</v>
      </c>
      <c r="Q74" t="s">
        <v>42</v>
      </c>
      <c r="R74" s="13">
        <f>R72/R73</f>
        <v>1.0073349633251834</v>
      </c>
      <c r="S74" s="13">
        <f>S72/S73</f>
        <v>1.0320987654320988</v>
      </c>
      <c r="T74" s="13">
        <f>T72/T73</f>
        <v>1.1946666666666668</v>
      </c>
      <c r="V74" t="s">
        <v>25</v>
      </c>
      <c r="W74" s="14">
        <v>1.099956E-2</v>
      </c>
      <c r="X74" s="14">
        <v>-1.0995919999999999E-2</v>
      </c>
      <c r="Y74" s="14">
        <v>2.372225E-2</v>
      </c>
      <c r="Z74" s="14">
        <v>-2.394317E-2</v>
      </c>
      <c r="AA74" t="s">
        <v>42</v>
      </c>
      <c r="AB74" s="13">
        <f>AB72/AB73</f>
        <v>0.86199095022624439</v>
      </c>
      <c r="AC74" s="13">
        <f>AC72/AC73</f>
        <v>0.85360360360360366</v>
      </c>
      <c r="AD74" s="13">
        <f>AD72/AD73</f>
        <v>0.73628691983122363</v>
      </c>
    </row>
    <row r="75" spans="1:30" x14ac:dyDescent="0.25">
      <c r="A75" t="s">
        <v>31</v>
      </c>
      <c r="B75" t="s">
        <v>30</v>
      </c>
      <c r="C75" t="s">
        <v>33</v>
      </c>
      <c r="D75" t="s">
        <v>65</v>
      </c>
      <c r="E75" t="s">
        <v>66</v>
      </c>
      <c r="G75" s="17">
        <f>G72/SUM(G72:G73)</f>
        <v>0.49513381995133821</v>
      </c>
      <c r="H75" s="17">
        <f>H72/SUM(H72:H73)</f>
        <v>0.54434993924665853</v>
      </c>
      <c r="I75" s="17">
        <f>I72/SUM(I72:I73)</f>
        <v>0.55771567436208991</v>
      </c>
      <c r="L75" t="s">
        <v>31</v>
      </c>
      <c r="M75" t="s">
        <v>30</v>
      </c>
      <c r="N75" t="s">
        <v>33</v>
      </c>
      <c r="O75" t="s">
        <v>65</v>
      </c>
      <c r="P75" t="s">
        <v>66</v>
      </c>
      <c r="R75" s="17">
        <f>R72/SUM(R72:R73)</f>
        <v>0.50182704019488433</v>
      </c>
      <c r="S75" s="17">
        <f>S72/SUM(S72:S73)</f>
        <v>0.5078979343863913</v>
      </c>
      <c r="T75" s="17">
        <f>T72/SUM(T72:T73)</f>
        <v>0.54434993924665853</v>
      </c>
      <c r="V75" t="s">
        <v>31</v>
      </c>
      <c r="W75" t="s">
        <v>30</v>
      </c>
      <c r="X75" t="s">
        <v>33</v>
      </c>
      <c r="Y75" t="s">
        <v>65</v>
      </c>
      <c r="Z75" t="s">
        <v>66</v>
      </c>
      <c r="AB75" s="17">
        <f>AB72/SUM(AB72:AB73)</f>
        <v>0.46294046172539488</v>
      </c>
      <c r="AC75" s="17">
        <f>AC72/SUM(AC72:AC73)</f>
        <v>0.46051032806804376</v>
      </c>
      <c r="AD75" s="17">
        <f>AD72/SUM(AD72:AD73)</f>
        <v>0.42405832320777642</v>
      </c>
    </row>
    <row r="76" spans="1:30" x14ac:dyDescent="0.25">
      <c r="A76">
        <v>0.1</v>
      </c>
      <c r="B76" s="17">
        <v>0.93103449999999999</v>
      </c>
      <c r="C76" s="17">
        <v>0.88942310000000002</v>
      </c>
      <c r="D76" s="14"/>
      <c r="E76" s="14"/>
      <c r="G76" s="17">
        <f>G73/SUM(G72:G73)</f>
        <v>0.50486618004866179</v>
      </c>
      <c r="H76" s="17">
        <f>H73/SUM(H72:H73)</f>
        <v>0.45565006075334141</v>
      </c>
      <c r="I76" s="17">
        <f>I73/SUM(I72:I73)</f>
        <v>0.44228432563791009</v>
      </c>
      <c r="L76">
        <v>0.1</v>
      </c>
      <c r="M76" s="17">
        <v>0.91525420000000002</v>
      </c>
      <c r="N76" s="17">
        <v>0.93137250000000005</v>
      </c>
      <c r="O76" s="14"/>
      <c r="P76" s="14"/>
      <c r="R76" s="17">
        <f>R73/SUM(R72:R73)</f>
        <v>0.49817295980511572</v>
      </c>
      <c r="S76" s="17">
        <f>S73/SUM(S72:S73)</f>
        <v>0.49210206561360875</v>
      </c>
      <c r="T76" s="17">
        <f>T73/SUM(T72:T73)</f>
        <v>0.45565006075334141</v>
      </c>
      <c r="V76">
        <v>0.1</v>
      </c>
      <c r="W76" s="17">
        <v>0.91099479999999999</v>
      </c>
      <c r="X76" s="17">
        <v>0.93636359999999996</v>
      </c>
      <c r="Y76" s="14"/>
      <c r="Z76" s="14"/>
      <c r="AB76" s="17">
        <f>AB73/SUM(AB72:AB73)</f>
        <v>0.53705953827460506</v>
      </c>
      <c r="AC76" s="17">
        <f>AC73/SUM(AC72:AC73)</f>
        <v>0.53948967193195629</v>
      </c>
      <c r="AD76" s="17">
        <f>AD73/SUM(AD72:AD73)</f>
        <v>0.57594167679222352</v>
      </c>
    </row>
    <row r="77" spans="1:30" x14ac:dyDescent="0.25">
      <c r="A77">
        <v>0.2</v>
      </c>
      <c r="B77" s="17">
        <v>0.85714290000000004</v>
      </c>
      <c r="C77" s="17">
        <v>0.78125</v>
      </c>
      <c r="D77" s="14"/>
      <c r="E77" s="14"/>
      <c r="L77">
        <v>0.2</v>
      </c>
      <c r="M77" s="17">
        <v>0.85472150000000002</v>
      </c>
      <c r="N77" s="17">
        <v>0.86519610000000002</v>
      </c>
      <c r="O77" s="14"/>
      <c r="P77" s="14"/>
      <c r="V77">
        <v>0.2</v>
      </c>
      <c r="W77" s="17">
        <v>0.85078529999999997</v>
      </c>
      <c r="X77" s="17">
        <v>0.87727270000000002</v>
      </c>
      <c r="Y77" s="14"/>
      <c r="Z77" s="14"/>
    </row>
    <row r="78" spans="1:30" x14ac:dyDescent="0.25">
      <c r="A78">
        <v>0.3</v>
      </c>
      <c r="B78" s="17">
        <v>0.77339899999999995</v>
      </c>
      <c r="C78" s="17">
        <v>0.69230769999999997</v>
      </c>
      <c r="D78" s="14"/>
      <c r="E78" s="14"/>
      <c r="L78">
        <v>0.3</v>
      </c>
      <c r="M78" s="17">
        <v>0.77966100000000005</v>
      </c>
      <c r="N78" s="17">
        <v>0.78676469999999998</v>
      </c>
      <c r="O78" s="14"/>
      <c r="P78" s="14"/>
      <c r="V78">
        <v>0.3</v>
      </c>
      <c r="W78" s="17">
        <v>0.7958115</v>
      </c>
      <c r="X78" s="17">
        <v>0.80909089999999995</v>
      </c>
      <c r="Y78" s="14"/>
      <c r="Z78" s="14"/>
    </row>
    <row r="79" spans="1:30" x14ac:dyDescent="0.25">
      <c r="A79">
        <v>0.4</v>
      </c>
      <c r="B79" s="17">
        <v>0.67980300000000005</v>
      </c>
      <c r="C79" s="17">
        <v>0.61538459999999995</v>
      </c>
      <c r="D79" s="14"/>
      <c r="E79" s="14"/>
      <c r="L79">
        <v>0.4</v>
      </c>
      <c r="M79" s="17">
        <v>0.70460049999999996</v>
      </c>
      <c r="N79" s="17">
        <v>0.72303919999999999</v>
      </c>
      <c r="O79" s="14"/>
      <c r="P79" s="14"/>
      <c r="V79">
        <v>0.4</v>
      </c>
      <c r="W79" s="17">
        <v>0.73560210000000004</v>
      </c>
      <c r="X79" s="17">
        <v>0.7431818</v>
      </c>
      <c r="Y79" s="14"/>
      <c r="Z79" s="14"/>
    </row>
    <row r="80" spans="1:30" x14ac:dyDescent="0.25">
      <c r="A80">
        <v>0.5</v>
      </c>
      <c r="B80" s="17">
        <v>0.60837439999999998</v>
      </c>
      <c r="C80" s="17">
        <v>0.57932689999999998</v>
      </c>
      <c r="D80" s="14"/>
      <c r="E80" s="14"/>
      <c r="L80">
        <v>0.5</v>
      </c>
      <c r="M80" s="17">
        <v>0.63196129999999995</v>
      </c>
      <c r="N80" s="17">
        <v>0.63970590000000005</v>
      </c>
      <c r="O80" s="14"/>
      <c r="P80" s="14"/>
      <c r="V80">
        <v>0.5</v>
      </c>
      <c r="W80" s="17">
        <v>0.67801049999999996</v>
      </c>
      <c r="X80" s="17">
        <v>0.68863640000000004</v>
      </c>
      <c r="Y80" s="14"/>
      <c r="Z80" s="14"/>
    </row>
    <row r="81" spans="1:26" x14ac:dyDescent="0.25">
      <c r="A81">
        <v>0.6</v>
      </c>
      <c r="B81" s="17">
        <v>0.53940889999999997</v>
      </c>
      <c r="C81" s="17">
        <v>0.50961540000000005</v>
      </c>
      <c r="D81" s="14"/>
      <c r="E81" s="14"/>
      <c r="L81">
        <v>0.6</v>
      </c>
      <c r="M81" s="17">
        <v>0.55932199999999999</v>
      </c>
      <c r="N81" s="17">
        <v>0.58823530000000002</v>
      </c>
      <c r="O81" s="14"/>
      <c r="P81" s="14"/>
      <c r="V81">
        <v>0.6</v>
      </c>
      <c r="W81" s="17">
        <v>0.61256540000000004</v>
      </c>
      <c r="X81" s="17">
        <v>0.63409090000000001</v>
      </c>
      <c r="Y81" s="14"/>
      <c r="Z81" s="14"/>
    </row>
    <row r="82" spans="1:26" x14ac:dyDescent="0.25">
      <c r="A82">
        <v>0.7</v>
      </c>
      <c r="B82" s="17">
        <v>0.49014780000000002</v>
      </c>
      <c r="C82" s="17">
        <v>0.44230770000000003</v>
      </c>
      <c r="D82" s="14"/>
      <c r="E82" s="14"/>
      <c r="L82">
        <v>0.7</v>
      </c>
      <c r="M82" s="17">
        <v>0.48426150000000001</v>
      </c>
      <c r="N82" s="17">
        <v>0.51960779999999995</v>
      </c>
      <c r="O82" s="14"/>
      <c r="P82" s="14"/>
      <c r="V82">
        <v>0.7</v>
      </c>
      <c r="W82" s="17">
        <v>0.57329839999999999</v>
      </c>
      <c r="X82" s="17">
        <v>0.58409089999999997</v>
      </c>
      <c r="Y82" s="14"/>
      <c r="Z82" s="14"/>
    </row>
    <row r="83" spans="1:26" x14ac:dyDescent="0.25">
      <c r="A83">
        <v>0.8</v>
      </c>
      <c r="B83" s="17">
        <v>0.45320199999999999</v>
      </c>
      <c r="C83" s="17">
        <v>0.38701920000000001</v>
      </c>
      <c r="D83" s="14"/>
      <c r="E83" s="14"/>
      <c r="L83">
        <v>0.8</v>
      </c>
      <c r="M83" s="17">
        <v>0.43341400000000002</v>
      </c>
      <c r="N83" s="17">
        <v>0.45588240000000002</v>
      </c>
      <c r="O83" s="14"/>
      <c r="P83" s="14"/>
      <c r="V83">
        <v>0.8</v>
      </c>
      <c r="W83" s="17">
        <v>0.53403140000000004</v>
      </c>
      <c r="X83" s="17">
        <v>0.54772730000000003</v>
      </c>
      <c r="Y83" s="14"/>
      <c r="Z83" s="14"/>
    </row>
    <row r="84" spans="1:26" x14ac:dyDescent="0.25">
      <c r="A84">
        <v>0.9</v>
      </c>
      <c r="B84" s="17">
        <v>0.38177339999999998</v>
      </c>
      <c r="C84" s="17">
        <v>0.34615380000000001</v>
      </c>
      <c r="D84" s="14"/>
      <c r="E84" s="14"/>
      <c r="L84">
        <v>0.9</v>
      </c>
      <c r="M84" s="17">
        <v>0.3946731</v>
      </c>
      <c r="N84" s="17">
        <v>0.39705879999999999</v>
      </c>
      <c r="O84" s="14"/>
      <c r="P84" s="14"/>
      <c r="V84">
        <v>0.9</v>
      </c>
      <c r="W84" s="17">
        <v>0.5026178</v>
      </c>
      <c r="X84" s="17">
        <v>0.4931818</v>
      </c>
      <c r="Y84" s="14"/>
      <c r="Z84" s="14"/>
    </row>
    <row r="85" spans="1:26" x14ac:dyDescent="0.25">
      <c r="A85">
        <v>1</v>
      </c>
      <c r="B85" s="17">
        <v>0.33251229999999998</v>
      </c>
      <c r="C85" s="17">
        <v>0.3028846</v>
      </c>
      <c r="D85" s="14"/>
      <c r="E85" s="14"/>
      <c r="L85">
        <v>1</v>
      </c>
      <c r="M85" s="17">
        <v>0.36561739999999998</v>
      </c>
      <c r="N85" s="17">
        <v>0.36274509999999999</v>
      </c>
      <c r="O85" s="14"/>
      <c r="P85" s="14"/>
      <c r="V85">
        <v>1</v>
      </c>
      <c r="W85" s="17">
        <v>0.46335080000000001</v>
      </c>
      <c r="X85" s="17">
        <v>0.4704545</v>
      </c>
      <c r="Y85" s="14"/>
      <c r="Z85" s="14"/>
    </row>
    <row r="86" spans="1:26" x14ac:dyDescent="0.25">
      <c r="A86">
        <v>1.1000000000000001</v>
      </c>
      <c r="B86" s="17">
        <v>0.27832509999999999</v>
      </c>
      <c r="C86" s="17">
        <v>0.26682689999999998</v>
      </c>
      <c r="D86" s="14"/>
      <c r="E86" s="14"/>
      <c r="L86">
        <v>1.1000000000000001</v>
      </c>
      <c r="M86" s="17">
        <v>0.32687650000000001</v>
      </c>
      <c r="N86" s="17">
        <v>0.3259804</v>
      </c>
      <c r="O86" s="14"/>
      <c r="P86" s="14"/>
      <c r="V86">
        <v>1.1000000000000001</v>
      </c>
      <c r="W86" s="17">
        <v>0.4188482</v>
      </c>
      <c r="X86" s="17">
        <v>0.4340909</v>
      </c>
      <c r="Y86" s="14"/>
      <c r="Z86" s="14"/>
    </row>
    <row r="87" spans="1:26" x14ac:dyDescent="0.25">
      <c r="A87">
        <v>1.2</v>
      </c>
      <c r="B87" s="17">
        <v>0.24137929999999999</v>
      </c>
      <c r="C87" s="17">
        <v>0.23076920000000001</v>
      </c>
      <c r="D87" s="14"/>
      <c r="E87" s="14"/>
      <c r="L87">
        <v>1.2</v>
      </c>
      <c r="M87" s="17">
        <v>0.28571429999999998</v>
      </c>
      <c r="N87" s="17">
        <v>0.26960780000000001</v>
      </c>
      <c r="O87" s="14"/>
      <c r="P87" s="14"/>
      <c r="V87">
        <v>1.2</v>
      </c>
      <c r="W87" s="17">
        <v>0.38481680000000001</v>
      </c>
      <c r="X87" s="17">
        <v>0.4</v>
      </c>
      <c r="Y87" s="14"/>
      <c r="Z87" s="14"/>
    </row>
    <row r="88" spans="1:26" x14ac:dyDescent="0.25">
      <c r="A88">
        <v>1.3</v>
      </c>
      <c r="B88" s="17">
        <v>0.21921180000000001</v>
      </c>
      <c r="C88" s="17">
        <v>0.1875</v>
      </c>
      <c r="D88" s="14"/>
      <c r="E88" s="14"/>
      <c r="L88">
        <v>1.3</v>
      </c>
      <c r="M88" s="17">
        <v>0.24213080000000001</v>
      </c>
      <c r="N88" s="17">
        <v>0.23529410000000001</v>
      </c>
      <c r="O88" s="14"/>
      <c r="P88" s="14"/>
      <c r="V88">
        <v>1.3</v>
      </c>
      <c r="W88" s="17">
        <v>0.35078530000000002</v>
      </c>
      <c r="X88" s="17">
        <v>0.36590909999999999</v>
      </c>
      <c r="Y88" s="14"/>
      <c r="Z88" s="14"/>
    </row>
    <row r="89" spans="1:26" x14ac:dyDescent="0.25">
      <c r="A89">
        <v>1.4</v>
      </c>
      <c r="B89" s="17">
        <v>0.1871921</v>
      </c>
      <c r="C89" s="17">
        <v>0.16346150000000001</v>
      </c>
      <c r="D89" s="14"/>
      <c r="E89" s="14"/>
      <c r="L89">
        <v>1.4</v>
      </c>
      <c r="M89" s="17">
        <v>0.2058111</v>
      </c>
      <c r="N89" s="17">
        <v>0.2083333</v>
      </c>
      <c r="O89" s="14"/>
      <c r="P89" s="14"/>
      <c r="V89">
        <v>1.4</v>
      </c>
      <c r="W89" s="17">
        <v>0.30628270000000002</v>
      </c>
      <c r="X89" s="17">
        <v>0.33181820000000001</v>
      </c>
      <c r="Y89" s="14"/>
      <c r="Z89" s="14"/>
    </row>
    <row r="90" spans="1:26" x14ac:dyDescent="0.25">
      <c r="A90">
        <v>1.5</v>
      </c>
      <c r="B90" s="17">
        <v>0.14778330000000001</v>
      </c>
      <c r="C90" s="17">
        <v>0.12740380000000001</v>
      </c>
      <c r="D90" s="14"/>
      <c r="E90" s="14"/>
      <c r="L90">
        <v>1.5</v>
      </c>
      <c r="M90" s="17">
        <v>0.18159810000000001</v>
      </c>
      <c r="N90" s="17">
        <v>0.19362750000000001</v>
      </c>
      <c r="O90" s="14"/>
      <c r="P90" s="14"/>
      <c r="V90">
        <v>1.5</v>
      </c>
      <c r="W90" s="17">
        <v>0.28010469999999998</v>
      </c>
      <c r="X90" s="17">
        <v>0.29090909999999998</v>
      </c>
      <c r="Y90" s="14"/>
      <c r="Z90" s="14"/>
    </row>
    <row r="91" spans="1:26" x14ac:dyDescent="0.25">
      <c r="A91">
        <v>1.6</v>
      </c>
      <c r="B91" s="17">
        <v>0.1182266</v>
      </c>
      <c r="C91" s="17">
        <v>9.375E-2</v>
      </c>
      <c r="D91" s="14"/>
      <c r="E91" s="14"/>
      <c r="L91">
        <v>1.6</v>
      </c>
      <c r="M91" s="17">
        <v>0.157385</v>
      </c>
      <c r="N91" s="17">
        <v>0.16911760000000001</v>
      </c>
      <c r="O91" s="14"/>
      <c r="P91" s="14"/>
      <c r="V91">
        <v>1.6</v>
      </c>
      <c r="W91" s="17">
        <v>0.24083769999999999</v>
      </c>
      <c r="X91" s="17">
        <v>0.25909090000000001</v>
      </c>
      <c r="Y91" s="14"/>
      <c r="Z91" s="14"/>
    </row>
    <row r="92" spans="1:26" x14ac:dyDescent="0.25">
      <c r="A92">
        <v>1.7</v>
      </c>
      <c r="B92" s="17">
        <v>9.8522170000000006E-2</v>
      </c>
      <c r="C92" s="17">
        <v>8.6538459999999998E-2</v>
      </c>
      <c r="D92" s="14"/>
      <c r="E92" s="14"/>
      <c r="L92">
        <v>1.7</v>
      </c>
      <c r="M92" s="17">
        <v>0.1355932</v>
      </c>
      <c r="N92" s="17">
        <v>0.1421569</v>
      </c>
      <c r="O92" s="14"/>
      <c r="P92" s="14"/>
      <c r="V92">
        <v>1.7</v>
      </c>
      <c r="W92" s="17">
        <v>0.21727750000000001</v>
      </c>
      <c r="X92" s="17">
        <v>0.2318182</v>
      </c>
      <c r="Y92" s="14"/>
      <c r="Z92" s="14"/>
    </row>
    <row r="93" spans="1:26" x14ac:dyDescent="0.25">
      <c r="A93">
        <v>1.8</v>
      </c>
      <c r="B93" s="17">
        <v>8.8669949999999997E-2</v>
      </c>
      <c r="C93" s="17">
        <v>6.9711540000000002E-2</v>
      </c>
      <c r="D93" s="14"/>
      <c r="E93" s="14"/>
      <c r="L93">
        <v>1.8</v>
      </c>
      <c r="M93" s="17">
        <v>0.1210654</v>
      </c>
      <c r="N93" s="17">
        <v>0.120098</v>
      </c>
      <c r="O93" s="14"/>
      <c r="P93" s="14"/>
      <c r="V93">
        <v>1.8</v>
      </c>
      <c r="W93" s="17">
        <v>0.19371730000000001</v>
      </c>
      <c r="X93" s="17">
        <v>0.20454549999999999</v>
      </c>
      <c r="Y93" s="14"/>
      <c r="Z93" s="14"/>
    </row>
    <row r="94" spans="1:26" x14ac:dyDescent="0.25">
      <c r="A94">
        <v>1.9</v>
      </c>
      <c r="B94" s="17">
        <v>7.8817730000000003E-2</v>
      </c>
      <c r="C94" s="17">
        <v>6.25E-2</v>
      </c>
      <c r="D94" s="14"/>
      <c r="E94" s="14"/>
      <c r="L94">
        <v>1.9</v>
      </c>
      <c r="M94" s="17">
        <v>0.10653749999999999</v>
      </c>
      <c r="N94" s="17">
        <v>8.3333329999999997E-2</v>
      </c>
      <c r="O94" s="14"/>
      <c r="P94" s="14"/>
      <c r="V94">
        <v>1.9</v>
      </c>
      <c r="W94" s="17">
        <v>0.17015710000000001</v>
      </c>
      <c r="X94" s="17">
        <v>0.17499999999999999</v>
      </c>
      <c r="Y94" s="14"/>
      <c r="Z94" s="14"/>
    </row>
    <row r="95" spans="1:26" x14ac:dyDescent="0.25">
      <c r="A95">
        <v>2</v>
      </c>
      <c r="B95" s="17">
        <v>7.1428569999999997E-2</v>
      </c>
      <c r="C95" s="17">
        <v>5.0480770000000001E-2</v>
      </c>
      <c r="D95" s="14"/>
      <c r="E95" s="14"/>
      <c r="L95">
        <v>2</v>
      </c>
      <c r="M95" s="17">
        <v>9.2009690000000005E-2</v>
      </c>
      <c r="N95" s="17">
        <v>7.3529410000000003E-2</v>
      </c>
      <c r="O95" s="14"/>
      <c r="P95" s="14"/>
      <c r="V95">
        <v>2</v>
      </c>
      <c r="W95" s="17">
        <v>0.14921470000000001</v>
      </c>
      <c r="X95" s="17">
        <v>0.1613636</v>
      </c>
      <c r="Y95" s="14"/>
      <c r="Z95" s="14"/>
    </row>
    <row r="96" spans="1:26" x14ac:dyDescent="0.25">
      <c r="A96">
        <v>2.1</v>
      </c>
      <c r="B96" s="17">
        <v>6.1576350000000002E-2</v>
      </c>
      <c r="C96" s="17">
        <v>4.5673079999999998E-2</v>
      </c>
      <c r="L96">
        <v>2.1</v>
      </c>
      <c r="M96" s="17">
        <v>8.4745760000000003E-2</v>
      </c>
      <c r="N96" s="17">
        <v>5.8823529999999999E-2</v>
      </c>
      <c r="V96">
        <v>2.1</v>
      </c>
      <c r="W96" s="17">
        <v>0.1413613</v>
      </c>
      <c r="X96" s="17">
        <v>0.1431818</v>
      </c>
    </row>
    <row r="97" spans="1:24" x14ac:dyDescent="0.25">
      <c r="A97">
        <v>2.2000000000000002</v>
      </c>
      <c r="B97" s="17">
        <v>4.6798029999999997E-2</v>
      </c>
      <c r="C97" s="17">
        <v>3.8461540000000002E-2</v>
      </c>
      <c r="L97">
        <v>2.2000000000000002</v>
      </c>
      <c r="M97" s="17">
        <v>6.7796609999999993E-2</v>
      </c>
      <c r="N97" s="17">
        <v>5.3921570000000002E-2</v>
      </c>
      <c r="V97">
        <v>2.2000000000000002</v>
      </c>
      <c r="W97" s="17">
        <v>0.13874349999999999</v>
      </c>
      <c r="X97" s="17">
        <v>0.12727269999999999</v>
      </c>
    </row>
    <row r="98" spans="1:24" x14ac:dyDescent="0.25">
      <c r="A98">
        <v>2.2999999999999998</v>
      </c>
      <c r="B98" s="17">
        <v>3.6945810000000003E-2</v>
      </c>
      <c r="C98" s="17">
        <v>3.125E-2</v>
      </c>
      <c r="L98">
        <v>2.2999999999999998</v>
      </c>
      <c r="M98" s="17">
        <v>4.8426150000000001E-2</v>
      </c>
      <c r="N98" s="17">
        <v>5.1470589999999997E-2</v>
      </c>
      <c r="V98">
        <v>2.2999999999999998</v>
      </c>
      <c r="W98" s="17">
        <v>0.117801</v>
      </c>
      <c r="X98" s="17">
        <v>0.1090909</v>
      </c>
    </row>
    <row r="99" spans="1:24" x14ac:dyDescent="0.25">
      <c r="A99">
        <v>2.4</v>
      </c>
      <c r="B99" s="17">
        <v>2.955665E-2</v>
      </c>
      <c r="C99" s="17">
        <v>2.163462E-2</v>
      </c>
      <c r="L99">
        <v>2.4</v>
      </c>
      <c r="M99" s="17">
        <v>3.3898310000000001E-2</v>
      </c>
      <c r="N99" s="17">
        <v>4.1666670000000003E-2</v>
      </c>
      <c r="V99">
        <v>2.4</v>
      </c>
      <c r="W99" s="17">
        <v>9.9476439999999999E-2</v>
      </c>
      <c r="X99" s="17">
        <v>9.5454549999999999E-2</v>
      </c>
    </row>
    <row r="100" spans="1:24" x14ac:dyDescent="0.25">
      <c r="A100">
        <v>2.5</v>
      </c>
      <c r="B100" s="17">
        <v>2.7093599999999999E-2</v>
      </c>
      <c r="C100" s="17">
        <v>1.6826919999999999E-2</v>
      </c>
      <c r="L100">
        <v>2.5</v>
      </c>
      <c r="M100" s="17">
        <v>2.9055689999999999E-2</v>
      </c>
      <c r="N100" s="17">
        <v>3.1862750000000002E-2</v>
      </c>
      <c r="V100">
        <v>2.5</v>
      </c>
      <c r="W100" s="17">
        <v>8.1151829999999994E-2</v>
      </c>
      <c r="X100" s="17">
        <v>7.0454550000000005E-2</v>
      </c>
    </row>
    <row r="101" spans="1:24" x14ac:dyDescent="0.25">
      <c r="A101">
        <v>2.6</v>
      </c>
      <c r="B101" s="17">
        <v>2.4630539999999999E-2</v>
      </c>
      <c r="C101" s="17">
        <v>9.6153850000000006E-3</v>
      </c>
      <c r="L101">
        <v>2.6</v>
      </c>
      <c r="M101" s="17">
        <v>2.4213080000000001E-2</v>
      </c>
      <c r="N101" s="17">
        <v>1.9607840000000001E-2</v>
      </c>
      <c r="V101">
        <v>2.6</v>
      </c>
      <c r="W101" s="17">
        <v>7.0680629999999994E-2</v>
      </c>
      <c r="X101" s="17">
        <v>6.1363639999999997E-2</v>
      </c>
    </row>
    <row r="102" spans="1:24" x14ac:dyDescent="0.25">
      <c r="A102">
        <v>2.7</v>
      </c>
      <c r="B102" s="17">
        <v>2.4630539999999999E-2</v>
      </c>
      <c r="C102" s="17">
        <v>0</v>
      </c>
      <c r="L102">
        <v>2.7</v>
      </c>
      <c r="M102" s="17">
        <v>2.1791769999999999E-2</v>
      </c>
      <c r="N102" s="17">
        <v>1.7156859999999999E-2</v>
      </c>
      <c r="V102">
        <v>2.7</v>
      </c>
      <c r="W102" s="17">
        <v>6.2827229999999998E-2</v>
      </c>
      <c r="X102" s="17">
        <v>5.4545450000000002E-2</v>
      </c>
    </row>
    <row r="103" spans="1:24" x14ac:dyDescent="0.25">
      <c r="C103" t="s">
        <v>48</v>
      </c>
    </row>
    <row r="105" spans="1:24" x14ac:dyDescent="0.25">
      <c r="O105" s="22"/>
    </row>
    <row r="106" spans="1:24" x14ac:dyDescent="0.25">
      <c r="A106" s="13">
        <v>28.95</v>
      </c>
      <c r="B106" t="s">
        <v>38</v>
      </c>
      <c r="C106" s="13">
        <v>82.69</v>
      </c>
      <c r="D106" t="s">
        <v>27</v>
      </c>
      <c r="E106" s="14">
        <v>2.4741030000000001E-2</v>
      </c>
      <c r="F106" t="s">
        <v>26</v>
      </c>
      <c r="G106" s="14">
        <v>-2.7377030000000002E-3</v>
      </c>
      <c r="H106" t="s">
        <v>25</v>
      </c>
      <c r="I106" s="14">
        <v>-2.5696740000000001E-3</v>
      </c>
      <c r="J106" s="14"/>
      <c r="O106" s="22"/>
    </row>
    <row r="107" spans="1:24" x14ac:dyDescent="0.25">
      <c r="A107" s="13"/>
      <c r="C107" s="13"/>
      <c r="D107" t="s">
        <v>27</v>
      </c>
      <c r="E107" s="14">
        <v>4.7015519999999998E-2</v>
      </c>
      <c r="F107" t="s">
        <v>26</v>
      </c>
      <c r="G107" s="14">
        <v>-1.3456020000000001E-2</v>
      </c>
      <c r="H107" t="s">
        <v>25</v>
      </c>
      <c r="I107" s="14">
        <v>-1.1982329999999999E-2</v>
      </c>
      <c r="J107" s="14"/>
      <c r="O107" s="22"/>
    </row>
    <row r="108" spans="1:24" x14ac:dyDescent="0.25">
      <c r="A108" t="s">
        <v>27</v>
      </c>
      <c r="B108" s="14">
        <v>1.7005019999999999E-2</v>
      </c>
      <c r="C108" s="14">
        <v>1.6418019999999998E-2</v>
      </c>
      <c r="D108" s="14">
        <v>3.116909E-2</v>
      </c>
      <c r="E108" s="14">
        <v>3.1103889999999999E-2</v>
      </c>
      <c r="F108" s="21" t="s">
        <v>40</v>
      </c>
      <c r="G108">
        <v>372</v>
      </c>
      <c r="H108">
        <v>330</v>
      </c>
      <c r="I108">
        <v>308</v>
      </c>
    </row>
    <row r="109" spans="1:24" x14ac:dyDescent="0.25">
      <c r="A109" t="s">
        <v>26</v>
      </c>
      <c r="B109" s="14">
        <v>1.23182E-2</v>
      </c>
      <c r="C109" s="14">
        <v>-1.5632630000000002E-2</v>
      </c>
      <c r="D109" s="14">
        <v>2.467254E-2</v>
      </c>
      <c r="E109" s="14">
        <v>-3.3169700000000003E-2</v>
      </c>
      <c r="F109" s="21" t="s">
        <v>41</v>
      </c>
      <c r="G109">
        <v>451</v>
      </c>
      <c r="H109">
        <v>493</v>
      </c>
      <c r="I109">
        <v>515</v>
      </c>
    </row>
    <row r="110" spans="1:24" x14ac:dyDescent="0.25">
      <c r="A110" t="s">
        <v>25</v>
      </c>
      <c r="B110" s="14">
        <v>1.7569669999999999E-2</v>
      </c>
      <c r="C110" s="14">
        <v>-1.9136630000000002E-2</v>
      </c>
      <c r="D110" s="14">
        <v>3.3573270000000002E-2</v>
      </c>
      <c r="E110" s="14">
        <v>-3.9227239999999997E-2</v>
      </c>
      <c r="F110" t="s">
        <v>42</v>
      </c>
      <c r="G110" s="13">
        <f>G108/G109</f>
        <v>0.82483370288248337</v>
      </c>
      <c r="H110" s="13">
        <f>H108/H109</f>
        <v>0.66937119675456391</v>
      </c>
      <c r="I110" s="13">
        <f>I108/I109</f>
        <v>0.59805825242718447</v>
      </c>
    </row>
    <row r="111" spans="1:24" x14ac:dyDescent="0.25">
      <c r="A111" t="s">
        <v>31</v>
      </c>
      <c r="B111" t="s">
        <v>30</v>
      </c>
      <c r="C111" t="s">
        <v>33</v>
      </c>
      <c r="D111" t="s">
        <v>23</v>
      </c>
      <c r="E111" t="s">
        <v>24</v>
      </c>
      <c r="G111" s="17">
        <f>G108/SUM(G108:G109)</f>
        <v>0.45200486026731468</v>
      </c>
      <c r="H111" s="17">
        <f>H108/SUM(H108:H109)</f>
        <v>0.40097205346294046</v>
      </c>
      <c r="I111" s="17">
        <f>I108/SUM(I108:I109)</f>
        <v>0.37424058323207776</v>
      </c>
    </row>
    <row r="112" spans="1:24" x14ac:dyDescent="0.25">
      <c r="A112">
        <v>0.1</v>
      </c>
      <c r="B112" s="17">
        <v>0.97843670000000005</v>
      </c>
      <c r="C112" s="17">
        <v>0.96452329999999997</v>
      </c>
      <c r="D112" s="14"/>
      <c r="E112" s="14"/>
      <c r="G112" s="17">
        <f>G109/SUM(G108:G109)</f>
        <v>0.54799513973268532</v>
      </c>
      <c r="H112" s="17">
        <f>H109/SUM(H108:H109)</f>
        <v>0.59902794653705949</v>
      </c>
      <c r="I112" s="17">
        <f>I109/SUM(I108:I109)</f>
        <v>0.62575941676792224</v>
      </c>
    </row>
    <row r="113" spans="1:5" x14ac:dyDescent="0.25">
      <c r="A113">
        <v>0.2</v>
      </c>
      <c r="B113" s="17">
        <v>0.92452829999999997</v>
      </c>
      <c r="C113" s="17">
        <v>0.92904659999999994</v>
      </c>
      <c r="D113" s="14"/>
      <c r="E113" s="14"/>
    </row>
    <row r="114" spans="1:5" x14ac:dyDescent="0.25">
      <c r="A114">
        <v>0.3</v>
      </c>
      <c r="B114" s="17">
        <v>0.87331539999999996</v>
      </c>
      <c r="C114" s="17">
        <v>0.89800440000000004</v>
      </c>
      <c r="D114" s="14"/>
      <c r="E114" s="14"/>
    </row>
    <row r="115" spans="1:5" x14ac:dyDescent="0.25">
      <c r="A115">
        <v>0.4</v>
      </c>
      <c r="B115" s="17">
        <v>0.84366580000000002</v>
      </c>
      <c r="C115" s="17">
        <v>0.87583149999999999</v>
      </c>
      <c r="D115" s="14"/>
      <c r="E115" s="14"/>
    </row>
    <row r="116" spans="1:5" x14ac:dyDescent="0.25">
      <c r="A116">
        <v>0.5</v>
      </c>
      <c r="B116" s="17">
        <v>0.79514819999999997</v>
      </c>
      <c r="C116" s="17">
        <v>0.84922390000000003</v>
      </c>
      <c r="D116" s="14"/>
      <c r="E116" s="14"/>
    </row>
    <row r="117" spans="1:5" x14ac:dyDescent="0.25">
      <c r="A117">
        <v>0.6</v>
      </c>
      <c r="B117" s="17">
        <v>0.74932609999999999</v>
      </c>
      <c r="C117" s="17">
        <v>0.79600890000000002</v>
      </c>
      <c r="D117" s="14"/>
      <c r="E117" s="14"/>
    </row>
    <row r="118" spans="1:5" x14ac:dyDescent="0.25">
      <c r="A118">
        <v>0.7</v>
      </c>
      <c r="B118" s="17">
        <v>0.70889489999999999</v>
      </c>
      <c r="C118" s="17">
        <v>0.7760532</v>
      </c>
      <c r="D118" s="14"/>
      <c r="E118" s="14"/>
    </row>
    <row r="119" spans="1:5" x14ac:dyDescent="0.25">
      <c r="A119">
        <v>0.8</v>
      </c>
      <c r="B119" s="17">
        <v>0.65498650000000003</v>
      </c>
      <c r="C119" s="17">
        <v>0.73835919999999999</v>
      </c>
      <c r="D119" s="14"/>
      <c r="E119" s="14"/>
    </row>
    <row r="120" spans="1:5" x14ac:dyDescent="0.25">
      <c r="A120">
        <v>0.9</v>
      </c>
      <c r="B120" s="17">
        <v>0.61455530000000003</v>
      </c>
      <c r="C120" s="17">
        <v>0.69401330000000006</v>
      </c>
      <c r="D120" s="14"/>
      <c r="E120" s="14"/>
    </row>
    <row r="121" spans="1:5" x14ac:dyDescent="0.25">
      <c r="A121">
        <v>1</v>
      </c>
      <c r="B121" s="17">
        <v>0.56873320000000005</v>
      </c>
      <c r="C121" s="17">
        <v>0.66075390000000001</v>
      </c>
      <c r="D121" s="14"/>
      <c r="E121" s="14"/>
    </row>
    <row r="122" spans="1:5" x14ac:dyDescent="0.25">
      <c r="A122">
        <v>1.1000000000000001</v>
      </c>
      <c r="B122" s="17">
        <v>0.54177900000000001</v>
      </c>
      <c r="C122" s="17">
        <v>0.62971180000000004</v>
      </c>
      <c r="D122" s="14"/>
      <c r="E122" s="14"/>
    </row>
    <row r="123" spans="1:5" x14ac:dyDescent="0.25">
      <c r="A123">
        <v>1.2</v>
      </c>
      <c r="B123" s="17">
        <v>0.50943400000000005</v>
      </c>
      <c r="C123" s="17">
        <v>0.60532149999999996</v>
      </c>
      <c r="D123" s="14"/>
      <c r="E123" s="14"/>
    </row>
    <row r="124" spans="1:5" x14ac:dyDescent="0.25">
      <c r="A124">
        <v>1.3</v>
      </c>
      <c r="B124" s="17">
        <v>0.48787059999999999</v>
      </c>
      <c r="C124" s="17">
        <v>0.56984480000000004</v>
      </c>
      <c r="D124" s="14"/>
      <c r="E124" s="14"/>
    </row>
    <row r="125" spans="1:5" x14ac:dyDescent="0.25">
      <c r="A125">
        <v>1.4</v>
      </c>
      <c r="B125" s="17">
        <v>0.45822099999999999</v>
      </c>
      <c r="C125" s="17">
        <v>0.54323730000000003</v>
      </c>
      <c r="D125" s="14"/>
      <c r="E125" s="14"/>
    </row>
    <row r="126" spans="1:5" x14ac:dyDescent="0.25">
      <c r="A126">
        <v>1.5</v>
      </c>
      <c r="B126" s="17">
        <v>0.43126680000000001</v>
      </c>
      <c r="C126" s="17">
        <v>0.52549889999999999</v>
      </c>
      <c r="D126" s="14"/>
      <c r="E126" s="14"/>
    </row>
    <row r="127" spans="1:5" x14ac:dyDescent="0.25">
      <c r="A127">
        <v>1.6</v>
      </c>
      <c r="B127" s="17">
        <v>0.40161730000000001</v>
      </c>
      <c r="C127" s="17">
        <v>0.4922395</v>
      </c>
      <c r="D127" s="14"/>
      <c r="E127" s="14"/>
    </row>
    <row r="128" spans="1:5" x14ac:dyDescent="0.25">
      <c r="A128">
        <v>1.7</v>
      </c>
      <c r="B128" s="17">
        <v>0.37196770000000001</v>
      </c>
      <c r="C128" s="17">
        <v>0.45898</v>
      </c>
      <c r="D128" s="14"/>
      <c r="E128" s="14"/>
    </row>
    <row r="129" spans="1:5" x14ac:dyDescent="0.25">
      <c r="A129">
        <v>1.8</v>
      </c>
      <c r="B129" s="17">
        <v>0.34231810000000001</v>
      </c>
      <c r="C129" s="17">
        <v>0.43015520000000002</v>
      </c>
      <c r="D129" s="14"/>
      <c r="E129" s="14"/>
    </row>
    <row r="130" spans="1:5" x14ac:dyDescent="0.25">
      <c r="A130">
        <v>1.9</v>
      </c>
      <c r="B130" s="17">
        <v>0.32345010000000002</v>
      </c>
      <c r="C130" s="17">
        <v>0.3991131</v>
      </c>
      <c r="D130" s="14"/>
      <c r="E130" s="14"/>
    </row>
    <row r="131" spans="1:5" x14ac:dyDescent="0.25">
      <c r="A131">
        <v>2</v>
      </c>
      <c r="B131" s="17">
        <v>0.30458220000000003</v>
      </c>
      <c r="C131" s="17">
        <v>0.37250549999999999</v>
      </c>
      <c r="D131" s="14"/>
      <c r="E131" s="14"/>
    </row>
    <row r="132" spans="1:5" x14ac:dyDescent="0.25">
      <c r="A132">
        <v>2.1</v>
      </c>
      <c r="B132" s="17">
        <v>0.29380050000000002</v>
      </c>
      <c r="C132" s="17">
        <v>0.34811530000000002</v>
      </c>
    </row>
    <row r="133" spans="1:5" x14ac:dyDescent="0.25">
      <c r="A133">
        <v>2.2000000000000002</v>
      </c>
      <c r="B133" s="17">
        <v>0.27493260000000003</v>
      </c>
      <c r="C133" s="17">
        <v>0.32594240000000002</v>
      </c>
    </row>
    <row r="134" spans="1:5" x14ac:dyDescent="0.25">
      <c r="A134">
        <v>2.2999999999999998</v>
      </c>
      <c r="B134" s="17">
        <v>0.25606469999999998</v>
      </c>
      <c r="C134" s="17">
        <v>0.29711749999999998</v>
      </c>
    </row>
    <row r="135" spans="1:5" x14ac:dyDescent="0.25">
      <c r="A135">
        <v>2.4</v>
      </c>
      <c r="B135" s="17">
        <v>0.245283</v>
      </c>
      <c r="C135" s="17">
        <v>0.28159650000000003</v>
      </c>
    </row>
    <row r="136" spans="1:5" x14ac:dyDescent="0.25">
      <c r="A136">
        <v>2.5</v>
      </c>
      <c r="B136" s="17">
        <v>0.22911049999999999</v>
      </c>
      <c r="C136" s="17">
        <v>0.26385809999999998</v>
      </c>
    </row>
    <row r="137" spans="1:5" x14ac:dyDescent="0.25">
      <c r="A137">
        <v>2.6</v>
      </c>
      <c r="B137" s="17">
        <v>0.21293799999999999</v>
      </c>
      <c r="C137" s="17">
        <v>0.24390239999999999</v>
      </c>
    </row>
    <row r="138" spans="1:5" x14ac:dyDescent="0.25">
      <c r="A138">
        <v>2.7</v>
      </c>
      <c r="B138" s="17">
        <v>0.19676550000000001</v>
      </c>
      <c r="C138" s="17">
        <v>0.23725060000000001</v>
      </c>
    </row>
  </sheetData>
  <conditionalFormatting sqref="L7:L3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0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O3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B2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D2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2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B6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C6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:D6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:E6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2:M6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2:N6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:O6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2:P6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2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2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2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2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2:Y6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2:Z6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2:W6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6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:D9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6:E9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:B10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C10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C10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:O9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6:P9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6:M10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6:N10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6:N10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6:Y9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6:Z9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6:W10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6:X10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0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6:X10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2:D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:E1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2:B1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C1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C1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01"/>
  <sheetViews>
    <sheetView topLeftCell="A40" zoomScale="85" zoomScaleNormal="85" workbookViewId="0">
      <selection activeCell="F66" sqref="F66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6.28515625" bestFit="1" customWidth="1"/>
    <col min="4" max="4" width="10.140625" bestFit="1" customWidth="1"/>
    <col min="5" max="5" width="10" bestFit="1" customWidth="1"/>
    <col min="6" max="9" width="10" customWidth="1"/>
    <col min="10" max="10" width="10.5703125" customWidth="1"/>
    <col min="11" max="12" width="12" bestFit="1" customWidth="1"/>
    <col min="20" max="20" width="11" bestFit="1" customWidth="1"/>
    <col min="27" max="28" width="12" bestFit="1" customWidth="1"/>
  </cols>
  <sheetData>
    <row r="1" spans="1:31" x14ac:dyDescent="0.25">
      <c r="A1" t="s">
        <v>38</v>
      </c>
      <c r="B1">
        <v>15.12</v>
      </c>
      <c r="C1" t="s">
        <v>27</v>
      </c>
      <c r="D1" s="14">
        <v>5.249681E-3</v>
      </c>
      <c r="E1" t="s">
        <v>56</v>
      </c>
      <c r="F1" s="14">
        <v>1.006084E-3</v>
      </c>
      <c r="G1" t="s">
        <v>57</v>
      </c>
      <c r="H1" s="14">
        <v>1.2576009999999999E-3</v>
      </c>
      <c r="I1" s="14"/>
      <c r="Q1">
        <v>15.12</v>
      </c>
      <c r="R1" t="s">
        <v>39</v>
      </c>
      <c r="S1">
        <v>21.12</v>
      </c>
      <c r="T1" t="s">
        <v>27</v>
      </c>
      <c r="U1" s="14">
        <v>8.5299E-3</v>
      </c>
      <c r="V1" t="s">
        <v>26</v>
      </c>
      <c r="W1" s="14">
        <v>5.93813E-4</v>
      </c>
      <c r="X1" t="s">
        <v>25</v>
      </c>
      <c r="Y1" s="14">
        <v>6.7287480000000001E-4</v>
      </c>
    </row>
    <row r="2" spans="1:31" x14ac:dyDescent="0.25">
      <c r="C2" t="s">
        <v>27</v>
      </c>
      <c r="D2" s="14"/>
      <c r="E2" t="s">
        <v>56</v>
      </c>
      <c r="F2" s="14"/>
      <c r="G2" t="s">
        <v>57</v>
      </c>
      <c r="H2" s="14"/>
      <c r="I2" s="14"/>
      <c r="T2" t="s">
        <v>27</v>
      </c>
      <c r="U2" s="14"/>
      <c r="V2" t="s">
        <v>26</v>
      </c>
      <c r="W2" s="14"/>
      <c r="X2" t="s">
        <v>25</v>
      </c>
      <c r="Y2" s="14"/>
    </row>
    <row r="3" spans="1:31" x14ac:dyDescent="0.25">
      <c r="C3" t="s">
        <v>27</v>
      </c>
      <c r="D3" s="14">
        <v>8.9021970000000006E-3</v>
      </c>
      <c r="E3" t="s">
        <v>56</v>
      </c>
      <c r="F3" s="14">
        <v>3.1829580000000001E-3</v>
      </c>
      <c r="G3" t="s">
        <v>57</v>
      </c>
      <c r="H3" s="14">
        <v>3.4201969999999998E-3</v>
      </c>
      <c r="I3" s="14"/>
      <c r="T3" t="s">
        <v>27</v>
      </c>
      <c r="U3" s="14">
        <v>1.429561E-2</v>
      </c>
      <c r="V3" t="s">
        <v>56</v>
      </c>
      <c r="W3" s="14">
        <v>2.2002969999999999E-3</v>
      </c>
      <c r="X3" t="s">
        <v>57</v>
      </c>
      <c r="Y3" s="14">
        <v>1.993866E-3</v>
      </c>
      <c r="AB3" t="s">
        <v>61</v>
      </c>
      <c r="AC3" t="s">
        <v>60</v>
      </c>
      <c r="AD3" t="s">
        <v>55</v>
      </c>
      <c r="AE3" t="s">
        <v>64</v>
      </c>
    </row>
    <row r="4" spans="1:31" x14ac:dyDescent="0.25">
      <c r="C4" t="s">
        <v>27</v>
      </c>
      <c r="D4" s="14"/>
      <c r="E4" t="s">
        <v>56</v>
      </c>
      <c r="F4" s="14"/>
      <c r="G4" t="s">
        <v>57</v>
      </c>
      <c r="H4" s="14"/>
      <c r="I4" s="14"/>
      <c r="L4" t="s">
        <v>61</v>
      </c>
      <c r="M4" t="s">
        <v>60</v>
      </c>
      <c r="N4" t="s">
        <v>55</v>
      </c>
      <c r="O4" t="s">
        <v>63</v>
      </c>
      <c r="T4" t="s">
        <v>27</v>
      </c>
      <c r="U4" s="14"/>
      <c r="V4" t="s">
        <v>26</v>
      </c>
      <c r="W4" s="14"/>
      <c r="X4" t="s">
        <v>25</v>
      </c>
      <c r="Y4" s="14"/>
      <c r="AA4" s="14">
        <v>3.0933699999999998E-3</v>
      </c>
    </row>
    <row r="5" spans="1:31" x14ac:dyDescent="0.25">
      <c r="A5" t="s">
        <v>27</v>
      </c>
      <c r="B5" s="14">
        <v>3.7203900000000001E-3</v>
      </c>
      <c r="C5" s="14">
        <v>3.1008099999999999E-3</v>
      </c>
      <c r="D5" s="14"/>
      <c r="E5" s="14"/>
      <c r="F5">
        <v>6.2345609999999996E-3</v>
      </c>
      <c r="G5">
        <v>5.0675820000000002E-3</v>
      </c>
      <c r="H5" s="14"/>
      <c r="I5" s="14"/>
      <c r="K5" s="21" t="s">
        <v>40</v>
      </c>
      <c r="L5">
        <v>1645</v>
      </c>
      <c r="M5">
        <v>1739</v>
      </c>
      <c r="N5">
        <v>1820</v>
      </c>
      <c r="O5">
        <v>1900</v>
      </c>
      <c r="Q5" t="s">
        <v>27</v>
      </c>
      <c r="R5" s="14">
        <v>5.5886089999999996E-3</v>
      </c>
      <c r="S5" s="14">
        <v>5.350011E-3</v>
      </c>
      <c r="T5" s="14"/>
      <c r="U5" s="14"/>
      <c r="V5" s="14">
        <v>9.0823889999999997E-3</v>
      </c>
      <c r="W5" s="14">
        <v>8.1785269999999997E-3</v>
      </c>
      <c r="X5" s="14"/>
      <c r="Y5" s="14"/>
      <c r="AA5" s="21" t="s">
        <v>40</v>
      </c>
      <c r="AB5">
        <v>1458</v>
      </c>
      <c r="AC5">
        <v>1522</v>
      </c>
      <c r="AD5">
        <v>1547</v>
      </c>
      <c r="AE5">
        <v>1570</v>
      </c>
    </row>
    <row r="6" spans="1:31" x14ac:dyDescent="0.25">
      <c r="A6" t="s">
        <v>26</v>
      </c>
      <c r="B6" s="14">
        <v>3.5588149999999999E-3</v>
      </c>
      <c r="C6" s="14">
        <v>-2.6809730000000001E-3</v>
      </c>
      <c r="D6" s="14"/>
      <c r="E6" s="14"/>
      <c r="F6">
        <v>6.9659930000000002E-3</v>
      </c>
      <c r="G6">
        <v>-4.7677869999999999E-3</v>
      </c>
      <c r="H6" s="14"/>
      <c r="I6" s="14"/>
      <c r="K6" s="21" t="s">
        <v>41</v>
      </c>
      <c r="L6">
        <v>1097</v>
      </c>
      <c r="M6">
        <v>1001</v>
      </c>
      <c r="N6">
        <v>924</v>
      </c>
      <c r="O6">
        <v>844</v>
      </c>
      <c r="Q6" t="s">
        <v>26</v>
      </c>
      <c r="R6" s="14">
        <v>5.5050150000000003E-3</v>
      </c>
      <c r="S6" s="14">
        <v>-4.8949329999999997E-3</v>
      </c>
      <c r="T6" s="14"/>
      <c r="U6" s="14"/>
      <c r="V6" s="14">
        <v>9.7981619999999991E-3</v>
      </c>
      <c r="W6" s="14">
        <v>-9.6313049999999997E-3</v>
      </c>
      <c r="X6" s="14"/>
      <c r="Y6" s="14"/>
      <c r="AA6" s="21" t="s">
        <v>41</v>
      </c>
      <c r="AB6">
        <v>1284</v>
      </c>
      <c r="AC6">
        <v>1221</v>
      </c>
      <c r="AD6">
        <v>1195</v>
      </c>
      <c r="AE6">
        <v>1174</v>
      </c>
    </row>
    <row r="7" spans="1:31" x14ac:dyDescent="0.25">
      <c r="A7" t="s">
        <v>25</v>
      </c>
      <c r="B7" s="14">
        <v>4.4674420000000003E-3</v>
      </c>
      <c r="C7" s="14">
        <v>-3.5490220000000002E-3</v>
      </c>
      <c r="D7" s="14"/>
      <c r="E7" s="14"/>
      <c r="F7">
        <v>8.1887469999999997E-3</v>
      </c>
      <c r="G7">
        <v>-5.9775640000000003E-3</v>
      </c>
      <c r="H7" s="14"/>
      <c r="I7" s="14"/>
      <c r="K7" t="s">
        <v>42</v>
      </c>
      <c r="L7" s="13">
        <f>L5/L6</f>
        <v>1.4995442114858706</v>
      </c>
      <c r="M7" s="13">
        <f>M5/M6</f>
        <v>1.7372627372627372</v>
      </c>
      <c r="N7" s="13">
        <f>N5/N6</f>
        <v>1.9696969696969697</v>
      </c>
      <c r="O7" s="13">
        <f>O5/O6</f>
        <v>2.2511848341232228</v>
      </c>
      <c r="P7" s="13"/>
      <c r="Q7" t="s">
        <v>25</v>
      </c>
      <c r="R7" s="14">
        <v>6.815247E-3</v>
      </c>
      <c r="S7" s="14">
        <v>-6.2905039999999997E-3</v>
      </c>
      <c r="T7" s="14"/>
      <c r="U7" s="14"/>
      <c r="V7" s="14">
        <v>1.197499E-2</v>
      </c>
      <c r="W7" s="14">
        <v>-1.090405E-2</v>
      </c>
      <c r="X7" s="14"/>
      <c r="Y7" s="14"/>
      <c r="AA7" t="s">
        <v>42</v>
      </c>
      <c r="AB7" s="13">
        <f>AB5/AB6</f>
        <v>1.1355140186915889</v>
      </c>
      <c r="AC7" s="13">
        <f>AC5/AC6</f>
        <v>1.2465192465192465</v>
      </c>
      <c r="AD7" s="13">
        <f>AD5/AD6</f>
        <v>1.294560669456067</v>
      </c>
      <c r="AE7" s="13">
        <f>AE5/AE6</f>
        <v>1.3373083475298126</v>
      </c>
    </row>
    <row r="8" spans="1:31" x14ac:dyDescent="0.25">
      <c r="A8" t="s">
        <v>31</v>
      </c>
      <c r="B8" t="s">
        <v>30</v>
      </c>
      <c r="C8" t="s">
        <v>33</v>
      </c>
      <c r="D8" t="s">
        <v>23</v>
      </c>
      <c r="E8" t="s">
        <v>24</v>
      </c>
      <c r="F8" t="s">
        <v>58</v>
      </c>
      <c r="G8" t="s">
        <v>59</v>
      </c>
      <c r="H8" t="s">
        <v>65</v>
      </c>
      <c r="I8" t="s">
        <v>66</v>
      </c>
      <c r="J8" s="21" t="s">
        <v>53</v>
      </c>
      <c r="K8" t="s">
        <v>54</v>
      </c>
      <c r="L8" s="17">
        <f>L5/SUM(L5:L6)</f>
        <v>0.59992706053975198</v>
      </c>
      <c r="M8" s="17">
        <f>M5/SUM(M5:M6)</f>
        <v>0.63467153284671529</v>
      </c>
      <c r="N8" s="17">
        <f>N5/SUM(N5:N6)</f>
        <v>0.66326530612244894</v>
      </c>
      <c r="O8" s="17">
        <f>O5/SUM(O5:O6)</f>
        <v>0.69241982507288635</v>
      </c>
      <c r="Q8" t="s">
        <v>31</v>
      </c>
      <c r="R8" t="s">
        <v>30</v>
      </c>
      <c r="S8" t="s">
        <v>33</v>
      </c>
      <c r="T8" t="s">
        <v>23</v>
      </c>
      <c r="U8" t="s">
        <v>24</v>
      </c>
      <c r="V8" t="s">
        <v>58</v>
      </c>
      <c r="W8" t="s">
        <v>59</v>
      </c>
      <c r="X8" t="s">
        <v>65</v>
      </c>
      <c r="Y8" t="s">
        <v>66</v>
      </c>
      <c r="Z8" s="21" t="s">
        <v>53</v>
      </c>
      <c r="AA8" t="s">
        <v>54</v>
      </c>
      <c r="AB8" s="17">
        <f>AB5/SUM(AB5:AB6)</f>
        <v>0.53172866520787743</v>
      </c>
      <c r="AC8" s="17">
        <f>AC5/SUM(AC5:AC6)</f>
        <v>0.55486693401385345</v>
      </c>
      <c r="AD8" s="17">
        <f>AD5/SUM(AD5:AD6)</f>
        <v>0.56418672501823486</v>
      </c>
      <c r="AE8" s="17">
        <f>AE5/SUM(AE5:AE6)</f>
        <v>0.57215743440233235</v>
      </c>
    </row>
    <row r="9" spans="1:31" x14ac:dyDescent="0.25">
      <c r="A9">
        <v>0.1</v>
      </c>
      <c r="B9" s="17">
        <v>0.50054639999999995</v>
      </c>
      <c r="C9" s="17">
        <v>0.31730419999999998</v>
      </c>
      <c r="D9" s="14"/>
      <c r="E9" s="14"/>
      <c r="F9" s="14">
        <v>0.61202190000000001</v>
      </c>
      <c r="G9" s="14">
        <v>0.29763210000000001</v>
      </c>
      <c r="H9" s="14"/>
      <c r="I9" s="14"/>
      <c r="J9" s="25">
        <f t="shared" ref="J9:J60" si="0">($A9/100+1)*$M$66</f>
        <v>385.94555999999994</v>
      </c>
      <c r="K9" s="25">
        <f t="shared" ref="K9:K60" si="1">(1-$A9/100)*$M$66</f>
        <v>385.17444</v>
      </c>
      <c r="L9" s="17">
        <f>L6/SUM(L5:L6)</f>
        <v>0.40007293946024797</v>
      </c>
      <c r="M9" s="17">
        <f>M6/SUM(M5:M6)</f>
        <v>0.36532846715328465</v>
      </c>
      <c r="N9" s="17">
        <f>N6/SUM(N5:N6)</f>
        <v>0.33673469387755101</v>
      </c>
      <c r="O9" s="17">
        <f>O6/SUM(O5:O6)</f>
        <v>0.3075801749271137</v>
      </c>
      <c r="Q9">
        <v>0.1</v>
      </c>
      <c r="R9" s="17">
        <v>0.47468120000000003</v>
      </c>
      <c r="S9" s="17">
        <v>0.4131148</v>
      </c>
      <c r="T9" s="17"/>
      <c r="U9" s="14"/>
      <c r="V9" s="14">
        <v>0.54280510000000004</v>
      </c>
      <c r="W9" s="14">
        <v>0.40364299999999997</v>
      </c>
      <c r="X9" s="14"/>
      <c r="Y9" s="14"/>
      <c r="Z9" s="25">
        <f t="shared" ref="Z9:Z60" si="2">($A9/100+1)*$M$66</f>
        <v>385.94555999999994</v>
      </c>
      <c r="AA9" s="25">
        <f t="shared" ref="AA9:AA60" si="3">(1-$A9/100)*$M$66</f>
        <v>385.17444</v>
      </c>
      <c r="AB9" s="17">
        <f>AB6/SUM(AB5:AB6)</f>
        <v>0.46827133479212252</v>
      </c>
      <c r="AC9" s="17">
        <f>AC6/SUM(AC5:AC6)</f>
        <v>0.44513306598614655</v>
      </c>
      <c r="AD9" s="17">
        <f>AD6/SUM(AD5:AD6)</f>
        <v>0.43581327498176514</v>
      </c>
      <c r="AE9" s="17">
        <f>AE6/SUM(AE5:AE6)</f>
        <v>0.42784256559766765</v>
      </c>
    </row>
    <row r="10" spans="1:31" x14ac:dyDescent="0.25">
      <c r="A10">
        <v>0.2</v>
      </c>
      <c r="B10" s="17">
        <v>0.40801460000000001</v>
      </c>
      <c r="C10" s="17">
        <v>0.24116580000000001</v>
      </c>
      <c r="D10" s="14"/>
      <c r="E10" s="14"/>
      <c r="F10" s="14">
        <v>0.56065569999999998</v>
      </c>
      <c r="G10" s="14">
        <v>0.25500909999999999</v>
      </c>
      <c r="H10" s="14"/>
      <c r="I10" s="14"/>
      <c r="J10" s="25">
        <f t="shared" si="0"/>
        <v>386.33112</v>
      </c>
      <c r="K10" s="25">
        <f t="shared" si="1"/>
        <v>384.78888000000001</v>
      </c>
      <c r="Q10">
        <v>0.2</v>
      </c>
      <c r="R10" s="17">
        <v>0.42222219999999999</v>
      </c>
      <c r="S10" s="17">
        <v>0.35664849999999998</v>
      </c>
      <c r="T10" s="17"/>
      <c r="U10" s="14"/>
      <c r="V10" s="14">
        <v>0.50491799999999998</v>
      </c>
      <c r="W10" s="14">
        <v>0.37996360000000001</v>
      </c>
      <c r="X10" s="14"/>
      <c r="Y10" s="14"/>
      <c r="Z10" s="25">
        <f t="shared" si="2"/>
        <v>386.33112</v>
      </c>
      <c r="AA10" s="25">
        <f t="shared" si="3"/>
        <v>384.78888000000001</v>
      </c>
    </row>
    <row r="11" spans="1:31" x14ac:dyDescent="0.25">
      <c r="A11">
        <v>0.3</v>
      </c>
      <c r="B11" s="17">
        <v>0.33187610000000001</v>
      </c>
      <c r="C11" s="17">
        <v>0.18032790000000001</v>
      </c>
      <c r="D11" s="14"/>
      <c r="E11" s="14"/>
      <c r="F11" s="14">
        <v>0.51038249999999996</v>
      </c>
      <c r="G11" s="14">
        <v>0.2229508</v>
      </c>
      <c r="H11" s="14"/>
      <c r="I11" s="14"/>
      <c r="J11" s="25">
        <f t="shared" si="0"/>
        <v>386.71667999999994</v>
      </c>
      <c r="K11" s="25">
        <f t="shared" si="1"/>
        <v>384.40332000000001</v>
      </c>
      <c r="Q11">
        <v>0.3</v>
      </c>
      <c r="R11" s="17">
        <v>0.36903459999999999</v>
      </c>
      <c r="S11" s="17">
        <v>0.30637520000000001</v>
      </c>
      <c r="T11" s="17"/>
      <c r="U11" s="14"/>
      <c r="V11" s="14">
        <v>0.47941709999999998</v>
      </c>
      <c r="W11" s="14">
        <v>0.35701280000000002</v>
      </c>
      <c r="X11" s="14"/>
      <c r="Y11" s="14"/>
      <c r="Z11" s="25">
        <f t="shared" si="2"/>
        <v>386.71667999999994</v>
      </c>
      <c r="AA11" s="25">
        <f t="shared" si="3"/>
        <v>384.40332000000001</v>
      </c>
    </row>
    <row r="12" spans="1:31" x14ac:dyDescent="0.25">
      <c r="A12">
        <v>0.4</v>
      </c>
      <c r="B12" s="17">
        <v>0.2750455</v>
      </c>
      <c r="C12" s="17">
        <v>0.13151180000000001</v>
      </c>
      <c r="D12" s="14"/>
      <c r="E12" s="14"/>
      <c r="F12" s="14">
        <v>0.46739530000000001</v>
      </c>
      <c r="G12" s="14">
        <v>0.1901639</v>
      </c>
      <c r="H12" s="14"/>
      <c r="I12" s="14"/>
      <c r="J12" s="25">
        <f t="shared" si="0"/>
        <v>387.10223999999999</v>
      </c>
      <c r="K12" s="25">
        <f t="shared" si="1"/>
        <v>384.01776000000001</v>
      </c>
      <c r="Q12">
        <v>0.4</v>
      </c>
      <c r="R12" s="17">
        <v>0.32131150000000003</v>
      </c>
      <c r="S12" s="17">
        <v>0.2648452</v>
      </c>
      <c r="T12" s="17"/>
      <c r="U12" s="14"/>
      <c r="V12" s="14">
        <v>0.45100180000000001</v>
      </c>
      <c r="W12" s="14">
        <v>0.33369759999999998</v>
      </c>
      <c r="X12" s="14"/>
      <c r="Y12" s="14"/>
      <c r="Z12" s="25">
        <f t="shared" si="2"/>
        <v>387.10223999999999</v>
      </c>
      <c r="AA12" s="25">
        <f t="shared" si="3"/>
        <v>384.01776000000001</v>
      </c>
    </row>
    <row r="13" spans="1:31" x14ac:dyDescent="0.25">
      <c r="A13">
        <v>0.5</v>
      </c>
      <c r="B13" s="17">
        <v>0.2134791</v>
      </c>
      <c r="C13" s="17">
        <v>9.9453550000000002E-2</v>
      </c>
      <c r="D13" s="14"/>
      <c r="E13" s="14"/>
      <c r="F13" s="14">
        <v>0.4284153</v>
      </c>
      <c r="G13" s="14">
        <v>0.16102</v>
      </c>
      <c r="H13" s="14"/>
      <c r="I13" s="14"/>
      <c r="J13" s="25">
        <f t="shared" si="0"/>
        <v>387.48779999999994</v>
      </c>
      <c r="K13" s="25">
        <f t="shared" si="1"/>
        <v>383.63220000000001</v>
      </c>
      <c r="Q13">
        <v>0.5</v>
      </c>
      <c r="R13" s="17">
        <v>0.2826958</v>
      </c>
      <c r="S13" s="17">
        <v>0.23169400000000001</v>
      </c>
      <c r="T13" s="17"/>
      <c r="U13" s="14"/>
      <c r="V13" s="14">
        <v>0.42513659999999998</v>
      </c>
      <c r="W13" s="14">
        <v>0.30965389999999998</v>
      </c>
      <c r="X13" s="14"/>
      <c r="Y13" s="14"/>
      <c r="Z13" s="25">
        <f t="shared" si="2"/>
        <v>387.48779999999994</v>
      </c>
      <c r="AA13" s="25">
        <f t="shared" si="3"/>
        <v>383.63220000000001</v>
      </c>
    </row>
    <row r="14" spans="1:31" x14ac:dyDescent="0.25">
      <c r="A14">
        <v>0.6</v>
      </c>
      <c r="B14" s="17">
        <v>0.16939889999999999</v>
      </c>
      <c r="C14" s="17">
        <v>7.7959929999999997E-2</v>
      </c>
      <c r="D14" s="14"/>
      <c r="E14" s="14"/>
      <c r="F14" s="14">
        <v>0.38069219999999998</v>
      </c>
      <c r="G14" s="14">
        <v>0.1318761</v>
      </c>
      <c r="H14" s="14"/>
      <c r="I14" s="14"/>
      <c r="J14" s="25">
        <f t="shared" si="0"/>
        <v>387.87335999999999</v>
      </c>
      <c r="K14" s="25">
        <f t="shared" si="1"/>
        <v>383.24664000000001</v>
      </c>
      <c r="Q14">
        <v>0.6</v>
      </c>
      <c r="R14" s="17">
        <v>0.24881600000000001</v>
      </c>
      <c r="S14" s="17">
        <v>0.2003643</v>
      </c>
      <c r="T14" s="17"/>
      <c r="U14" s="14"/>
      <c r="V14" s="14">
        <v>0.39817849999999999</v>
      </c>
      <c r="W14" s="14">
        <v>0.29180329999999999</v>
      </c>
      <c r="X14" s="14"/>
      <c r="Y14" s="14"/>
      <c r="Z14" s="25">
        <f t="shared" si="2"/>
        <v>387.87335999999999</v>
      </c>
      <c r="AA14" s="25">
        <f t="shared" si="3"/>
        <v>383.24664000000001</v>
      </c>
    </row>
    <row r="15" spans="1:31" x14ac:dyDescent="0.25">
      <c r="A15">
        <v>0.7</v>
      </c>
      <c r="B15" s="17">
        <v>0.13224040000000001</v>
      </c>
      <c r="C15" s="17">
        <v>5.8287800000000001E-2</v>
      </c>
      <c r="D15" s="14"/>
      <c r="E15" s="14"/>
      <c r="F15" s="14">
        <v>0.32786890000000002</v>
      </c>
      <c r="G15" s="14">
        <v>0.10819670000000001</v>
      </c>
      <c r="H15" s="14"/>
      <c r="I15" s="14"/>
      <c r="J15" s="25">
        <f t="shared" si="0"/>
        <v>388.25891999999999</v>
      </c>
      <c r="K15" s="25">
        <f t="shared" si="1"/>
        <v>382.86108000000002</v>
      </c>
      <c r="Q15">
        <v>0.7</v>
      </c>
      <c r="R15" s="17">
        <v>0.2160291</v>
      </c>
      <c r="S15" s="17">
        <v>0.1686703</v>
      </c>
      <c r="T15" s="17"/>
      <c r="U15" s="14"/>
      <c r="V15" s="14">
        <v>0.3624772</v>
      </c>
      <c r="W15" s="14">
        <v>0.2673953</v>
      </c>
      <c r="X15" s="14"/>
      <c r="Y15" s="14"/>
      <c r="Z15" s="25">
        <f t="shared" si="2"/>
        <v>388.25891999999999</v>
      </c>
      <c r="AA15" s="25">
        <f t="shared" si="3"/>
        <v>382.86108000000002</v>
      </c>
    </row>
    <row r="16" spans="1:31" x14ac:dyDescent="0.25">
      <c r="A16">
        <v>0.8</v>
      </c>
      <c r="B16" s="17">
        <v>0.10091070000000001</v>
      </c>
      <c r="C16" s="17">
        <v>4.0072860000000002E-2</v>
      </c>
      <c r="D16" s="14"/>
      <c r="E16" s="14"/>
      <c r="F16" s="14">
        <v>0.28925319999999999</v>
      </c>
      <c r="G16" s="14">
        <v>8.9981790000000006E-2</v>
      </c>
      <c r="H16" s="14"/>
      <c r="I16" s="14"/>
      <c r="J16" s="25">
        <f t="shared" si="0"/>
        <v>388.64447999999999</v>
      </c>
      <c r="K16" s="25">
        <f t="shared" si="1"/>
        <v>382.47552000000002</v>
      </c>
      <c r="Q16">
        <v>0.8</v>
      </c>
      <c r="R16" s="17">
        <v>0.18652089999999999</v>
      </c>
      <c r="S16" s="17">
        <v>0.14462659999999999</v>
      </c>
      <c r="T16" s="17"/>
      <c r="U16" s="14"/>
      <c r="V16" s="14">
        <v>0.33479049999999999</v>
      </c>
      <c r="W16" s="14">
        <v>0.24918029999999999</v>
      </c>
      <c r="X16" s="14"/>
      <c r="Y16" s="14"/>
      <c r="Z16" s="25">
        <f t="shared" si="2"/>
        <v>388.64447999999999</v>
      </c>
      <c r="AA16" s="25">
        <f t="shared" si="3"/>
        <v>382.47552000000002</v>
      </c>
    </row>
    <row r="17" spans="1:27" x14ac:dyDescent="0.25">
      <c r="A17">
        <v>0.9</v>
      </c>
      <c r="B17" s="17">
        <v>7.3588340000000002E-2</v>
      </c>
      <c r="C17" s="17">
        <v>2.695811E-2</v>
      </c>
      <c r="D17" s="14"/>
      <c r="E17" s="14"/>
      <c r="F17" s="14">
        <v>0.2510018</v>
      </c>
      <c r="G17" s="14">
        <v>7.395264E-2</v>
      </c>
      <c r="H17" s="14"/>
      <c r="I17" s="14"/>
      <c r="J17" s="25">
        <f t="shared" si="0"/>
        <v>389.03003999999999</v>
      </c>
      <c r="K17" s="25">
        <f t="shared" si="1"/>
        <v>382.08996000000002</v>
      </c>
      <c r="Q17">
        <v>0.9</v>
      </c>
      <c r="R17" s="17">
        <v>0.15701280000000001</v>
      </c>
      <c r="S17" s="17">
        <v>0.1198543</v>
      </c>
      <c r="T17" s="17"/>
      <c r="U17" s="14"/>
      <c r="V17" s="14">
        <v>0.30856099999999997</v>
      </c>
      <c r="W17" s="14">
        <v>0.23096539999999999</v>
      </c>
      <c r="X17" s="14"/>
      <c r="Y17" s="14"/>
      <c r="Z17" s="25">
        <f t="shared" si="2"/>
        <v>389.03003999999999</v>
      </c>
      <c r="AA17" s="25">
        <f t="shared" si="3"/>
        <v>382.08996000000002</v>
      </c>
    </row>
    <row r="18" spans="1:27" x14ac:dyDescent="0.25">
      <c r="A18">
        <v>1</v>
      </c>
      <c r="B18" s="17">
        <v>5.282332E-2</v>
      </c>
      <c r="C18" s="17">
        <v>1.894353E-2</v>
      </c>
      <c r="D18" s="14"/>
      <c r="E18" s="14"/>
      <c r="F18" s="14">
        <v>0.21639340000000001</v>
      </c>
      <c r="G18" s="14">
        <v>6.1930779999999998E-2</v>
      </c>
      <c r="H18" s="14"/>
      <c r="I18" s="14"/>
      <c r="J18" s="25">
        <f t="shared" si="0"/>
        <v>389.41559999999998</v>
      </c>
      <c r="K18" s="25">
        <f t="shared" si="1"/>
        <v>381.70440000000002</v>
      </c>
      <c r="Q18">
        <v>1</v>
      </c>
      <c r="R18" s="17">
        <v>0.1336976</v>
      </c>
      <c r="S18" s="17">
        <v>9.7996360000000005E-2</v>
      </c>
      <c r="T18" s="17"/>
      <c r="U18" s="14"/>
      <c r="V18" s="14">
        <v>0.27613840000000001</v>
      </c>
      <c r="W18" s="14">
        <v>0.21092900000000001</v>
      </c>
      <c r="X18" s="14"/>
      <c r="Y18" s="14"/>
      <c r="Z18" s="25">
        <f t="shared" si="2"/>
        <v>389.41559999999998</v>
      </c>
      <c r="AA18" s="25">
        <f t="shared" si="3"/>
        <v>381.70440000000002</v>
      </c>
    </row>
    <row r="19" spans="1:27" x14ac:dyDescent="0.25">
      <c r="A19">
        <v>1.1000000000000001</v>
      </c>
      <c r="B19" s="17">
        <v>3.8615660000000003E-2</v>
      </c>
      <c r="C19" s="17">
        <v>1.275046E-2</v>
      </c>
      <c r="D19" s="14"/>
      <c r="E19" s="14"/>
      <c r="F19" s="14">
        <v>0.18287800000000001</v>
      </c>
      <c r="G19" s="14">
        <v>4.9544629999999999E-2</v>
      </c>
      <c r="H19" s="14"/>
      <c r="I19" s="14"/>
      <c r="J19" s="25">
        <f t="shared" si="0"/>
        <v>389.80115999999998</v>
      </c>
      <c r="K19" s="25">
        <f t="shared" si="1"/>
        <v>381.31884000000002</v>
      </c>
      <c r="Q19">
        <v>1.1000000000000001</v>
      </c>
      <c r="R19" s="17">
        <v>0.1092896</v>
      </c>
      <c r="S19" s="17">
        <v>8.1238619999999998E-2</v>
      </c>
      <c r="T19" s="17"/>
      <c r="U19" s="14"/>
      <c r="V19" s="14">
        <v>0.25573770000000001</v>
      </c>
      <c r="W19" s="14">
        <v>0.18834239999999999</v>
      </c>
      <c r="X19" s="14"/>
      <c r="Y19" s="14"/>
      <c r="Z19" s="25">
        <f t="shared" si="2"/>
        <v>389.80115999999998</v>
      </c>
      <c r="AA19" s="25">
        <f t="shared" si="3"/>
        <v>381.31884000000002</v>
      </c>
    </row>
    <row r="20" spans="1:27" x14ac:dyDescent="0.25">
      <c r="A20">
        <v>1.2</v>
      </c>
      <c r="B20" s="17">
        <v>2.8415300000000001E-2</v>
      </c>
      <c r="C20" s="17">
        <v>7.650273E-3</v>
      </c>
      <c r="D20" s="14"/>
      <c r="E20" s="14"/>
      <c r="F20" s="14">
        <v>0.15373410000000001</v>
      </c>
      <c r="G20" s="14">
        <v>3.9708559999999997E-2</v>
      </c>
      <c r="H20" s="14"/>
      <c r="I20" s="14"/>
      <c r="J20" s="25">
        <f t="shared" si="0"/>
        <v>390.18671999999998</v>
      </c>
      <c r="K20" s="25">
        <f t="shared" si="1"/>
        <v>380.93328000000002</v>
      </c>
      <c r="Q20">
        <v>1.2</v>
      </c>
      <c r="R20" s="17">
        <v>8.9253189999999996E-2</v>
      </c>
      <c r="S20" s="17">
        <v>6.958106E-2</v>
      </c>
      <c r="T20" s="17"/>
      <c r="U20" s="14"/>
      <c r="V20" s="14">
        <v>0.23169400000000001</v>
      </c>
      <c r="W20" s="14">
        <v>0.1686703</v>
      </c>
      <c r="X20" s="14"/>
      <c r="Y20" s="14"/>
      <c r="Z20" s="25">
        <f t="shared" si="2"/>
        <v>390.18671999999998</v>
      </c>
      <c r="AA20" s="25">
        <f t="shared" si="3"/>
        <v>380.93328000000002</v>
      </c>
    </row>
    <row r="21" spans="1:27" x14ac:dyDescent="0.25">
      <c r="A21">
        <v>1.3</v>
      </c>
      <c r="B21" s="17">
        <v>1.9672129999999999E-2</v>
      </c>
      <c r="C21" s="17">
        <v>5.100182E-3</v>
      </c>
      <c r="D21" s="14"/>
      <c r="E21" s="14"/>
      <c r="F21" s="14">
        <v>0.12641169999999999</v>
      </c>
      <c r="G21" s="14">
        <v>3.1693989999999998E-2</v>
      </c>
      <c r="H21" s="14"/>
      <c r="I21" s="14"/>
      <c r="J21" s="25">
        <f t="shared" si="0"/>
        <v>390.57227999999998</v>
      </c>
      <c r="K21" s="25">
        <f t="shared" si="1"/>
        <v>380.54771999999997</v>
      </c>
      <c r="Q21">
        <v>1.3</v>
      </c>
      <c r="R21" s="17">
        <v>7.395264E-2</v>
      </c>
      <c r="S21" s="17">
        <v>5.938069E-2</v>
      </c>
      <c r="T21" s="17"/>
      <c r="U21" s="14"/>
      <c r="V21" s="14">
        <v>0.21384339999999999</v>
      </c>
      <c r="W21" s="14">
        <v>0.15227689999999999</v>
      </c>
      <c r="X21" s="14"/>
      <c r="Y21" s="14"/>
      <c r="Z21" s="25">
        <f t="shared" si="2"/>
        <v>390.57227999999998</v>
      </c>
      <c r="AA21" s="25">
        <f t="shared" si="3"/>
        <v>380.54771999999997</v>
      </c>
    </row>
    <row r="22" spans="1:27" x14ac:dyDescent="0.25">
      <c r="A22">
        <v>1.4</v>
      </c>
      <c r="B22" s="17">
        <v>1.275046E-2</v>
      </c>
      <c r="C22" s="17">
        <v>2.9143900000000002E-3</v>
      </c>
      <c r="D22" s="14"/>
      <c r="E22" s="14"/>
      <c r="F22" s="14">
        <v>0.1045537</v>
      </c>
      <c r="G22" s="14">
        <v>2.6593809999999999E-2</v>
      </c>
      <c r="H22" s="14"/>
      <c r="I22" s="14"/>
      <c r="J22" s="25">
        <f t="shared" si="0"/>
        <v>390.95784000000003</v>
      </c>
      <c r="K22" s="25">
        <f t="shared" si="1"/>
        <v>380.16215999999997</v>
      </c>
      <c r="Q22">
        <v>1.4</v>
      </c>
      <c r="R22" s="17">
        <v>5.9744989999999998E-2</v>
      </c>
      <c r="S22" s="17">
        <v>4.6994540000000001E-2</v>
      </c>
      <c r="T22" s="17"/>
      <c r="U22" s="14"/>
      <c r="V22" s="14">
        <v>0.1919854</v>
      </c>
      <c r="W22" s="14">
        <v>0.1355191</v>
      </c>
      <c r="X22" s="14"/>
      <c r="Y22" s="14"/>
      <c r="Z22" s="25">
        <f t="shared" si="2"/>
        <v>390.95784000000003</v>
      </c>
      <c r="AA22" s="25">
        <f t="shared" si="3"/>
        <v>380.16215999999997</v>
      </c>
    </row>
    <row r="23" spans="1:27" x14ac:dyDescent="0.25">
      <c r="A23">
        <v>1.5</v>
      </c>
      <c r="B23" s="17">
        <v>9.4717670000000007E-3</v>
      </c>
      <c r="C23" s="17">
        <v>1.4571950000000001E-3</v>
      </c>
      <c r="D23" s="14"/>
      <c r="E23" s="14"/>
      <c r="F23" s="14">
        <v>8.8888889999999998E-2</v>
      </c>
      <c r="G23" s="14">
        <v>2.1857919999999999E-2</v>
      </c>
      <c r="H23" s="14"/>
      <c r="I23" s="14"/>
      <c r="J23" s="25">
        <f t="shared" si="0"/>
        <v>391.34339999999997</v>
      </c>
      <c r="K23" s="25">
        <f t="shared" si="1"/>
        <v>379.77659999999997</v>
      </c>
      <c r="Q23">
        <v>1.5</v>
      </c>
      <c r="R23" s="17">
        <v>4.5173039999999998E-2</v>
      </c>
      <c r="S23" s="17">
        <v>3.6429870000000003E-2</v>
      </c>
      <c r="T23" s="17"/>
      <c r="U23" s="14"/>
      <c r="V23" s="14">
        <v>0.1704918</v>
      </c>
      <c r="W23" s="14">
        <v>0.1173042</v>
      </c>
      <c r="X23" s="14"/>
      <c r="Y23" s="14"/>
      <c r="Z23" s="25">
        <f t="shared" si="2"/>
        <v>391.34339999999997</v>
      </c>
      <c r="AA23" s="25">
        <f t="shared" si="3"/>
        <v>379.77659999999997</v>
      </c>
    </row>
    <row r="24" spans="1:27" x14ac:dyDescent="0.25">
      <c r="A24">
        <v>1.6</v>
      </c>
      <c r="B24" s="17">
        <v>7.650273E-3</v>
      </c>
      <c r="C24" s="17">
        <v>7.2859740000000002E-4</v>
      </c>
      <c r="D24" s="14"/>
      <c r="E24" s="14"/>
      <c r="F24" s="14">
        <v>7.7231330000000001E-2</v>
      </c>
      <c r="G24" s="14">
        <v>1.7122040000000002E-2</v>
      </c>
      <c r="H24" s="14"/>
      <c r="I24" s="14"/>
      <c r="J24" s="25">
        <f t="shared" si="0"/>
        <v>391.72896000000003</v>
      </c>
      <c r="K24" s="25">
        <f t="shared" si="1"/>
        <v>379.39103999999998</v>
      </c>
      <c r="Q24">
        <v>1.6</v>
      </c>
      <c r="R24" s="17">
        <v>3.7158469999999999E-2</v>
      </c>
      <c r="S24" s="17">
        <v>2.6593809999999999E-2</v>
      </c>
      <c r="T24" s="17"/>
      <c r="U24" s="14"/>
      <c r="V24" s="14">
        <v>0.15555559999999999</v>
      </c>
      <c r="W24" s="14">
        <v>0.1023679</v>
      </c>
      <c r="X24" s="14"/>
      <c r="Y24" s="14"/>
      <c r="Z24" s="25">
        <f t="shared" si="2"/>
        <v>391.72896000000003</v>
      </c>
      <c r="AA24" s="25">
        <f t="shared" si="3"/>
        <v>379.39103999999998</v>
      </c>
    </row>
    <row r="25" spans="1:27" x14ac:dyDescent="0.25">
      <c r="A25">
        <v>1.7</v>
      </c>
      <c r="B25" s="17">
        <v>4.0072859999999997E-3</v>
      </c>
      <c r="C25" s="17">
        <v>7.2859740000000002E-4</v>
      </c>
      <c r="D25" s="14"/>
      <c r="E25" s="14"/>
      <c r="F25" s="14">
        <v>6.156648E-2</v>
      </c>
      <c r="G25" s="14">
        <v>1.457195E-2</v>
      </c>
      <c r="H25" s="14"/>
      <c r="I25" s="14"/>
      <c r="J25" s="25">
        <f t="shared" si="0"/>
        <v>392.11451999999997</v>
      </c>
      <c r="K25" s="25">
        <f t="shared" si="1"/>
        <v>379.00547999999998</v>
      </c>
      <c r="Q25">
        <v>1.7</v>
      </c>
      <c r="R25" s="17">
        <v>2.98725E-2</v>
      </c>
      <c r="S25" s="17">
        <v>2.0400729999999999E-2</v>
      </c>
      <c r="T25" s="17"/>
      <c r="U25" s="14"/>
      <c r="V25" s="14">
        <v>0.1362477</v>
      </c>
      <c r="W25" s="14">
        <v>9.1438980000000003E-2</v>
      </c>
      <c r="X25" s="14"/>
      <c r="Y25" s="14"/>
      <c r="Z25" s="25">
        <f t="shared" si="2"/>
        <v>392.11451999999997</v>
      </c>
      <c r="AA25" s="25">
        <f t="shared" si="3"/>
        <v>379.00547999999998</v>
      </c>
    </row>
    <row r="26" spans="1:27" x14ac:dyDescent="0.25">
      <c r="A26">
        <v>1.8</v>
      </c>
      <c r="B26" s="17">
        <v>2.1857920000000002E-3</v>
      </c>
      <c r="C26" s="17">
        <v>7.2859740000000002E-4</v>
      </c>
      <c r="D26" s="14"/>
      <c r="E26" s="14"/>
      <c r="F26" s="14">
        <v>4.9180330000000001E-2</v>
      </c>
      <c r="G26" s="14">
        <v>1.1657560000000001E-2</v>
      </c>
      <c r="H26" s="14"/>
      <c r="I26" s="14"/>
      <c r="J26" s="25">
        <f t="shared" si="0"/>
        <v>392.50008000000003</v>
      </c>
      <c r="K26" s="25">
        <f t="shared" si="1"/>
        <v>378.61991999999998</v>
      </c>
      <c r="Q26">
        <v>1.8</v>
      </c>
      <c r="R26" s="17">
        <v>2.3315120000000002E-2</v>
      </c>
      <c r="S26" s="17">
        <v>1.6029140000000001E-2</v>
      </c>
      <c r="T26" s="17"/>
      <c r="U26" s="14"/>
      <c r="V26" s="14">
        <v>0.1238616</v>
      </c>
      <c r="W26" s="14">
        <v>8.1602910000000001E-2</v>
      </c>
      <c r="X26" s="14"/>
      <c r="Y26" s="14"/>
      <c r="Z26" s="25">
        <f t="shared" si="2"/>
        <v>392.50008000000003</v>
      </c>
      <c r="AA26" s="25">
        <f t="shared" si="3"/>
        <v>378.61991999999998</v>
      </c>
    </row>
    <row r="27" spans="1:27" x14ac:dyDescent="0.25">
      <c r="A27">
        <v>1.9</v>
      </c>
      <c r="B27" s="17">
        <v>1.4571950000000001E-3</v>
      </c>
      <c r="C27" s="17">
        <v>3.6429870000000001E-4</v>
      </c>
      <c r="D27" s="14"/>
      <c r="E27" s="14"/>
      <c r="F27" s="14">
        <v>4.1165760000000003E-2</v>
      </c>
      <c r="G27" s="14">
        <v>9.4717670000000007E-3</v>
      </c>
      <c r="H27" s="14"/>
      <c r="I27" s="14"/>
      <c r="J27" s="25">
        <f t="shared" si="0"/>
        <v>392.88563999999997</v>
      </c>
      <c r="K27" s="25">
        <f t="shared" si="1"/>
        <v>378.23435999999998</v>
      </c>
      <c r="Q27">
        <v>1.9</v>
      </c>
      <c r="R27" s="17">
        <v>1.9672129999999999E-2</v>
      </c>
      <c r="S27" s="17">
        <v>1.275046E-2</v>
      </c>
      <c r="T27" s="17"/>
      <c r="U27" s="14"/>
      <c r="V27" s="14">
        <v>0.1114754</v>
      </c>
      <c r="W27" s="14">
        <v>6.8123859999999994E-2</v>
      </c>
      <c r="X27" s="14"/>
      <c r="Y27" s="14"/>
      <c r="Z27" s="25">
        <f t="shared" si="2"/>
        <v>392.88563999999997</v>
      </c>
      <c r="AA27" s="25">
        <f t="shared" si="3"/>
        <v>378.23435999999998</v>
      </c>
    </row>
    <row r="28" spans="1:27" x14ac:dyDescent="0.25">
      <c r="A28">
        <v>2</v>
      </c>
      <c r="B28" s="17">
        <v>1.0928960000000001E-3</v>
      </c>
      <c r="C28" s="17"/>
      <c r="D28" s="14"/>
      <c r="E28" s="14"/>
      <c r="F28" s="14">
        <v>3.4972679999999999E-2</v>
      </c>
      <c r="G28" s="14">
        <v>8.7431690000000003E-3</v>
      </c>
      <c r="H28" s="14"/>
      <c r="I28" s="14"/>
      <c r="J28" s="25">
        <f t="shared" si="0"/>
        <v>393.27120000000002</v>
      </c>
      <c r="K28" s="25">
        <f t="shared" si="1"/>
        <v>377.84879999999998</v>
      </c>
      <c r="Q28">
        <v>2</v>
      </c>
      <c r="R28" s="17">
        <v>1.420765E-2</v>
      </c>
      <c r="S28" s="17">
        <v>1.056466E-2</v>
      </c>
      <c r="T28" s="17"/>
      <c r="U28" s="14"/>
      <c r="V28" s="14">
        <v>0.101275</v>
      </c>
      <c r="W28" s="14">
        <v>5.9744989999999998E-2</v>
      </c>
      <c r="X28" s="14"/>
      <c r="Y28" s="14"/>
      <c r="Z28" s="25">
        <f t="shared" si="2"/>
        <v>393.27120000000002</v>
      </c>
      <c r="AA28" s="25">
        <f t="shared" si="3"/>
        <v>377.84879999999998</v>
      </c>
    </row>
    <row r="29" spans="1:27" x14ac:dyDescent="0.25">
      <c r="A29">
        <v>2.1</v>
      </c>
      <c r="B29" s="17">
        <v>7.2859740000000002E-4</v>
      </c>
      <c r="C29" s="17"/>
      <c r="D29" s="14"/>
      <c r="E29" s="14"/>
      <c r="F29" s="14">
        <v>2.8779599999999999E-2</v>
      </c>
      <c r="G29" s="14">
        <v>6.5573769999999997E-3</v>
      </c>
      <c r="H29" s="14"/>
      <c r="I29" s="14"/>
      <c r="J29" s="25">
        <f t="shared" si="0"/>
        <v>393.65675999999996</v>
      </c>
      <c r="K29" s="25">
        <f t="shared" si="1"/>
        <v>377.46323999999998</v>
      </c>
      <c r="Q29">
        <v>2.1</v>
      </c>
      <c r="R29" s="17">
        <v>1.238616E-2</v>
      </c>
      <c r="S29" s="17">
        <v>8.0145719999999993E-3</v>
      </c>
      <c r="T29" s="17"/>
      <c r="U29" s="14"/>
      <c r="V29" s="14">
        <v>9.2167579999999999E-2</v>
      </c>
      <c r="W29" s="14">
        <v>5.282332E-2</v>
      </c>
      <c r="X29" s="14"/>
      <c r="Y29" s="14"/>
      <c r="Z29" s="25">
        <f t="shared" si="2"/>
        <v>393.65675999999996</v>
      </c>
      <c r="AA29" s="25">
        <f t="shared" si="3"/>
        <v>377.46323999999998</v>
      </c>
    </row>
    <row r="30" spans="1:27" x14ac:dyDescent="0.25">
      <c r="A30">
        <v>2.2000000000000002</v>
      </c>
      <c r="B30" s="17">
        <v>3.6429870000000001E-4</v>
      </c>
      <c r="C30" s="17"/>
      <c r="D30" s="14"/>
      <c r="E30" s="14"/>
      <c r="F30" s="14">
        <v>2.295082E-2</v>
      </c>
      <c r="G30" s="14">
        <v>5.100182E-3</v>
      </c>
      <c r="H30" s="14"/>
      <c r="I30" s="14"/>
      <c r="J30" s="25">
        <f t="shared" si="0"/>
        <v>394.04232000000002</v>
      </c>
      <c r="K30" s="25">
        <f t="shared" si="1"/>
        <v>377.07767999999999</v>
      </c>
      <c r="Q30">
        <v>2.2000000000000002</v>
      </c>
      <c r="R30" s="17">
        <v>8.3788709999999995E-3</v>
      </c>
      <c r="S30" s="17">
        <v>6.9216759999999999E-3</v>
      </c>
      <c r="T30" s="17"/>
      <c r="U30" s="14"/>
      <c r="V30" s="14">
        <v>8.087432E-2</v>
      </c>
      <c r="W30" s="14">
        <v>4.5537340000000003E-2</v>
      </c>
      <c r="X30" s="14"/>
      <c r="Y30" s="14"/>
      <c r="Z30" s="25">
        <f t="shared" si="2"/>
        <v>394.04232000000002</v>
      </c>
      <c r="AA30" s="25">
        <f t="shared" si="3"/>
        <v>377.07767999999999</v>
      </c>
    </row>
    <row r="31" spans="1:27" x14ac:dyDescent="0.25">
      <c r="A31">
        <v>2.2999999999999998</v>
      </c>
      <c r="B31" s="17"/>
      <c r="C31" s="17"/>
      <c r="D31" s="14"/>
      <c r="E31" s="14"/>
      <c r="F31" s="14">
        <v>1.5664850000000001E-2</v>
      </c>
      <c r="G31" s="14">
        <v>4.0072859999999997E-3</v>
      </c>
      <c r="H31" s="14"/>
      <c r="I31" s="14"/>
      <c r="J31" s="25">
        <f t="shared" si="0"/>
        <v>394.42787999999996</v>
      </c>
      <c r="K31" s="25">
        <f t="shared" si="1"/>
        <v>376.69211999999999</v>
      </c>
      <c r="Q31">
        <v>2.2999999999999998</v>
      </c>
      <c r="R31" s="17">
        <v>5.4644810000000002E-3</v>
      </c>
      <c r="S31" s="17">
        <v>5.100182E-3</v>
      </c>
      <c r="T31" s="17"/>
      <c r="U31" s="14"/>
      <c r="V31" s="14">
        <v>7.2131150000000005E-2</v>
      </c>
      <c r="W31" s="14">
        <v>3.825137E-2</v>
      </c>
      <c r="X31" s="14"/>
      <c r="Y31" s="14"/>
      <c r="Z31" s="25">
        <f t="shared" si="2"/>
        <v>394.42787999999996</v>
      </c>
      <c r="AA31" s="25">
        <f t="shared" si="3"/>
        <v>376.69211999999999</v>
      </c>
    </row>
    <row r="32" spans="1:27" x14ac:dyDescent="0.25">
      <c r="A32">
        <v>2.4</v>
      </c>
      <c r="B32" s="17"/>
      <c r="C32" s="17"/>
      <c r="D32" s="14"/>
      <c r="E32" s="14"/>
      <c r="F32" s="14">
        <v>1.3479049999999999E-2</v>
      </c>
      <c r="G32" s="14">
        <v>2.1857920000000002E-3</v>
      </c>
      <c r="H32" s="14"/>
      <c r="I32" s="14"/>
      <c r="J32" s="25">
        <f t="shared" si="0"/>
        <v>394.81344000000001</v>
      </c>
      <c r="K32" s="25">
        <f t="shared" si="1"/>
        <v>376.30655999999999</v>
      </c>
      <c r="Q32">
        <v>2.4</v>
      </c>
      <c r="R32" s="17">
        <v>4.0072859999999997E-3</v>
      </c>
      <c r="S32" s="17">
        <v>4.0072859999999997E-3</v>
      </c>
      <c r="T32" s="17"/>
      <c r="U32" s="14"/>
      <c r="V32" s="14">
        <v>6.1202189999999997E-2</v>
      </c>
      <c r="W32" s="14">
        <v>3.4244080000000003E-2</v>
      </c>
      <c r="X32" s="14"/>
      <c r="Y32" s="14"/>
      <c r="Z32" s="25">
        <f t="shared" si="2"/>
        <v>394.81344000000001</v>
      </c>
      <c r="AA32" s="25">
        <f t="shared" si="3"/>
        <v>376.30655999999999</v>
      </c>
    </row>
    <row r="33" spans="1:27" x14ac:dyDescent="0.25">
      <c r="A33">
        <v>2.5</v>
      </c>
      <c r="B33" s="17"/>
      <c r="C33" s="17"/>
      <c r="D33" s="14"/>
      <c r="E33" s="14"/>
      <c r="F33" s="14">
        <v>1.1293259999999999E-2</v>
      </c>
      <c r="G33" s="14">
        <v>1.4571950000000001E-3</v>
      </c>
      <c r="H33" s="14"/>
      <c r="I33" s="14"/>
      <c r="J33" s="25">
        <f t="shared" si="0"/>
        <v>395.19899999999996</v>
      </c>
      <c r="K33" s="25">
        <f t="shared" si="1"/>
        <v>375.92099999999999</v>
      </c>
      <c r="Q33">
        <v>2.5</v>
      </c>
      <c r="R33" s="17">
        <v>2.9143900000000002E-3</v>
      </c>
      <c r="S33" s="17">
        <v>2.550091E-3</v>
      </c>
      <c r="T33" s="17"/>
      <c r="U33" s="14"/>
      <c r="V33" s="14">
        <v>5.6830600000000002E-2</v>
      </c>
      <c r="W33" s="14">
        <v>2.9508199999999998E-2</v>
      </c>
      <c r="X33" s="14"/>
      <c r="Y33" s="14"/>
      <c r="Z33" s="25">
        <f t="shared" si="2"/>
        <v>395.19899999999996</v>
      </c>
      <c r="AA33" s="25">
        <f t="shared" si="3"/>
        <v>375.92099999999999</v>
      </c>
    </row>
    <row r="34" spans="1:27" x14ac:dyDescent="0.25">
      <c r="A34">
        <v>2.6</v>
      </c>
      <c r="B34" s="17"/>
      <c r="C34" s="17"/>
      <c r="D34" s="14"/>
      <c r="E34" s="14"/>
      <c r="F34" s="14">
        <v>9.1074680000000005E-3</v>
      </c>
      <c r="G34" s="14">
        <v>7.2859740000000002E-4</v>
      </c>
      <c r="H34" s="14"/>
      <c r="I34" s="14"/>
      <c r="J34" s="25">
        <f t="shared" si="0"/>
        <v>395.58456000000001</v>
      </c>
      <c r="K34" s="25">
        <f t="shared" si="1"/>
        <v>375.53543999999999</v>
      </c>
      <c r="Q34">
        <v>2.6</v>
      </c>
      <c r="R34" s="17">
        <v>2.550091E-3</v>
      </c>
      <c r="S34" s="17">
        <v>1.4571950000000001E-3</v>
      </c>
      <c r="T34" s="17"/>
      <c r="U34" s="14"/>
      <c r="V34" s="14">
        <v>4.9908929999999997E-2</v>
      </c>
      <c r="W34" s="14">
        <v>2.6229510000000001E-2</v>
      </c>
      <c r="X34" s="14"/>
      <c r="Y34" s="14"/>
      <c r="Z34" s="25">
        <f t="shared" si="2"/>
        <v>395.58456000000001</v>
      </c>
      <c r="AA34" s="25">
        <f t="shared" si="3"/>
        <v>375.53543999999999</v>
      </c>
    </row>
    <row r="35" spans="1:27" x14ac:dyDescent="0.25">
      <c r="A35">
        <v>2.7</v>
      </c>
      <c r="B35" s="17"/>
      <c r="C35" s="17"/>
      <c r="D35" s="14"/>
      <c r="E35" s="14"/>
      <c r="F35" s="14">
        <v>7.2859739999999997E-3</v>
      </c>
      <c r="G35" s="14">
        <v>3.6429870000000001E-4</v>
      </c>
      <c r="H35" s="14"/>
      <c r="I35" s="14"/>
      <c r="J35" s="25">
        <f t="shared" si="0"/>
        <v>395.97011999999995</v>
      </c>
      <c r="K35" s="25">
        <f t="shared" si="1"/>
        <v>375.14988</v>
      </c>
      <c r="Q35">
        <v>2.7</v>
      </c>
      <c r="R35" s="17">
        <v>2.550091E-3</v>
      </c>
      <c r="S35" s="17">
        <v>1.4571950000000001E-3</v>
      </c>
      <c r="T35" s="17"/>
      <c r="U35" s="14"/>
      <c r="V35" s="14">
        <v>4.5173039999999998E-2</v>
      </c>
      <c r="W35" s="14">
        <v>2.2586519999999999E-2</v>
      </c>
      <c r="X35" s="14"/>
      <c r="Y35" s="14"/>
      <c r="Z35" s="25">
        <f t="shared" si="2"/>
        <v>395.97011999999995</v>
      </c>
      <c r="AA35" s="25">
        <f t="shared" si="3"/>
        <v>375.14988</v>
      </c>
    </row>
    <row r="36" spans="1:27" x14ac:dyDescent="0.25">
      <c r="A36">
        <v>2.8</v>
      </c>
      <c r="B36" s="17"/>
      <c r="C36" s="17"/>
      <c r="D36" s="14"/>
      <c r="E36" s="14"/>
      <c r="F36" s="14">
        <v>5.8287800000000004E-3</v>
      </c>
      <c r="G36" s="14">
        <v>3.6429870000000001E-4</v>
      </c>
      <c r="H36" s="14"/>
      <c r="I36" s="14"/>
      <c r="J36" s="25">
        <f t="shared" si="0"/>
        <v>396.35568000000001</v>
      </c>
      <c r="K36" s="25">
        <f t="shared" si="1"/>
        <v>374.76432</v>
      </c>
      <c r="Q36">
        <v>2.8</v>
      </c>
      <c r="R36" s="17">
        <v>1.8214940000000001E-3</v>
      </c>
      <c r="S36" s="17">
        <v>1.0928960000000001E-3</v>
      </c>
      <c r="T36" s="17"/>
      <c r="U36" s="14"/>
      <c r="V36" s="14">
        <v>4.0072860000000002E-2</v>
      </c>
      <c r="W36" s="14">
        <v>1.894353E-2</v>
      </c>
      <c r="X36" s="14"/>
      <c r="Y36" s="14"/>
      <c r="Z36" s="25">
        <f t="shared" si="2"/>
        <v>396.35568000000001</v>
      </c>
      <c r="AA36" s="25">
        <f t="shared" si="3"/>
        <v>374.76432</v>
      </c>
    </row>
    <row r="37" spans="1:27" x14ac:dyDescent="0.25">
      <c r="A37">
        <v>2.9</v>
      </c>
      <c r="B37" s="17"/>
      <c r="C37" s="17"/>
      <c r="D37" s="14"/>
      <c r="E37" s="14"/>
      <c r="F37" s="14">
        <v>4.7358829999999998E-3</v>
      </c>
      <c r="G37" s="14">
        <v>0</v>
      </c>
      <c r="H37" s="14"/>
      <c r="I37" s="14"/>
      <c r="J37" s="25">
        <f t="shared" si="0"/>
        <v>396.74123999999995</v>
      </c>
      <c r="K37" s="25">
        <f t="shared" si="1"/>
        <v>374.37876</v>
      </c>
      <c r="Q37">
        <v>2.9</v>
      </c>
      <c r="R37" s="17">
        <v>1.4571950000000001E-3</v>
      </c>
      <c r="S37" s="17">
        <v>1.0928960000000001E-3</v>
      </c>
      <c r="T37" s="17"/>
      <c r="U37" s="14"/>
      <c r="V37" s="14">
        <v>3.4608380000000001E-2</v>
      </c>
      <c r="W37" s="14">
        <v>1.5664850000000001E-2</v>
      </c>
      <c r="X37" s="14"/>
      <c r="Y37" s="14"/>
      <c r="Z37" s="25">
        <f t="shared" si="2"/>
        <v>396.74123999999995</v>
      </c>
      <c r="AA37" s="25">
        <f t="shared" si="3"/>
        <v>374.37876</v>
      </c>
    </row>
    <row r="38" spans="1:27" x14ac:dyDescent="0.25">
      <c r="A38">
        <v>3</v>
      </c>
      <c r="B38" s="17"/>
      <c r="C38" s="17"/>
      <c r="D38" s="14"/>
      <c r="E38" s="14"/>
      <c r="F38" s="14">
        <v>3.6429869999999999E-3</v>
      </c>
      <c r="G38" s="14"/>
      <c r="H38" s="14"/>
      <c r="I38" s="14"/>
      <c r="J38" s="25">
        <f t="shared" si="0"/>
        <v>397.1268</v>
      </c>
      <c r="K38" s="25">
        <f t="shared" si="1"/>
        <v>373.9932</v>
      </c>
      <c r="Q38">
        <v>3</v>
      </c>
      <c r="R38" s="17">
        <v>7.2859740000000002E-4</v>
      </c>
      <c r="S38" s="17">
        <v>1.0928960000000001E-3</v>
      </c>
      <c r="T38" s="17"/>
      <c r="U38" s="14"/>
      <c r="V38" s="14">
        <v>2.695811E-2</v>
      </c>
      <c r="W38" s="14">
        <v>1.3479049999999999E-2</v>
      </c>
      <c r="X38" s="14"/>
      <c r="Y38" s="14"/>
      <c r="Z38" s="25">
        <f t="shared" si="2"/>
        <v>397.1268</v>
      </c>
      <c r="AA38" s="25">
        <f t="shared" si="3"/>
        <v>373.9932</v>
      </c>
    </row>
    <row r="39" spans="1:27" x14ac:dyDescent="0.25">
      <c r="A39">
        <v>3.1</v>
      </c>
      <c r="B39" s="17"/>
      <c r="C39" s="17"/>
      <c r="D39" s="14"/>
      <c r="E39" s="14"/>
      <c r="F39" s="14">
        <v>3.278689E-3</v>
      </c>
      <c r="G39" s="14"/>
      <c r="H39" s="14"/>
      <c r="I39" s="14"/>
      <c r="J39" s="25">
        <f t="shared" si="0"/>
        <v>397.51235999999994</v>
      </c>
      <c r="K39" s="25">
        <f t="shared" si="1"/>
        <v>373.60764</v>
      </c>
      <c r="Q39">
        <v>3.1</v>
      </c>
      <c r="R39" s="17">
        <v>7.2859740000000002E-4</v>
      </c>
      <c r="S39" s="17">
        <v>7.2859740000000002E-4</v>
      </c>
      <c r="T39" s="17"/>
      <c r="U39" s="14"/>
      <c r="V39" s="14">
        <v>2.2222220000000001E-2</v>
      </c>
      <c r="W39" s="14">
        <v>1.020036E-2</v>
      </c>
      <c r="X39" s="14"/>
      <c r="Y39" s="14"/>
      <c r="Z39" s="25">
        <f t="shared" si="2"/>
        <v>397.51235999999994</v>
      </c>
      <c r="AA39" s="25">
        <f t="shared" si="3"/>
        <v>373.60764</v>
      </c>
    </row>
    <row r="40" spans="1:27" x14ac:dyDescent="0.25">
      <c r="A40">
        <v>3.2</v>
      </c>
      <c r="B40" s="17"/>
      <c r="C40" s="17"/>
      <c r="D40" s="14"/>
      <c r="E40" s="14"/>
      <c r="F40" s="14">
        <v>2.1857920000000002E-3</v>
      </c>
      <c r="G40" s="14"/>
      <c r="H40" s="14"/>
      <c r="I40" s="14"/>
      <c r="J40" s="25">
        <f t="shared" si="0"/>
        <v>397.89792</v>
      </c>
      <c r="K40" s="25">
        <f t="shared" si="1"/>
        <v>373.22208000000001</v>
      </c>
      <c r="Q40">
        <v>3.2</v>
      </c>
      <c r="R40" s="17">
        <v>7.2859740000000002E-4</v>
      </c>
      <c r="S40" s="17">
        <v>7.2859740000000002E-4</v>
      </c>
      <c r="T40" s="17"/>
      <c r="U40" s="14"/>
      <c r="V40" s="14">
        <v>1.894353E-2</v>
      </c>
      <c r="W40" s="14">
        <v>7.2859739999999997E-3</v>
      </c>
      <c r="X40" s="14"/>
      <c r="Y40" s="14"/>
      <c r="Z40" s="25">
        <f t="shared" si="2"/>
        <v>397.89792</v>
      </c>
      <c r="AA40" s="25">
        <f t="shared" si="3"/>
        <v>373.22208000000001</v>
      </c>
    </row>
    <row r="41" spans="1:27" x14ac:dyDescent="0.25">
      <c r="A41">
        <v>3.3</v>
      </c>
      <c r="B41" s="17"/>
      <c r="C41" s="17"/>
      <c r="D41" s="14"/>
      <c r="E41" s="14"/>
      <c r="F41" s="14">
        <v>1.8214940000000001E-3</v>
      </c>
      <c r="G41" s="14"/>
      <c r="H41" s="14"/>
      <c r="I41" s="14"/>
      <c r="J41" s="25">
        <f t="shared" si="0"/>
        <v>398.28348</v>
      </c>
      <c r="K41" s="25">
        <f t="shared" si="1"/>
        <v>372.83652000000001</v>
      </c>
      <c r="Q41">
        <v>3.3</v>
      </c>
      <c r="R41" s="17">
        <v>7.2859740000000002E-4</v>
      </c>
      <c r="S41" s="17">
        <v>3.6429870000000001E-4</v>
      </c>
      <c r="T41" s="17"/>
      <c r="U41" s="14"/>
      <c r="V41" s="14">
        <v>1.748634E-2</v>
      </c>
      <c r="W41" s="14">
        <v>6.1930780000000003E-3</v>
      </c>
      <c r="X41" s="14"/>
      <c r="Y41" s="14"/>
      <c r="Z41" s="25">
        <f t="shared" si="2"/>
        <v>398.28348</v>
      </c>
      <c r="AA41" s="25">
        <f t="shared" si="3"/>
        <v>372.83652000000001</v>
      </c>
    </row>
    <row r="42" spans="1:27" x14ac:dyDescent="0.25">
      <c r="A42">
        <v>3.4</v>
      </c>
      <c r="B42" s="17"/>
      <c r="C42" s="17"/>
      <c r="D42" s="14"/>
      <c r="E42" s="14"/>
      <c r="F42" s="14">
        <v>1.8214940000000001E-3</v>
      </c>
      <c r="G42" s="14"/>
      <c r="H42" s="14"/>
      <c r="I42" s="14"/>
      <c r="J42" s="25">
        <f t="shared" si="0"/>
        <v>398.66904</v>
      </c>
      <c r="K42" s="25">
        <f t="shared" si="1"/>
        <v>372.45096000000001</v>
      </c>
      <c r="Q42">
        <v>3.4</v>
      </c>
      <c r="R42" s="17">
        <v>7.2859740000000002E-4</v>
      </c>
      <c r="S42" s="17">
        <v>3.6429870000000001E-4</v>
      </c>
      <c r="T42" s="17"/>
      <c r="U42" s="14"/>
      <c r="V42" s="14">
        <v>1.420765E-2</v>
      </c>
      <c r="W42" s="14">
        <v>5.100182E-3</v>
      </c>
      <c r="X42" s="14"/>
      <c r="Y42" s="14"/>
      <c r="Z42" s="25">
        <f t="shared" si="2"/>
        <v>398.66904</v>
      </c>
      <c r="AA42" s="25">
        <f t="shared" si="3"/>
        <v>372.45096000000001</v>
      </c>
    </row>
    <row r="43" spans="1:27" x14ac:dyDescent="0.25">
      <c r="A43">
        <v>3.5</v>
      </c>
      <c r="B43" s="17"/>
      <c r="C43" s="17"/>
      <c r="D43" s="14"/>
      <c r="E43" s="14"/>
      <c r="F43" s="14">
        <v>1.4571950000000001E-3</v>
      </c>
      <c r="G43" s="14"/>
      <c r="H43" s="14"/>
      <c r="I43" s="14"/>
      <c r="J43" s="25">
        <f t="shared" si="0"/>
        <v>399.05459999999999</v>
      </c>
      <c r="K43" s="25">
        <f t="shared" si="1"/>
        <v>372.06540000000001</v>
      </c>
      <c r="Q43">
        <v>3.5</v>
      </c>
      <c r="R43" s="17">
        <v>7.2859740000000002E-4</v>
      </c>
      <c r="S43" s="17">
        <v>0</v>
      </c>
      <c r="T43" s="17"/>
      <c r="U43" s="14"/>
      <c r="V43" s="14">
        <v>1.1293259999999999E-2</v>
      </c>
      <c r="W43" s="14">
        <v>4.0072859999999997E-3</v>
      </c>
      <c r="X43" s="14"/>
      <c r="Y43" s="14"/>
      <c r="Z43" s="25">
        <f t="shared" si="2"/>
        <v>399.05459999999999</v>
      </c>
      <c r="AA43" s="25">
        <f t="shared" si="3"/>
        <v>372.06540000000001</v>
      </c>
    </row>
    <row r="44" spans="1:27" x14ac:dyDescent="0.25">
      <c r="A44">
        <v>3.6</v>
      </c>
      <c r="B44" s="17"/>
      <c r="C44" s="17"/>
      <c r="D44" s="14"/>
      <c r="E44" s="14"/>
      <c r="F44" s="14">
        <v>1.4571950000000001E-3</v>
      </c>
      <c r="G44" s="14"/>
      <c r="H44" s="14"/>
      <c r="I44" s="14"/>
      <c r="J44" s="25">
        <f t="shared" si="0"/>
        <v>399.44015999999999</v>
      </c>
      <c r="K44" s="25">
        <f t="shared" si="1"/>
        <v>371.67984000000001</v>
      </c>
      <c r="Q44">
        <v>3.6</v>
      </c>
      <c r="R44" s="17">
        <v>7.2859740000000002E-4</v>
      </c>
      <c r="S44" s="17">
        <v>0</v>
      </c>
      <c r="T44" s="17"/>
      <c r="U44" s="14"/>
      <c r="V44" s="14">
        <v>8.0145719999999993E-3</v>
      </c>
      <c r="W44" s="14">
        <v>3.278689E-3</v>
      </c>
      <c r="X44" s="14"/>
      <c r="Y44" s="14"/>
      <c r="Z44" s="25">
        <f t="shared" si="2"/>
        <v>399.44015999999999</v>
      </c>
      <c r="AA44" s="25">
        <f t="shared" si="3"/>
        <v>371.67984000000001</v>
      </c>
    </row>
    <row r="45" spans="1:27" x14ac:dyDescent="0.25">
      <c r="A45">
        <v>3.7</v>
      </c>
      <c r="B45" s="17"/>
      <c r="C45" s="17"/>
      <c r="D45" s="14"/>
      <c r="E45" s="14"/>
      <c r="F45" s="14">
        <v>1.4571950000000001E-3</v>
      </c>
      <c r="G45" s="14"/>
      <c r="H45" s="14"/>
      <c r="I45" s="14"/>
      <c r="J45" s="25">
        <f t="shared" si="0"/>
        <v>399.82571999999999</v>
      </c>
      <c r="K45" s="25">
        <f t="shared" si="1"/>
        <v>371.29428000000001</v>
      </c>
      <c r="Q45">
        <v>3.7</v>
      </c>
      <c r="R45" s="17">
        <v>7.2859740000000002E-4</v>
      </c>
      <c r="S45" s="17"/>
      <c r="U45" s="14"/>
      <c r="V45" s="14">
        <v>6.9216759999999999E-3</v>
      </c>
      <c r="W45" s="14">
        <v>2.9143900000000002E-3</v>
      </c>
      <c r="X45" s="14"/>
      <c r="Y45" s="14"/>
      <c r="Z45" s="25">
        <f t="shared" si="2"/>
        <v>399.82571999999999</v>
      </c>
      <c r="AA45" s="25">
        <f t="shared" si="3"/>
        <v>371.29428000000001</v>
      </c>
    </row>
    <row r="46" spans="1:27" x14ac:dyDescent="0.25">
      <c r="A46">
        <v>3.8</v>
      </c>
      <c r="B46" s="17"/>
      <c r="C46" s="17"/>
      <c r="D46" s="14"/>
      <c r="E46" s="14"/>
      <c r="F46" s="14">
        <v>1.0928960000000001E-3</v>
      </c>
      <c r="G46" s="14"/>
      <c r="H46" s="14"/>
      <c r="I46" s="14"/>
      <c r="J46" s="25">
        <f t="shared" si="0"/>
        <v>400.21127999999999</v>
      </c>
      <c r="K46" s="25">
        <f t="shared" si="1"/>
        <v>370.90872000000002</v>
      </c>
      <c r="Q46">
        <v>3.8</v>
      </c>
      <c r="R46" s="17">
        <v>3.6429870000000001E-4</v>
      </c>
      <c r="S46" s="17"/>
      <c r="U46" s="14"/>
      <c r="V46" s="14">
        <v>5.8287800000000004E-3</v>
      </c>
      <c r="W46" s="14">
        <v>2.1857920000000002E-3</v>
      </c>
      <c r="X46" s="14"/>
      <c r="Y46" s="14"/>
      <c r="Z46" s="25">
        <f t="shared" si="2"/>
        <v>400.21127999999999</v>
      </c>
      <c r="AA46" s="25">
        <f t="shared" si="3"/>
        <v>370.90872000000002</v>
      </c>
    </row>
    <row r="47" spans="1:27" x14ac:dyDescent="0.25">
      <c r="A47">
        <v>3.9</v>
      </c>
      <c r="B47" s="17"/>
      <c r="C47" s="17"/>
      <c r="D47" s="14"/>
      <c r="E47" s="14"/>
      <c r="F47" s="14">
        <v>7.2859740000000002E-4</v>
      </c>
      <c r="G47" s="14"/>
      <c r="H47" s="14"/>
      <c r="I47" s="14"/>
      <c r="J47" s="25">
        <f t="shared" si="0"/>
        <v>400.59683999999999</v>
      </c>
      <c r="K47" s="25">
        <f t="shared" si="1"/>
        <v>370.52315999999996</v>
      </c>
      <c r="Q47">
        <v>3.9</v>
      </c>
      <c r="R47" s="17">
        <v>3.6429870000000001E-4</v>
      </c>
      <c r="S47" s="17"/>
      <c r="U47" s="14"/>
      <c r="V47" s="14">
        <v>5.4644810000000002E-3</v>
      </c>
      <c r="W47" s="14">
        <v>1.4571950000000001E-3</v>
      </c>
      <c r="X47" s="14"/>
      <c r="Y47" s="14"/>
      <c r="Z47" s="25">
        <f t="shared" si="2"/>
        <v>400.59683999999999</v>
      </c>
      <c r="AA47" s="25">
        <f t="shared" si="3"/>
        <v>370.52315999999996</v>
      </c>
    </row>
    <row r="48" spans="1:27" x14ac:dyDescent="0.25">
      <c r="A48">
        <v>4</v>
      </c>
      <c r="B48" s="17"/>
      <c r="C48" s="17"/>
      <c r="D48" s="14"/>
      <c r="E48" s="14"/>
      <c r="F48" s="14">
        <v>3.6429870000000001E-4</v>
      </c>
      <c r="G48" s="14"/>
      <c r="H48" s="14"/>
      <c r="I48" s="14"/>
      <c r="J48" s="25">
        <f t="shared" si="0"/>
        <v>400.98240000000004</v>
      </c>
      <c r="K48" s="25">
        <f t="shared" si="1"/>
        <v>370.13759999999996</v>
      </c>
      <c r="Q48">
        <v>4</v>
      </c>
      <c r="R48" s="17">
        <v>3.6429870000000001E-4</v>
      </c>
      <c r="S48" s="17"/>
      <c r="U48" s="14"/>
      <c r="V48" s="14">
        <v>4.7358829999999998E-3</v>
      </c>
      <c r="W48" s="14">
        <v>7.2859740000000002E-4</v>
      </c>
      <c r="X48" s="14"/>
      <c r="Y48" s="14"/>
      <c r="Z48" s="25">
        <f t="shared" si="2"/>
        <v>400.98240000000004</v>
      </c>
      <c r="AA48" s="25">
        <f t="shared" si="3"/>
        <v>370.13759999999996</v>
      </c>
    </row>
    <row r="49" spans="1:27" x14ac:dyDescent="0.25">
      <c r="A49">
        <v>4.0999999999999996</v>
      </c>
      <c r="B49" s="17"/>
      <c r="C49" s="17"/>
      <c r="D49" s="14"/>
      <c r="E49" s="14"/>
      <c r="F49" s="14">
        <v>0</v>
      </c>
      <c r="G49" s="14"/>
      <c r="H49" s="14"/>
      <c r="I49" s="14"/>
      <c r="J49" s="25">
        <f t="shared" si="0"/>
        <v>401.36795999999998</v>
      </c>
      <c r="K49" s="25">
        <f t="shared" si="1"/>
        <v>369.75203999999997</v>
      </c>
      <c r="Q49">
        <v>4.0999999999999996</v>
      </c>
      <c r="R49" s="17"/>
      <c r="S49" s="17"/>
      <c r="U49" s="14"/>
      <c r="V49" s="14">
        <v>4.7358829999999998E-3</v>
      </c>
      <c r="W49" s="14">
        <v>3.6429870000000001E-4</v>
      </c>
      <c r="X49" s="14"/>
      <c r="Y49" s="14"/>
      <c r="Z49" s="25">
        <f t="shared" si="2"/>
        <v>401.36795999999998</v>
      </c>
      <c r="AA49" s="25">
        <f t="shared" si="3"/>
        <v>369.75203999999997</v>
      </c>
    </row>
    <row r="50" spans="1:27" x14ac:dyDescent="0.25">
      <c r="A50">
        <v>4.2</v>
      </c>
      <c r="B50" s="17"/>
      <c r="C50" s="17"/>
      <c r="D50" s="14"/>
      <c r="E50" s="14"/>
      <c r="F50" s="14"/>
      <c r="G50" s="14"/>
      <c r="H50" s="14"/>
      <c r="I50" s="14"/>
      <c r="J50" s="25">
        <f t="shared" si="0"/>
        <v>401.75352000000004</v>
      </c>
      <c r="K50" s="25">
        <f t="shared" si="1"/>
        <v>369.36647999999997</v>
      </c>
      <c r="Q50">
        <v>4.2</v>
      </c>
      <c r="R50" s="17"/>
      <c r="S50" s="17"/>
      <c r="U50" s="14"/>
      <c r="V50" s="14">
        <v>4.3715849999999999E-3</v>
      </c>
      <c r="W50" s="14">
        <v>3.6429870000000001E-4</v>
      </c>
      <c r="X50" s="14"/>
      <c r="Y50" s="14"/>
      <c r="Z50" s="25">
        <f t="shared" si="2"/>
        <v>401.75352000000004</v>
      </c>
      <c r="AA50" s="25">
        <f t="shared" si="3"/>
        <v>369.36647999999997</v>
      </c>
    </row>
    <row r="51" spans="1:27" x14ac:dyDescent="0.25">
      <c r="A51">
        <v>4.3</v>
      </c>
      <c r="B51" s="17"/>
      <c r="C51" s="17"/>
      <c r="D51" s="14"/>
      <c r="E51" s="14"/>
      <c r="F51" s="14"/>
      <c r="G51" s="14"/>
      <c r="H51" s="14"/>
      <c r="I51" s="14"/>
      <c r="J51" s="25">
        <f t="shared" si="0"/>
        <v>402.13907999999998</v>
      </c>
      <c r="K51" s="25">
        <f t="shared" si="1"/>
        <v>368.98091999999997</v>
      </c>
      <c r="Q51">
        <v>4.3</v>
      </c>
      <c r="R51" s="17"/>
      <c r="S51" s="17"/>
      <c r="U51" s="14"/>
      <c r="V51" s="14">
        <v>2.9143900000000002E-3</v>
      </c>
      <c r="W51" s="14">
        <v>3.6429870000000001E-4</v>
      </c>
      <c r="X51" s="14"/>
      <c r="Y51" s="14"/>
      <c r="Z51" s="25">
        <f t="shared" si="2"/>
        <v>402.13907999999998</v>
      </c>
      <c r="AA51" s="25">
        <f t="shared" si="3"/>
        <v>368.98091999999997</v>
      </c>
    </row>
    <row r="52" spans="1:27" x14ac:dyDescent="0.25">
      <c r="A52">
        <v>4.4000000000000004</v>
      </c>
      <c r="B52" s="17"/>
      <c r="C52" s="17"/>
      <c r="D52" s="14"/>
      <c r="E52" s="14"/>
      <c r="F52" s="14"/>
      <c r="G52" s="14"/>
      <c r="H52" s="14"/>
      <c r="I52" s="14"/>
      <c r="J52" s="25">
        <f t="shared" si="0"/>
        <v>402.52464000000003</v>
      </c>
      <c r="K52" s="25">
        <f t="shared" si="1"/>
        <v>368.59535999999997</v>
      </c>
      <c r="Q52">
        <v>4.4000000000000004</v>
      </c>
      <c r="R52" s="17"/>
      <c r="S52" s="17"/>
      <c r="U52" s="14"/>
      <c r="V52" s="14"/>
      <c r="W52" s="14">
        <v>3.6429870000000001E-4</v>
      </c>
      <c r="X52" s="14"/>
      <c r="Y52" s="14"/>
      <c r="Z52" s="25">
        <f t="shared" si="2"/>
        <v>402.52464000000003</v>
      </c>
      <c r="AA52" s="25">
        <f t="shared" si="3"/>
        <v>368.59535999999997</v>
      </c>
    </row>
    <row r="53" spans="1:27" x14ac:dyDescent="0.25">
      <c r="A53">
        <v>4.5</v>
      </c>
      <c r="B53" s="17"/>
      <c r="C53" s="17"/>
      <c r="D53" s="14"/>
      <c r="E53" s="14"/>
      <c r="F53" s="14"/>
      <c r="G53" s="14"/>
      <c r="H53" s="14"/>
      <c r="I53" s="14"/>
      <c r="J53" s="25">
        <f t="shared" si="0"/>
        <v>402.91019999999997</v>
      </c>
      <c r="K53" s="25">
        <f t="shared" si="1"/>
        <v>368.20979999999997</v>
      </c>
      <c r="Q53">
        <v>4.5</v>
      </c>
      <c r="R53" s="17"/>
      <c r="S53" s="17"/>
      <c r="U53" s="14"/>
      <c r="V53" s="14"/>
      <c r="W53" s="14">
        <v>0</v>
      </c>
      <c r="X53" s="14"/>
      <c r="Y53" s="14"/>
      <c r="Z53" s="25">
        <f t="shared" si="2"/>
        <v>402.91019999999997</v>
      </c>
      <c r="AA53" s="25">
        <f t="shared" si="3"/>
        <v>368.20979999999997</v>
      </c>
    </row>
    <row r="54" spans="1:27" x14ac:dyDescent="0.25">
      <c r="A54">
        <v>4.5999999999999996</v>
      </c>
      <c r="B54" s="17"/>
      <c r="C54" s="17"/>
      <c r="D54" s="14"/>
      <c r="E54" s="14"/>
      <c r="F54" s="14"/>
      <c r="G54" s="14"/>
      <c r="H54" s="14"/>
      <c r="I54" s="14"/>
      <c r="J54" s="25">
        <f t="shared" si="0"/>
        <v>403.29576000000003</v>
      </c>
      <c r="K54" s="25">
        <f t="shared" si="1"/>
        <v>367.82423999999997</v>
      </c>
      <c r="Q54">
        <v>4.5999999999999996</v>
      </c>
      <c r="R54" s="17"/>
      <c r="S54" s="17"/>
      <c r="T54" s="14"/>
      <c r="U54" s="14"/>
      <c r="V54" s="14"/>
      <c r="W54" s="14"/>
      <c r="X54" s="14"/>
      <c r="Y54" s="14"/>
      <c r="Z54" s="25">
        <f t="shared" si="2"/>
        <v>403.29576000000003</v>
      </c>
      <c r="AA54" s="25">
        <f t="shared" si="3"/>
        <v>367.82423999999997</v>
      </c>
    </row>
    <row r="55" spans="1:27" x14ac:dyDescent="0.25">
      <c r="A55">
        <v>4.7</v>
      </c>
      <c r="B55" s="17"/>
      <c r="C55" s="17"/>
      <c r="D55" s="14"/>
      <c r="E55" s="14"/>
      <c r="F55" s="14"/>
      <c r="G55" s="14"/>
      <c r="H55" s="14"/>
      <c r="I55" s="14"/>
      <c r="J55" s="25">
        <f t="shared" si="0"/>
        <v>403.68131999999997</v>
      </c>
      <c r="K55" s="25">
        <f t="shared" si="1"/>
        <v>367.43867999999998</v>
      </c>
      <c r="Q55">
        <v>4.7</v>
      </c>
      <c r="R55" s="17"/>
      <c r="S55" s="17"/>
      <c r="T55" s="14"/>
      <c r="U55" s="14"/>
      <c r="V55" s="14"/>
      <c r="W55" s="14"/>
      <c r="X55" s="14"/>
      <c r="Y55" s="14"/>
      <c r="Z55" s="25">
        <f t="shared" si="2"/>
        <v>403.68131999999997</v>
      </c>
      <c r="AA55" s="25">
        <f t="shared" si="3"/>
        <v>367.43867999999998</v>
      </c>
    </row>
    <row r="56" spans="1:27" x14ac:dyDescent="0.25">
      <c r="A56">
        <v>4.8</v>
      </c>
      <c r="B56" s="17"/>
      <c r="C56" s="17"/>
      <c r="D56" s="14"/>
      <c r="E56" s="14"/>
      <c r="F56" s="14"/>
      <c r="G56" s="14"/>
      <c r="H56" s="14"/>
      <c r="I56" s="14"/>
      <c r="J56" s="25">
        <f t="shared" si="0"/>
        <v>404.06688000000003</v>
      </c>
      <c r="K56" s="25">
        <f t="shared" si="1"/>
        <v>367.05311999999998</v>
      </c>
      <c r="Q56">
        <v>4.8</v>
      </c>
      <c r="R56" s="17"/>
      <c r="S56" s="17"/>
      <c r="T56" s="14"/>
      <c r="U56" s="14"/>
      <c r="V56" s="14"/>
      <c r="W56" s="14"/>
      <c r="X56" s="14"/>
      <c r="Y56" s="14"/>
      <c r="Z56" s="25">
        <f t="shared" si="2"/>
        <v>404.06688000000003</v>
      </c>
      <c r="AA56" s="25">
        <f t="shared" si="3"/>
        <v>367.05311999999998</v>
      </c>
    </row>
    <row r="57" spans="1:27" x14ac:dyDescent="0.25">
      <c r="A57">
        <v>4.9000000000000004</v>
      </c>
      <c r="B57" s="17"/>
      <c r="C57" s="17"/>
      <c r="D57" s="14"/>
      <c r="E57" s="14"/>
      <c r="F57" s="14"/>
      <c r="G57" s="14"/>
      <c r="H57" s="14"/>
      <c r="I57" s="14"/>
      <c r="J57" s="25">
        <f t="shared" si="0"/>
        <v>404.45243999999997</v>
      </c>
      <c r="K57" s="25">
        <f t="shared" si="1"/>
        <v>366.66755999999998</v>
      </c>
      <c r="Q57">
        <v>4.9000000000000004</v>
      </c>
      <c r="R57" s="17"/>
      <c r="S57" s="17"/>
      <c r="T57" s="14"/>
      <c r="U57" s="14"/>
      <c r="V57" s="14"/>
      <c r="W57" s="14"/>
      <c r="X57" s="14"/>
      <c r="Y57" s="14"/>
      <c r="Z57" s="25">
        <f t="shared" si="2"/>
        <v>404.45243999999997</v>
      </c>
      <c r="AA57" s="25">
        <f t="shared" si="3"/>
        <v>366.66755999999998</v>
      </c>
    </row>
    <row r="58" spans="1:27" x14ac:dyDescent="0.25">
      <c r="A58">
        <v>5</v>
      </c>
      <c r="B58" s="17"/>
      <c r="C58" s="17"/>
      <c r="D58" s="14"/>
      <c r="E58" s="14"/>
      <c r="F58" s="14"/>
      <c r="G58" s="14"/>
      <c r="H58" s="14"/>
      <c r="I58" s="14"/>
      <c r="J58" s="25">
        <f t="shared" si="0"/>
        <v>404.83800000000002</v>
      </c>
      <c r="K58" s="25">
        <f t="shared" si="1"/>
        <v>366.28199999999998</v>
      </c>
      <c r="Q58">
        <v>5</v>
      </c>
      <c r="R58" s="17"/>
      <c r="S58" s="17"/>
      <c r="T58" s="14"/>
      <c r="U58" s="14"/>
      <c r="V58" s="14"/>
      <c r="W58" s="14"/>
      <c r="X58" s="14"/>
      <c r="Y58" s="14"/>
      <c r="Z58" s="25">
        <f t="shared" si="2"/>
        <v>404.83800000000002</v>
      </c>
      <c r="AA58" s="25">
        <f t="shared" si="3"/>
        <v>366.28199999999998</v>
      </c>
    </row>
    <row r="59" spans="1:27" x14ac:dyDescent="0.25">
      <c r="A59">
        <v>5.0999999999999996</v>
      </c>
      <c r="B59" s="17"/>
      <c r="C59" s="17"/>
      <c r="D59" s="14"/>
      <c r="E59" s="14"/>
      <c r="F59" s="14"/>
      <c r="G59" s="14"/>
      <c r="H59" s="14"/>
      <c r="I59" s="14"/>
      <c r="J59" s="25">
        <f t="shared" si="0"/>
        <v>405.22355999999996</v>
      </c>
      <c r="K59" s="25">
        <f t="shared" si="1"/>
        <v>365.89643999999998</v>
      </c>
      <c r="Q59">
        <v>5.0999999999999996</v>
      </c>
      <c r="R59" s="17"/>
      <c r="S59" s="17"/>
      <c r="T59" s="14"/>
      <c r="U59" s="14"/>
      <c r="V59" s="14"/>
      <c r="W59" s="14"/>
      <c r="X59" s="14"/>
      <c r="Y59" s="14"/>
      <c r="Z59" s="25">
        <f t="shared" si="2"/>
        <v>405.22355999999996</v>
      </c>
      <c r="AA59" s="25">
        <f t="shared" si="3"/>
        <v>365.89643999999998</v>
      </c>
    </row>
    <row r="60" spans="1:27" x14ac:dyDescent="0.25">
      <c r="A60">
        <v>5.2</v>
      </c>
      <c r="B60" s="17"/>
      <c r="C60" s="17"/>
      <c r="D60" s="14"/>
      <c r="E60" s="14"/>
      <c r="F60" s="14"/>
      <c r="G60" s="14"/>
      <c r="H60" s="14"/>
      <c r="I60" s="14"/>
      <c r="J60" s="25">
        <f t="shared" si="0"/>
        <v>405.60912000000002</v>
      </c>
      <c r="K60" s="25">
        <f t="shared" si="1"/>
        <v>365.51087999999999</v>
      </c>
      <c r="Q60">
        <v>5.2</v>
      </c>
      <c r="R60" s="17"/>
      <c r="S60" s="17"/>
      <c r="T60" s="14"/>
      <c r="U60" s="14"/>
      <c r="V60" s="14"/>
      <c r="W60" s="14"/>
      <c r="X60" s="14"/>
      <c r="Y60" s="14"/>
      <c r="Z60" s="25">
        <f t="shared" si="2"/>
        <v>405.60912000000002</v>
      </c>
      <c r="AA60" s="25">
        <f t="shared" si="3"/>
        <v>365.51087999999999</v>
      </c>
    </row>
    <row r="61" spans="1:27" x14ac:dyDescent="0.25">
      <c r="B61" s="17"/>
      <c r="C61" s="17"/>
      <c r="D61" s="14"/>
      <c r="E61" s="14"/>
      <c r="F61" s="14"/>
      <c r="G61" s="14"/>
      <c r="H61" s="14"/>
      <c r="I61" s="14"/>
      <c r="J61" s="25"/>
      <c r="K61" s="25"/>
      <c r="R61" s="17"/>
      <c r="S61" s="17"/>
      <c r="T61" s="14"/>
      <c r="U61" s="14"/>
      <c r="V61" s="14"/>
      <c r="W61" s="14"/>
      <c r="X61" s="14"/>
      <c r="Y61" s="14"/>
      <c r="Z61" s="25"/>
      <c r="AA61" s="25"/>
    </row>
    <row r="62" spans="1:27" x14ac:dyDescent="0.25">
      <c r="B62" s="17"/>
      <c r="C62" s="17"/>
      <c r="D62" s="14"/>
      <c r="E62" s="14"/>
      <c r="F62" s="14"/>
      <c r="G62" s="14"/>
      <c r="H62" s="14"/>
      <c r="I62" s="14"/>
      <c r="J62" s="25"/>
      <c r="K62" s="25"/>
      <c r="R62" s="17"/>
      <c r="S62" s="17"/>
      <c r="T62" s="14"/>
      <c r="U62" s="14"/>
      <c r="V62" s="14"/>
      <c r="W62" s="14"/>
      <c r="X62" s="14"/>
      <c r="Y62" s="14"/>
      <c r="Z62" s="25"/>
      <c r="AA62" s="25"/>
    </row>
    <row r="63" spans="1:27" x14ac:dyDescent="0.25">
      <c r="B63" s="17"/>
      <c r="C63" s="17"/>
      <c r="D63" s="14"/>
      <c r="E63" s="14"/>
      <c r="F63" s="14"/>
      <c r="G63" s="14"/>
      <c r="H63" s="14"/>
      <c r="I63" s="14"/>
      <c r="J63" s="25"/>
      <c r="K63" s="25"/>
      <c r="R63" s="17"/>
      <c r="S63" s="17"/>
      <c r="T63" s="14"/>
      <c r="U63" s="14"/>
      <c r="V63" s="14"/>
      <c r="W63" s="14"/>
      <c r="X63" s="14"/>
      <c r="Y63" s="14"/>
      <c r="Z63" s="25"/>
      <c r="AA63" s="25"/>
    </row>
    <row r="64" spans="1:27" x14ac:dyDescent="0.25">
      <c r="B64" s="17"/>
      <c r="C64" s="17"/>
      <c r="D64" s="14"/>
      <c r="E64" s="14"/>
      <c r="F64" s="14"/>
      <c r="G64" s="14"/>
      <c r="H64" s="14"/>
      <c r="I64" s="14"/>
      <c r="J64" s="25"/>
      <c r="K64" s="25"/>
      <c r="R64" s="17"/>
      <c r="S64" s="17"/>
      <c r="T64" s="14"/>
      <c r="U64" s="14"/>
      <c r="V64" s="14"/>
      <c r="W64" s="14"/>
      <c r="X64" s="14"/>
      <c r="Y64" s="14"/>
      <c r="Z64" s="25"/>
      <c r="AA64" s="25"/>
    </row>
    <row r="65" spans="1:41" x14ac:dyDescent="0.25">
      <c r="B65" s="17"/>
      <c r="C65" s="17"/>
      <c r="D65" s="14"/>
      <c r="E65" s="14"/>
      <c r="F65" s="14"/>
      <c r="G65" s="14"/>
      <c r="H65" s="14"/>
      <c r="I65" s="14"/>
      <c r="J65" s="25"/>
      <c r="K65" s="25"/>
      <c r="R65" s="17"/>
      <c r="S65" s="17"/>
      <c r="T65" s="14"/>
      <c r="U65" s="14"/>
      <c r="V65" s="14"/>
      <c r="W65" s="14"/>
      <c r="X65" s="14"/>
      <c r="Y65" s="14"/>
      <c r="Z65" s="25"/>
      <c r="AA65" s="25"/>
    </row>
    <row r="66" spans="1:41" x14ac:dyDescent="0.25">
      <c r="L66" t="s">
        <v>19</v>
      </c>
      <c r="M66" s="7">
        <v>385.56</v>
      </c>
      <c r="N66" s="7"/>
      <c r="O66" s="7"/>
      <c r="P66" s="7"/>
      <c r="AO66" s="14"/>
    </row>
    <row r="67" spans="1:41" x14ac:dyDescent="0.25">
      <c r="AO67" s="14"/>
    </row>
    <row r="68" spans="1:41" x14ac:dyDescent="0.25">
      <c r="B68">
        <f>AVERAGE(A69,C69)</f>
        <v>51.905000000000001</v>
      </c>
      <c r="T68" s="13"/>
    </row>
    <row r="69" spans="1:41" x14ac:dyDescent="0.25">
      <c r="A69">
        <v>21.12</v>
      </c>
      <c r="B69" t="s">
        <v>43</v>
      </c>
      <c r="C69">
        <v>82.69</v>
      </c>
      <c r="D69" t="s">
        <v>27</v>
      </c>
      <c r="E69" s="14">
        <v>1.710445E-2</v>
      </c>
      <c r="F69" t="s">
        <v>56</v>
      </c>
      <c r="G69" s="14">
        <v>-6.2415720000000004E-4</v>
      </c>
      <c r="H69" t="s">
        <v>57</v>
      </c>
      <c r="I69" s="14">
        <v>-8.5028320000000003E-4</v>
      </c>
      <c r="W69" s="14"/>
      <c r="X69" s="14"/>
      <c r="Y69" s="14"/>
      <c r="AA69" s="14"/>
      <c r="AC69" s="14"/>
    </row>
    <row r="70" spans="1:41" x14ac:dyDescent="0.25">
      <c r="A70" t="s">
        <v>51</v>
      </c>
      <c r="D70" t="s">
        <v>27</v>
      </c>
      <c r="E70" s="14"/>
      <c r="F70" t="s">
        <v>26</v>
      </c>
      <c r="G70" s="14"/>
      <c r="H70" t="s">
        <v>25</v>
      </c>
      <c r="I70" s="14"/>
      <c r="U70" s="14"/>
      <c r="V70" s="14"/>
      <c r="W70" s="14"/>
      <c r="X70" s="14"/>
      <c r="Z70" s="13"/>
      <c r="AA70" s="14"/>
      <c r="AC70" s="14"/>
    </row>
    <row r="71" spans="1:41" x14ac:dyDescent="0.25">
      <c r="A71" t="s">
        <v>62</v>
      </c>
      <c r="D71" t="s">
        <v>27</v>
      </c>
      <c r="E71" s="14">
        <v>2.729678E-2</v>
      </c>
      <c r="F71" t="s">
        <v>56</v>
      </c>
      <c r="G71" s="14">
        <v>-1.9746310000000001E-3</v>
      </c>
      <c r="H71" t="s">
        <v>57</v>
      </c>
      <c r="I71" s="14">
        <v>-2.2452010000000001E-3</v>
      </c>
      <c r="AA71" s="14"/>
      <c r="AC71" s="14"/>
    </row>
    <row r="72" spans="1:41" x14ac:dyDescent="0.25">
      <c r="A72" t="s">
        <v>64</v>
      </c>
      <c r="D72" t="s">
        <v>27</v>
      </c>
      <c r="E72" s="14"/>
      <c r="F72" t="s">
        <v>26</v>
      </c>
      <c r="G72" s="14"/>
      <c r="H72" t="s">
        <v>25</v>
      </c>
      <c r="I72" s="14"/>
      <c r="L72" t="s">
        <v>61</v>
      </c>
      <c r="M72" t="s">
        <v>60</v>
      </c>
      <c r="N72" t="s">
        <v>55</v>
      </c>
      <c r="O72" t="s">
        <v>64</v>
      </c>
      <c r="AA72" s="14"/>
      <c r="AC72" s="14"/>
    </row>
    <row r="73" spans="1:41" x14ac:dyDescent="0.25">
      <c r="A73" t="s">
        <v>27</v>
      </c>
      <c r="B73" s="14">
        <v>1.187795E-2</v>
      </c>
      <c r="C73" s="14">
        <v>1.2041100000000001E-2</v>
      </c>
      <c r="D73" s="14">
        <v>1.4683430000000001E-2</v>
      </c>
      <c r="E73" s="14">
        <v>1.5356069999999999E-2</v>
      </c>
      <c r="F73" s="14">
        <v>1.7205089999999999E-2</v>
      </c>
      <c r="G73" s="14">
        <v>1.836103E-2</v>
      </c>
      <c r="H73" s="14">
        <v>2.134374E-2</v>
      </c>
      <c r="I73" s="14">
        <v>2.351634E-2</v>
      </c>
      <c r="K73" s="21" t="s">
        <v>40</v>
      </c>
      <c r="L73">
        <v>1307</v>
      </c>
      <c r="M73">
        <v>1293</v>
      </c>
      <c r="N73">
        <v>1296</v>
      </c>
      <c r="O73">
        <v>1263</v>
      </c>
      <c r="AA73" s="21"/>
      <c r="AB73" s="21"/>
      <c r="AC73" s="6"/>
      <c r="AD73" s="6"/>
    </row>
    <row r="74" spans="1:41" x14ac:dyDescent="0.25">
      <c r="A74" t="s">
        <v>26</v>
      </c>
      <c r="B74" s="14">
        <v>8.6837849999999994E-3</v>
      </c>
      <c r="C74" s="14">
        <v>-9.4017019999999996E-3</v>
      </c>
      <c r="D74" s="14">
        <v>1.2721359999999999E-2</v>
      </c>
      <c r="E74" s="14">
        <v>-1.4792970000000001E-2</v>
      </c>
      <c r="F74" s="14">
        <v>1.540006E-2</v>
      </c>
      <c r="G74" s="14">
        <v>-1.8016600000000001E-2</v>
      </c>
      <c r="H74" s="14">
        <v>1.999018E-2</v>
      </c>
      <c r="I74" s="14">
        <v>-2.2501119999999999E-2</v>
      </c>
      <c r="K74" s="21" t="s">
        <v>41</v>
      </c>
      <c r="L74">
        <v>1434</v>
      </c>
      <c r="M74">
        <v>1448</v>
      </c>
      <c r="N74">
        <v>1447</v>
      </c>
      <c r="O74">
        <v>1481</v>
      </c>
      <c r="AA74" s="21"/>
      <c r="AB74" s="21"/>
      <c r="AC74" s="6"/>
    </row>
    <row r="75" spans="1:41" x14ac:dyDescent="0.25">
      <c r="A75" t="s">
        <v>25</v>
      </c>
      <c r="B75" s="14">
        <v>1.1952870000000001E-2</v>
      </c>
      <c r="C75" s="14">
        <v>-1.253859E-2</v>
      </c>
      <c r="D75" s="14">
        <v>1.6527759999999999E-2</v>
      </c>
      <c r="E75" s="14">
        <v>-1.782831E-2</v>
      </c>
      <c r="F75" s="14">
        <v>1.9613619999999998E-2</v>
      </c>
      <c r="G75" s="14">
        <v>-2.1795950000000001E-2</v>
      </c>
      <c r="H75" s="14">
        <v>2.4844189999999999E-2</v>
      </c>
      <c r="I75" s="14">
        <v>-2.726083E-2</v>
      </c>
      <c r="K75" t="s">
        <v>42</v>
      </c>
      <c r="L75" s="13">
        <f>L73/L74</f>
        <v>0.91143654114365413</v>
      </c>
      <c r="M75" s="13">
        <f>M73/M74</f>
        <v>0.89295580110497241</v>
      </c>
      <c r="N75" s="13">
        <f>N73/N74</f>
        <v>0.89564616447823087</v>
      </c>
      <c r="O75" s="13">
        <f>O73/O74</f>
        <v>0.85280216070222825</v>
      </c>
      <c r="P75" s="13"/>
      <c r="AA75" s="21"/>
      <c r="AC75" s="13"/>
      <c r="AD75" s="13"/>
    </row>
    <row r="76" spans="1:41" x14ac:dyDescent="0.25">
      <c r="A76" t="s">
        <v>31</v>
      </c>
      <c r="B76" t="s">
        <v>30</v>
      </c>
      <c r="C76" t="s">
        <v>33</v>
      </c>
      <c r="D76" t="s">
        <v>23</v>
      </c>
      <c r="E76" t="s">
        <v>24</v>
      </c>
      <c r="F76" t="s">
        <v>58</v>
      </c>
      <c r="G76" t="s">
        <v>59</v>
      </c>
      <c r="H76" t="s">
        <v>65</v>
      </c>
      <c r="I76" t="s">
        <v>66</v>
      </c>
      <c r="J76" s="21" t="s">
        <v>53</v>
      </c>
      <c r="K76" t="s">
        <v>54</v>
      </c>
      <c r="L76" s="17">
        <f>L73/SUM(L73:L74)</f>
        <v>0.47683327252827434</v>
      </c>
      <c r="M76" s="17">
        <f>M73/SUM(M73:M74)</f>
        <v>0.47172564757387814</v>
      </c>
      <c r="N76" s="17">
        <f>N73/SUM(N73:N74)</f>
        <v>0.47247539190667154</v>
      </c>
      <c r="O76" s="17">
        <f>O73/SUM(O73:O74)</f>
        <v>0.46027696793002915</v>
      </c>
      <c r="AB76" s="21"/>
    </row>
    <row r="77" spans="1:41" x14ac:dyDescent="0.25">
      <c r="A77">
        <v>0.1</v>
      </c>
      <c r="B77" s="17">
        <v>0.44626589999999999</v>
      </c>
      <c r="C77" s="17">
        <v>0.48816029999999999</v>
      </c>
      <c r="D77" s="14"/>
      <c r="E77" s="14"/>
      <c r="F77" s="14">
        <v>0.45646629999999999</v>
      </c>
      <c r="G77" s="14">
        <v>0.51511839999999998</v>
      </c>
      <c r="H77" s="14">
        <f>SUM(F77:G77)</f>
        <v>0.97158469999999997</v>
      </c>
      <c r="I77" s="14"/>
      <c r="J77" s="25">
        <f t="shared" ref="J77:J128" si="4">($A77/100+1)*$M$66</f>
        <v>385.94555999999994</v>
      </c>
      <c r="K77" s="25">
        <f>(1-$A77/100)*$M$66</f>
        <v>385.17444</v>
      </c>
      <c r="L77" s="17">
        <f>L74/SUM(L73:L74)</f>
        <v>0.52316672747172566</v>
      </c>
      <c r="M77" s="17">
        <f>M74/SUM(M73:M74)</f>
        <v>0.52827435242612186</v>
      </c>
      <c r="N77" s="17">
        <f>N74/SUM(N73:N74)</f>
        <v>0.52752460809332846</v>
      </c>
      <c r="O77" s="17">
        <f>O74/SUM(O73:O74)</f>
        <v>0.53972303206997085</v>
      </c>
      <c r="AA77" s="14"/>
      <c r="AB77" s="25"/>
      <c r="AC77" s="25"/>
      <c r="AF77" s="14"/>
    </row>
    <row r="78" spans="1:41" x14ac:dyDescent="0.25">
      <c r="A78">
        <v>0.2</v>
      </c>
      <c r="B78" s="17">
        <v>0.4182149</v>
      </c>
      <c r="C78" s="17">
        <v>0.45537339999999998</v>
      </c>
      <c r="D78" s="14"/>
      <c r="E78" s="14"/>
      <c r="F78" s="14">
        <v>0.43970860000000001</v>
      </c>
      <c r="G78" s="14">
        <v>0.49981789999999998</v>
      </c>
      <c r="H78" s="14">
        <f t="shared" ref="H78:H102" si="5">SUM(F78:G78)</f>
        <v>0.93952649999999993</v>
      </c>
      <c r="I78" s="14"/>
      <c r="J78" s="25">
        <f t="shared" si="4"/>
        <v>386.33112</v>
      </c>
      <c r="K78" s="25">
        <f>(1-$A78/100)*$M$66</f>
        <v>384.78888000000001</v>
      </c>
      <c r="AA78" s="14"/>
      <c r="AB78" s="25"/>
      <c r="AC78" s="25"/>
      <c r="AF78" s="14"/>
    </row>
    <row r="79" spans="1:41" x14ac:dyDescent="0.25">
      <c r="A79">
        <v>0.3</v>
      </c>
      <c r="B79" s="17">
        <v>0.38797809999999999</v>
      </c>
      <c r="C79" s="17">
        <v>0.42295080000000002</v>
      </c>
      <c r="D79" s="14"/>
      <c r="E79" s="14"/>
      <c r="F79" s="14">
        <v>0.42295080000000002</v>
      </c>
      <c r="G79" s="14">
        <v>0.48306009999999999</v>
      </c>
      <c r="H79" s="14">
        <f t="shared" si="5"/>
        <v>0.90601090000000006</v>
      </c>
      <c r="I79" s="14"/>
      <c r="J79" s="25">
        <f t="shared" si="4"/>
        <v>386.71667999999994</v>
      </c>
      <c r="K79" s="25">
        <f>(1-$A79/100)*$M$66</f>
        <v>384.40332000000001</v>
      </c>
      <c r="AA79" s="14"/>
      <c r="AB79" s="25"/>
      <c r="AC79" s="25"/>
      <c r="AF79" s="14"/>
    </row>
    <row r="80" spans="1:41" x14ac:dyDescent="0.25">
      <c r="A80">
        <v>0.4</v>
      </c>
      <c r="B80" s="17">
        <v>0.36029139999999998</v>
      </c>
      <c r="C80" s="17">
        <v>0.3967213</v>
      </c>
      <c r="D80" s="14"/>
      <c r="E80" s="14"/>
      <c r="F80" s="14">
        <v>0.40327869999999999</v>
      </c>
      <c r="G80" s="14">
        <v>0.46921679999999999</v>
      </c>
      <c r="H80" s="14">
        <f t="shared" si="5"/>
        <v>0.87249549999999998</v>
      </c>
      <c r="I80" s="14"/>
      <c r="J80" s="25">
        <f t="shared" si="4"/>
        <v>387.10223999999999</v>
      </c>
      <c r="K80" s="25">
        <f>(1-$A80/100)*$M$66</f>
        <v>384.01776000000001</v>
      </c>
      <c r="AA80" s="14"/>
      <c r="AB80" s="25"/>
      <c r="AC80" s="25"/>
      <c r="AF80" s="14"/>
    </row>
    <row r="81" spans="1:32" x14ac:dyDescent="0.25">
      <c r="A81">
        <v>0.5</v>
      </c>
      <c r="B81" s="17">
        <v>0.33041890000000002</v>
      </c>
      <c r="C81" s="17">
        <v>0.36939889999999997</v>
      </c>
      <c r="D81" s="14"/>
      <c r="E81" s="14"/>
      <c r="F81" s="14">
        <v>0.38761380000000001</v>
      </c>
      <c r="G81" s="14">
        <v>0.45209470000000002</v>
      </c>
      <c r="H81" s="14">
        <f t="shared" si="5"/>
        <v>0.83970849999999997</v>
      </c>
      <c r="I81" s="14"/>
      <c r="J81" s="25">
        <f t="shared" si="4"/>
        <v>387.48779999999994</v>
      </c>
      <c r="K81" s="25">
        <f t="shared" ref="K81:K128" si="6">(1-$A81/100)*$M$66</f>
        <v>383.63220000000001</v>
      </c>
      <c r="AA81" s="14"/>
      <c r="AB81" s="25"/>
      <c r="AC81" s="25"/>
      <c r="AF81" s="24"/>
    </row>
    <row r="82" spans="1:32" x14ac:dyDescent="0.25">
      <c r="A82">
        <v>0.6</v>
      </c>
      <c r="B82" s="17">
        <v>0.2990893</v>
      </c>
      <c r="C82" s="17">
        <v>0.34025499999999997</v>
      </c>
      <c r="D82" s="14"/>
      <c r="E82" s="14"/>
      <c r="F82" s="14">
        <v>0.37158469999999999</v>
      </c>
      <c r="G82" s="14">
        <v>0.43387979999999998</v>
      </c>
      <c r="H82" s="14">
        <f t="shared" si="5"/>
        <v>0.80546450000000003</v>
      </c>
      <c r="I82" s="14"/>
      <c r="J82" s="25">
        <f t="shared" si="4"/>
        <v>387.87335999999999</v>
      </c>
      <c r="K82" s="25">
        <f t="shared" si="6"/>
        <v>383.24664000000001</v>
      </c>
      <c r="AA82" s="14"/>
      <c r="AB82" s="25"/>
      <c r="AC82" s="25"/>
      <c r="AF82" s="24"/>
    </row>
    <row r="83" spans="1:32" x14ac:dyDescent="0.25">
      <c r="A83">
        <v>0.7</v>
      </c>
      <c r="B83" s="17">
        <v>0.2750455</v>
      </c>
      <c r="C83" s="17">
        <v>0.31584699999999999</v>
      </c>
      <c r="D83" s="14"/>
      <c r="E83" s="14"/>
      <c r="F83" s="14">
        <v>0.357377</v>
      </c>
      <c r="G83" s="14">
        <v>0.41857919999999998</v>
      </c>
      <c r="H83" s="14">
        <f t="shared" si="5"/>
        <v>0.77595619999999998</v>
      </c>
      <c r="I83" s="14"/>
      <c r="J83" s="25">
        <f t="shared" si="4"/>
        <v>388.25891999999999</v>
      </c>
      <c r="K83" s="25">
        <f t="shared" si="6"/>
        <v>382.86108000000002</v>
      </c>
      <c r="AA83" s="14"/>
      <c r="AB83" s="25"/>
      <c r="AC83" s="25"/>
      <c r="AF83" s="24"/>
    </row>
    <row r="84" spans="1:32" x14ac:dyDescent="0.25">
      <c r="A84">
        <v>0.8</v>
      </c>
      <c r="B84" s="17">
        <v>0.25318760000000001</v>
      </c>
      <c r="C84" s="17">
        <v>0.29216760000000003</v>
      </c>
      <c r="D84" s="14"/>
      <c r="E84" s="14"/>
      <c r="F84" s="14">
        <v>0.34499089999999999</v>
      </c>
      <c r="G84" s="14">
        <v>0.40400730000000001</v>
      </c>
      <c r="H84" s="14">
        <f t="shared" si="5"/>
        <v>0.74899819999999995</v>
      </c>
      <c r="I84" s="14"/>
      <c r="J84" s="25">
        <f t="shared" si="4"/>
        <v>388.64447999999999</v>
      </c>
      <c r="K84" s="25">
        <f t="shared" si="6"/>
        <v>382.47552000000002</v>
      </c>
      <c r="AA84" s="14"/>
      <c r="AB84" s="25"/>
      <c r="AC84" s="25"/>
      <c r="AF84" s="24"/>
    </row>
    <row r="85" spans="1:32" x14ac:dyDescent="0.25">
      <c r="A85">
        <v>0.9</v>
      </c>
      <c r="B85" s="17">
        <v>0.23351549999999999</v>
      </c>
      <c r="C85" s="17">
        <v>0.26557380000000003</v>
      </c>
      <c r="D85" s="14"/>
      <c r="E85" s="14"/>
      <c r="F85" s="14">
        <v>0.3282332</v>
      </c>
      <c r="G85" s="14">
        <v>0.38870670000000002</v>
      </c>
      <c r="H85" s="14">
        <f t="shared" si="5"/>
        <v>0.71693990000000007</v>
      </c>
      <c r="I85" s="14"/>
      <c r="J85" s="25">
        <f t="shared" si="4"/>
        <v>389.03003999999999</v>
      </c>
      <c r="K85" s="25">
        <f t="shared" si="6"/>
        <v>382.08996000000002</v>
      </c>
      <c r="AA85" s="14"/>
      <c r="AB85" s="25"/>
      <c r="AC85" s="25"/>
      <c r="AF85" s="24"/>
    </row>
    <row r="86" spans="1:32" x14ac:dyDescent="0.25">
      <c r="A86">
        <v>1</v>
      </c>
      <c r="B86" s="17">
        <v>0.21530050000000001</v>
      </c>
      <c r="C86" s="17">
        <v>0.25063750000000001</v>
      </c>
      <c r="D86" s="14"/>
      <c r="E86" s="14"/>
      <c r="F86" s="14">
        <v>0.3143898</v>
      </c>
      <c r="G86" s="14">
        <v>0.37850640000000002</v>
      </c>
      <c r="H86" s="14">
        <f t="shared" si="5"/>
        <v>0.69289620000000007</v>
      </c>
      <c r="I86" s="14"/>
      <c r="J86" s="25">
        <f t="shared" si="4"/>
        <v>389.41559999999998</v>
      </c>
      <c r="K86" s="25">
        <f t="shared" si="6"/>
        <v>381.70440000000002</v>
      </c>
      <c r="AA86" s="14"/>
      <c r="AB86" s="25"/>
      <c r="AC86" s="25"/>
      <c r="AF86" s="24"/>
    </row>
    <row r="87" spans="1:32" x14ac:dyDescent="0.25">
      <c r="A87">
        <v>1.1000000000000001</v>
      </c>
      <c r="B87" s="17">
        <v>0.1970856</v>
      </c>
      <c r="C87" s="17">
        <v>0.23169400000000001</v>
      </c>
      <c r="D87" s="14"/>
      <c r="E87" s="14"/>
      <c r="F87" s="14">
        <v>0.2990893</v>
      </c>
      <c r="G87" s="14">
        <v>0.36466300000000001</v>
      </c>
      <c r="H87" s="14">
        <f t="shared" si="5"/>
        <v>0.66375230000000007</v>
      </c>
      <c r="I87" s="14"/>
      <c r="J87" s="25">
        <f t="shared" si="4"/>
        <v>389.80115999999998</v>
      </c>
      <c r="K87" s="25">
        <f t="shared" si="6"/>
        <v>381.31884000000002</v>
      </c>
      <c r="AA87" s="14"/>
      <c r="AB87" s="25"/>
      <c r="AC87" s="25"/>
      <c r="AF87" s="24"/>
    </row>
    <row r="88" spans="1:32" x14ac:dyDescent="0.25">
      <c r="A88">
        <v>1.2</v>
      </c>
      <c r="B88" s="17">
        <v>0.17959929999999999</v>
      </c>
      <c r="C88" s="17">
        <v>0.21202190000000001</v>
      </c>
      <c r="D88" s="14"/>
      <c r="E88" s="14"/>
      <c r="F88" s="14">
        <v>0.28342440000000002</v>
      </c>
      <c r="G88" s="14">
        <v>0.34936250000000002</v>
      </c>
      <c r="H88" s="14">
        <f t="shared" si="5"/>
        <v>0.63278690000000004</v>
      </c>
      <c r="I88" s="14"/>
      <c r="J88" s="25">
        <f t="shared" si="4"/>
        <v>390.18671999999998</v>
      </c>
      <c r="K88" s="25">
        <f t="shared" si="6"/>
        <v>380.93328000000002</v>
      </c>
      <c r="AA88" s="14"/>
      <c r="AB88" s="25"/>
      <c r="AC88" s="25"/>
      <c r="AF88" s="24"/>
    </row>
    <row r="89" spans="1:32" x14ac:dyDescent="0.25">
      <c r="A89">
        <v>1.3</v>
      </c>
      <c r="B89" s="17">
        <v>0.16393440000000001</v>
      </c>
      <c r="C89" s="17">
        <v>0.1938069</v>
      </c>
      <c r="D89" s="14"/>
      <c r="E89" s="14"/>
      <c r="F89" s="14">
        <v>0.26885249999999999</v>
      </c>
      <c r="G89" s="14">
        <v>0.33187610000000001</v>
      </c>
      <c r="H89" s="14">
        <f t="shared" si="5"/>
        <v>0.60072860000000006</v>
      </c>
      <c r="I89" s="14"/>
      <c r="J89" s="25">
        <f t="shared" si="4"/>
        <v>390.57227999999998</v>
      </c>
      <c r="K89" s="25">
        <f t="shared" si="6"/>
        <v>380.54771999999997</v>
      </c>
      <c r="AA89" s="14"/>
      <c r="AB89" s="25"/>
      <c r="AC89" s="25"/>
      <c r="AF89" s="14"/>
    </row>
    <row r="90" spans="1:32" x14ac:dyDescent="0.25">
      <c r="A90">
        <v>1.4</v>
      </c>
      <c r="B90" s="17">
        <v>0.14608380000000001</v>
      </c>
      <c r="C90" s="17">
        <v>0.17959929999999999</v>
      </c>
      <c r="D90" s="14"/>
      <c r="E90" s="14"/>
      <c r="F90" s="14">
        <v>0.2546448</v>
      </c>
      <c r="G90" s="14">
        <v>0.31621129999999997</v>
      </c>
      <c r="H90" s="14">
        <f t="shared" si="5"/>
        <v>0.57085609999999998</v>
      </c>
      <c r="I90" s="14"/>
      <c r="J90" s="25">
        <f t="shared" si="4"/>
        <v>390.95784000000003</v>
      </c>
      <c r="K90" s="25">
        <f t="shared" si="6"/>
        <v>380.16215999999997</v>
      </c>
      <c r="AA90" s="14"/>
      <c r="AB90" s="25"/>
      <c r="AC90" s="25"/>
      <c r="AF90" s="14"/>
    </row>
    <row r="91" spans="1:32" x14ac:dyDescent="0.25">
      <c r="A91">
        <v>1.5</v>
      </c>
      <c r="B91" s="17">
        <v>0.13260469999999999</v>
      </c>
      <c r="C91" s="17">
        <v>0.1661202</v>
      </c>
      <c r="D91" s="14"/>
      <c r="E91" s="14"/>
      <c r="F91" s="14">
        <v>0.24116580000000001</v>
      </c>
      <c r="G91" s="14">
        <v>0.30491800000000002</v>
      </c>
      <c r="H91" s="14">
        <f t="shared" si="5"/>
        <v>0.54608380000000001</v>
      </c>
      <c r="I91" s="14"/>
      <c r="J91" s="25">
        <f t="shared" si="4"/>
        <v>391.34339999999997</v>
      </c>
      <c r="K91" s="25">
        <f t="shared" si="6"/>
        <v>379.77659999999997</v>
      </c>
      <c r="AA91" s="14"/>
      <c r="AB91" s="25"/>
      <c r="AC91" s="25"/>
      <c r="AF91" s="14"/>
    </row>
    <row r="92" spans="1:32" x14ac:dyDescent="0.25">
      <c r="A92">
        <v>1.6</v>
      </c>
      <c r="B92" s="17">
        <v>0.1176685</v>
      </c>
      <c r="C92" s="17">
        <v>0.1515483</v>
      </c>
      <c r="D92" s="14"/>
      <c r="E92" s="14"/>
      <c r="F92" s="14">
        <v>0.22768669999999999</v>
      </c>
      <c r="G92" s="14">
        <v>0.2928962</v>
      </c>
      <c r="H92" s="14">
        <f t="shared" si="5"/>
        <v>0.52058289999999996</v>
      </c>
      <c r="I92" s="14"/>
      <c r="J92" s="25">
        <f t="shared" si="4"/>
        <v>391.72896000000003</v>
      </c>
      <c r="K92" s="25">
        <f t="shared" si="6"/>
        <v>379.39103999999998</v>
      </c>
      <c r="AA92" s="14"/>
      <c r="AB92" s="25"/>
      <c r="AC92" s="25"/>
      <c r="AF92" s="14"/>
    </row>
    <row r="93" spans="1:32" x14ac:dyDescent="0.25">
      <c r="A93">
        <v>1.7</v>
      </c>
      <c r="B93" s="17">
        <v>0.10564659999999999</v>
      </c>
      <c r="C93" s="17">
        <v>0.13770489999999999</v>
      </c>
      <c r="D93" s="14"/>
      <c r="E93" s="14"/>
      <c r="F93" s="14">
        <v>0.2185792</v>
      </c>
      <c r="G93" s="14">
        <v>0.27868850000000001</v>
      </c>
      <c r="H93" s="14">
        <f t="shared" si="5"/>
        <v>0.49726769999999998</v>
      </c>
      <c r="I93" s="14"/>
      <c r="J93" s="25">
        <f t="shared" si="4"/>
        <v>392.11451999999997</v>
      </c>
      <c r="K93" s="25">
        <f t="shared" si="6"/>
        <v>379.00547999999998</v>
      </c>
      <c r="AA93" s="14"/>
      <c r="AB93" s="25"/>
      <c r="AC93" s="25"/>
      <c r="AF93" s="14"/>
    </row>
    <row r="94" spans="1:32" x14ac:dyDescent="0.25">
      <c r="A94">
        <v>1.8</v>
      </c>
      <c r="B94" s="17">
        <v>9.5810560000000003E-2</v>
      </c>
      <c r="C94" s="17">
        <v>0.1245902</v>
      </c>
      <c r="D94" s="14"/>
      <c r="E94" s="14"/>
      <c r="F94" s="14">
        <v>0.207286</v>
      </c>
      <c r="G94" s="14">
        <v>0.26411659999999998</v>
      </c>
      <c r="H94" s="14">
        <f t="shared" si="5"/>
        <v>0.4714026</v>
      </c>
      <c r="I94" s="14"/>
      <c r="J94" s="25">
        <f t="shared" si="4"/>
        <v>392.50008000000003</v>
      </c>
      <c r="K94" s="25">
        <f t="shared" si="6"/>
        <v>378.61991999999998</v>
      </c>
      <c r="AA94" s="14"/>
      <c r="AB94" s="25"/>
      <c r="AC94" s="25"/>
      <c r="AF94" s="14"/>
    </row>
    <row r="95" spans="1:32" x14ac:dyDescent="0.25">
      <c r="A95">
        <v>1.9</v>
      </c>
      <c r="B95" s="17">
        <v>8.7431690000000006E-2</v>
      </c>
      <c r="C95" s="17">
        <v>0.1092896</v>
      </c>
      <c r="D95" s="14"/>
      <c r="E95" s="14"/>
      <c r="F95" s="14">
        <v>0.19307830000000001</v>
      </c>
      <c r="G95" s="14">
        <v>0.24881600000000001</v>
      </c>
      <c r="H95" s="14">
        <f t="shared" si="5"/>
        <v>0.44189430000000002</v>
      </c>
      <c r="I95" s="14"/>
      <c r="J95" s="25">
        <f t="shared" si="4"/>
        <v>392.88563999999997</v>
      </c>
      <c r="K95" s="25">
        <f t="shared" si="6"/>
        <v>378.23435999999998</v>
      </c>
      <c r="AA95" s="14"/>
      <c r="AB95" s="25"/>
      <c r="AC95" s="25"/>
      <c r="AF95" s="14"/>
    </row>
    <row r="96" spans="1:32" x14ac:dyDescent="0.25">
      <c r="A96">
        <v>2</v>
      </c>
      <c r="B96" s="17">
        <v>7.9417119999999994E-2</v>
      </c>
      <c r="C96" s="17">
        <v>0.10054639999999999</v>
      </c>
      <c r="D96" s="14"/>
      <c r="E96" s="14"/>
      <c r="F96" s="14">
        <v>0.18360660000000001</v>
      </c>
      <c r="G96" s="14">
        <v>0.23715849999999999</v>
      </c>
      <c r="H96" s="14">
        <f t="shared" si="5"/>
        <v>0.4207651</v>
      </c>
      <c r="I96" s="14"/>
      <c r="J96" s="25">
        <f t="shared" si="4"/>
        <v>393.27120000000002</v>
      </c>
      <c r="K96" s="25">
        <f t="shared" si="6"/>
        <v>377.84879999999998</v>
      </c>
      <c r="AA96" s="14"/>
      <c r="AB96" s="25"/>
      <c r="AC96" s="25"/>
      <c r="AF96" s="14"/>
    </row>
    <row r="97" spans="1:32" x14ac:dyDescent="0.25">
      <c r="A97">
        <v>2.1</v>
      </c>
      <c r="B97" s="17">
        <v>7.5409840000000006E-2</v>
      </c>
      <c r="C97" s="17">
        <v>9.1438980000000003E-2</v>
      </c>
      <c r="D97" s="14"/>
      <c r="E97" s="14"/>
      <c r="F97" s="14">
        <v>0.175592</v>
      </c>
      <c r="G97" s="14">
        <v>0.2269581</v>
      </c>
      <c r="H97" s="14">
        <f t="shared" si="5"/>
        <v>0.40255010000000002</v>
      </c>
      <c r="I97" s="14"/>
      <c r="J97" s="25">
        <f t="shared" si="4"/>
        <v>393.65675999999996</v>
      </c>
      <c r="K97" s="25">
        <f t="shared" si="6"/>
        <v>377.46323999999998</v>
      </c>
      <c r="AA97" s="14"/>
      <c r="AB97" s="25"/>
      <c r="AC97" s="25"/>
      <c r="AF97" s="14"/>
    </row>
    <row r="98" spans="1:32" x14ac:dyDescent="0.25">
      <c r="A98">
        <v>2.2000000000000002</v>
      </c>
      <c r="B98" s="17">
        <v>6.8852460000000004E-2</v>
      </c>
      <c r="C98" s="17">
        <v>8.3788710000000002E-2</v>
      </c>
      <c r="D98" s="14"/>
      <c r="E98" s="14"/>
      <c r="F98" s="14">
        <v>0.16429869999999999</v>
      </c>
      <c r="G98" s="14">
        <v>0.21639340000000001</v>
      </c>
      <c r="H98" s="14">
        <f t="shared" si="5"/>
        <v>0.38069209999999998</v>
      </c>
      <c r="I98" s="14"/>
      <c r="J98" s="25">
        <f t="shared" si="4"/>
        <v>394.04232000000002</v>
      </c>
      <c r="K98" s="25">
        <f t="shared" si="6"/>
        <v>377.07767999999999</v>
      </c>
      <c r="AA98" s="14"/>
      <c r="AB98" s="25"/>
      <c r="AC98" s="25"/>
      <c r="AF98" s="14"/>
    </row>
    <row r="99" spans="1:32" x14ac:dyDescent="0.25">
      <c r="A99">
        <v>2.2999999999999998</v>
      </c>
      <c r="B99" s="17">
        <v>6.0473590000000001E-2</v>
      </c>
      <c r="C99" s="17">
        <v>7.5045539999999994E-2</v>
      </c>
      <c r="D99" s="14"/>
      <c r="E99" s="14"/>
      <c r="F99" s="14">
        <v>0.1559199</v>
      </c>
      <c r="G99" s="14">
        <v>0.2014572</v>
      </c>
      <c r="H99" s="14">
        <f t="shared" si="5"/>
        <v>0.3573771</v>
      </c>
      <c r="I99" s="14"/>
      <c r="J99" s="25">
        <f t="shared" si="4"/>
        <v>394.42787999999996</v>
      </c>
      <c r="K99" s="25">
        <f t="shared" si="6"/>
        <v>376.69211999999999</v>
      </c>
      <c r="AA99" s="14"/>
      <c r="AB99" s="25"/>
      <c r="AC99" s="25"/>
      <c r="AF99" s="14"/>
    </row>
    <row r="100" spans="1:32" x14ac:dyDescent="0.25">
      <c r="A100">
        <v>2.4</v>
      </c>
      <c r="B100" s="17">
        <v>5.3916209999999999E-2</v>
      </c>
      <c r="C100" s="17">
        <v>6.8123859999999994E-2</v>
      </c>
      <c r="D100" s="14"/>
      <c r="E100" s="14"/>
      <c r="F100" s="14">
        <v>0.1457195</v>
      </c>
      <c r="G100" s="14">
        <v>0.19234970000000001</v>
      </c>
      <c r="H100" s="14">
        <f t="shared" si="5"/>
        <v>0.33806920000000001</v>
      </c>
      <c r="I100" s="14"/>
      <c r="J100" s="25">
        <f t="shared" si="4"/>
        <v>394.81344000000001</v>
      </c>
      <c r="K100" s="25">
        <f t="shared" si="6"/>
        <v>376.30655999999999</v>
      </c>
      <c r="AA100" s="14"/>
      <c r="AB100" s="25"/>
      <c r="AC100" s="25"/>
      <c r="AF100" s="14"/>
    </row>
    <row r="101" spans="1:32" x14ac:dyDescent="0.25">
      <c r="A101">
        <v>2.5</v>
      </c>
      <c r="B101" s="17">
        <v>4.8451729999999998E-2</v>
      </c>
      <c r="C101" s="17">
        <v>5.9744989999999998E-2</v>
      </c>
      <c r="D101" s="14"/>
      <c r="E101" s="14"/>
      <c r="F101" s="14">
        <v>0.1369763</v>
      </c>
      <c r="G101" s="14">
        <v>0.17923500000000001</v>
      </c>
      <c r="H101" s="14">
        <f t="shared" si="5"/>
        <v>0.31621129999999997</v>
      </c>
      <c r="I101" s="14"/>
      <c r="J101" s="25">
        <f t="shared" si="4"/>
        <v>395.19899999999996</v>
      </c>
      <c r="K101" s="25">
        <f t="shared" si="6"/>
        <v>375.92099999999999</v>
      </c>
      <c r="AA101" s="14"/>
      <c r="AB101" s="25"/>
      <c r="AC101" s="25"/>
      <c r="AF101" s="14"/>
    </row>
    <row r="102" spans="1:32" x14ac:dyDescent="0.25">
      <c r="A102">
        <v>2.6</v>
      </c>
      <c r="B102" s="17">
        <v>4.3715850000000001E-2</v>
      </c>
      <c r="C102" s="17">
        <v>5.3187610000000003E-2</v>
      </c>
      <c r="D102" s="14"/>
      <c r="E102" s="14"/>
      <c r="F102" s="14">
        <v>0.12823319999999999</v>
      </c>
      <c r="G102" s="14">
        <v>0.1653916</v>
      </c>
      <c r="H102" s="14">
        <f t="shared" si="5"/>
        <v>0.29362480000000002</v>
      </c>
      <c r="I102" s="14"/>
      <c r="J102" s="25">
        <f t="shared" si="4"/>
        <v>395.58456000000001</v>
      </c>
      <c r="K102" s="25">
        <f t="shared" si="6"/>
        <v>375.53543999999999</v>
      </c>
      <c r="AA102" s="14"/>
      <c r="AB102" s="25"/>
      <c r="AC102" s="25"/>
      <c r="AF102" s="14"/>
    </row>
    <row r="103" spans="1:32" x14ac:dyDescent="0.25">
      <c r="A103">
        <v>2.7</v>
      </c>
      <c r="B103" s="17">
        <v>4.0072860000000002E-2</v>
      </c>
      <c r="C103" s="17">
        <v>5.0637519999999998E-2</v>
      </c>
      <c r="D103" s="14"/>
      <c r="E103" s="14"/>
      <c r="F103" s="14">
        <v>0.1209472</v>
      </c>
      <c r="G103" s="14">
        <v>0.1540984</v>
      </c>
      <c r="H103" s="14"/>
      <c r="I103" s="14"/>
      <c r="J103" s="25">
        <f t="shared" si="4"/>
        <v>395.97011999999995</v>
      </c>
      <c r="K103" s="25">
        <f t="shared" si="6"/>
        <v>375.14988</v>
      </c>
      <c r="AA103" s="14"/>
      <c r="AB103" s="25"/>
      <c r="AC103" s="25"/>
      <c r="AF103" s="14"/>
    </row>
    <row r="104" spans="1:32" x14ac:dyDescent="0.25">
      <c r="A104">
        <v>2.8</v>
      </c>
      <c r="B104" s="17">
        <v>3.8615660000000003E-2</v>
      </c>
      <c r="C104" s="17">
        <v>4.6994540000000001E-2</v>
      </c>
      <c r="D104" s="14"/>
      <c r="E104" s="14"/>
      <c r="F104" s="14">
        <v>0.1143898</v>
      </c>
      <c r="G104" s="14">
        <v>0.14280509999999999</v>
      </c>
      <c r="H104" s="14"/>
      <c r="I104" s="14"/>
      <c r="J104" s="25">
        <f t="shared" si="4"/>
        <v>396.35568000000001</v>
      </c>
      <c r="K104" s="25">
        <f t="shared" si="6"/>
        <v>374.76432</v>
      </c>
      <c r="AA104" s="14"/>
      <c r="AB104" s="25"/>
      <c r="AC104" s="25"/>
      <c r="AF104" s="14"/>
    </row>
    <row r="105" spans="1:32" x14ac:dyDescent="0.25">
      <c r="A105">
        <v>2.9</v>
      </c>
      <c r="B105" s="17">
        <v>3.4972679999999999E-2</v>
      </c>
      <c r="C105" s="17">
        <v>4.2987249999999998E-2</v>
      </c>
      <c r="D105" s="14"/>
      <c r="E105" s="14"/>
      <c r="F105" s="14">
        <v>0.1071038</v>
      </c>
      <c r="G105" s="14">
        <v>0.132969</v>
      </c>
      <c r="H105" s="14"/>
      <c r="I105" s="14"/>
      <c r="J105" s="25">
        <f t="shared" si="4"/>
        <v>396.74123999999995</v>
      </c>
      <c r="K105" s="25">
        <f t="shared" si="6"/>
        <v>374.37876</v>
      </c>
      <c r="AA105" s="14"/>
      <c r="AB105" s="25"/>
      <c r="AC105" s="25"/>
      <c r="AF105" s="14"/>
    </row>
    <row r="106" spans="1:32" x14ac:dyDescent="0.25">
      <c r="A106">
        <v>3</v>
      </c>
      <c r="B106" s="17">
        <v>3.132969E-2</v>
      </c>
      <c r="C106" s="17">
        <v>3.6429870000000003E-2</v>
      </c>
      <c r="D106" s="14"/>
      <c r="E106" s="14"/>
      <c r="F106" s="14">
        <v>0.10091070000000001</v>
      </c>
      <c r="G106" s="14">
        <v>0.1245902</v>
      </c>
      <c r="H106" s="14"/>
      <c r="I106" s="14"/>
      <c r="J106" s="25">
        <f t="shared" si="4"/>
        <v>397.1268</v>
      </c>
      <c r="K106" s="25">
        <f t="shared" si="6"/>
        <v>373.9932</v>
      </c>
      <c r="AA106" s="14"/>
      <c r="AB106" s="25"/>
      <c r="AC106" s="25"/>
      <c r="AF106" s="14"/>
    </row>
    <row r="107" spans="1:32" x14ac:dyDescent="0.25">
      <c r="A107">
        <v>3.1</v>
      </c>
      <c r="B107" s="17">
        <v>3.023679E-2</v>
      </c>
      <c r="C107" s="17">
        <v>3.2058290000000003E-2</v>
      </c>
      <c r="D107" s="14"/>
      <c r="E107" s="14"/>
      <c r="F107" s="14">
        <v>9.4353370000000006E-2</v>
      </c>
      <c r="G107" s="14">
        <v>0.1165756</v>
      </c>
      <c r="H107" s="14"/>
      <c r="I107" s="14"/>
      <c r="J107" s="25">
        <f t="shared" si="4"/>
        <v>397.51235999999994</v>
      </c>
      <c r="K107" s="25">
        <f t="shared" si="6"/>
        <v>373.60764</v>
      </c>
      <c r="AA107" s="14"/>
      <c r="AB107" s="25"/>
      <c r="AC107" s="25"/>
      <c r="AF107" s="14"/>
    </row>
    <row r="108" spans="1:32" x14ac:dyDescent="0.25">
      <c r="A108">
        <v>3.2</v>
      </c>
      <c r="B108" s="17">
        <v>2.8415300000000001E-2</v>
      </c>
      <c r="C108" s="17">
        <v>2.91439E-2</v>
      </c>
      <c r="F108" s="14">
        <v>8.9617489999999994E-2</v>
      </c>
      <c r="G108" s="14">
        <v>0.1092896</v>
      </c>
      <c r="H108" s="14"/>
      <c r="I108" s="14"/>
      <c r="J108" s="25">
        <f t="shared" si="4"/>
        <v>397.89792</v>
      </c>
      <c r="K108" s="25">
        <f t="shared" si="6"/>
        <v>373.22208000000001</v>
      </c>
    </row>
    <row r="109" spans="1:32" x14ac:dyDescent="0.25">
      <c r="A109">
        <v>3.3</v>
      </c>
      <c r="B109" s="17">
        <v>2.695811E-2</v>
      </c>
      <c r="C109" s="17">
        <v>2.695811E-2</v>
      </c>
      <c r="F109" s="14">
        <v>8.4517300000000004E-2</v>
      </c>
      <c r="G109" s="14">
        <v>0.1038251</v>
      </c>
      <c r="H109" s="14"/>
      <c r="I109" s="14"/>
      <c r="J109" s="25">
        <f t="shared" si="4"/>
        <v>398.28348</v>
      </c>
      <c r="K109" s="25">
        <f t="shared" si="6"/>
        <v>372.83652000000001</v>
      </c>
    </row>
    <row r="110" spans="1:32" x14ac:dyDescent="0.25">
      <c r="A110">
        <v>3.4</v>
      </c>
      <c r="B110" s="17">
        <v>2.4408010000000001E-2</v>
      </c>
      <c r="C110" s="17">
        <v>2.4408010000000001E-2</v>
      </c>
      <c r="F110" s="14">
        <v>7.7231330000000001E-2</v>
      </c>
      <c r="G110" s="14">
        <v>9.8724950000000006E-2</v>
      </c>
      <c r="H110" s="14"/>
      <c r="I110" s="14"/>
      <c r="J110" s="25">
        <f t="shared" si="4"/>
        <v>398.66904</v>
      </c>
      <c r="K110" s="25">
        <f t="shared" si="6"/>
        <v>372.45096000000001</v>
      </c>
    </row>
    <row r="111" spans="1:32" x14ac:dyDescent="0.25">
      <c r="A111">
        <v>3.5</v>
      </c>
      <c r="B111" s="17">
        <v>2.1493620000000001E-2</v>
      </c>
      <c r="C111" s="17">
        <v>2.1857919999999999E-2</v>
      </c>
      <c r="F111" s="14">
        <v>7.2859740000000006E-2</v>
      </c>
      <c r="G111" s="14">
        <v>9.2167579999999999E-2</v>
      </c>
      <c r="H111" s="14"/>
      <c r="I111" s="14"/>
      <c r="J111" s="25">
        <f t="shared" si="4"/>
        <v>399.05459999999999</v>
      </c>
      <c r="K111" s="25">
        <f t="shared" si="6"/>
        <v>372.06540000000001</v>
      </c>
    </row>
    <row r="112" spans="1:32" x14ac:dyDescent="0.25">
      <c r="A112">
        <v>3.6</v>
      </c>
      <c r="B112" s="17">
        <v>1.9672129999999999E-2</v>
      </c>
      <c r="C112" s="17">
        <v>2.0036430000000001E-2</v>
      </c>
      <c r="F112" s="14">
        <v>6.6302369999999999E-2</v>
      </c>
      <c r="G112" s="14">
        <v>8.3788710000000002E-2</v>
      </c>
      <c r="H112" s="14"/>
      <c r="I112" s="14"/>
      <c r="J112" s="25">
        <f t="shared" si="4"/>
        <v>399.44015999999999</v>
      </c>
      <c r="K112" s="25">
        <f t="shared" si="6"/>
        <v>371.67984000000001</v>
      </c>
    </row>
    <row r="113" spans="1:11" x14ac:dyDescent="0.25">
      <c r="A113">
        <v>3.7</v>
      </c>
      <c r="B113" s="17">
        <v>1.894353E-2</v>
      </c>
      <c r="C113" s="17">
        <v>1.8579229999999999E-2</v>
      </c>
      <c r="F113" s="14">
        <v>6.0837889999999999E-2</v>
      </c>
      <c r="G113" s="14">
        <v>7.8688519999999998E-2</v>
      </c>
      <c r="H113" s="14"/>
      <c r="I113" s="14"/>
      <c r="J113" s="25">
        <f t="shared" si="4"/>
        <v>399.82571999999999</v>
      </c>
      <c r="K113" s="25">
        <f t="shared" si="6"/>
        <v>371.29428000000001</v>
      </c>
    </row>
    <row r="114" spans="1:11" x14ac:dyDescent="0.25">
      <c r="A114">
        <v>3.8</v>
      </c>
      <c r="B114" s="17">
        <v>1.8214939999999999E-2</v>
      </c>
      <c r="C114" s="17">
        <v>1.8214939999999999E-2</v>
      </c>
      <c r="F114" s="14">
        <v>5.8287800000000001E-2</v>
      </c>
      <c r="G114" s="14">
        <v>7.2495450000000003E-2</v>
      </c>
      <c r="H114" s="14"/>
      <c r="I114" s="14"/>
      <c r="J114" s="25">
        <f t="shared" si="4"/>
        <v>400.21127999999999</v>
      </c>
      <c r="K114" s="25">
        <f t="shared" si="6"/>
        <v>370.90872000000002</v>
      </c>
    </row>
    <row r="115" spans="1:11" x14ac:dyDescent="0.25">
      <c r="A115">
        <v>3.9</v>
      </c>
      <c r="B115" s="17">
        <v>1.6029140000000001E-2</v>
      </c>
      <c r="C115" s="17">
        <v>1.5664850000000001E-2</v>
      </c>
      <c r="F115" s="14">
        <v>5.3916209999999999E-2</v>
      </c>
      <c r="G115" s="14">
        <v>6.9945359999999998E-2</v>
      </c>
      <c r="H115" s="14"/>
      <c r="I115" s="14"/>
      <c r="J115" s="25">
        <f t="shared" si="4"/>
        <v>400.59683999999999</v>
      </c>
      <c r="K115" s="25">
        <f t="shared" si="6"/>
        <v>370.52315999999996</v>
      </c>
    </row>
    <row r="116" spans="1:11" x14ac:dyDescent="0.25">
      <c r="A116">
        <v>4</v>
      </c>
      <c r="B116" s="17">
        <v>1.493625E-2</v>
      </c>
      <c r="C116" s="17">
        <v>1.530055E-2</v>
      </c>
      <c r="F116" s="14">
        <v>5.0637519999999998E-2</v>
      </c>
      <c r="G116" s="14">
        <v>6.4845169999999994E-2</v>
      </c>
      <c r="H116" s="14"/>
      <c r="I116" s="14"/>
      <c r="J116" s="25">
        <f t="shared" si="4"/>
        <v>400.98240000000004</v>
      </c>
      <c r="K116" s="25">
        <f t="shared" si="6"/>
        <v>370.13759999999996</v>
      </c>
    </row>
    <row r="117" spans="1:11" x14ac:dyDescent="0.25">
      <c r="A117">
        <v>4.0999999999999996</v>
      </c>
      <c r="B117" s="17">
        <v>1.275046E-2</v>
      </c>
      <c r="C117" s="17">
        <v>1.420765E-2</v>
      </c>
      <c r="F117" s="14">
        <v>4.590164E-2</v>
      </c>
      <c r="G117" s="14">
        <v>5.9016390000000002E-2</v>
      </c>
      <c r="H117" s="14"/>
      <c r="I117" s="14"/>
      <c r="J117" s="25">
        <f t="shared" si="4"/>
        <v>401.36795999999998</v>
      </c>
      <c r="K117" s="25">
        <f t="shared" si="6"/>
        <v>369.75203999999997</v>
      </c>
    </row>
    <row r="118" spans="1:11" x14ac:dyDescent="0.25">
      <c r="A118">
        <v>4.2</v>
      </c>
      <c r="B118" s="17">
        <v>1.238616E-2</v>
      </c>
      <c r="C118" s="17">
        <v>1.3479049999999999E-2</v>
      </c>
      <c r="F118" s="14">
        <v>4.2987249999999998E-2</v>
      </c>
      <c r="G118" s="14">
        <v>5.6101999999999999E-2</v>
      </c>
      <c r="H118" s="14"/>
      <c r="I118" s="14"/>
      <c r="J118" s="25">
        <f t="shared" si="4"/>
        <v>401.75352000000004</v>
      </c>
      <c r="K118" s="25">
        <f t="shared" si="6"/>
        <v>369.36647999999997</v>
      </c>
    </row>
    <row r="119" spans="1:11" x14ac:dyDescent="0.25">
      <c r="A119">
        <v>4.3</v>
      </c>
      <c r="B119" s="17">
        <v>1.1293259999999999E-2</v>
      </c>
      <c r="C119" s="17">
        <v>1.275046E-2</v>
      </c>
      <c r="F119" s="14">
        <v>4.1165760000000003E-2</v>
      </c>
      <c r="G119" s="14">
        <v>5.3187610000000003E-2</v>
      </c>
      <c r="H119" s="14"/>
      <c r="I119" s="14"/>
      <c r="J119" s="25">
        <f t="shared" si="4"/>
        <v>402.13907999999998</v>
      </c>
      <c r="K119" s="25">
        <f t="shared" si="6"/>
        <v>368.98091999999997</v>
      </c>
    </row>
    <row r="120" spans="1:11" x14ac:dyDescent="0.25">
      <c r="A120">
        <v>4.4000000000000004</v>
      </c>
      <c r="B120" s="17">
        <v>9.4717670000000007E-3</v>
      </c>
      <c r="C120" s="17">
        <v>1.2021860000000001E-2</v>
      </c>
      <c r="F120" s="14">
        <v>3.9708559999999997E-2</v>
      </c>
      <c r="G120" s="14">
        <v>5.027322E-2</v>
      </c>
      <c r="H120" s="14"/>
      <c r="I120" s="14"/>
      <c r="J120" s="25">
        <f t="shared" si="4"/>
        <v>402.52464000000003</v>
      </c>
      <c r="K120" s="25">
        <f t="shared" si="6"/>
        <v>368.59535999999997</v>
      </c>
    </row>
    <row r="121" spans="1:11" x14ac:dyDescent="0.25">
      <c r="A121">
        <v>4.5</v>
      </c>
      <c r="B121" s="17">
        <v>9.4717670000000007E-3</v>
      </c>
      <c r="C121" s="17">
        <v>1.056466E-2</v>
      </c>
      <c r="F121" s="14">
        <v>3.5336979999999997E-2</v>
      </c>
      <c r="G121" s="14">
        <v>4.6994540000000001E-2</v>
      </c>
      <c r="H121" s="14"/>
      <c r="I121" s="14"/>
      <c r="J121" s="25">
        <f t="shared" si="4"/>
        <v>402.91019999999997</v>
      </c>
      <c r="K121" s="25">
        <f t="shared" si="6"/>
        <v>368.20979999999997</v>
      </c>
    </row>
    <row r="122" spans="1:11" x14ac:dyDescent="0.25">
      <c r="A122">
        <v>4.5999999999999996</v>
      </c>
      <c r="H122" s="14"/>
      <c r="I122" s="14"/>
      <c r="J122" s="25">
        <f t="shared" si="4"/>
        <v>403.29576000000003</v>
      </c>
      <c r="K122" s="25">
        <f t="shared" si="6"/>
        <v>367.82423999999997</v>
      </c>
    </row>
    <row r="123" spans="1:11" x14ac:dyDescent="0.25">
      <c r="A123">
        <v>4.7</v>
      </c>
      <c r="H123" s="14"/>
      <c r="I123" s="14"/>
      <c r="J123" s="25">
        <f t="shared" si="4"/>
        <v>403.68131999999997</v>
      </c>
      <c r="K123" s="25">
        <f t="shared" si="6"/>
        <v>367.43867999999998</v>
      </c>
    </row>
    <row r="124" spans="1:11" x14ac:dyDescent="0.25">
      <c r="A124">
        <v>4.8</v>
      </c>
      <c r="H124" s="14"/>
      <c r="I124" s="14"/>
      <c r="J124" s="25">
        <f t="shared" si="4"/>
        <v>404.06688000000003</v>
      </c>
      <c r="K124" s="25">
        <f t="shared" si="6"/>
        <v>367.05311999999998</v>
      </c>
    </row>
    <row r="125" spans="1:11" x14ac:dyDescent="0.25">
      <c r="A125">
        <v>4.9000000000000004</v>
      </c>
      <c r="H125" s="14"/>
      <c r="I125" s="14"/>
      <c r="J125" s="25">
        <f t="shared" si="4"/>
        <v>404.45243999999997</v>
      </c>
      <c r="K125" s="25">
        <f t="shared" si="6"/>
        <v>366.66755999999998</v>
      </c>
    </row>
    <row r="126" spans="1:11" x14ac:dyDescent="0.25">
      <c r="A126">
        <v>5</v>
      </c>
      <c r="H126" s="14"/>
      <c r="I126" s="14"/>
      <c r="J126" s="25">
        <f t="shared" si="4"/>
        <v>404.83800000000002</v>
      </c>
      <c r="K126" s="25">
        <f t="shared" si="6"/>
        <v>366.28199999999998</v>
      </c>
    </row>
    <row r="127" spans="1:11" x14ac:dyDescent="0.25">
      <c r="A127">
        <v>5.0999999999999996</v>
      </c>
      <c r="H127" s="14"/>
      <c r="I127" s="14"/>
      <c r="J127" s="25">
        <f t="shared" si="4"/>
        <v>405.22355999999996</v>
      </c>
      <c r="K127" s="25">
        <f t="shared" si="6"/>
        <v>365.89643999999998</v>
      </c>
    </row>
    <row r="128" spans="1:11" x14ac:dyDescent="0.25">
      <c r="A128">
        <v>5.2</v>
      </c>
      <c r="H128" s="14"/>
      <c r="I128" s="14"/>
      <c r="J128" s="25">
        <f t="shared" si="4"/>
        <v>405.60912000000002</v>
      </c>
      <c r="K128" s="25">
        <f t="shared" si="6"/>
        <v>365.51087999999999</v>
      </c>
    </row>
    <row r="257" spans="41:41" x14ac:dyDescent="0.25">
      <c r="AO257">
        <v>4.6994540000000001E-2</v>
      </c>
    </row>
    <row r="258" spans="41:41" x14ac:dyDescent="0.25">
      <c r="AO258">
        <v>5.027322E-2</v>
      </c>
    </row>
    <row r="259" spans="41:41" x14ac:dyDescent="0.25">
      <c r="AO259">
        <v>5.3187610000000003E-2</v>
      </c>
    </row>
    <row r="260" spans="41:41" x14ac:dyDescent="0.25">
      <c r="AO260">
        <v>5.6101999999999999E-2</v>
      </c>
    </row>
    <row r="261" spans="41:41" x14ac:dyDescent="0.25">
      <c r="AO261">
        <v>5.9016390000000002E-2</v>
      </c>
    </row>
    <row r="262" spans="41:41" x14ac:dyDescent="0.25">
      <c r="AO262">
        <v>6.4845169999999994E-2</v>
      </c>
    </row>
    <row r="263" spans="41:41" x14ac:dyDescent="0.25">
      <c r="AO263">
        <v>6.9945359999999998E-2</v>
      </c>
    </row>
    <row r="264" spans="41:41" x14ac:dyDescent="0.25">
      <c r="AO264">
        <v>7.2495450000000003E-2</v>
      </c>
    </row>
    <row r="265" spans="41:41" x14ac:dyDescent="0.25">
      <c r="AO265">
        <v>7.8688519999999998E-2</v>
      </c>
    </row>
    <row r="266" spans="41:41" x14ac:dyDescent="0.25">
      <c r="AO266">
        <v>8.3788710000000002E-2</v>
      </c>
    </row>
    <row r="267" spans="41:41" x14ac:dyDescent="0.25">
      <c r="AO267">
        <v>9.2167579999999999E-2</v>
      </c>
    </row>
    <row r="268" spans="41:41" x14ac:dyDescent="0.25">
      <c r="AO268">
        <v>9.8724950000000006E-2</v>
      </c>
    </row>
    <row r="269" spans="41:41" x14ac:dyDescent="0.25">
      <c r="AO269">
        <v>0.1038251</v>
      </c>
    </row>
    <row r="270" spans="41:41" x14ac:dyDescent="0.25">
      <c r="AO270">
        <v>0.1092896</v>
      </c>
    </row>
    <row r="271" spans="41:41" x14ac:dyDescent="0.25">
      <c r="AO271">
        <v>0.1165756</v>
      </c>
    </row>
    <row r="272" spans="41:41" x14ac:dyDescent="0.25">
      <c r="AO272">
        <v>0.1245902</v>
      </c>
    </row>
    <row r="273" spans="41:41" x14ac:dyDescent="0.25">
      <c r="AO273">
        <v>0.132969</v>
      </c>
    </row>
    <row r="274" spans="41:41" x14ac:dyDescent="0.25">
      <c r="AO274">
        <v>0.14280509999999999</v>
      </c>
    </row>
    <row r="275" spans="41:41" x14ac:dyDescent="0.25">
      <c r="AO275">
        <v>0.1540984</v>
      </c>
    </row>
    <row r="276" spans="41:41" x14ac:dyDescent="0.25">
      <c r="AO276">
        <v>0.1653916</v>
      </c>
    </row>
    <row r="277" spans="41:41" x14ac:dyDescent="0.25">
      <c r="AO277">
        <v>0.17923500000000001</v>
      </c>
    </row>
    <row r="278" spans="41:41" x14ac:dyDescent="0.25">
      <c r="AO278">
        <v>0.19234970000000001</v>
      </c>
    </row>
    <row r="279" spans="41:41" x14ac:dyDescent="0.25">
      <c r="AO279">
        <v>0.2014572</v>
      </c>
    </row>
    <row r="280" spans="41:41" x14ac:dyDescent="0.25">
      <c r="AO280">
        <v>0.21639340000000001</v>
      </c>
    </row>
    <row r="281" spans="41:41" x14ac:dyDescent="0.25">
      <c r="AO281">
        <v>0.2269581</v>
      </c>
    </row>
    <row r="282" spans="41:41" x14ac:dyDescent="0.25">
      <c r="AO282">
        <v>0.23715849999999999</v>
      </c>
    </row>
    <row r="283" spans="41:41" x14ac:dyDescent="0.25">
      <c r="AO283">
        <v>0.24881600000000001</v>
      </c>
    </row>
    <row r="284" spans="41:41" x14ac:dyDescent="0.25">
      <c r="AO284">
        <v>0.26411659999999998</v>
      </c>
    </row>
    <row r="285" spans="41:41" x14ac:dyDescent="0.25">
      <c r="AO285">
        <v>0.27868850000000001</v>
      </c>
    </row>
    <row r="286" spans="41:41" x14ac:dyDescent="0.25">
      <c r="AO286">
        <v>0.2928962</v>
      </c>
    </row>
    <row r="287" spans="41:41" x14ac:dyDescent="0.25">
      <c r="AO287">
        <v>0.30491800000000002</v>
      </c>
    </row>
    <row r="288" spans="41:41" x14ac:dyDescent="0.25">
      <c r="AO288">
        <v>0.31621129999999997</v>
      </c>
    </row>
    <row r="289" spans="41:41" x14ac:dyDescent="0.25">
      <c r="AO289">
        <v>0.33187610000000001</v>
      </c>
    </row>
    <row r="290" spans="41:41" x14ac:dyDescent="0.25">
      <c r="AO290">
        <v>0.34936250000000002</v>
      </c>
    </row>
    <row r="291" spans="41:41" x14ac:dyDescent="0.25">
      <c r="AO291">
        <v>0.36466300000000001</v>
      </c>
    </row>
    <row r="292" spans="41:41" x14ac:dyDescent="0.25">
      <c r="AO292">
        <v>0.37850640000000002</v>
      </c>
    </row>
    <row r="293" spans="41:41" x14ac:dyDescent="0.25">
      <c r="AO293">
        <v>0.38870670000000002</v>
      </c>
    </row>
    <row r="294" spans="41:41" x14ac:dyDescent="0.25">
      <c r="AO294">
        <v>0.40400730000000001</v>
      </c>
    </row>
    <row r="295" spans="41:41" x14ac:dyDescent="0.25">
      <c r="AO295">
        <v>0.41857919999999998</v>
      </c>
    </row>
    <row r="296" spans="41:41" x14ac:dyDescent="0.25">
      <c r="AO296">
        <v>0.43387979999999998</v>
      </c>
    </row>
    <row r="297" spans="41:41" x14ac:dyDescent="0.25">
      <c r="AO297">
        <v>0.45209470000000002</v>
      </c>
    </row>
    <row r="298" spans="41:41" x14ac:dyDescent="0.25">
      <c r="AO298">
        <v>0.46921679999999999</v>
      </c>
    </row>
    <row r="299" spans="41:41" x14ac:dyDescent="0.25">
      <c r="AO299">
        <v>0.48306009999999999</v>
      </c>
    </row>
    <row r="300" spans="41:41" x14ac:dyDescent="0.25">
      <c r="AO300">
        <v>0.49981789999999998</v>
      </c>
    </row>
    <row r="301" spans="41:41" x14ac:dyDescent="0.25">
      <c r="AO301">
        <v>0.51511839999999998</v>
      </c>
    </row>
  </sheetData>
  <sortState xmlns:xlrd2="http://schemas.microsoft.com/office/spreadsheetml/2017/richdata2" ref="G77:G121">
    <sortCondition descending="1" ref="G77:G121"/>
  </sortState>
  <conditionalFormatting sqref="R9:R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6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4:Y65 U52:V53 U9:U51 X9:Y5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B6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6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D6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:B12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7:C12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:D10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89:AF107 AF8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7:F107 F108:F121 H77:H12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I6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7:AA10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7:I1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4:T65 V9:V5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:T4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9:W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81:AF88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7:G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0EAB-02CD-46D1-B1DE-32D1E4165B6E}">
  <dimension ref="A1:O23"/>
  <sheetViews>
    <sheetView workbookViewId="0">
      <selection activeCell="E27" sqref="E27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7.140625" bestFit="1" customWidth="1"/>
    <col min="4" max="4" width="7.7109375" bestFit="1" customWidth="1"/>
    <col min="5" max="5" width="12.5703125" customWidth="1"/>
    <col min="7" max="7" width="15.5703125" bestFit="1" customWidth="1"/>
    <col min="8" max="8" width="9.85546875" customWidth="1"/>
    <col min="9" max="9" width="8" bestFit="1" customWidth="1"/>
    <col min="10" max="10" width="8.140625" customWidth="1"/>
    <col min="11" max="11" width="11.42578125" bestFit="1" customWidth="1"/>
  </cols>
  <sheetData>
    <row r="1" spans="1:15" x14ac:dyDescent="0.25">
      <c r="A1" s="1" t="s">
        <v>0</v>
      </c>
      <c r="B1">
        <v>1000</v>
      </c>
      <c r="C1" s="1" t="s">
        <v>1</v>
      </c>
      <c r="D1">
        <v>11</v>
      </c>
      <c r="E1" s="1" t="s">
        <v>19</v>
      </c>
      <c r="F1" s="7">
        <v>367.95</v>
      </c>
      <c r="G1" s="13">
        <f>$F$1*0.991</f>
        <v>364.63844999999998</v>
      </c>
      <c r="H1" s="12">
        <f>$F$1*1.009</f>
        <v>371.26154999999994</v>
      </c>
      <c r="I1" s="52" t="s">
        <v>20</v>
      </c>
      <c r="J1" s="52"/>
      <c r="K1" s="13">
        <f>$F$1*0.982</f>
        <v>361.32689999999997</v>
      </c>
      <c r="L1" s="12">
        <f>$F$1*1.017</f>
        <v>374.20514999999995</v>
      </c>
    </row>
    <row r="2" spans="1:15" x14ac:dyDescent="0.25">
      <c r="A2" s="7"/>
      <c r="C2" s="7"/>
      <c r="F2" s="7"/>
      <c r="G2" s="7">
        <v>364</v>
      </c>
      <c r="H2">
        <v>372</v>
      </c>
      <c r="I2" s="7"/>
      <c r="K2" s="13">
        <f>$F$1*(1+'Prob Table'!M5)</f>
        <v>362.18234511524997</v>
      </c>
      <c r="L2" s="13">
        <f>$F$1*('Prob Table'!M4+1)</f>
        <v>373.68474212519999</v>
      </c>
    </row>
    <row r="3" spans="1:15" x14ac:dyDescent="0.25">
      <c r="A3" s="7"/>
      <c r="C3" s="7"/>
      <c r="E3" s="14"/>
      <c r="F3" s="14"/>
      <c r="G3" s="14">
        <f>G2/$F$1-1</f>
        <v>-1.0735154232912048E-2</v>
      </c>
      <c r="H3" s="14">
        <f>H2/$F$1-1</f>
        <v>1.1006930289441552E-2</v>
      </c>
      <c r="I3" s="7"/>
    </row>
    <row r="4" spans="1:15" x14ac:dyDescent="0.25">
      <c r="A4" s="7"/>
      <c r="C4" s="7"/>
      <c r="I4" s="7"/>
    </row>
    <row r="5" spans="1:15" x14ac:dyDescent="0.25">
      <c r="A5" s="8" t="s">
        <v>14</v>
      </c>
      <c r="B5" s="9" t="s">
        <v>11</v>
      </c>
      <c r="C5" s="9" t="s">
        <v>5</v>
      </c>
      <c r="D5" s="9" t="s">
        <v>137</v>
      </c>
      <c r="E5" s="9" t="s">
        <v>17</v>
      </c>
      <c r="G5" s="8" t="s">
        <v>15</v>
      </c>
      <c r="H5" s="9" t="s">
        <v>11</v>
      </c>
      <c r="I5" s="9" t="s">
        <v>5</v>
      </c>
      <c r="J5" s="9" t="s">
        <v>137</v>
      </c>
      <c r="K5" s="9" t="s">
        <v>18</v>
      </c>
      <c r="M5" s="10" t="s">
        <v>16</v>
      </c>
    </row>
    <row r="6" spans="1:15" x14ac:dyDescent="0.25">
      <c r="A6">
        <f>G2-1</f>
        <v>363</v>
      </c>
      <c r="B6" s="18">
        <v>7.82</v>
      </c>
      <c r="C6">
        <f>B6-B7</f>
        <v>0.70000000000000018</v>
      </c>
      <c r="D6" s="34">
        <f>C6-C7</f>
        <v>4.9999999999999822E-2</v>
      </c>
      <c r="E6" s="18"/>
      <c r="G6">
        <f>H2-6</f>
        <v>366</v>
      </c>
      <c r="H6" s="18">
        <v>3.8</v>
      </c>
      <c r="J6" s="5"/>
      <c r="K6" s="18"/>
      <c r="M6" s="16">
        <f>C6+I12</f>
        <v>1.2800000000000002</v>
      </c>
      <c r="N6" s="19">
        <f>D6+J12</f>
        <v>8.9999999999999858E-2</v>
      </c>
    </row>
    <row r="7" spans="1:15" x14ac:dyDescent="0.25">
      <c r="A7">
        <f>A6+1</f>
        <v>364</v>
      </c>
      <c r="B7">
        <v>7.12</v>
      </c>
      <c r="C7">
        <f t="shared" ref="C7:C10" si="0">B7-B8</f>
        <v>0.65000000000000036</v>
      </c>
      <c r="D7" s="34">
        <f t="shared" ref="D7:D11" si="1">C7-C8</f>
        <v>2.0000000000000462E-2</v>
      </c>
      <c r="E7" s="3"/>
      <c r="G7">
        <f>G6+1</f>
        <v>367</v>
      </c>
      <c r="H7">
        <v>4.2</v>
      </c>
      <c r="I7">
        <f t="shared" ref="I7" si="2">H7-H6</f>
        <v>0.40000000000000036</v>
      </c>
      <c r="J7" s="34">
        <f>I7-I6</f>
        <v>0.40000000000000036</v>
      </c>
      <c r="K7" s="3"/>
      <c r="M7" s="16">
        <f>C7+I11</f>
        <v>1.1900000000000004</v>
      </c>
      <c r="N7" s="19">
        <f>D7+J11</f>
        <v>5.0000000000000711E-2</v>
      </c>
      <c r="O7" s="6">
        <f>N7-N6</f>
        <v>-3.9999999999999147E-2</v>
      </c>
    </row>
    <row r="8" spans="1:15" x14ac:dyDescent="0.25">
      <c r="A8">
        <f t="shared" ref="A8:A12" si="3">A7+1</f>
        <v>365</v>
      </c>
      <c r="B8">
        <v>6.47</v>
      </c>
      <c r="C8">
        <f>B8-B9</f>
        <v>0.62999999999999989</v>
      </c>
      <c r="D8" s="34">
        <f t="shared" si="1"/>
        <v>3.0000000000000249E-2</v>
      </c>
      <c r="E8" s="3"/>
      <c r="G8">
        <f t="shared" ref="G8:G12" si="4">G7+1</f>
        <v>368</v>
      </c>
      <c r="H8">
        <v>4.62</v>
      </c>
      <c r="I8">
        <f>H8-H7</f>
        <v>0.41999999999999993</v>
      </c>
      <c r="J8" s="34">
        <f t="shared" ref="J8:J12" si="5">I8-I7</f>
        <v>1.9999999999999574E-2</v>
      </c>
      <c r="K8" s="3"/>
      <c r="M8" s="16">
        <f>C8+I10</f>
        <v>1.1399999999999997</v>
      </c>
      <c r="N8" s="19">
        <f>D8+J10</f>
        <v>7.0000000000000284E-2</v>
      </c>
      <c r="O8" s="6">
        <f>N8-N7</f>
        <v>1.9999999999999574E-2</v>
      </c>
    </row>
    <row r="9" spans="1:15" x14ac:dyDescent="0.25">
      <c r="A9">
        <f t="shared" si="3"/>
        <v>366</v>
      </c>
      <c r="B9">
        <v>5.84</v>
      </c>
      <c r="C9">
        <f t="shared" si="0"/>
        <v>0.59999999999999964</v>
      </c>
      <c r="D9" s="34">
        <f t="shared" si="1"/>
        <v>3.9999999999999147E-2</v>
      </c>
      <c r="E9" s="3"/>
      <c r="G9">
        <f t="shared" si="4"/>
        <v>369</v>
      </c>
      <c r="H9">
        <v>5.09</v>
      </c>
      <c r="I9">
        <f>H9-H8</f>
        <v>0.46999999999999975</v>
      </c>
      <c r="J9" s="34">
        <f t="shared" si="5"/>
        <v>4.9999999999999822E-2</v>
      </c>
      <c r="K9" s="3"/>
      <c r="M9" s="16">
        <f>C9+I9</f>
        <v>1.0699999999999994</v>
      </c>
      <c r="N9" s="19">
        <f>D9+J9</f>
        <v>8.999999999999897E-2</v>
      </c>
      <c r="O9" s="6">
        <f>N9-N8</f>
        <v>1.9999999999998685E-2</v>
      </c>
    </row>
    <row r="10" spans="1:15" x14ac:dyDescent="0.25">
      <c r="A10">
        <f t="shared" si="3"/>
        <v>367</v>
      </c>
      <c r="B10">
        <v>5.24</v>
      </c>
      <c r="C10">
        <f t="shared" si="0"/>
        <v>0.5600000000000005</v>
      </c>
      <c r="D10" s="34">
        <f t="shared" si="1"/>
        <v>2.0000000000000462E-2</v>
      </c>
      <c r="E10" s="3"/>
      <c r="G10">
        <f t="shared" si="4"/>
        <v>370</v>
      </c>
      <c r="H10">
        <v>5.6</v>
      </c>
      <c r="I10">
        <f>H10-H9</f>
        <v>0.50999999999999979</v>
      </c>
      <c r="J10" s="34">
        <f t="shared" si="5"/>
        <v>4.0000000000000036E-2</v>
      </c>
      <c r="K10" s="3"/>
      <c r="M10" s="16">
        <f>C10+I8</f>
        <v>0.98000000000000043</v>
      </c>
      <c r="N10" s="19">
        <f>D10+J8</f>
        <v>4.0000000000000036E-2</v>
      </c>
      <c r="O10" s="6">
        <f>N10-N9</f>
        <v>-4.9999999999998934E-2</v>
      </c>
    </row>
    <row r="11" spans="1:15" x14ac:dyDescent="0.25">
      <c r="A11">
        <f t="shared" si="3"/>
        <v>368</v>
      </c>
      <c r="B11">
        <v>4.68</v>
      </c>
      <c r="C11">
        <f>B11-B12</f>
        <v>0.54</v>
      </c>
      <c r="D11" s="34">
        <f t="shared" si="1"/>
        <v>0.54</v>
      </c>
      <c r="E11" s="3"/>
      <c r="G11">
        <f t="shared" si="4"/>
        <v>371</v>
      </c>
      <c r="H11">
        <v>6.14</v>
      </c>
      <c r="I11">
        <f>H11-H10</f>
        <v>0.54</v>
      </c>
      <c r="J11" s="34">
        <f t="shared" si="5"/>
        <v>3.0000000000000249E-2</v>
      </c>
      <c r="K11" s="3"/>
      <c r="M11" s="16">
        <f>C11+I7</f>
        <v>0.94000000000000039</v>
      </c>
      <c r="N11" s="19">
        <f>D11+J7</f>
        <v>0.94000000000000039</v>
      </c>
      <c r="O11" s="6">
        <f>N11-N10</f>
        <v>0.90000000000000036</v>
      </c>
    </row>
    <row r="12" spans="1:15" x14ac:dyDescent="0.25">
      <c r="A12">
        <f t="shared" si="3"/>
        <v>369</v>
      </c>
      <c r="B12">
        <v>4.1399999999999997</v>
      </c>
      <c r="D12" s="4"/>
      <c r="E12" s="2"/>
      <c r="G12">
        <f t="shared" si="4"/>
        <v>372</v>
      </c>
      <c r="H12">
        <v>6.72</v>
      </c>
      <c r="I12">
        <f>H12-H11</f>
        <v>0.58000000000000007</v>
      </c>
      <c r="J12" s="34">
        <f t="shared" si="5"/>
        <v>4.0000000000000036E-2</v>
      </c>
      <c r="K12" s="11"/>
    </row>
    <row r="14" spans="1:15" x14ac:dyDescent="0.25">
      <c r="B14" s="15"/>
      <c r="C14" s="6"/>
      <c r="F14" s="6"/>
      <c r="G14" s="6"/>
    </row>
    <row r="15" spans="1:15" x14ac:dyDescent="0.25">
      <c r="B15" s="13"/>
      <c r="E15">
        <v>0.65</v>
      </c>
      <c r="F15" s="13">
        <f>E15+0.58</f>
        <v>1.23</v>
      </c>
      <c r="G15" s="6"/>
      <c r="I15" s="17"/>
      <c r="J15" s="17"/>
    </row>
    <row r="16" spans="1:15" x14ac:dyDescent="0.25">
      <c r="F16" s="13"/>
      <c r="G16" s="6"/>
    </row>
    <row r="17" spans="1:10" x14ac:dyDescent="0.25">
      <c r="F17" s="13"/>
    </row>
    <row r="18" spans="1:10" x14ac:dyDescent="0.25">
      <c r="F18" s="6"/>
    </row>
    <row r="19" spans="1:10" x14ac:dyDescent="0.25">
      <c r="F19" s="6"/>
    </row>
    <row r="20" spans="1:10" x14ac:dyDescent="0.25">
      <c r="F20" s="6"/>
    </row>
    <row r="21" spans="1:10" x14ac:dyDescent="0.25">
      <c r="D21" s="20"/>
    </row>
    <row r="22" spans="1:10" x14ac:dyDescent="0.25">
      <c r="A22" s="20"/>
      <c r="B22" s="20"/>
      <c r="D22" s="20"/>
    </row>
    <row r="23" spans="1:10" x14ac:dyDescent="0.25">
      <c r="A23" s="20"/>
      <c r="B23" s="20"/>
      <c r="D23" s="20"/>
      <c r="I23" s="17"/>
      <c r="J23" s="17"/>
    </row>
  </sheetData>
  <mergeCells count="1">
    <mergeCell ref="I1:J1"/>
  </mergeCells>
  <conditionalFormatting sqref="K7:K12">
    <cfRule type="expression" dxfId="17" priority="4">
      <formula>$K7&gt;=$K8</formula>
    </cfRule>
  </conditionalFormatting>
  <conditionalFormatting sqref="K7:K11">
    <cfRule type="expression" dxfId="16" priority="3">
      <formula>$K7&lt;$K8</formula>
    </cfRule>
  </conditionalFormatting>
  <conditionalFormatting sqref="E7:E12">
    <cfRule type="expression" dxfId="15" priority="5">
      <formula>$E7&lt;$E8</formula>
    </cfRule>
    <cfRule type="expression" dxfId="14" priority="6">
      <formula>$E7&gt;=$E8</formula>
    </cfRule>
  </conditionalFormatting>
  <conditionalFormatting sqref="O6:O11">
    <cfRule type="expression" dxfId="13" priority="1">
      <formula>$O6&lt;$O7</formula>
    </cfRule>
    <cfRule type="expression" dxfId="12" priority="2">
      <formula>$O6&gt;=$O7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62"/>
  <sheetViews>
    <sheetView tabSelected="1" topLeftCell="M106" zoomScale="70" zoomScaleNormal="70" workbookViewId="0">
      <selection activeCell="AK128" sqref="AK128"/>
    </sheetView>
  </sheetViews>
  <sheetFormatPr defaultRowHeight="15" x14ac:dyDescent="0.25"/>
  <cols>
    <col min="1" max="1" width="15" customWidth="1"/>
    <col min="2" max="2" width="15.42578125" bestFit="1" customWidth="1"/>
    <col min="3" max="3" width="16.28515625" bestFit="1" customWidth="1"/>
    <col min="4" max="5" width="16.28515625" customWidth="1"/>
    <col min="6" max="6" width="10.140625" bestFit="1" customWidth="1"/>
    <col min="7" max="7" width="10" bestFit="1" customWidth="1"/>
    <col min="8" max="10" width="10.5703125" customWidth="1"/>
    <col min="12" max="12" width="10" bestFit="1" customWidth="1"/>
    <col min="13" max="13" width="14.85546875" bestFit="1" customWidth="1"/>
    <col min="14" max="14" width="14.42578125" bestFit="1" customWidth="1"/>
    <col min="38" max="38" width="9.7109375" bestFit="1" customWidth="1"/>
    <col min="41" max="41" width="12" customWidth="1"/>
  </cols>
  <sheetData>
    <row r="1" spans="1:41" x14ac:dyDescent="0.25">
      <c r="A1" t="s">
        <v>38</v>
      </c>
      <c r="B1">
        <v>12.04</v>
      </c>
      <c r="C1" t="s">
        <v>27</v>
      </c>
      <c r="D1" s="14">
        <v>4.2027999999999996E-3</v>
      </c>
      <c r="E1" t="s">
        <v>26</v>
      </c>
      <c r="F1" s="14">
        <v>1.425525E-3</v>
      </c>
      <c r="G1" t="s">
        <v>25</v>
      </c>
      <c r="H1" s="14">
        <v>1.8269899999999999E-3</v>
      </c>
      <c r="Q1">
        <v>12.04</v>
      </c>
      <c r="R1" t="s">
        <v>39</v>
      </c>
      <c r="S1">
        <v>13.19</v>
      </c>
      <c r="T1" t="s">
        <v>27</v>
      </c>
      <c r="U1" s="14">
        <v>4.8913159999999997E-3</v>
      </c>
      <c r="V1" t="s">
        <v>26</v>
      </c>
      <c r="W1" s="14">
        <v>8.3619460000000005E-4</v>
      </c>
      <c r="X1" t="s">
        <v>25</v>
      </c>
      <c r="Y1" s="14">
        <v>1.164233E-3</v>
      </c>
      <c r="AD1">
        <v>13.19</v>
      </c>
      <c r="AE1" t="s">
        <v>43</v>
      </c>
      <c r="AF1">
        <v>14.61</v>
      </c>
      <c r="AG1" t="s">
        <v>27</v>
      </c>
      <c r="AH1" s="14">
        <v>5.9882679999999997E-3</v>
      </c>
      <c r="AI1" t="s">
        <v>26</v>
      </c>
      <c r="AJ1" s="14">
        <v>5.2984470000000004E-4</v>
      </c>
      <c r="AK1" t="s">
        <v>25</v>
      </c>
      <c r="AL1" s="14">
        <v>8.3176590000000003E-4</v>
      </c>
    </row>
    <row r="2" spans="1:41" x14ac:dyDescent="0.25">
      <c r="A2" t="s">
        <v>67</v>
      </c>
      <c r="C2" t="s">
        <v>27</v>
      </c>
      <c r="D2" s="14">
        <v>6.8848850000000003E-3</v>
      </c>
      <c r="E2" t="s">
        <v>56</v>
      </c>
      <c r="F2" s="14">
        <v>4.4737259999999999E-3</v>
      </c>
      <c r="G2" t="s">
        <v>57</v>
      </c>
      <c r="H2" s="14">
        <v>4.7532720000000002E-3</v>
      </c>
      <c r="I2" s="14"/>
      <c r="J2" s="14"/>
      <c r="T2" t="s">
        <v>27</v>
      </c>
      <c r="U2" s="14">
        <v>8.0967920000000002E-3</v>
      </c>
      <c r="V2" t="s">
        <v>56</v>
      </c>
      <c r="W2" s="14">
        <v>3.3040270000000002E-3</v>
      </c>
      <c r="X2" t="s">
        <v>57</v>
      </c>
      <c r="Y2" s="14">
        <v>3.6452419999999999E-3</v>
      </c>
      <c r="AG2" t="s">
        <v>27</v>
      </c>
      <c r="AH2" s="14">
        <v>1.027695E-2</v>
      </c>
      <c r="AI2" t="s">
        <v>56</v>
      </c>
      <c r="AJ2" s="14">
        <v>1.952823E-3</v>
      </c>
      <c r="AK2" t="s">
        <v>57</v>
      </c>
      <c r="AL2" s="14">
        <v>2.4676120000000001E-3</v>
      </c>
    </row>
    <row r="3" spans="1:41" x14ac:dyDescent="0.25">
      <c r="A3" t="s">
        <v>64</v>
      </c>
      <c r="C3" t="s">
        <v>27</v>
      </c>
      <c r="D3" s="14">
        <v>8.1719689999999994E-3</v>
      </c>
      <c r="E3" t="s">
        <v>26</v>
      </c>
      <c r="F3" s="14">
        <v>6.6346790000000001E-3</v>
      </c>
      <c r="G3" t="s">
        <v>25</v>
      </c>
      <c r="H3" s="14">
        <v>6.9162599999999996E-3</v>
      </c>
      <c r="I3" s="14"/>
      <c r="J3" s="14"/>
      <c r="K3" t="s">
        <v>61</v>
      </c>
      <c r="L3" t="s">
        <v>67</v>
      </c>
      <c r="M3" t="s">
        <v>64</v>
      </c>
      <c r="T3" t="s">
        <v>27</v>
      </c>
      <c r="U3" s="14">
        <v>1.0255520000000001E-2</v>
      </c>
      <c r="V3" t="s">
        <v>26</v>
      </c>
      <c r="W3" s="14">
        <v>5.6951190000000002E-3</v>
      </c>
      <c r="X3" t="s">
        <v>25</v>
      </c>
      <c r="Y3" s="14">
        <v>6.0689359999999996E-3</v>
      </c>
      <c r="Z3" t="s">
        <v>61</v>
      </c>
      <c r="AA3" t="s">
        <v>67</v>
      </c>
      <c r="AB3" t="s">
        <v>64</v>
      </c>
      <c r="AG3" t="s">
        <v>27</v>
      </c>
      <c r="AH3" s="14">
        <v>1.275717E-2</v>
      </c>
      <c r="AI3" t="s">
        <v>26</v>
      </c>
      <c r="AJ3" s="14">
        <v>3.8552109999999999E-3</v>
      </c>
      <c r="AK3" t="s">
        <v>25</v>
      </c>
      <c r="AL3" s="14">
        <v>4.1411670000000003E-3</v>
      </c>
      <c r="AM3" t="s">
        <v>61</v>
      </c>
      <c r="AN3" t="s">
        <v>67</v>
      </c>
      <c r="AO3" t="s">
        <v>64</v>
      </c>
    </row>
    <row r="4" spans="1:41" x14ac:dyDescent="0.25">
      <c r="A4" t="s">
        <v>27</v>
      </c>
      <c r="B4" s="14">
        <v>3.1827679999999999E-3</v>
      </c>
      <c r="C4" s="14">
        <v>2.177086E-3</v>
      </c>
      <c r="D4" s="14">
        <v>5.222768E-3</v>
      </c>
      <c r="E4" s="14">
        <v>2.9020449999999998E-3</v>
      </c>
      <c r="F4" s="14">
        <v>6.453388E-3</v>
      </c>
      <c r="G4" s="14">
        <v>3.3212049999999998E-3</v>
      </c>
      <c r="J4" s="21" t="s">
        <v>40</v>
      </c>
      <c r="K4">
        <v>550</v>
      </c>
      <c r="L4">
        <v>617</v>
      </c>
      <c r="M4">
        <v>649</v>
      </c>
      <c r="Q4" t="s">
        <v>27</v>
      </c>
      <c r="R4" s="14">
        <v>3.514508E-3</v>
      </c>
      <c r="S4" s="14">
        <v>2.8159230000000001E-3</v>
      </c>
      <c r="T4" s="14">
        <v>5.6682590000000001E-3</v>
      </c>
      <c r="U4" s="14">
        <v>4.5333639999999998E-3</v>
      </c>
      <c r="V4" s="14">
        <v>7.4954890000000001E-3</v>
      </c>
      <c r="W4" s="14">
        <v>5.1483700000000002E-3</v>
      </c>
      <c r="X4" s="14"/>
      <c r="Y4" s="21" t="s">
        <v>40</v>
      </c>
      <c r="Z4">
        <v>398</v>
      </c>
      <c r="AA4">
        <v>564</v>
      </c>
      <c r="AB4">
        <v>599</v>
      </c>
      <c r="AD4" t="s">
        <v>27</v>
      </c>
      <c r="AE4" s="14">
        <v>4.0622660000000001E-3</v>
      </c>
      <c r="AF4" s="14">
        <v>3.5267599999999999E-3</v>
      </c>
      <c r="AG4">
        <v>7.2712059999999997E-3</v>
      </c>
      <c r="AH4">
        <v>5.5874490000000004E-3</v>
      </c>
      <c r="AI4" s="14">
        <v>8.8103290000000004E-3</v>
      </c>
      <c r="AJ4" s="14">
        <v>6.601048E-3</v>
      </c>
      <c r="AK4" s="14"/>
      <c r="AL4" s="21" t="s">
        <v>40</v>
      </c>
      <c r="AM4">
        <v>447</v>
      </c>
      <c r="AN4">
        <v>493</v>
      </c>
      <c r="AO4">
        <v>503</v>
      </c>
    </row>
    <row r="5" spans="1:41" x14ac:dyDescent="0.25">
      <c r="A5" t="s">
        <v>26</v>
      </c>
      <c r="B5" s="14">
        <v>3.1899630000000001E-3</v>
      </c>
      <c r="C5" s="14">
        <v>-1.853365E-3</v>
      </c>
      <c r="D5" s="14">
        <v>6.8180699999999999E-3</v>
      </c>
      <c r="E5" s="14">
        <v>-3.068126E-3</v>
      </c>
      <c r="F5" s="14">
        <v>9.1489060000000001E-3</v>
      </c>
      <c r="G5" s="14">
        <v>-2.9561840000000002E-3</v>
      </c>
      <c r="J5" s="21" t="s">
        <v>41</v>
      </c>
      <c r="K5">
        <v>272</v>
      </c>
      <c r="L5">
        <v>207</v>
      </c>
      <c r="M5">
        <v>174</v>
      </c>
      <c r="Q5" t="s">
        <v>26</v>
      </c>
      <c r="R5" s="14">
        <v>3.2441480000000001E-3</v>
      </c>
      <c r="S5" s="14">
        <v>-2.4032530000000002E-3</v>
      </c>
      <c r="T5" s="14">
        <v>6.9062239999999999E-3</v>
      </c>
      <c r="U5" s="14">
        <v>-4.1007229999999997E-3</v>
      </c>
      <c r="V5" s="14">
        <v>9.2926410000000008E-3</v>
      </c>
      <c r="W5" s="14">
        <v>-4.8268790000000001E-3</v>
      </c>
      <c r="X5" s="14"/>
      <c r="Y5" s="21" t="s">
        <v>41</v>
      </c>
      <c r="Z5">
        <v>325</v>
      </c>
      <c r="AA5">
        <v>260</v>
      </c>
      <c r="AB5">
        <v>225</v>
      </c>
      <c r="AD5" t="s">
        <v>26</v>
      </c>
      <c r="AE5" s="14">
        <v>3.981119E-3</v>
      </c>
      <c r="AF5" s="14">
        <v>-3.208322E-3</v>
      </c>
      <c r="AG5">
        <v>7.0850469999999997E-3</v>
      </c>
      <c r="AH5">
        <v>-5.7924509999999997E-3</v>
      </c>
      <c r="AI5" s="14">
        <v>9.9976279999999997E-3</v>
      </c>
      <c r="AJ5" s="14">
        <v>-6.5326100000000003E-3</v>
      </c>
      <c r="AK5" s="14"/>
      <c r="AL5" s="21" t="s">
        <v>41</v>
      </c>
      <c r="AM5">
        <v>377</v>
      </c>
      <c r="AN5">
        <v>331</v>
      </c>
      <c r="AO5">
        <v>321</v>
      </c>
    </row>
    <row r="6" spans="1:41" x14ac:dyDescent="0.25">
      <c r="A6" t="s">
        <v>25</v>
      </c>
      <c r="B6" s="14">
        <v>3.9806449999999997E-3</v>
      </c>
      <c r="C6" s="14">
        <v>-2.4918050000000001E-3</v>
      </c>
      <c r="D6" s="14">
        <v>7.640483E-3</v>
      </c>
      <c r="E6" s="14">
        <v>-3.8525690000000001E-3</v>
      </c>
      <c r="F6" s="14">
        <v>9.8359750000000003E-3</v>
      </c>
      <c r="G6" s="14">
        <v>-3.9341940000000002E-3</v>
      </c>
      <c r="J6" t="s">
        <v>42</v>
      </c>
      <c r="K6" s="13">
        <f>K4/K5</f>
        <v>2.0220588235294117</v>
      </c>
      <c r="L6" s="13">
        <f>L4/L5</f>
        <v>2.9806763285024154</v>
      </c>
      <c r="M6" s="13">
        <f>M4/M5</f>
        <v>3.7298850574712645</v>
      </c>
      <c r="N6" s="13"/>
      <c r="O6" s="13"/>
      <c r="Q6" t="s">
        <v>25</v>
      </c>
      <c r="R6" s="14">
        <v>4.120917E-3</v>
      </c>
      <c r="S6" s="14">
        <v>-3.3475620000000001E-3</v>
      </c>
      <c r="T6" s="14">
        <v>7.7789290000000004E-3</v>
      </c>
      <c r="U6" s="14">
        <v>-5.3216770000000004E-3</v>
      </c>
      <c r="V6" s="14">
        <v>1.0698930000000001E-2</v>
      </c>
      <c r="W6" s="14">
        <v>-6.2571299999999996E-3</v>
      </c>
      <c r="X6" s="14"/>
      <c r="Y6" t="s">
        <v>42</v>
      </c>
      <c r="Z6" s="13">
        <f>Z4/Z5</f>
        <v>1.2246153846153847</v>
      </c>
      <c r="AA6" s="13">
        <f>AA4/AA5</f>
        <v>2.1692307692307691</v>
      </c>
      <c r="AB6" s="13">
        <f>AB4/AB5</f>
        <v>2.6622222222222223</v>
      </c>
      <c r="AD6" t="s">
        <v>25</v>
      </c>
      <c r="AE6" s="14">
        <v>5.0660439999999996E-3</v>
      </c>
      <c r="AF6" s="14">
        <v>-4.1774860000000002E-3</v>
      </c>
      <c r="AG6">
        <v>8.8890489999999996E-3</v>
      </c>
      <c r="AH6">
        <v>-7.0966429999999997E-3</v>
      </c>
      <c r="AI6" s="14">
        <v>1.2063030000000001E-2</v>
      </c>
      <c r="AJ6" s="14">
        <v>-8.2722130000000005E-3</v>
      </c>
      <c r="AK6" s="14"/>
      <c r="AL6" t="s">
        <v>42</v>
      </c>
      <c r="AM6" s="13">
        <f>AM4/AM5</f>
        <v>1.1856763925729443</v>
      </c>
      <c r="AN6" s="13">
        <f>AN4/AN5</f>
        <v>1.4894259818731117</v>
      </c>
      <c r="AO6" s="13">
        <f>AO4/AO5</f>
        <v>1.5669781931464175</v>
      </c>
    </row>
    <row r="7" spans="1:41" x14ac:dyDescent="0.25">
      <c r="A7" t="s">
        <v>31</v>
      </c>
      <c r="B7" t="s">
        <v>30</v>
      </c>
      <c r="C7" t="s">
        <v>33</v>
      </c>
      <c r="D7" t="s">
        <v>58</v>
      </c>
      <c r="E7" t="s">
        <v>59</v>
      </c>
      <c r="F7" t="s">
        <v>65</v>
      </c>
      <c r="G7" t="s">
        <v>66</v>
      </c>
      <c r="K7" s="17">
        <f>K4/SUM(K4:K5)</f>
        <v>0.66909975669099753</v>
      </c>
      <c r="L7" s="17">
        <f>L4/SUM(L4:L5)</f>
        <v>0.74878640776699024</v>
      </c>
      <c r="M7" s="17">
        <f>M4/SUM(M4:M5)</f>
        <v>0.78857837181044954</v>
      </c>
      <c r="N7" s="17"/>
      <c r="O7" s="17"/>
      <c r="Q7" t="s">
        <v>31</v>
      </c>
      <c r="R7" t="s">
        <v>30</v>
      </c>
      <c r="S7" t="s">
        <v>33</v>
      </c>
      <c r="T7" t="s">
        <v>58</v>
      </c>
      <c r="U7" t="s">
        <v>59</v>
      </c>
      <c r="V7" t="s">
        <v>65</v>
      </c>
      <c r="W7" t="s">
        <v>66</v>
      </c>
      <c r="Z7" s="17">
        <f>Z4/SUM(Z4:Z5)</f>
        <v>0.55048409405255883</v>
      </c>
      <c r="AA7" s="17">
        <f>AA4/SUM(AA4:AA5)</f>
        <v>0.68446601941747576</v>
      </c>
      <c r="AB7" s="17">
        <f>AB4/SUM(AB4:AB5)</f>
        <v>0.72694174757281549</v>
      </c>
      <c r="AD7" t="s">
        <v>31</v>
      </c>
      <c r="AE7" t="s">
        <v>30</v>
      </c>
      <c r="AF7" t="s">
        <v>33</v>
      </c>
      <c r="AG7" t="s">
        <v>58</v>
      </c>
      <c r="AH7" t="s">
        <v>59</v>
      </c>
      <c r="AI7" t="s">
        <v>65</v>
      </c>
      <c r="AJ7" t="s">
        <v>66</v>
      </c>
      <c r="AM7" s="17">
        <f>AM4/SUM(AM4:AM5)</f>
        <v>0.54247572815533984</v>
      </c>
      <c r="AN7" s="17">
        <f>AN4/SUM(AN4:AN5)</f>
        <v>0.59830097087378642</v>
      </c>
      <c r="AO7" s="17">
        <f>AO4/SUM(AO4:AO5)</f>
        <v>0.6104368932038835</v>
      </c>
    </row>
    <row r="8" spans="1:41" x14ac:dyDescent="0.25">
      <c r="A8">
        <v>0.1</v>
      </c>
      <c r="B8" s="17">
        <v>0.82727269999999997</v>
      </c>
      <c r="C8" s="17">
        <v>0.72058820000000001</v>
      </c>
      <c r="D8" s="17">
        <v>0.91896270000000002</v>
      </c>
      <c r="E8" s="17">
        <v>0.85990339999999998</v>
      </c>
      <c r="F8" s="17">
        <v>0.94144839999999996</v>
      </c>
      <c r="G8" s="17">
        <v>0.82758620000000005</v>
      </c>
      <c r="H8" s="25">
        <f>$M$119*(A8/100+1)</f>
        <v>371.19081999999997</v>
      </c>
      <c r="I8" s="25">
        <f>(1-A8/100)*$M$119</f>
        <v>370.44918000000001</v>
      </c>
      <c r="J8" s="25"/>
      <c r="K8" s="17">
        <f>K5/SUM(K4:K5)</f>
        <v>0.33090024330900242</v>
      </c>
      <c r="L8" s="17">
        <f>L5/SUM(L4:L5)</f>
        <v>0.25121359223300971</v>
      </c>
      <c r="M8" s="17">
        <f>M5/SUM(M4:M5)</f>
        <v>0.21142162818955043</v>
      </c>
      <c r="N8" s="17"/>
      <c r="O8" s="17"/>
      <c r="Q8">
        <v>0.1</v>
      </c>
      <c r="R8" s="17">
        <v>0.79879279999999997</v>
      </c>
      <c r="S8" s="17">
        <v>0.7969231</v>
      </c>
      <c r="T8" s="17">
        <v>0.93617019999999995</v>
      </c>
      <c r="U8" s="17">
        <v>0.85</v>
      </c>
      <c r="V8" s="17">
        <v>0.95993320000000004</v>
      </c>
      <c r="W8" s="17">
        <v>0.8933333</v>
      </c>
      <c r="X8" s="25">
        <f>$M$119*(Q8/100+1)</f>
        <v>371.19081999999997</v>
      </c>
      <c r="Y8" s="25">
        <f>(1-Q8/100)*$M$119</f>
        <v>370.44918000000001</v>
      </c>
      <c r="Z8" s="17">
        <f>Z5/SUM(Z4:Z5)</f>
        <v>0.44951590594744123</v>
      </c>
      <c r="AA8" s="17">
        <f>AA5/SUM(AA4:AA5)</f>
        <v>0.3155339805825243</v>
      </c>
      <c r="AB8" s="17">
        <f>AB5/SUM(AB4:AB5)</f>
        <v>0.27305825242718446</v>
      </c>
      <c r="AD8">
        <v>0.1</v>
      </c>
      <c r="AE8" s="17">
        <v>0.87443950000000004</v>
      </c>
      <c r="AF8" s="17">
        <v>0.81697609999999998</v>
      </c>
      <c r="AG8" s="17">
        <v>0.9208925</v>
      </c>
      <c r="AH8" s="17">
        <v>0.9093656</v>
      </c>
      <c r="AI8" s="17">
        <v>0.95228630000000003</v>
      </c>
      <c r="AJ8" s="17">
        <v>0.91277260000000005</v>
      </c>
      <c r="AK8" s="25">
        <f>$M$119*(AD8/100+1)</f>
        <v>371.19081999999997</v>
      </c>
      <c r="AL8" s="25">
        <f>(1-AD8/100)*$M$119</f>
        <v>370.44918000000001</v>
      </c>
      <c r="AM8" s="17">
        <f>AM5/SUM(AM4:AM5)</f>
        <v>0.45752427184466021</v>
      </c>
      <c r="AN8" s="17">
        <f>AN5/SUM(AN4:AN5)</f>
        <v>0.40169902912621358</v>
      </c>
      <c r="AO8" s="17">
        <f>AO5/SUM(AO4:AO5)</f>
        <v>0.3895631067961165</v>
      </c>
    </row>
    <row r="9" spans="1:41" x14ac:dyDescent="0.25">
      <c r="A9">
        <v>0.2</v>
      </c>
      <c r="B9" s="17">
        <v>0.64181820000000001</v>
      </c>
      <c r="C9" s="17">
        <v>0.46323530000000002</v>
      </c>
      <c r="D9" s="17">
        <v>0.84440839999999995</v>
      </c>
      <c r="E9" s="17">
        <v>0.6763285</v>
      </c>
      <c r="F9" s="17">
        <v>0.87827429999999995</v>
      </c>
      <c r="G9" s="17">
        <v>0.63793100000000003</v>
      </c>
      <c r="H9" s="25">
        <f>$M$119*(A9/100+1)</f>
        <v>371.56164000000001</v>
      </c>
      <c r="I9" s="25">
        <f>(1-A9/100)*$M$119</f>
        <v>370.07835999999998</v>
      </c>
      <c r="J9" s="25"/>
      <c r="Q9">
        <v>0.2</v>
      </c>
      <c r="R9" s="17">
        <v>0.64788730000000005</v>
      </c>
      <c r="S9" s="17">
        <v>0.6</v>
      </c>
      <c r="T9" s="17">
        <v>0.85460990000000003</v>
      </c>
      <c r="U9" s="17">
        <v>0.71153849999999996</v>
      </c>
      <c r="V9" s="17">
        <v>0.91485810000000001</v>
      </c>
      <c r="W9" s="17">
        <v>0.76444440000000002</v>
      </c>
      <c r="X9" s="25">
        <f>$M$119*(Q9/100+1)</f>
        <v>371.56164000000001</v>
      </c>
      <c r="Y9" s="25">
        <f>(1-Q9/100)*$M$119</f>
        <v>370.07835999999998</v>
      </c>
      <c r="AD9">
        <v>0.2</v>
      </c>
      <c r="AE9" s="17">
        <v>0.73094170000000003</v>
      </c>
      <c r="AF9" s="17">
        <v>0.66578250000000005</v>
      </c>
      <c r="AG9" s="17">
        <v>0.83569979999999999</v>
      </c>
      <c r="AH9" s="17">
        <v>0.81268879999999999</v>
      </c>
      <c r="AI9" s="17">
        <v>0.90656060000000005</v>
      </c>
      <c r="AJ9" s="17">
        <v>0.84735199999999999</v>
      </c>
      <c r="AK9" s="25">
        <f>$M$119*(AD9/100+1)</f>
        <v>371.56164000000001</v>
      </c>
      <c r="AL9" s="25">
        <f>(1-AD9/100)*$M$119</f>
        <v>370.07835999999998</v>
      </c>
    </row>
    <row r="10" spans="1:41" x14ac:dyDescent="0.25">
      <c r="A10">
        <v>0.3</v>
      </c>
      <c r="B10" s="17">
        <v>0.5127273</v>
      </c>
      <c r="C10" s="17">
        <v>0.29411759999999998</v>
      </c>
      <c r="D10" s="17">
        <v>0.76823339999999996</v>
      </c>
      <c r="E10" s="17">
        <v>0.51690820000000004</v>
      </c>
      <c r="F10" s="17">
        <v>0.82126350000000004</v>
      </c>
      <c r="G10" s="17">
        <v>0.4942529</v>
      </c>
      <c r="H10" s="25">
        <f>$M$119*(A10/100+1)</f>
        <v>371.93245999999994</v>
      </c>
      <c r="I10" s="25">
        <f>(1-A10/100)*$M$119</f>
        <v>369.70753999999999</v>
      </c>
      <c r="Q10">
        <v>0.3</v>
      </c>
      <c r="R10" s="17">
        <v>0.52515089999999998</v>
      </c>
      <c r="S10" s="17">
        <v>0.44615379999999999</v>
      </c>
      <c r="T10" s="17">
        <v>0.76773049999999998</v>
      </c>
      <c r="U10" s="17">
        <v>0.61153849999999998</v>
      </c>
      <c r="V10" s="17">
        <v>0.85642739999999995</v>
      </c>
      <c r="W10" s="17">
        <v>0.65333330000000001</v>
      </c>
      <c r="X10" s="25">
        <f>$M$119*(Q10/100+1)</f>
        <v>371.93245999999994</v>
      </c>
      <c r="Y10" s="25">
        <f>(1-Q10/100)*$M$119</f>
        <v>369.70753999999999</v>
      </c>
      <c r="AD10">
        <v>0.3</v>
      </c>
      <c r="AE10" s="17">
        <v>0.59192829999999996</v>
      </c>
      <c r="AF10" s="17">
        <v>0.53050399999999998</v>
      </c>
      <c r="AG10" s="17">
        <v>0.76673429999999998</v>
      </c>
      <c r="AH10" s="17">
        <v>0.74622359999999999</v>
      </c>
      <c r="AI10" s="17">
        <v>0.86083500000000002</v>
      </c>
      <c r="AJ10" s="17">
        <v>0.76323989999999997</v>
      </c>
      <c r="AK10" s="25">
        <f>$M$119*(AD10/100+1)</f>
        <v>371.93245999999994</v>
      </c>
      <c r="AL10" s="25">
        <f>(1-AD10/100)*$M$119</f>
        <v>369.70753999999999</v>
      </c>
    </row>
    <row r="11" spans="1:41" x14ac:dyDescent="0.25">
      <c r="A11">
        <v>0.4</v>
      </c>
      <c r="B11" s="17">
        <v>0.42727270000000001</v>
      </c>
      <c r="C11" s="17">
        <v>0.1875</v>
      </c>
      <c r="D11" s="17">
        <v>0.71150729999999995</v>
      </c>
      <c r="E11" s="17">
        <v>0.40579710000000002</v>
      </c>
      <c r="F11" s="17">
        <v>0.77657940000000003</v>
      </c>
      <c r="G11" s="17">
        <v>0.3908046</v>
      </c>
      <c r="H11" s="25">
        <f>$M$119*(A11/100+1)</f>
        <v>372.30327999999997</v>
      </c>
      <c r="I11" s="25">
        <f>(1-A11/100)*$M$119</f>
        <v>369.33672000000001</v>
      </c>
      <c r="Q11">
        <v>0.4</v>
      </c>
      <c r="R11" s="17">
        <v>0.42655939999999998</v>
      </c>
      <c r="S11" s="17">
        <v>0.30769229999999997</v>
      </c>
      <c r="T11" s="17">
        <v>0.68439720000000004</v>
      </c>
      <c r="U11" s="17">
        <v>0.50769229999999999</v>
      </c>
      <c r="V11" s="17">
        <v>0.78297159999999999</v>
      </c>
      <c r="W11" s="17">
        <v>0.56888890000000003</v>
      </c>
      <c r="X11" s="25">
        <f>$M$119*(Q11/100+1)</f>
        <v>372.30327999999997</v>
      </c>
      <c r="Y11" s="25">
        <f>(1-Q11/100)*$M$119</f>
        <v>369.33672000000001</v>
      </c>
      <c r="AD11">
        <v>0.4</v>
      </c>
      <c r="AE11" s="17">
        <v>0.5</v>
      </c>
      <c r="AF11" s="17">
        <v>0.40583550000000002</v>
      </c>
      <c r="AG11" s="17">
        <v>0.71399590000000002</v>
      </c>
      <c r="AH11" s="17">
        <v>0.65256800000000004</v>
      </c>
      <c r="AI11" s="17">
        <v>0.80715709999999996</v>
      </c>
      <c r="AJ11" s="17">
        <v>0.66978190000000004</v>
      </c>
      <c r="AK11" s="25">
        <f>$M$119*(AD11/100+1)</f>
        <v>372.30327999999997</v>
      </c>
      <c r="AL11" s="25">
        <f>(1-AD11/100)*$M$119</f>
        <v>369.33672000000001</v>
      </c>
    </row>
    <row r="12" spans="1:41" x14ac:dyDescent="0.25">
      <c r="A12">
        <v>0.5</v>
      </c>
      <c r="B12" s="17">
        <v>0.31818180000000001</v>
      </c>
      <c r="C12" s="17">
        <v>0.1323529</v>
      </c>
      <c r="D12" s="17">
        <v>0.6401945</v>
      </c>
      <c r="E12" s="17">
        <v>0.28985509999999998</v>
      </c>
      <c r="F12" s="17">
        <v>0.73189519999999997</v>
      </c>
      <c r="G12" s="17">
        <v>0.29310340000000001</v>
      </c>
      <c r="H12" s="25">
        <f>$M$119*(A12/100+1)</f>
        <v>372.67409999999995</v>
      </c>
      <c r="I12" s="25">
        <f>(1-A12/100)*$M$119</f>
        <v>368.96589999999998</v>
      </c>
      <c r="Q12">
        <v>0.5</v>
      </c>
      <c r="R12" s="17">
        <v>0.33199200000000001</v>
      </c>
      <c r="S12" s="17">
        <v>0.22461539999999999</v>
      </c>
      <c r="T12" s="17">
        <v>0.62943260000000001</v>
      </c>
      <c r="U12" s="17">
        <v>0.41923080000000001</v>
      </c>
      <c r="V12" s="17">
        <v>0.73288810000000004</v>
      </c>
      <c r="W12" s="17">
        <v>0.49333329999999997</v>
      </c>
      <c r="X12" s="25">
        <f>$M$119*(Q12/100+1)</f>
        <v>372.67409999999995</v>
      </c>
      <c r="Y12" s="25">
        <f>(1-Q12/100)*$M$119</f>
        <v>368.96589999999998</v>
      </c>
      <c r="AD12">
        <v>0.5</v>
      </c>
      <c r="AE12" s="17">
        <v>0.39237670000000002</v>
      </c>
      <c r="AF12" s="17">
        <v>0.31564989999999998</v>
      </c>
      <c r="AG12" s="17">
        <v>0.6612576</v>
      </c>
      <c r="AH12" s="17">
        <v>0.57703930000000003</v>
      </c>
      <c r="AI12" s="17">
        <v>0.74950300000000003</v>
      </c>
      <c r="AJ12" s="17">
        <v>0.59813079999999996</v>
      </c>
      <c r="AK12" s="25">
        <f>$M$119*(AD12/100+1)</f>
        <v>372.67409999999995</v>
      </c>
      <c r="AL12" s="25">
        <f>(1-AD12/100)*$M$119</f>
        <v>368.96589999999998</v>
      </c>
    </row>
    <row r="13" spans="1:41" x14ac:dyDescent="0.25">
      <c r="A13">
        <v>0.6</v>
      </c>
      <c r="B13" s="17">
        <v>0.2490909</v>
      </c>
      <c r="C13" s="17">
        <v>8.8235289999999994E-2</v>
      </c>
      <c r="D13" s="17">
        <v>0.55753649999999999</v>
      </c>
      <c r="E13" s="17">
        <v>0.22222220000000001</v>
      </c>
      <c r="F13" s="17">
        <v>0.67796610000000002</v>
      </c>
      <c r="G13" s="17">
        <v>0.24137929999999999</v>
      </c>
      <c r="H13" s="25">
        <f>$M$119*(A13/100+1)</f>
        <v>373.04491999999999</v>
      </c>
      <c r="I13" s="25">
        <f>(1-A13/100)*$M$119</f>
        <v>368.59508</v>
      </c>
      <c r="Q13">
        <v>0.6</v>
      </c>
      <c r="R13" s="17">
        <v>0.2434608</v>
      </c>
      <c r="S13" s="17">
        <v>0.1753846</v>
      </c>
      <c r="T13" s="17">
        <v>0.56382980000000005</v>
      </c>
      <c r="U13" s="17">
        <v>0.34230769999999999</v>
      </c>
      <c r="V13" s="17">
        <v>0.66777960000000003</v>
      </c>
      <c r="W13" s="17">
        <v>0.41333330000000001</v>
      </c>
      <c r="X13" s="25">
        <f>$M$119*(Q13/100+1)</f>
        <v>373.04491999999999</v>
      </c>
      <c r="Y13" s="25">
        <f>(1-Q13/100)*$M$119</f>
        <v>368.59508</v>
      </c>
      <c r="AD13">
        <v>0.6</v>
      </c>
      <c r="AE13" s="17">
        <v>0.3430493</v>
      </c>
      <c r="AF13" s="17">
        <v>0.25464189999999998</v>
      </c>
      <c r="AG13" s="17">
        <v>0.5821501</v>
      </c>
      <c r="AH13" s="17">
        <v>0.48036250000000003</v>
      </c>
      <c r="AI13" s="17">
        <v>0.69383700000000004</v>
      </c>
      <c r="AJ13" s="17">
        <v>0.5389408</v>
      </c>
      <c r="AK13" s="25">
        <f>$M$119*(AD13/100+1)</f>
        <v>373.04491999999999</v>
      </c>
      <c r="AL13" s="25">
        <f>(1-AD13/100)*$M$119</f>
        <v>368.59508</v>
      </c>
    </row>
    <row r="14" spans="1:41" x14ac:dyDescent="0.25">
      <c r="A14">
        <v>0.7</v>
      </c>
      <c r="B14" s="17">
        <v>0.18727269999999999</v>
      </c>
      <c r="C14" s="17">
        <v>6.25E-2</v>
      </c>
      <c r="D14" s="17">
        <v>0.47974070000000002</v>
      </c>
      <c r="E14" s="17">
        <v>0.15942029999999999</v>
      </c>
      <c r="F14" s="17">
        <v>0.59938369999999996</v>
      </c>
      <c r="G14" s="17">
        <v>0.1896552</v>
      </c>
      <c r="H14" s="25">
        <f>$M$119*(A14/100+1)</f>
        <v>373.41573999999997</v>
      </c>
      <c r="I14" s="25">
        <f>(1-A14/100)*$M$119</f>
        <v>368.22426000000002</v>
      </c>
      <c r="Q14">
        <v>0.7</v>
      </c>
      <c r="R14" s="17">
        <v>0.19114690000000001</v>
      </c>
      <c r="S14" s="17">
        <v>0.1230769</v>
      </c>
      <c r="T14" s="17">
        <v>0.48758869999999999</v>
      </c>
      <c r="U14" s="17">
        <v>0.28461540000000002</v>
      </c>
      <c r="V14" s="17">
        <v>0.62270449999999999</v>
      </c>
      <c r="W14" s="17">
        <v>0.35555560000000003</v>
      </c>
      <c r="X14" s="25">
        <f>$M$119*(Q14/100+1)</f>
        <v>373.41573999999997</v>
      </c>
      <c r="Y14" s="25">
        <f>(1-Q14/100)*$M$119</f>
        <v>368.22426000000002</v>
      </c>
      <c r="AD14">
        <v>0.7</v>
      </c>
      <c r="AE14" s="17">
        <v>0.2713004</v>
      </c>
      <c r="AF14" s="17">
        <v>0.1909814</v>
      </c>
      <c r="AG14" s="17">
        <v>0.50304260000000001</v>
      </c>
      <c r="AH14" s="17">
        <v>0.39274920000000002</v>
      </c>
      <c r="AI14" s="17">
        <v>0.64214709999999997</v>
      </c>
      <c r="AJ14" s="17">
        <v>0.46728969999999997</v>
      </c>
      <c r="AK14" s="25">
        <f>$M$119*(AD14/100+1)</f>
        <v>373.41573999999997</v>
      </c>
      <c r="AL14" s="25">
        <f>(1-AD14/100)*$M$119</f>
        <v>368.22426000000002</v>
      </c>
    </row>
    <row r="15" spans="1:41" x14ac:dyDescent="0.25">
      <c r="A15">
        <v>0.8</v>
      </c>
      <c r="B15" s="17">
        <v>0.13454550000000001</v>
      </c>
      <c r="C15" s="17">
        <v>2.9411759999999999E-2</v>
      </c>
      <c r="D15" s="17">
        <v>0.42625610000000003</v>
      </c>
      <c r="E15" s="17">
        <v>9.661836E-2</v>
      </c>
      <c r="F15" s="17">
        <v>0.55624039999999997</v>
      </c>
      <c r="G15" s="17">
        <v>0.14367820000000001</v>
      </c>
      <c r="H15" s="25">
        <f>$M$119*(A15/100+1)</f>
        <v>373.78656000000001</v>
      </c>
      <c r="I15" s="25">
        <f>(1-A15/100)*$M$119</f>
        <v>367.85343999999998</v>
      </c>
      <c r="J15" s="25"/>
      <c r="Q15">
        <v>0.8</v>
      </c>
      <c r="R15" s="17">
        <v>0.14688129999999999</v>
      </c>
      <c r="S15" s="17">
        <v>7.0769230000000002E-2</v>
      </c>
      <c r="T15" s="17">
        <v>0.42198580000000002</v>
      </c>
      <c r="U15" s="17">
        <v>0.23076920000000001</v>
      </c>
      <c r="V15" s="17">
        <v>0.5709516</v>
      </c>
      <c r="W15" s="17">
        <v>0.31111109999999997</v>
      </c>
      <c r="X15" s="25">
        <f>$M$119*(Q15/100+1)</f>
        <v>373.78656000000001</v>
      </c>
      <c r="Y15" s="25">
        <f>(1-Q15/100)*$M$119</f>
        <v>367.85343999999998</v>
      </c>
      <c r="AD15">
        <v>0.8</v>
      </c>
      <c r="AE15" s="17">
        <v>0.21076230000000001</v>
      </c>
      <c r="AF15" s="17">
        <v>0.15649869999999999</v>
      </c>
      <c r="AG15" s="17">
        <v>0.44624750000000002</v>
      </c>
      <c r="AH15" s="17">
        <v>0.35045320000000002</v>
      </c>
      <c r="AI15" s="17">
        <v>0.59244529999999995</v>
      </c>
      <c r="AJ15" s="17">
        <v>0.42679129999999998</v>
      </c>
      <c r="AK15" s="25">
        <f>$M$119*(AD15/100+1)</f>
        <v>373.78656000000001</v>
      </c>
      <c r="AL15" s="25">
        <f>(1-AD15/100)*$M$119</f>
        <v>367.85343999999998</v>
      </c>
    </row>
    <row r="16" spans="1:41" x14ac:dyDescent="0.25">
      <c r="A16">
        <v>0.9</v>
      </c>
      <c r="B16" s="17">
        <v>8.3636360000000007E-2</v>
      </c>
      <c r="C16" s="17">
        <v>1.102941E-2</v>
      </c>
      <c r="D16" s="17">
        <v>0.37439220000000001</v>
      </c>
      <c r="E16" s="17">
        <v>6.2801930000000006E-2</v>
      </c>
      <c r="F16" s="17">
        <v>0.50539290000000003</v>
      </c>
      <c r="G16" s="17">
        <v>0.1091954</v>
      </c>
      <c r="H16" s="25">
        <f>$M$119*(A16/100+1)</f>
        <v>374.15737999999993</v>
      </c>
      <c r="I16" s="25">
        <f>(1-A16/100)*$M$119</f>
        <v>367.48262</v>
      </c>
      <c r="J16" s="25"/>
      <c r="Q16">
        <v>0.9</v>
      </c>
      <c r="R16" s="17">
        <v>0.10462780000000001</v>
      </c>
      <c r="S16" s="17">
        <v>5.2307689999999997E-2</v>
      </c>
      <c r="T16" s="17">
        <v>0.3599291</v>
      </c>
      <c r="U16" s="17">
        <v>0.18076919999999999</v>
      </c>
      <c r="V16" s="17">
        <v>0.51752920000000002</v>
      </c>
      <c r="W16" s="17">
        <v>0.27555560000000001</v>
      </c>
      <c r="X16" s="25">
        <f>$M$119*(Q16/100+1)</f>
        <v>374.15737999999993</v>
      </c>
      <c r="Y16" s="25">
        <f>(1-Q16/100)*$M$119</f>
        <v>367.48262</v>
      </c>
      <c r="AD16">
        <v>0.9</v>
      </c>
      <c r="AE16" s="17">
        <v>0.17937220000000001</v>
      </c>
      <c r="AF16" s="17">
        <v>0.1114058</v>
      </c>
      <c r="AG16" s="17">
        <v>0.39148070000000001</v>
      </c>
      <c r="AH16" s="17">
        <v>0.30815710000000002</v>
      </c>
      <c r="AI16" s="17">
        <v>0.55467200000000005</v>
      </c>
      <c r="AJ16" s="17">
        <v>0.3707165</v>
      </c>
      <c r="AK16" s="25">
        <f>$M$119*(AD16/100+1)</f>
        <v>374.15737999999993</v>
      </c>
      <c r="AL16" s="25">
        <f>(1-AD16/100)*$M$119</f>
        <v>367.48262</v>
      </c>
    </row>
    <row r="17" spans="1:38" x14ac:dyDescent="0.25">
      <c r="A17">
        <v>1</v>
      </c>
      <c r="B17" s="17">
        <v>4.7272729999999999E-2</v>
      </c>
      <c r="C17" s="17">
        <v>7.352941E-3</v>
      </c>
      <c r="D17" s="17">
        <v>0.31928689999999998</v>
      </c>
      <c r="E17" s="17">
        <v>3.8647340000000002E-2</v>
      </c>
      <c r="F17" s="17">
        <v>0.45762710000000001</v>
      </c>
      <c r="G17" s="17">
        <v>5.7471260000000003E-2</v>
      </c>
      <c r="H17" s="25">
        <f>$M$119*(A17/100+1)</f>
        <v>374.52819999999997</v>
      </c>
      <c r="I17" s="25">
        <f>(1-A17/100)*$M$119</f>
        <v>367.11180000000002</v>
      </c>
      <c r="J17" s="25"/>
      <c r="Q17">
        <v>1</v>
      </c>
      <c r="R17" s="17">
        <v>6.8410460000000006E-2</v>
      </c>
      <c r="S17" s="17">
        <v>3.3846149999999998E-2</v>
      </c>
      <c r="T17" s="17">
        <v>0.29609930000000001</v>
      </c>
      <c r="U17" s="17">
        <v>0.15769230000000001</v>
      </c>
      <c r="V17" s="17">
        <v>0.45575959999999999</v>
      </c>
      <c r="W17" s="17">
        <v>0.22222220000000001</v>
      </c>
      <c r="X17" s="25">
        <f>$M$119*(Q17/100+1)</f>
        <v>374.52819999999997</v>
      </c>
      <c r="Y17" s="25">
        <f>(1-Q17/100)*$M$119</f>
        <v>367.11180000000002</v>
      </c>
      <c r="AD17">
        <v>1</v>
      </c>
      <c r="AE17" s="17">
        <v>0.14573990000000001</v>
      </c>
      <c r="AF17" s="17">
        <v>7.9575599999999996E-2</v>
      </c>
      <c r="AG17" s="17">
        <v>0.34888439999999998</v>
      </c>
      <c r="AH17" s="17">
        <v>0.25679760000000001</v>
      </c>
      <c r="AI17" s="17">
        <v>0.49900600000000001</v>
      </c>
      <c r="AJ17" s="17">
        <v>0.31775700000000001</v>
      </c>
      <c r="AK17" s="25">
        <f>$M$119*(AD17/100+1)</f>
        <v>374.52819999999997</v>
      </c>
      <c r="AL17" s="25">
        <f>(1-AD17/100)*$M$119</f>
        <v>367.11180000000002</v>
      </c>
    </row>
    <row r="18" spans="1:38" x14ac:dyDescent="0.25">
      <c r="A18">
        <v>1.1000000000000001</v>
      </c>
      <c r="B18" s="17">
        <v>3.090909E-2</v>
      </c>
      <c r="C18" s="17">
        <v>3.6764710000000002E-3</v>
      </c>
      <c r="D18" s="17">
        <v>0.26742300000000002</v>
      </c>
      <c r="E18" s="17">
        <v>1.9323670000000001E-2</v>
      </c>
      <c r="F18" s="17">
        <v>0.41448380000000001</v>
      </c>
      <c r="G18" s="17">
        <v>3.4482760000000001E-2</v>
      </c>
      <c r="H18" s="25">
        <f>$M$119*(A18/100+1)</f>
        <v>374.89901999999995</v>
      </c>
      <c r="I18" s="25">
        <f>(1-A18/100)*$M$119</f>
        <v>366.74097999999998</v>
      </c>
      <c r="J18" s="25"/>
      <c r="Q18">
        <v>1.1000000000000001</v>
      </c>
      <c r="R18" s="17">
        <v>4.2253520000000003E-2</v>
      </c>
      <c r="S18" s="17">
        <v>1.538462E-2</v>
      </c>
      <c r="T18" s="17">
        <v>0.25</v>
      </c>
      <c r="U18" s="17">
        <v>0.1230769</v>
      </c>
      <c r="V18" s="17">
        <v>0.41736230000000002</v>
      </c>
      <c r="W18" s="17">
        <v>0.1822222</v>
      </c>
      <c r="X18" s="25">
        <f>$M$119*(Q18/100+1)</f>
        <v>374.89901999999995</v>
      </c>
      <c r="Y18" s="25">
        <f>(1-Q18/100)*$M$119</f>
        <v>366.74097999999998</v>
      </c>
      <c r="AD18">
        <v>1.1000000000000001</v>
      </c>
      <c r="AE18" s="17">
        <v>0.1143498</v>
      </c>
      <c r="AF18" s="17">
        <v>5.8355440000000001E-2</v>
      </c>
      <c r="AG18" s="17">
        <v>0.29614600000000002</v>
      </c>
      <c r="AH18" s="17">
        <v>0.20543810000000001</v>
      </c>
      <c r="AI18" s="17">
        <v>0.46719680000000002</v>
      </c>
      <c r="AJ18" s="17">
        <v>0.27414329999999998</v>
      </c>
      <c r="AK18" s="25">
        <f>$M$119*(AD18/100+1)</f>
        <v>374.89901999999995</v>
      </c>
      <c r="AL18" s="25">
        <f>(1-AD18/100)*$M$119</f>
        <v>366.74097999999998</v>
      </c>
    </row>
    <row r="19" spans="1:38" x14ac:dyDescent="0.25">
      <c r="A19">
        <v>1.2</v>
      </c>
      <c r="B19" s="17">
        <v>1.8181820000000001E-2</v>
      </c>
      <c r="C19" s="17">
        <v>0</v>
      </c>
      <c r="D19" s="17">
        <v>0.2123177</v>
      </c>
      <c r="E19" s="17">
        <v>9.661836E-3</v>
      </c>
      <c r="F19" s="17">
        <v>0.37596299999999999</v>
      </c>
      <c r="G19" s="17">
        <v>2.298851E-2</v>
      </c>
      <c r="H19" s="25">
        <f>$M$119*(A19/100+1)</f>
        <v>375.26983999999999</v>
      </c>
      <c r="I19" s="25">
        <f>(1-A19/100)*$M$119</f>
        <v>366.37016</v>
      </c>
      <c r="J19" s="25"/>
      <c r="Q19">
        <v>1.2</v>
      </c>
      <c r="R19" s="17">
        <v>3.822938E-2</v>
      </c>
      <c r="S19" s="17">
        <v>1.538462E-2</v>
      </c>
      <c r="T19" s="17">
        <v>0.20567379999999999</v>
      </c>
      <c r="U19" s="17">
        <v>0.1038462</v>
      </c>
      <c r="V19" s="17">
        <v>0.3689482</v>
      </c>
      <c r="W19" s="17">
        <v>0.16</v>
      </c>
      <c r="X19" s="25">
        <f>$M$119*(Q19/100+1)</f>
        <v>375.26983999999999</v>
      </c>
      <c r="Y19" s="25">
        <f>(1-Q19/100)*$M$119</f>
        <v>366.37016</v>
      </c>
      <c r="AD19">
        <v>1.2</v>
      </c>
      <c r="AE19" s="17">
        <v>7.3991029999999999E-2</v>
      </c>
      <c r="AF19" s="17">
        <v>2.9177720000000001E-2</v>
      </c>
      <c r="AG19" s="17">
        <v>0.26572010000000001</v>
      </c>
      <c r="AH19" s="17">
        <v>0.15407850000000001</v>
      </c>
      <c r="AI19" s="17">
        <v>0.42743540000000002</v>
      </c>
      <c r="AJ19" s="17">
        <v>0.23364489999999999</v>
      </c>
      <c r="AK19" s="25">
        <f>$M$119*(AD19/100+1)</f>
        <v>375.26983999999999</v>
      </c>
      <c r="AL19" s="25">
        <f>(1-AD19/100)*$M$119</f>
        <v>366.37016</v>
      </c>
    </row>
    <row r="20" spans="1:38" x14ac:dyDescent="0.25">
      <c r="A20">
        <v>1.3</v>
      </c>
      <c r="B20" s="17">
        <v>9.0909089999999994E-3</v>
      </c>
      <c r="C20" s="17"/>
      <c r="D20" s="17">
        <v>0.17504049999999999</v>
      </c>
      <c r="E20" s="17">
        <v>9.661836E-3</v>
      </c>
      <c r="F20" s="17">
        <v>0.31741140000000001</v>
      </c>
      <c r="G20" s="17">
        <v>2.298851E-2</v>
      </c>
      <c r="H20" s="25">
        <f>$M$119*(A20/100+1)</f>
        <v>375.64065999999997</v>
      </c>
      <c r="I20" s="25">
        <f>(1-A20/100)*$M$119</f>
        <v>365.99933999999996</v>
      </c>
      <c r="J20" s="25"/>
      <c r="Q20">
        <v>1.3</v>
      </c>
      <c r="R20" s="17">
        <v>2.8169010000000001E-2</v>
      </c>
      <c r="S20" s="17">
        <v>9.2307689999999998E-3</v>
      </c>
      <c r="T20" s="17">
        <v>0.15957450000000001</v>
      </c>
      <c r="U20" s="17">
        <v>8.4615380000000004E-2</v>
      </c>
      <c r="V20" s="17">
        <v>0.33222040000000003</v>
      </c>
      <c r="W20" s="17">
        <v>0.12</v>
      </c>
      <c r="X20" s="25">
        <f>$M$119*(Q20/100+1)</f>
        <v>375.64065999999997</v>
      </c>
      <c r="Y20" s="25">
        <f>(1-Q20/100)*$M$119</f>
        <v>365.99933999999996</v>
      </c>
      <c r="AD20">
        <v>1.3</v>
      </c>
      <c r="AE20" s="17">
        <v>5.1569509999999999E-2</v>
      </c>
      <c r="AF20" s="17">
        <v>2.1220159999999998E-2</v>
      </c>
      <c r="AG20" s="17">
        <v>0.22109529999999999</v>
      </c>
      <c r="AH20" s="17">
        <v>0.12386709999999999</v>
      </c>
      <c r="AI20" s="17">
        <v>0.39363819999999999</v>
      </c>
      <c r="AJ20" s="17">
        <v>0.2056075</v>
      </c>
      <c r="AK20" s="25">
        <f>$M$119*(AD20/100+1)</f>
        <v>375.64065999999997</v>
      </c>
      <c r="AL20" s="25">
        <f>(1-AD20/100)*$M$119</f>
        <v>365.99933999999996</v>
      </c>
    </row>
    <row r="21" spans="1:38" x14ac:dyDescent="0.25">
      <c r="A21">
        <v>1.4</v>
      </c>
      <c r="B21" s="17">
        <v>5.4545449999999999E-3</v>
      </c>
      <c r="C21" s="17"/>
      <c r="D21" s="17">
        <v>0.13128039999999999</v>
      </c>
      <c r="E21" s="17">
        <v>0</v>
      </c>
      <c r="F21" s="17">
        <v>0.26964559999999999</v>
      </c>
      <c r="G21" s="17">
        <v>5.747126E-3</v>
      </c>
      <c r="H21" s="25">
        <f>$M$119*(A21/100+1)</f>
        <v>376.01148000000001</v>
      </c>
      <c r="I21" s="25">
        <f>(1-A21/100)*$M$119</f>
        <v>365.62851999999998</v>
      </c>
      <c r="J21" s="25"/>
      <c r="Q21">
        <v>1.4</v>
      </c>
      <c r="R21" s="17">
        <v>1.207243E-2</v>
      </c>
      <c r="S21" s="17">
        <v>6.1538460000000001E-3</v>
      </c>
      <c r="T21" s="17">
        <v>0.12765960000000001</v>
      </c>
      <c r="U21" s="17">
        <v>6.9230769999999997E-2</v>
      </c>
      <c r="V21" s="17">
        <v>0.29549249999999999</v>
      </c>
      <c r="W21" s="17">
        <v>9.7777779999999995E-2</v>
      </c>
      <c r="X21" s="25">
        <f>$M$119*(Q21/100+1)</f>
        <v>376.01148000000001</v>
      </c>
      <c r="Y21" s="25">
        <f>(1-Q21/100)*$M$119</f>
        <v>365.62851999999998</v>
      </c>
      <c r="AD21">
        <v>1.4</v>
      </c>
      <c r="AE21" s="17">
        <v>3.8116589999999999E-2</v>
      </c>
      <c r="AF21" s="17">
        <v>1.3262599999999999E-2</v>
      </c>
      <c r="AG21" s="17">
        <v>0.1967546</v>
      </c>
      <c r="AH21" s="17">
        <v>0.10876130000000001</v>
      </c>
      <c r="AI21" s="17">
        <v>0.3638171</v>
      </c>
      <c r="AJ21" s="17">
        <v>0.17757010000000001</v>
      </c>
      <c r="AK21" s="25">
        <f>$M$119*(AD21/100+1)</f>
        <v>376.01148000000001</v>
      </c>
      <c r="AL21" s="25">
        <f>(1-AD21/100)*$M$119</f>
        <v>365.62851999999998</v>
      </c>
    </row>
    <row r="22" spans="1:38" x14ac:dyDescent="0.25">
      <c r="A22">
        <v>1.5</v>
      </c>
      <c r="B22" s="17">
        <v>3.636364E-3</v>
      </c>
      <c r="C22" s="17"/>
      <c r="D22" s="17">
        <v>0.102107</v>
      </c>
      <c r="E22" s="17"/>
      <c r="F22" s="17">
        <v>0.23420650000000001</v>
      </c>
      <c r="G22" s="17">
        <v>5.747126E-3</v>
      </c>
      <c r="H22" s="25">
        <f>$M$119*(A22/100+1)</f>
        <v>376.38229999999993</v>
      </c>
      <c r="I22" s="25">
        <f>(1-A22/100)*$M$119</f>
        <v>365.2577</v>
      </c>
      <c r="J22" s="25"/>
      <c r="Q22">
        <v>1.5</v>
      </c>
      <c r="R22" s="17">
        <v>8.0482899999999996E-3</v>
      </c>
      <c r="S22" s="17">
        <v>0</v>
      </c>
      <c r="T22" s="17">
        <v>0.1010638</v>
      </c>
      <c r="U22" s="17">
        <v>0.05</v>
      </c>
      <c r="V22" s="17">
        <v>0.2604341</v>
      </c>
      <c r="W22" s="17">
        <v>8.4444439999999996E-2</v>
      </c>
      <c r="X22" s="25">
        <f>$M$119*(Q22/100+1)</f>
        <v>376.38229999999993</v>
      </c>
      <c r="Y22" s="25">
        <f>(1-Q22/100)*$M$119</f>
        <v>365.2577</v>
      </c>
      <c r="AD22">
        <v>1.5</v>
      </c>
      <c r="AE22" s="17">
        <v>2.466368E-2</v>
      </c>
      <c r="AF22" s="17">
        <v>1.0610079999999999E-2</v>
      </c>
      <c r="AG22" s="17">
        <v>0.18661259999999999</v>
      </c>
      <c r="AH22" s="17">
        <v>9.3655589999999997E-2</v>
      </c>
      <c r="AI22" s="17">
        <v>0.32206760000000001</v>
      </c>
      <c r="AJ22" s="17">
        <v>0.16822429999999999</v>
      </c>
      <c r="AK22" s="25">
        <f>$M$119*(AD22/100+1)</f>
        <v>376.38229999999993</v>
      </c>
      <c r="AL22" s="25">
        <f>(1-AD22/100)*$M$119</f>
        <v>365.2577</v>
      </c>
    </row>
    <row r="23" spans="1:38" x14ac:dyDescent="0.25">
      <c r="A23">
        <v>1.6</v>
      </c>
      <c r="B23" s="17">
        <v>3.636364E-3</v>
      </c>
      <c r="C23" s="17"/>
      <c r="D23" s="17">
        <v>8.1037280000000003E-2</v>
      </c>
      <c r="E23" s="17"/>
      <c r="F23" s="17">
        <v>0.18181820000000001</v>
      </c>
      <c r="G23" s="17">
        <v>0</v>
      </c>
      <c r="H23" s="25">
        <f>$M$119*(A23/100+1)</f>
        <v>376.75312000000002</v>
      </c>
      <c r="I23" s="25">
        <f>(1-A23/100)*$M$119</f>
        <v>364.88687999999996</v>
      </c>
      <c r="J23" s="25"/>
      <c r="Q23">
        <v>1.6</v>
      </c>
      <c r="R23" s="17">
        <v>6.036217E-3</v>
      </c>
      <c r="S23" s="17"/>
      <c r="T23" s="17">
        <v>8.6879429999999994E-2</v>
      </c>
      <c r="U23" s="17">
        <v>3.4615380000000001E-2</v>
      </c>
      <c r="V23" s="17">
        <v>0.21702840000000001</v>
      </c>
      <c r="W23" s="17">
        <v>4.8888889999999997E-2</v>
      </c>
      <c r="X23" s="25">
        <f>$M$119*(Q23/100+1)</f>
        <v>376.75312000000002</v>
      </c>
      <c r="Y23" s="25">
        <f>(1-Q23/100)*$M$119</f>
        <v>364.88687999999996</v>
      </c>
      <c r="AD23">
        <v>1.6</v>
      </c>
      <c r="AE23" s="17">
        <v>2.0179369999999999E-2</v>
      </c>
      <c r="AF23" s="17">
        <v>5.3050399999999996E-3</v>
      </c>
      <c r="AG23" s="17">
        <v>0.17038539999999999</v>
      </c>
      <c r="AH23" s="17">
        <v>7.8549850000000004E-2</v>
      </c>
      <c r="AI23" s="17">
        <v>0.2842942</v>
      </c>
      <c r="AJ23" s="17">
        <v>0.13707169999999999</v>
      </c>
      <c r="AK23" s="25">
        <f>$M$119*(AD23/100+1)</f>
        <v>376.75312000000002</v>
      </c>
      <c r="AL23" s="25">
        <f>(1-AD23/100)*$M$119</f>
        <v>364.88687999999996</v>
      </c>
    </row>
    <row r="24" spans="1:38" x14ac:dyDescent="0.25">
      <c r="A24">
        <v>1.7</v>
      </c>
      <c r="B24" s="17">
        <v>1.818182E-3</v>
      </c>
      <c r="C24" s="17"/>
      <c r="D24" s="17">
        <v>4.8622369999999998E-2</v>
      </c>
      <c r="E24" s="17"/>
      <c r="F24" s="17">
        <v>0.14175650000000001</v>
      </c>
      <c r="G24" s="17"/>
      <c r="H24" s="25">
        <f>$M$119*(A24/100+1)</f>
        <v>377.12393999999995</v>
      </c>
      <c r="I24" s="25">
        <f>(1-A24/100)*$M$119</f>
        <v>364.51605999999998</v>
      </c>
      <c r="J24" s="25"/>
      <c r="Q24">
        <v>1.7</v>
      </c>
      <c r="R24" s="17">
        <v>6.036217E-3</v>
      </c>
      <c r="S24" s="17"/>
      <c r="T24" s="17">
        <v>7.6241130000000004E-2</v>
      </c>
      <c r="U24" s="17">
        <v>2.3076920000000001E-2</v>
      </c>
      <c r="V24" s="17">
        <v>0.19532550000000001</v>
      </c>
      <c r="W24" s="17">
        <v>4.8888889999999997E-2</v>
      </c>
      <c r="X24" s="25">
        <f>$M$119*(Q24/100+1)</f>
        <v>377.12393999999995</v>
      </c>
      <c r="Y24" s="25">
        <f>(1-Q24/100)*$M$119</f>
        <v>364.51605999999998</v>
      </c>
      <c r="AD24">
        <v>1.7</v>
      </c>
      <c r="AE24" s="17">
        <v>4.4843050000000001E-3</v>
      </c>
      <c r="AF24" s="17">
        <v>5.3050399999999996E-3</v>
      </c>
      <c r="AG24" s="17">
        <v>0.14401620000000001</v>
      </c>
      <c r="AH24" s="17">
        <v>6.9486400000000004E-2</v>
      </c>
      <c r="AI24" s="17">
        <v>0.25447320000000001</v>
      </c>
      <c r="AJ24" s="17">
        <v>0.1277259</v>
      </c>
      <c r="AK24" s="25">
        <f>$M$119*(AD24/100+1)</f>
        <v>377.12393999999995</v>
      </c>
      <c r="AL24" s="25">
        <f>(1-AD24/100)*$M$119</f>
        <v>364.51605999999998</v>
      </c>
    </row>
    <row r="25" spans="1:38" x14ac:dyDescent="0.25">
      <c r="A25">
        <v>1.8</v>
      </c>
      <c r="B25" s="17">
        <v>0</v>
      </c>
      <c r="C25" s="17"/>
      <c r="D25" s="17">
        <v>3.5656399999999998E-2</v>
      </c>
      <c r="E25" s="17"/>
      <c r="F25" s="17">
        <v>0.10631740000000001</v>
      </c>
      <c r="G25" s="17"/>
      <c r="H25" s="25">
        <f>$M$119*(A25/100+1)</f>
        <v>377.49475999999999</v>
      </c>
      <c r="I25" s="25">
        <f>(1-A25/100)*$M$119</f>
        <v>364.14524</v>
      </c>
      <c r="J25" s="25"/>
      <c r="Q25">
        <v>1.8</v>
      </c>
      <c r="R25" s="17">
        <v>4.0241449999999998E-3</v>
      </c>
      <c r="S25" s="17"/>
      <c r="T25" s="17">
        <v>6.0283690000000001E-2</v>
      </c>
      <c r="U25" s="17">
        <v>1.153846E-2</v>
      </c>
      <c r="V25" s="17">
        <v>0.17529220000000001</v>
      </c>
      <c r="W25" s="17">
        <v>3.555556E-2</v>
      </c>
      <c r="X25" s="25">
        <f>$M$119*(Q25/100+1)</f>
        <v>377.49475999999999</v>
      </c>
      <c r="Y25" s="25">
        <f>(1-Q25/100)*$M$119</f>
        <v>364.14524</v>
      </c>
      <c r="AD25">
        <v>1.8</v>
      </c>
      <c r="AE25" s="17">
        <v>2.2421519999999999E-3</v>
      </c>
      <c r="AF25" s="17">
        <v>5.3050399999999996E-3</v>
      </c>
      <c r="AG25" s="17">
        <v>0.1156187</v>
      </c>
      <c r="AH25" s="17">
        <v>6.0422959999999998E-2</v>
      </c>
      <c r="AI25" s="17">
        <v>0.22664020000000001</v>
      </c>
      <c r="AJ25" s="17">
        <v>0.1090343</v>
      </c>
      <c r="AK25" s="25">
        <f>$M$119*(AD25/100+1)</f>
        <v>377.49475999999999</v>
      </c>
      <c r="AL25" s="25">
        <f>(1-AD25/100)*$M$119</f>
        <v>364.14524</v>
      </c>
    </row>
    <row r="26" spans="1:38" x14ac:dyDescent="0.25">
      <c r="A26">
        <v>1.9</v>
      </c>
      <c r="D26" s="17">
        <v>2.4311180000000002E-2</v>
      </c>
      <c r="F26" s="17">
        <v>7.7041600000000002E-2</v>
      </c>
      <c r="G26" s="17"/>
      <c r="H26" s="25">
        <f>$M$119*(A26/100+1)</f>
        <v>377.86557999999997</v>
      </c>
      <c r="I26" s="25">
        <f>(1-A26/100)*$M$119</f>
        <v>363.77441999999996</v>
      </c>
      <c r="J26" s="25"/>
      <c r="Q26">
        <v>1.9</v>
      </c>
      <c r="R26" s="17">
        <v>2.0120720000000002E-3</v>
      </c>
      <c r="S26" s="17"/>
      <c r="T26" s="17">
        <v>5.1418440000000003E-2</v>
      </c>
      <c r="U26" s="17">
        <v>7.6923080000000001E-3</v>
      </c>
      <c r="V26" s="17">
        <v>0.15358930000000001</v>
      </c>
      <c r="W26" s="17">
        <v>1.777778E-2</v>
      </c>
      <c r="X26" s="25">
        <f>$M$119*(Q26/100+1)</f>
        <v>377.86557999999997</v>
      </c>
      <c r="Y26" s="25">
        <f>(1-Q26/100)*$M$119</f>
        <v>363.77441999999996</v>
      </c>
      <c r="AD26">
        <v>1.9</v>
      </c>
      <c r="AE26" s="17">
        <v>2.2421519999999999E-3</v>
      </c>
      <c r="AF26" s="17">
        <v>2.6525199999999998E-3</v>
      </c>
      <c r="AG26" s="17">
        <v>9.7363080000000005E-2</v>
      </c>
      <c r="AH26" s="17">
        <v>5.4380659999999997E-2</v>
      </c>
      <c r="AI26" s="17">
        <v>0.222664</v>
      </c>
      <c r="AJ26" s="17">
        <v>9.3457940000000003E-2</v>
      </c>
      <c r="AK26" s="25">
        <f>$M$119*(AD26/100+1)</f>
        <v>377.86557999999997</v>
      </c>
      <c r="AL26" s="25">
        <f>(1-AD26/100)*$M$119</f>
        <v>363.77441999999996</v>
      </c>
    </row>
    <row r="27" spans="1:38" x14ac:dyDescent="0.25">
      <c r="A27">
        <v>2</v>
      </c>
      <c r="D27" s="17">
        <v>1.944895E-2</v>
      </c>
      <c r="F27" s="17">
        <v>6.1633279999999999E-2</v>
      </c>
      <c r="G27" s="17"/>
      <c r="H27" s="25">
        <f>$M$119*(A27/100+1)</f>
        <v>378.2364</v>
      </c>
      <c r="I27" s="25">
        <f>(1-A27/100)*$M$119</f>
        <v>363.40359999999998</v>
      </c>
      <c r="J27" s="25"/>
      <c r="Q27">
        <v>2</v>
      </c>
      <c r="R27" s="17">
        <v>2.0120720000000002E-3</v>
      </c>
      <c r="S27" s="17"/>
      <c r="T27" s="17">
        <v>3.7234040000000003E-2</v>
      </c>
      <c r="U27" s="17">
        <v>3.8461540000000001E-3</v>
      </c>
      <c r="V27" s="17">
        <v>0.13188649999999999</v>
      </c>
      <c r="W27" s="17">
        <v>1.3333329999999999E-2</v>
      </c>
      <c r="X27" s="25">
        <f>$M$119*(Q27/100+1)</f>
        <v>378.2364</v>
      </c>
      <c r="Y27" s="25">
        <f>(1-Q27/100)*$M$119</f>
        <v>363.40359999999998</v>
      </c>
      <c r="AD27">
        <v>2</v>
      </c>
      <c r="AE27" s="17">
        <v>0</v>
      </c>
      <c r="AF27" s="17">
        <v>0</v>
      </c>
      <c r="AG27" s="17">
        <v>8.9249490000000001E-2</v>
      </c>
      <c r="AH27" s="17">
        <v>5.4380659999999997E-2</v>
      </c>
      <c r="AI27" s="17">
        <v>0.20079520000000001</v>
      </c>
      <c r="AJ27" s="17">
        <v>7.7881619999999999E-2</v>
      </c>
      <c r="AK27" s="25">
        <f>$M$119*(AD27/100+1)</f>
        <v>378.2364</v>
      </c>
      <c r="AL27" s="25">
        <f>(1-AD27/100)*$M$119</f>
        <v>363.40359999999998</v>
      </c>
    </row>
    <row r="28" spans="1:38" x14ac:dyDescent="0.25">
      <c r="A28">
        <v>2.1</v>
      </c>
      <c r="D28" s="17">
        <v>6.482982E-3</v>
      </c>
      <c r="F28" s="17">
        <v>4.3143300000000002E-2</v>
      </c>
      <c r="G28" s="17"/>
      <c r="H28" s="25">
        <f>$M$119*(A28/100+1)</f>
        <v>378.60721999999998</v>
      </c>
      <c r="I28" s="25">
        <f>(1-A28/100)*$M$119</f>
        <v>363.03278</v>
      </c>
      <c r="J28" s="25"/>
      <c r="Q28">
        <v>2.1</v>
      </c>
      <c r="R28" s="17">
        <v>2.0120720000000002E-3</v>
      </c>
      <c r="S28" s="17"/>
      <c r="T28" s="17">
        <v>3.1914890000000001E-2</v>
      </c>
      <c r="U28" s="17">
        <v>3.8461540000000001E-3</v>
      </c>
      <c r="V28" s="17">
        <v>0.1135225</v>
      </c>
      <c r="W28" s="17">
        <v>4.4444439999999997E-3</v>
      </c>
      <c r="X28" s="25">
        <f>$M$119*(Q28/100+1)</f>
        <v>378.60721999999998</v>
      </c>
      <c r="Y28" s="25">
        <f>(1-Q28/100)*$M$119</f>
        <v>363.03278</v>
      </c>
      <c r="AD28">
        <v>2.1</v>
      </c>
      <c r="AG28" s="17">
        <v>7.9107510000000006E-2</v>
      </c>
      <c r="AH28" s="17">
        <v>3.6253779999999999E-2</v>
      </c>
      <c r="AI28" s="17">
        <v>0.18489069999999999</v>
      </c>
      <c r="AJ28" s="17">
        <v>7.1651090000000001E-2</v>
      </c>
      <c r="AK28" s="25">
        <f>$M$119*(AD28/100+1)</f>
        <v>378.60721999999998</v>
      </c>
      <c r="AL28" s="25">
        <f>(1-AD28/100)*$M$119</f>
        <v>363.03278</v>
      </c>
    </row>
    <row r="29" spans="1:38" x14ac:dyDescent="0.25">
      <c r="A29">
        <v>2.2000000000000002</v>
      </c>
      <c r="D29" s="17">
        <v>3.241491E-3</v>
      </c>
      <c r="F29" s="17">
        <v>4.0061630000000001E-2</v>
      </c>
      <c r="G29" s="17"/>
      <c r="H29" s="25">
        <f>$M$119*(A29/100+1)</f>
        <v>378.97804000000002</v>
      </c>
      <c r="I29" s="25">
        <f>(1-A29/100)*$M$119</f>
        <v>362.66195999999997</v>
      </c>
      <c r="J29" s="25"/>
      <c r="Q29">
        <v>2.2000000000000002</v>
      </c>
      <c r="R29" s="17">
        <v>0</v>
      </c>
      <c r="S29" s="17"/>
      <c r="T29" s="17">
        <v>2.3049650000000001E-2</v>
      </c>
      <c r="U29" s="17">
        <v>0</v>
      </c>
      <c r="V29" s="17">
        <v>9.6828049999999999E-2</v>
      </c>
      <c r="W29" s="17">
        <v>4.4444439999999997E-3</v>
      </c>
      <c r="X29" s="25">
        <f>$M$119*(Q29/100+1)</f>
        <v>378.97804000000002</v>
      </c>
      <c r="Y29" s="25">
        <f>(1-Q29/100)*$M$119</f>
        <v>362.66195999999997</v>
      </c>
      <c r="AD29">
        <v>2.2000000000000002</v>
      </c>
      <c r="AG29" s="17">
        <v>6.8965520000000002E-2</v>
      </c>
      <c r="AH29" s="17">
        <v>2.7190329999999999E-2</v>
      </c>
      <c r="AI29" s="17">
        <v>0.15904570000000001</v>
      </c>
      <c r="AJ29" s="17">
        <v>5.29595E-2</v>
      </c>
      <c r="AK29" s="25">
        <f>$M$119*(AD29/100+1)</f>
        <v>378.97804000000002</v>
      </c>
      <c r="AL29" s="25">
        <f>(1-AD29/100)*$M$119</f>
        <v>362.66195999999997</v>
      </c>
    </row>
    <row r="30" spans="1:38" x14ac:dyDescent="0.25">
      <c r="A30">
        <v>2.2999999999999998</v>
      </c>
      <c r="D30" s="17">
        <v>0</v>
      </c>
      <c r="F30" s="17">
        <v>3.0816639999999999E-2</v>
      </c>
      <c r="G30" s="17"/>
      <c r="H30" s="25">
        <f>$M$119*(A30/100+1)</f>
        <v>379.34885999999995</v>
      </c>
      <c r="I30" s="25">
        <f>(1-A30/100)*$M$119</f>
        <v>362.29113999999998</v>
      </c>
      <c r="J30" s="25"/>
      <c r="Q30">
        <v>2.2999999999999998</v>
      </c>
      <c r="R30" s="17"/>
      <c r="S30" s="17"/>
      <c r="T30" s="17">
        <v>1.5957450000000001E-2</v>
      </c>
      <c r="U30" s="17">
        <v>0</v>
      </c>
      <c r="V30" s="17">
        <v>7.8464110000000004E-2</v>
      </c>
      <c r="W30" s="17">
        <v>4.4444439999999997E-3</v>
      </c>
      <c r="X30" s="25">
        <f>$M$119*(Q30/100+1)</f>
        <v>379.34885999999995</v>
      </c>
      <c r="Y30" s="25">
        <f>(1-Q30/100)*$M$119</f>
        <v>362.29113999999998</v>
      </c>
      <c r="AD30">
        <v>2.2999999999999998</v>
      </c>
      <c r="AG30" s="17">
        <v>4.8681540000000002E-2</v>
      </c>
      <c r="AH30" s="17">
        <v>2.114804E-2</v>
      </c>
      <c r="AI30" s="17">
        <v>0.13320080000000001</v>
      </c>
      <c r="AJ30" s="17">
        <v>4.361371E-2</v>
      </c>
      <c r="AK30" s="25">
        <f>$M$119*(AD30/100+1)</f>
        <v>379.34885999999995</v>
      </c>
      <c r="AL30" s="25">
        <f>(1-AD30/100)*$M$119</f>
        <v>362.29113999999998</v>
      </c>
    </row>
    <row r="31" spans="1:38" x14ac:dyDescent="0.25">
      <c r="A31">
        <v>2.4</v>
      </c>
      <c r="D31" s="17"/>
      <c r="F31" s="17">
        <v>2.4653310000000001E-2</v>
      </c>
      <c r="G31" s="17"/>
      <c r="H31" s="25">
        <f>$M$119*(A31/100+1)</f>
        <v>379.71967999999998</v>
      </c>
      <c r="I31" s="25">
        <f>(1-A31/100)*$M$119</f>
        <v>361.92032</v>
      </c>
      <c r="J31" s="25"/>
      <c r="Q31">
        <v>2.4</v>
      </c>
      <c r="R31" s="17"/>
      <c r="S31" s="17"/>
      <c r="T31" s="17">
        <v>1.06383E-2</v>
      </c>
      <c r="U31" s="17"/>
      <c r="V31" s="17">
        <v>6.1769619999999997E-2</v>
      </c>
      <c r="W31" s="17">
        <v>4.4444439999999997E-3</v>
      </c>
      <c r="X31" s="25">
        <f>$M$119*(Q31/100+1)</f>
        <v>379.71967999999998</v>
      </c>
      <c r="Y31" s="25">
        <f>(1-Q31/100)*$M$119</f>
        <v>361.92032</v>
      </c>
      <c r="AD31">
        <v>2.4</v>
      </c>
      <c r="AG31" s="17">
        <v>4.2596349999999998E-2</v>
      </c>
      <c r="AH31" s="17">
        <v>9.0634440000000004E-3</v>
      </c>
      <c r="AI31" s="17">
        <v>0.11332010000000001</v>
      </c>
      <c r="AJ31" s="17">
        <v>3.4267909999999999E-2</v>
      </c>
      <c r="AK31" s="25">
        <f>$M$119*(AD31/100+1)</f>
        <v>379.71967999999998</v>
      </c>
      <c r="AL31" s="25">
        <f>(1-AD31/100)*$M$119</f>
        <v>361.92032</v>
      </c>
    </row>
    <row r="32" spans="1:38" x14ac:dyDescent="0.25">
      <c r="A32">
        <v>2.5</v>
      </c>
      <c r="D32" s="17"/>
      <c r="F32" s="17">
        <v>2.0030820000000001E-2</v>
      </c>
      <c r="G32" s="17"/>
      <c r="H32" s="25">
        <f>$M$119*(A32/100+1)</f>
        <v>380.09049999999996</v>
      </c>
      <c r="I32" s="25">
        <f>(1-A32/100)*$M$119</f>
        <v>361.54949999999997</v>
      </c>
      <c r="J32" s="25"/>
      <c r="Q32">
        <v>2.5</v>
      </c>
      <c r="T32" s="17">
        <v>1.06383E-2</v>
      </c>
      <c r="V32" s="17">
        <v>4.3405680000000002E-2</v>
      </c>
      <c r="W32" s="17">
        <v>4.4444439999999997E-3</v>
      </c>
      <c r="X32" s="25">
        <f>$M$119*(Q32/100+1)</f>
        <v>380.09049999999996</v>
      </c>
      <c r="Y32" s="25">
        <f>(1-Q32/100)*$M$119</f>
        <v>361.54949999999997</v>
      </c>
      <c r="AD32">
        <v>2.5</v>
      </c>
      <c r="AG32" s="17">
        <v>3.6511160000000001E-2</v>
      </c>
      <c r="AH32" s="17">
        <v>6.042296E-3</v>
      </c>
      <c r="AI32" s="17">
        <v>9.3439359999999999E-2</v>
      </c>
      <c r="AJ32" s="17">
        <v>1.5576319999999999E-2</v>
      </c>
      <c r="AK32" s="25">
        <f>$M$119*(AD32/100+1)</f>
        <v>380.09049999999996</v>
      </c>
      <c r="AL32" s="25">
        <f>(1-AD32/100)*$M$119</f>
        <v>361.54949999999997</v>
      </c>
    </row>
    <row r="33" spans="1:38" x14ac:dyDescent="0.25">
      <c r="A33">
        <v>2.6</v>
      </c>
      <c r="D33" s="17"/>
      <c r="F33" s="17">
        <v>1.694915E-2</v>
      </c>
      <c r="G33" s="17"/>
      <c r="H33" s="25">
        <f>$M$119*(A33/100+1)</f>
        <v>380.46132</v>
      </c>
      <c r="I33" s="25">
        <f>(1-A33/100)*$M$119</f>
        <v>361.17867999999999</v>
      </c>
      <c r="J33" s="25"/>
      <c r="Q33">
        <v>2.6</v>
      </c>
      <c r="T33" s="17">
        <v>8.8652479999999992E-3</v>
      </c>
      <c r="V33" s="17">
        <v>3.6727879999999997E-2</v>
      </c>
      <c r="W33" s="17">
        <v>0</v>
      </c>
      <c r="X33" s="25">
        <f>$M$119*(Q33/100+1)</f>
        <v>380.46132</v>
      </c>
      <c r="Y33" s="25">
        <f>(1-Q33/100)*$M$119</f>
        <v>361.17867999999999</v>
      </c>
      <c r="AD33">
        <v>2.6</v>
      </c>
      <c r="AG33" s="17">
        <v>2.839757E-2</v>
      </c>
      <c r="AH33" s="17">
        <v>3.021148E-3</v>
      </c>
      <c r="AI33" s="17">
        <v>7.7534790000000006E-2</v>
      </c>
      <c r="AJ33" s="17">
        <v>1.5576319999999999E-2</v>
      </c>
      <c r="AK33" s="25">
        <f>$M$119*(AD33/100+1)</f>
        <v>380.46132</v>
      </c>
      <c r="AL33" s="25">
        <f>(1-AD33/100)*$M$119</f>
        <v>361.17867999999999</v>
      </c>
    </row>
    <row r="34" spans="1:38" x14ac:dyDescent="0.25">
      <c r="A34">
        <v>2.7</v>
      </c>
      <c r="D34" s="17"/>
      <c r="F34" s="17">
        <v>1.078582E-2</v>
      </c>
      <c r="G34" s="17"/>
      <c r="H34" s="25">
        <f>$M$119*(A34/100+1)</f>
        <v>380.83213999999998</v>
      </c>
      <c r="I34" s="25">
        <f>(1-A34/100)*$M$119</f>
        <v>360.80786000000001</v>
      </c>
      <c r="J34" s="25"/>
      <c r="Q34">
        <v>2.7</v>
      </c>
      <c r="T34" s="17">
        <v>5.3191489999999996E-3</v>
      </c>
      <c r="V34" s="17">
        <v>3.005008E-2</v>
      </c>
      <c r="W34" s="17"/>
      <c r="X34" s="25">
        <f>$M$119*(Q34/100+1)</f>
        <v>380.83213999999998</v>
      </c>
      <c r="Y34" s="25">
        <f>(1-Q34/100)*$M$119</f>
        <v>360.80786000000001</v>
      </c>
      <c r="AD34">
        <v>2.7</v>
      </c>
      <c r="AG34" s="17">
        <v>2.2312370000000002E-2</v>
      </c>
      <c r="AH34" s="17">
        <v>0</v>
      </c>
      <c r="AI34" s="17">
        <v>7.3558650000000003E-2</v>
      </c>
      <c r="AJ34" s="17">
        <v>3.1152649999999999E-3</v>
      </c>
      <c r="AK34" s="25">
        <f>$M$119*(AD34/100+1)</f>
        <v>380.83213999999998</v>
      </c>
      <c r="AL34" s="25">
        <f>(1-AD34/100)*$M$119</f>
        <v>360.80786000000001</v>
      </c>
    </row>
    <row r="35" spans="1:38" x14ac:dyDescent="0.25">
      <c r="A35">
        <v>2.8</v>
      </c>
      <c r="D35" s="17"/>
      <c r="F35" s="17">
        <v>4.6224960000000002E-3</v>
      </c>
      <c r="G35" s="17"/>
      <c r="H35" s="25">
        <f>$M$119*(A35/100+1)</f>
        <v>381.20296000000002</v>
      </c>
      <c r="I35" s="25">
        <f>(1-A35/100)*$M$119</f>
        <v>360.43703999999997</v>
      </c>
      <c r="J35" s="25"/>
      <c r="Q35">
        <v>2.8</v>
      </c>
      <c r="T35" s="17">
        <v>1.77305E-3</v>
      </c>
      <c r="V35" s="17">
        <v>2.6711189999999999E-2</v>
      </c>
      <c r="W35" s="17"/>
      <c r="X35" s="25">
        <f>$M$119*(Q35/100+1)</f>
        <v>381.20296000000002</v>
      </c>
      <c r="Y35" s="25">
        <f>(1-Q35/100)*$M$119</f>
        <v>360.43703999999997</v>
      </c>
      <c r="AD35">
        <v>2.8</v>
      </c>
      <c r="AG35" s="17">
        <v>1.825558E-2</v>
      </c>
      <c r="AH35" s="17"/>
      <c r="AI35" s="17">
        <v>5.9642149999999998E-2</v>
      </c>
      <c r="AJ35" s="17">
        <v>3.1152649999999999E-3</v>
      </c>
      <c r="AK35" s="25">
        <f>$M$119*(AD35/100+1)</f>
        <v>381.20296000000002</v>
      </c>
      <c r="AL35" s="25">
        <f>(1-AD35/100)*$M$119</f>
        <v>360.43703999999997</v>
      </c>
    </row>
    <row r="36" spans="1:38" x14ac:dyDescent="0.25">
      <c r="A36">
        <v>2.9</v>
      </c>
      <c r="D36" s="17"/>
      <c r="F36" s="17">
        <v>3.081664E-3</v>
      </c>
      <c r="G36" s="17"/>
      <c r="H36" s="25">
        <f>$M$119*(A36/100+1)</f>
        <v>381.57377999999994</v>
      </c>
      <c r="I36" s="25">
        <f>(1-A36/100)*$M$119</f>
        <v>360.06621999999999</v>
      </c>
      <c r="J36" s="25"/>
      <c r="Q36">
        <v>2.9</v>
      </c>
      <c r="T36" s="17"/>
      <c r="V36" s="17">
        <v>2.0033390000000002E-2</v>
      </c>
      <c r="W36" s="17"/>
      <c r="X36" s="25">
        <f>$M$119*(Q36/100+1)</f>
        <v>381.57377999999994</v>
      </c>
      <c r="Y36" s="25">
        <f>(1-Q36/100)*$M$119</f>
        <v>360.06621999999999</v>
      </c>
      <c r="AD36">
        <v>2.9</v>
      </c>
      <c r="AG36" s="17">
        <v>1.4198779999999999E-2</v>
      </c>
      <c r="AH36" s="17"/>
      <c r="AI36" s="17">
        <v>5.1689859999999997E-2</v>
      </c>
      <c r="AJ36" s="17">
        <v>0</v>
      </c>
      <c r="AK36" s="25">
        <f>$M$119*(AD36/100+1)</f>
        <v>381.57377999999994</v>
      </c>
      <c r="AL36" s="25">
        <f>(1-AD36/100)*$M$119</f>
        <v>360.06621999999999</v>
      </c>
    </row>
    <row r="37" spans="1:38" x14ac:dyDescent="0.25">
      <c r="A37">
        <v>3</v>
      </c>
      <c r="D37" s="17"/>
      <c r="F37" s="17">
        <v>3.081664E-3</v>
      </c>
      <c r="G37" s="17"/>
      <c r="H37" s="25">
        <f>$M$119*(A37/100+1)</f>
        <v>381.94459999999998</v>
      </c>
      <c r="I37" s="25">
        <f>(1-A37/100)*$M$119</f>
        <v>359.69540000000001</v>
      </c>
      <c r="J37" s="25"/>
      <c r="Q37">
        <v>3</v>
      </c>
      <c r="T37" s="17"/>
      <c r="V37" s="17">
        <v>1.8363939999999999E-2</v>
      </c>
      <c r="W37" s="17"/>
      <c r="X37" s="25">
        <f>$M$119*(Q37/100+1)</f>
        <v>381.94459999999998</v>
      </c>
      <c r="Y37" s="25">
        <f>(1-Q37/100)*$M$119</f>
        <v>359.69540000000001</v>
      </c>
      <c r="AD37">
        <v>3</v>
      </c>
      <c r="AG37" s="17">
        <v>1.217039E-2</v>
      </c>
      <c r="AH37" s="17"/>
      <c r="AI37" s="17">
        <v>4.3737570000000003E-2</v>
      </c>
      <c r="AJ37" s="17"/>
      <c r="AK37" s="25">
        <f>$M$119*(AD37/100+1)</f>
        <v>381.94459999999998</v>
      </c>
      <c r="AL37" s="25">
        <f>(1-AD37/100)*$M$119</f>
        <v>359.69540000000001</v>
      </c>
    </row>
    <row r="38" spans="1:38" x14ac:dyDescent="0.25">
      <c r="A38">
        <v>3.1</v>
      </c>
      <c r="D38" s="17"/>
      <c r="F38" s="17">
        <v>1.540832E-3</v>
      </c>
      <c r="G38" s="17"/>
      <c r="H38" s="25">
        <f>$M$119*(A38/100+1)</f>
        <v>382.31541999999996</v>
      </c>
      <c r="I38" s="25">
        <f>(1-A38/100)*$M$119</f>
        <v>359.32457999999997</v>
      </c>
      <c r="J38" s="25"/>
      <c r="Q38">
        <v>3.1</v>
      </c>
      <c r="T38" s="17"/>
      <c r="V38" s="17">
        <v>1.1686139999999999E-2</v>
      </c>
      <c r="W38" s="17"/>
      <c r="X38" s="25">
        <f>$M$119*(Q38/100+1)</f>
        <v>382.31541999999996</v>
      </c>
      <c r="Y38" s="25">
        <f>(1-Q38/100)*$M$119</f>
        <v>359.32457999999997</v>
      </c>
      <c r="AD38">
        <v>3.1</v>
      </c>
      <c r="AG38" s="17">
        <v>1.014199E-2</v>
      </c>
      <c r="AH38" s="17"/>
      <c r="AI38" s="17">
        <v>3.1809150000000001E-2</v>
      </c>
      <c r="AJ38" s="17"/>
      <c r="AK38" s="25">
        <f>$M$119*(AD38/100+1)</f>
        <v>382.31541999999996</v>
      </c>
      <c r="AL38" s="25">
        <f>(1-AD38/100)*$M$119</f>
        <v>359.32457999999997</v>
      </c>
    </row>
    <row r="39" spans="1:38" x14ac:dyDescent="0.25">
      <c r="A39">
        <v>3.2</v>
      </c>
      <c r="D39" s="17"/>
      <c r="F39" s="17">
        <v>1.540832E-3</v>
      </c>
      <c r="G39" s="17"/>
      <c r="H39" s="25">
        <f>$M$119*(A39/100+1)</f>
        <v>382.68624</v>
      </c>
      <c r="I39" s="25">
        <f>(1-A39/100)*$M$119</f>
        <v>358.95375999999999</v>
      </c>
      <c r="J39" s="25"/>
      <c r="Q39">
        <v>3.2</v>
      </c>
      <c r="T39" s="17"/>
      <c r="V39" s="17">
        <v>8.3472449999999997E-3</v>
      </c>
      <c r="W39" s="17"/>
      <c r="X39" s="25">
        <f>$M$119*(Q39/100+1)</f>
        <v>382.68624</v>
      </c>
      <c r="Y39" s="25">
        <f>(1-Q39/100)*$M$119</f>
        <v>358.95375999999999</v>
      </c>
      <c r="AD39">
        <v>3.2</v>
      </c>
      <c r="AG39" s="17">
        <v>8.1135900000000004E-3</v>
      </c>
      <c r="AH39" s="17"/>
      <c r="AI39" s="17">
        <v>2.5844929999999999E-2</v>
      </c>
      <c r="AJ39" s="17"/>
      <c r="AK39" s="25">
        <f>$M$119*(AD39/100+1)</f>
        <v>382.68624</v>
      </c>
      <c r="AL39" s="25">
        <f>(1-AD39/100)*$M$119</f>
        <v>358.95375999999999</v>
      </c>
    </row>
    <row r="40" spans="1:38" x14ac:dyDescent="0.25">
      <c r="A40">
        <v>3.3</v>
      </c>
      <c r="D40" s="17"/>
      <c r="F40" s="17">
        <v>1.540832E-3</v>
      </c>
      <c r="G40" s="17"/>
      <c r="H40" s="25">
        <f>$M$119*(A40/100+1)</f>
        <v>383.05705999999998</v>
      </c>
      <c r="I40" s="25">
        <f>(1-A40/100)*$M$119</f>
        <v>358.58294000000001</v>
      </c>
      <c r="J40" s="25"/>
      <c r="Q40">
        <v>3.3</v>
      </c>
      <c r="T40" s="17"/>
      <c r="V40" s="17">
        <v>8.3472449999999997E-3</v>
      </c>
      <c r="W40" s="17"/>
      <c r="X40" s="25">
        <f>$M$119*(Q40/100+1)</f>
        <v>383.05705999999998</v>
      </c>
      <c r="Y40" s="25">
        <f>(1-Q40/100)*$M$119</f>
        <v>358.58294000000001</v>
      </c>
      <c r="AD40">
        <v>3.3</v>
      </c>
      <c r="AG40" s="17">
        <v>8.1135900000000004E-3</v>
      </c>
      <c r="AH40" s="17"/>
      <c r="AI40" s="17">
        <v>2.3856860000000001E-2</v>
      </c>
      <c r="AJ40" s="17"/>
      <c r="AK40" s="25">
        <f>$M$119*(AD40/100+1)</f>
        <v>383.05705999999998</v>
      </c>
      <c r="AL40" s="25">
        <f>(1-AD40/100)*$M$119</f>
        <v>358.58294000000001</v>
      </c>
    </row>
    <row r="41" spans="1:38" x14ac:dyDescent="0.25">
      <c r="A41">
        <v>3.4</v>
      </c>
      <c r="D41" s="17"/>
      <c r="F41" s="17">
        <v>0</v>
      </c>
      <c r="G41" s="17"/>
      <c r="H41" s="25">
        <f>$M$119*(A41/100+1)</f>
        <v>383.42788000000002</v>
      </c>
      <c r="I41" s="25">
        <f>(1-A41/100)*$M$119</f>
        <v>358.21211999999997</v>
      </c>
      <c r="J41" s="25"/>
      <c r="Q41">
        <v>3.4</v>
      </c>
      <c r="T41" s="17"/>
      <c r="V41" s="17">
        <v>8.3472449999999997E-3</v>
      </c>
      <c r="W41" s="17"/>
      <c r="X41" s="25">
        <f>$M$119*(Q41/100+1)</f>
        <v>383.42788000000002</v>
      </c>
      <c r="Y41" s="25">
        <f>(1-Q41/100)*$M$119</f>
        <v>358.21211999999997</v>
      </c>
      <c r="AD41">
        <v>3.4</v>
      </c>
      <c r="AG41" s="17">
        <v>8.1135900000000004E-3</v>
      </c>
      <c r="AH41" s="17"/>
      <c r="AI41" s="17">
        <v>2.1868789999999999E-2</v>
      </c>
      <c r="AJ41" s="17"/>
      <c r="AK41" s="25">
        <f>$M$119*(AD41/100+1)</f>
        <v>383.42788000000002</v>
      </c>
      <c r="AL41" s="25">
        <f>(1-AD41/100)*$M$119</f>
        <v>358.21211999999997</v>
      </c>
    </row>
    <row r="42" spans="1:38" x14ac:dyDescent="0.25">
      <c r="A42">
        <v>3.5</v>
      </c>
      <c r="D42" s="17"/>
      <c r="H42" s="25">
        <f>$M$119*(A42/100+1)</f>
        <v>383.79869999999994</v>
      </c>
      <c r="I42" s="25">
        <f>(1-A42/100)*$M$119</f>
        <v>357.84129999999999</v>
      </c>
      <c r="J42" s="25"/>
      <c r="Q42">
        <v>3.5</v>
      </c>
      <c r="T42" s="17"/>
      <c r="V42" s="23"/>
      <c r="W42" s="23"/>
      <c r="X42" s="25">
        <f>$M$119*(Q42/100+1)</f>
        <v>383.79869999999994</v>
      </c>
      <c r="Y42" s="25">
        <f>(1-Q42/100)*$M$119</f>
        <v>357.84129999999999</v>
      </c>
      <c r="AD42">
        <v>3.5</v>
      </c>
      <c r="AG42" s="17">
        <v>8.1135900000000004E-3</v>
      </c>
      <c r="AH42" s="17"/>
      <c r="AI42" s="17">
        <v>1.7892640000000001E-2</v>
      </c>
      <c r="AJ42" s="17"/>
      <c r="AK42" s="25">
        <f>$M$119*(AD42/100+1)</f>
        <v>383.79869999999994</v>
      </c>
      <c r="AL42" s="25">
        <f>(1-AD42/100)*$M$119</f>
        <v>357.84129999999999</v>
      </c>
    </row>
    <row r="43" spans="1:38" x14ac:dyDescent="0.25">
      <c r="A43">
        <v>3.6</v>
      </c>
      <c r="D43" s="17"/>
      <c r="H43" s="25">
        <f>$M$119*(A43/100+1)</f>
        <v>384.16951999999998</v>
      </c>
      <c r="I43" s="25">
        <f>(1-A43/100)*$M$119</f>
        <v>357.47048000000001</v>
      </c>
      <c r="J43" s="25"/>
      <c r="Q43">
        <v>3.6</v>
      </c>
      <c r="T43" s="17"/>
      <c r="X43" s="25">
        <f>$M$119*(Q43/100+1)</f>
        <v>384.16951999999998</v>
      </c>
      <c r="Y43" s="25">
        <f>(1-Q43/100)*$M$119</f>
        <v>357.47048000000001</v>
      </c>
      <c r="AD43">
        <v>3.6</v>
      </c>
      <c r="AG43" s="17">
        <v>8.1135900000000004E-3</v>
      </c>
      <c r="AH43" s="17"/>
      <c r="AI43" s="17">
        <v>9.9403579999999998E-3</v>
      </c>
      <c r="AJ43" s="17"/>
      <c r="AK43" s="25">
        <f>$M$119*(AD43/100+1)</f>
        <v>384.16951999999998</v>
      </c>
      <c r="AL43" s="25">
        <f>(1-AD43/100)*$M$119</f>
        <v>357.47048000000001</v>
      </c>
    </row>
    <row r="44" spans="1:38" x14ac:dyDescent="0.25">
      <c r="A44">
        <v>3.7</v>
      </c>
      <c r="D44" s="17"/>
      <c r="H44" s="25">
        <f>$M$119*(A44/100+1)</f>
        <v>384.54033999999996</v>
      </c>
      <c r="I44" s="25">
        <f>(1-A44/100)*$M$119</f>
        <v>357.09965999999997</v>
      </c>
      <c r="J44" s="25"/>
      <c r="Q44">
        <v>3.7</v>
      </c>
      <c r="T44" s="17"/>
      <c r="X44" s="25">
        <f>$M$119*(Q44/100+1)</f>
        <v>384.54033999999996</v>
      </c>
      <c r="Y44" s="25">
        <f>(1-Q44/100)*$M$119</f>
        <v>357.09965999999997</v>
      </c>
      <c r="AD44">
        <v>3.7</v>
      </c>
      <c r="AG44" s="17">
        <v>8.1135900000000004E-3</v>
      </c>
      <c r="AH44" s="17"/>
      <c r="AI44" s="17">
        <v>5.9642150000000001E-3</v>
      </c>
      <c r="AJ44" s="17"/>
      <c r="AK44" s="25">
        <f>$M$119*(AD44/100+1)</f>
        <v>384.54033999999996</v>
      </c>
      <c r="AL44" s="25">
        <f>(1-AD44/100)*$M$119</f>
        <v>357.09965999999997</v>
      </c>
    </row>
    <row r="45" spans="1:38" x14ac:dyDescent="0.25">
      <c r="A45">
        <v>3.8</v>
      </c>
      <c r="D45" s="17"/>
      <c r="Q45">
        <v>3.8</v>
      </c>
      <c r="T45" s="17"/>
      <c r="AD45">
        <v>3.8</v>
      </c>
      <c r="AG45" s="17">
        <v>6.085193E-3</v>
      </c>
      <c r="AH45" s="17"/>
      <c r="AI45" s="17">
        <v>5.9642150000000001E-3</v>
      </c>
      <c r="AJ45" s="17"/>
    </row>
    <row r="46" spans="1:38" x14ac:dyDescent="0.25">
      <c r="A46">
        <v>3.9</v>
      </c>
      <c r="D46" s="17"/>
      <c r="Q46">
        <v>3.9</v>
      </c>
      <c r="T46" s="17"/>
      <c r="AD46">
        <v>3.9</v>
      </c>
      <c r="AG46" s="17">
        <v>4.0567950000000002E-3</v>
      </c>
      <c r="AH46" s="17"/>
      <c r="AI46" s="17">
        <v>1.988072E-3</v>
      </c>
      <c r="AJ46" s="17"/>
    </row>
    <row r="47" spans="1:38" x14ac:dyDescent="0.25">
      <c r="A47" s="25" t="s">
        <v>75</v>
      </c>
      <c r="D47" s="17"/>
      <c r="T47" s="17"/>
      <c r="AD47">
        <v>4</v>
      </c>
      <c r="AG47" s="17">
        <v>2.0283979999999998E-3</v>
      </c>
      <c r="AH47" s="17"/>
    </row>
    <row r="48" spans="1:38" x14ac:dyDescent="0.25">
      <c r="A48" t="s">
        <v>27</v>
      </c>
      <c r="B48">
        <v>2.2999999999999998</v>
      </c>
      <c r="C48">
        <v>0.8</v>
      </c>
      <c r="D48" s="25">
        <v>4.5455800000000002</v>
      </c>
      <c r="E48" s="25">
        <v>1.1230020000000001</v>
      </c>
      <c r="F48" s="25">
        <v>6.61</v>
      </c>
      <c r="G48">
        <v>1.3</v>
      </c>
      <c r="H48" s="25"/>
      <c r="I48" s="25"/>
      <c r="J48" s="25"/>
      <c r="K48" s="25"/>
      <c r="N48" s="25"/>
      <c r="O48" s="25"/>
      <c r="P48" s="25"/>
      <c r="Q48" s="25" t="s">
        <v>27</v>
      </c>
      <c r="R48">
        <v>1.8</v>
      </c>
      <c r="S48">
        <v>1.2</v>
      </c>
      <c r="T48" s="25">
        <v>5.5590060000000001</v>
      </c>
      <c r="U48" s="25">
        <v>1.613102</v>
      </c>
      <c r="V48">
        <v>8.4</v>
      </c>
      <c r="W48">
        <v>1.9</v>
      </c>
      <c r="AG48" s="17"/>
      <c r="AH48" s="17"/>
    </row>
    <row r="49" spans="1:36" x14ac:dyDescent="0.25">
      <c r="A49" t="s">
        <v>26</v>
      </c>
      <c r="B49">
        <v>2</v>
      </c>
      <c r="C49">
        <v>1</v>
      </c>
      <c r="D49">
        <v>4</v>
      </c>
      <c r="E49">
        <v>1.5</v>
      </c>
      <c r="F49">
        <v>6</v>
      </c>
      <c r="G49">
        <v>2</v>
      </c>
      <c r="Q49" t="s">
        <v>26</v>
      </c>
      <c r="R49">
        <v>2</v>
      </c>
      <c r="S49">
        <v>1</v>
      </c>
      <c r="T49">
        <v>3</v>
      </c>
      <c r="U49">
        <v>2</v>
      </c>
      <c r="V49">
        <v>4</v>
      </c>
      <c r="W49">
        <v>2</v>
      </c>
      <c r="AD49" t="s">
        <v>27</v>
      </c>
      <c r="AE49">
        <v>1.8</v>
      </c>
      <c r="AF49">
        <v>1.3</v>
      </c>
      <c r="AG49" s="25">
        <v>3.2261030000000002</v>
      </c>
      <c r="AH49" s="25">
        <v>1.7372099999999999</v>
      </c>
      <c r="AI49">
        <v>4.43</v>
      </c>
      <c r="AJ49">
        <v>2.4</v>
      </c>
    </row>
    <row r="50" spans="1:36" x14ac:dyDescent="0.25">
      <c r="A50" t="s">
        <v>25</v>
      </c>
      <c r="B50">
        <v>3</v>
      </c>
      <c r="C50">
        <v>1.5</v>
      </c>
      <c r="D50" s="25">
        <v>5.6090910000000003</v>
      </c>
      <c r="E50" s="25">
        <v>1.881818</v>
      </c>
      <c r="F50" s="25">
        <v>7.7</v>
      </c>
      <c r="G50">
        <v>2.1</v>
      </c>
      <c r="Q50" s="25" t="s">
        <v>25</v>
      </c>
      <c r="R50">
        <v>2.5</v>
      </c>
      <c r="S50">
        <v>1.6</v>
      </c>
      <c r="T50" s="25">
        <v>4.862069</v>
      </c>
      <c r="U50" s="25">
        <v>2.2413789999999998</v>
      </c>
      <c r="V50" s="25">
        <v>6.8</v>
      </c>
      <c r="W50" s="25">
        <v>2.6</v>
      </c>
      <c r="AD50" t="s">
        <v>26</v>
      </c>
      <c r="AE50">
        <v>1</v>
      </c>
      <c r="AF50">
        <v>1</v>
      </c>
      <c r="AG50">
        <v>3</v>
      </c>
      <c r="AH50">
        <v>2</v>
      </c>
      <c r="AI50">
        <v>3</v>
      </c>
      <c r="AJ50">
        <v>2</v>
      </c>
    </row>
    <row r="51" spans="1:36" x14ac:dyDescent="0.25">
      <c r="A51" s="17" t="s">
        <v>76</v>
      </c>
      <c r="B51" s="17">
        <v>0.1081081</v>
      </c>
      <c r="C51" s="17">
        <v>0.11413040000000001</v>
      </c>
      <c r="D51" s="17">
        <v>0.1181818</v>
      </c>
      <c r="E51" s="17">
        <v>0.24554545</v>
      </c>
      <c r="F51" s="17">
        <v>0.14285709999999999</v>
      </c>
      <c r="G51" s="17">
        <v>0.14634150000000001</v>
      </c>
      <c r="H51" s="25"/>
      <c r="I51" s="25"/>
      <c r="J51" s="25"/>
      <c r="K51" s="25"/>
      <c r="N51" s="25"/>
      <c r="O51" s="25"/>
      <c r="P51" s="25"/>
      <c r="Q51" s="17" t="s">
        <v>76</v>
      </c>
      <c r="R51" s="17">
        <v>0.14285709999999999</v>
      </c>
      <c r="S51" s="17">
        <v>0.137931</v>
      </c>
      <c r="T51" s="17">
        <v>9.4827590000000003E-2</v>
      </c>
      <c r="U51" s="17">
        <v>0.14655170000000001</v>
      </c>
      <c r="V51" s="17">
        <v>0.1136364</v>
      </c>
      <c r="W51" s="17">
        <v>0.12643679999999999</v>
      </c>
      <c r="AD51" t="s">
        <v>25</v>
      </c>
      <c r="AE51">
        <v>2.1</v>
      </c>
      <c r="AF51">
        <v>1.8</v>
      </c>
      <c r="AG51" s="25">
        <v>3.6518519999999999</v>
      </c>
      <c r="AH51" s="25">
        <v>2.4701490000000002</v>
      </c>
      <c r="AI51">
        <v>4.5999999999999996</v>
      </c>
      <c r="AJ51">
        <v>3</v>
      </c>
    </row>
    <row r="52" spans="1:36" x14ac:dyDescent="0.25">
      <c r="A52" s="17" t="s">
        <v>133</v>
      </c>
      <c r="D52">
        <v>6.3636360000000003E-2</v>
      </c>
      <c r="E52">
        <v>1.8181820000000001E-2</v>
      </c>
      <c r="Q52" s="17" t="s">
        <v>133</v>
      </c>
      <c r="T52">
        <v>5.1282050000000003E-2</v>
      </c>
      <c r="U52">
        <v>5.9829060000000003E-2</v>
      </c>
      <c r="AD52" s="17" t="s">
        <v>76</v>
      </c>
      <c r="AE52" s="17">
        <v>0.13207550000000001</v>
      </c>
      <c r="AF52" s="17">
        <v>9.0047390000000005E-2</v>
      </c>
      <c r="AG52" s="17">
        <v>0.162963</v>
      </c>
      <c r="AH52" s="17">
        <v>0.11194030000000001</v>
      </c>
      <c r="AI52" s="17">
        <v>0.1009174</v>
      </c>
      <c r="AJ52" s="17">
        <v>0.1203704</v>
      </c>
    </row>
    <row r="53" spans="1:36" x14ac:dyDescent="0.25">
      <c r="A53" t="s">
        <v>78</v>
      </c>
      <c r="B53" s="17">
        <v>0.28648649999999998</v>
      </c>
      <c r="C53" s="17">
        <v>0.11413040000000001</v>
      </c>
      <c r="D53" s="17">
        <v>0.37272729999999998</v>
      </c>
      <c r="E53" s="17">
        <v>0.24545449999999999</v>
      </c>
      <c r="F53" s="17">
        <v>0.40476190000000001</v>
      </c>
      <c r="G53" s="17">
        <v>0.14634150000000001</v>
      </c>
      <c r="Q53" t="s">
        <v>78</v>
      </c>
      <c r="R53" s="17">
        <v>0.20689660000000001</v>
      </c>
      <c r="S53" s="17">
        <v>0.137931</v>
      </c>
      <c r="T53" s="17">
        <v>0.37068970000000001</v>
      </c>
      <c r="U53" s="17">
        <v>0.14655170000000001</v>
      </c>
      <c r="V53" s="17">
        <v>0.38636359999999997</v>
      </c>
      <c r="W53" s="17">
        <v>0.24137929999999999</v>
      </c>
      <c r="AD53" s="17" t="s">
        <v>133</v>
      </c>
      <c r="AE53" s="17"/>
      <c r="AF53" s="17"/>
      <c r="AG53" s="17">
        <v>7.4074070000000006E-2</v>
      </c>
      <c r="AH53" s="17">
        <v>6.7164180000000004E-2</v>
      </c>
      <c r="AI53" s="17"/>
      <c r="AJ53" s="17"/>
    </row>
    <row r="54" spans="1:36" x14ac:dyDescent="0.25">
      <c r="A54" t="s">
        <v>135</v>
      </c>
      <c r="B54" s="17"/>
      <c r="C54" s="17"/>
      <c r="D54" s="17">
        <v>0.33636359999999998</v>
      </c>
      <c r="E54" s="17">
        <v>1.8181820000000001E-2</v>
      </c>
      <c r="F54" s="17"/>
      <c r="G54" s="17"/>
      <c r="Q54" t="s">
        <v>135</v>
      </c>
      <c r="R54" s="17"/>
      <c r="S54" s="17"/>
      <c r="T54" s="17">
        <v>0.25641029999999998</v>
      </c>
      <c r="U54" s="17">
        <v>0.1111111</v>
      </c>
      <c r="V54" s="17"/>
      <c r="W54" s="17"/>
      <c r="AD54" t="s">
        <v>78</v>
      </c>
      <c r="AE54" s="17">
        <v>0.26415090000000002</v>
      </c>
      <c r="AF54" s="17">
        <v>0.1800948</v>
      </c>
      <c r="AG54" s="17">
        <v>0.29629630000000001</v>
      </c>
      <c r="AH54" s="17">
        <v>0.2164179</v>
      </c>
      <c r="AI54" s="17">
        <v>0.3761468</v>
      </c>
      <c r="AJ54" s="17">
        <v>0.31481480000000001</v>
      </c>
    </row>
    <row r="55" spans="1:36" x14ac:dyDescent="0.25">
      <c r="B55" s="17"/>
      <c r="C55" s="17"/>
      <c r="D55">
        <v>24</v>
      </c>
      <c r="E55">
        <v>6</v>
      </c>
      <c r="F55" s="17"/>
      <c r="G55" s="17"/>
      <c r="R55" s="17"/>
      <c r="S55" s="17"/>
      <c r="T55">
        <v>30</v>
      </c>
      <c r="U55">
        <v>8</v>
      </c>
      <c r="V55" s="17"/>
      <c r="W55" s="17"/>
      <c r="AD55" t="s">
        <v>135</v>
      </c>
      <c r="AG55">
        <v>0.22222220000000001</v>
      </c>
      <c r="AH55">
        <v>0.11194030000000001</v>
      </c>
    </row>
    <row r="56" spans="1:36" x14ac:dyDescent="0.25">
      <c r="D56" s="17"/>
      <c r="T56" s="17"/>
      <c r="AG56" s="6">
        <v>18</v>
      </c>
      <c r="AH56" s="6">
        <v>9</v>
      </c>
    </row>
    <row r="57" spans="1:36" x14ac:dyDescent="0.25">
      <c r="D57" s="17"/>
      <c r="T57" s="17"/>
      <c r="AG57" s="17"/>
      <c r="AH57" s="17"/>
    </row>
    <row r="58" spans="1:36" x14ac:dyDescent="0.25">
      <c r="D58" s="17"/>
      <c r="T58" s="17"/>
      <c r="AG58" s="17"/>
      <c r="AH58" s="17"/>
    </row>
    <row r="59" spans="1:36" x14ac:dyDescent="0.25">
      <c r="D59" s="17"/>
      <c r="T59" s="17"/>
      <c r="AG59" s="17"/>
      <c r="AH59" s="17"/>
    </row>
    <row r="60" spans="1:36" x14ac:dyDescent="0.25">
      <c r="D60" s="17"/>
      <c r="T60" s="17"/>
      <c r="AG60" s="17"/>
      <c r="AH60" s="17"/>
    </row>
    <row r="61" spans="1:36" x14ac:dyDescent="0.25">
      <c r="D61" s="17"/>
      <c r="T61" s="17"/>
      <c r="AG61" s="17"/>
      <c r="AH61" s="17"/>
    </row>
    <row r="62" spans="1:36" x14ac:dyDescent="0.25">
      <c r="D62" s="17"/>
      <c r="T62" s="17"/>
      <c r="AD62" t="s">
        <v>48</v>
      </c>
      <c r="AG62" s="17">
        <v>0</v>
      </c>
      <c r="AH62" s="17"/>
    </row>
    <row r="66" spans="1:42" x14ac:dyDescent="0.25">
      <c r="A66">
        <v>14.61</v>
      </c>
      <c r="B66" t="s">
        <v>44</v>
      </c>
      <c r="C66">
        <v>16.13</v>
      </c>
      <c r="D66" t="s">
        <v>27</v>
      </c>
      <c r="E66" s="14">
        <v>6.9006420000000002E-3</v>
      </c>
      <c r="F66" t="s">
        <v>26</v>
      </c>
      <c r="G66" s="14">
        <v>7.9664969999999999E-4</v>
      </c>
      <c r="H66" t="s">
        <v>25</v>
      </c>
      <c r="I66" s="14">
        <v>1.0447799999999999E-3</v>
      </c>
      <c r="J66" s="14"/>
      <c r="P66" s="14"/>
      <c r="R66">
        <v>16.13</v>
      </c>
      <c r="S66" t="s">
        <v>45</v>
      </c>
      <c r="T66">
        <v>17.73</v>
      </c>
      <c r="U66" t="s">
        <v>27</v>
      </c>
      <c r="V66" s="14">
        <v>7.7968539999999998E-3</v>
      </c>
      <c r="W66" t="s">
        <v>26</v>
      </c>
      <c r="X66" s="14">
        <v>2.7433999999999998E-4</v>
      </c>
      <c r="Y66" t="s">
        <v>25</v>
      </c>
      <c r="Z66" s="14">
        <v>6.4525460000000004E-4</v>
      </c>
      <c r="AE66">
        <v>17.73</v>
      </c>
      <c r="AF66" t="s">
        <v>46</v>
      </c>
      <c r="AG66">
        <v>19.71</v>
      </c>
      <c r="AH66" t="s">
        <v>27</v>
      </c>
      <c r="AI66" s="14">
        <v>8.5734660000000001E-3</v>
      </c>
      <c r="AJ66" t="s">
        <v>26</v>
      </c>
      <c r="AK66" s="14">
        <v>1.355261E-3</v>
      </c>
      <c r="AL66" t="s">
        <v>25</v>
      </c>
      <c r="AM66" s="14">
        <v>1.0744579999999999E-3</v>
      </c>
    </row>
    <row r="67" spans="1:42" x14ac:dyDescent="0.25">
      <c r="A67" t="s">
        <v>67</v>
      </c>
      <c r="D67" t="s">
        <v>27</v>
      </c>
      <c r="E67" s="14">
        <v>1.21943E-2</v>
      </c>
      <c r="F67" t="s">
        <v>26</v>
      </c>
      <c r="G67" s="14">
        <v>2.4327210000000001E-3</v>
      </c>
      <c r="H67" t="s">
        <v>25</v>
      </c>
      <c r="I67" s="14">
        <v>2.567017E-3</v>
      </c>
      <c r="J67" s="14"/>
      <c r="K67" s="14"/>
      <c r="M67" s="14"/>
      <c r="N67" s="14"/>
      <c r="O67" s="14"/>
      <c r="P67" s="14"/>
      <c r="U67" t="s">
        <v>27</v>
      </c>
      <c r="V67" s="14">
        <v>1.2844609999999999E-2</v>
      </c>
      <c r="W67" t="s">
        <v>26</v>
      </c>
      <c r="X67" s="14">
        <v>2.4832539999999998E-3</v>
      </c>
      <c r="Y67" t="s">
        <v>25</v>
      </c>
      <c r="Z67" s="14">
        <v>2.2288849999999999E-3</v>
      </c>
      <c r="AH67" t="s">
        <v>27</v>
      </c>
      <c r="AI67" s="14">
        <v>1.465639E-2</v>
      </c>
      <c r="AJ67" t="s">
        <v>26</v>
      </c>
      <c r="AK67" s="14">
        <v>2.0858690000000002E-3</v>
      </c>
      <c r="AL67" t="s">
        <v>25</v>
      </c>
      <c r="AM67" s="14">
        <v>1.8910380000000001E-3</v>
      </c>
      <c r="AN67" s="14"/>
    </row>
    <row r="68" spans="1:42" x14ac:dyDescent="0.25">
      <c r="A68" t="s">
        <v>64</v>
      </c>
      <c r="D68" t="s">
        <v>27</v>
      </c>
      <c r="E68" s="14">
        <v>1.5923219999999998E-2</v>
      </c>
      <c r="F68" t="s">
        <v>26</v>
      </c>
      <c r="G68" s="14">
        <v>3.5479000000000001E-3</v>
      </c>
      <c r="H68" t="s">
        <v>25</v>
      </c>
      <c r="I68" s="14">
        <v>4.1784190000000001E-3</v>
      </c>
      <c r="J68" s="14"/>
      <c r="P68" s="14"/>
      <c r="U68" t="s">
        <v>27</v>
      </c>
      <c r="V68" s="14">
        <v>1.6149460000000001E-2</v>
      </c>
      <c r="W68" t="s">
        <v>26</v>
      </c>
      <c r="X68" s="14">
        <v>3.773724E-3</v>
      </c>
      <c r="Y68" t="s">
        <v>25</v>
      </c>
      <c r="Z68" s="14">
        <v>3.2532110000000002E-3</v>
      </c>
      <c r="AH68" t="s">
        <v>27</v>
      </c>
      <c r="AI68" s="14">
        <v>1.871797E-2</v>
      </c>
      <c r="AJ68" t="s">
        <v>26</v>
      </c>
      <c r="AK68" s="14">
        <v>1.6309009999999999E-3</v>
      </c>
      <c r="AL68" t="s">
        <v>25</v>
      </c>
      <c r="AM68" s="14">
        <v>2.3479400000000002E-3</v>
      </c>
    </row>
    <row r="69" spans="1:42" x14ac:dyDescent="0.25">
      <c r="A69" t="s">
        <v>27</v>
      </c>
      <c r="B69" s="14">
        <v>4.70281E-3</v>
      </c>
      <c r="C69" s="14">
        <v>4.1465690000000001E-3</v>
      </c>
      <c r="D69" s="14">
        <v>8.4645250000000005E-3</v>
      </c>
      <c r="E69" s="14">
        <v>6.5728449999999999E-3</v>
      </c>
      <c r="F69" s="14">
        <v>1.142434E-2</v>
      </c>
      <c r="G69" s="14">
        <v>7.624423E-3</v>
      </c>
      <c r="I69" s="21" t="s">
        <v>40</v>
      </c>
      <c r="J69" s="21"/>
      <c r="K69">
        <v>460</v>
      </c>
      <c r="L69">
        <v>482</v>
      </c>
      <c r="M69">
        <v>483</v>
      </c>
      <c r="R69" t="s">
        <v>27</v>
      </c>
      <c r="S69" s="14">
        <v>5.3198009999999999E-3</v>
      </c>
      <c r="T69" s="14">
        <v>4.6938020000000004E-3</v>
      </c>
      <c r="U69" s="14">
        <v>8.3316169999999995E-3</v>
      </c>
      <c r="V69" s="14">
        <v>7.162346E-3</v>
      </c>
      <c r="W69" s="14">
        <v>1.0519479999999999E-2</v>
      </c>
      <c r="X69" s="14">
        <v>9.0010160000000006E-3</v>
      </c>
      <c r="Z69" s="21" t="s">
        <v>40</v>
      </c>
      <c r="AA69">
        <v>429</v>
      </c>
      <c r="AB69">
        <v>477</v>
      </c>
      <c r="AC69">
        <v>491</v>
      </c>
      <c r="AE69" t="s">
        <v>27</v>
      </c>
      <c r="AF69" s="14">
        <v>5.2392000000000003E-3</v>
      </c>
      <c r="AG69" s="14">
        <v>5.3749210000000004E-3</v>
      </c>
      <c r="AH69" s="14">
        <v>8.8727340000000002E-3</v>
      </c>
      <c r="AI69" s="14">
        <v>8.2581960000000006E-3</v>
      </c>
      <c r="AJ69">
        <v>1.201751E-2</v>
      </c>
      <c r="AK69" s="14">
        <v>1.019831E-2</v>
      </c>
      <c r="AM69" s="21" t="s">
        <v>40</v>
      </c>
      <c r="AN69">
        <v>455</v>
      </c>
      <c r="AO69">
        <v>455</v>
      </c>
      <c r="AP69">
        <v>444</v>
      </c>
    </row>
    <row r="70" spans="1:42" x14ac:dyDescent="0.25">
      <c r="A70" t="s">
        <v>26</v>
      </c>
      <c r="B70" s="14">
        <v>4.5735970000000004E-3</v>
      </c>
      <c r="C70" s="14">
        <v>-3.8399340000000001E-3</v>
      </c>
      <c r="D70" s="14">
        <v>8.4285109999999996E-3</v>
      </c>
      <c r="E70" s="14">
        <v>-7.2647019999999996E-3</v>
      </c>
      <c r="F70" s="14">
        <v>1.220457E-2</v>
      </c>
      <c r="G70" s="14">
        <v>-9.2692469999999996E-3</v>
      </c>
      <c r="I70" s="21" t="s">
        <v>41</v>
      </c>
      <c r="J70" s="21"/>
      <c r="K70">
        <v>363</v>
      </c>
      <c r="L70">
        <v>341</v>
      </c>
      <c r="M70">
        <v>340</v>
      </c>
      <c r="R70" t="s">
        <v>26</v>
      </c>
      <c r="S70" s="14">
        <v>5.0732959999999997E-3</v>
      </c>
      <c r="T70" s="14">
        <v>-4.3232019999999999E-3</v>
      </c>
      <c r="U70" s="14">
        <v>9.1203780000000002E-3</v>
      </c>
      <c r="V70" s="14">
        <v>-8.7402260000000002E-3</v>
      </c>
      <c r="W70" s="14">
        <v>1.143509E-2</v>
      </c>
      <c r="X70" s="14">
        <v>-1.128666E-2</v>
      </c>
      <c r="Z70" s="21" t="s">
        <v>41</v>
      </c>
      <c r="AA70">
        <v>394</v>
      </c>
      <c r="AB70">
        <v>345</v>
      </c>
      <c r="AC70">
        <v>332</v>
      </c>
      <c r="AE70" t="s">
        <v>26</v>
      </c>
      <c r="AF70" s="14">
        <v>6.0809310000000004E-3</v>
      </c>
      <c r="AG70" s="14">
        <v>-4.8345460000000003E-3</v>
      </c>
      <c r="AH70" s="14">
        <v>1.100746E-2</v>
      </c>
      <c r="AI70" s="14">
        <v>-1.0040449999999999E-2</v>
      </c>
      <c r="AJ70">
        <v>1.4057979999999999E-2</v>
      </c>
      <c r="AK70" s="14">
        <v>-1.2748829999999999E-2</v>
      </c>
      <c r="AM70" s="21" t="s">
        <v>41</v>
      </c>
      <c r="AN70">
        <v>368</v>
      </c>
      <c r="AO70">
        <v>368</v>
      </c>
      <c r="AP70">
        <v>379</v>
      </c>
    </row>
    <row r="71" spans="1:42" x14ac:dyDescent="0.25">
      <c r="A71" t="s">
        <v>25</v>
      </c>
      <c r="B71" s="14">
        <v>5.7050390000000003E-3</v>
      </c>
      <c r="C71" s="14">
        <v>-4.8899709999999999E-3</v>
      </c>
      <c r="D71" s="14">
        <v>1.0505550000000001E-2</v>
      </c>
      <c r="E71" s="14">
        <v>-8.6212040000000004E-3</v>
      </c>
      <c r="F71" s="14">
        <v>1.455155E-2</v>
      </c>
      <c r="G71" s="14">
        <v>-1.0557530000000001E-2</v>
      </c>
      <c r="I71" t="s">
        <v>42</v>
      </c>
      <c r="K71" s="13">
        <f>K69/K70</f>
        <v>1.2672176308539944</v>
      </c>
      <c r="L71" s="13">
        <f>L69/L70</f>
        <v>1.4134897360703813</v>
      </c>
      <c r="M71" s="13">
        <f>M69/M70</f>
        <v>1.4205882352941177</v>
      </c>
      <c r="N71" s="13"/>
      <c r="O71" s="13"/>
      <c r="R71" t="s">
        <v>25</v>
      </c>
      <c r="S71" s="14">
        <v>6.353526E-3</v>
      </c>
      <c r="T71" s="14">
        <v>-5.5700960000000001E-3</v>
      </c>
      <c r="U71" s="14">
        <v>1.08664E-2</v>
      </c>
      <c r="V71" s="14">
        <v>-9.7319899999999994E-3</v>
      </c>
      <c r="W71" s="14">
        <v>1.370884E-2</v>
      </c>
      <c r="X71" s="14">
        <v>-1.224127E-2</v>
      </c>
      <c r="Z71" t="s">
        <v>42</v>
      </c>
      <c r="AA71" s="13">
        <f>AA69/AA70</f>
        <v>1.0888324873096447</v>
      </c>
      <c r="AB71" s="13">
        <f>AB69/AB70</f>
        <v>1.3826086956521739</v>
      </c>
      <c r="AC71" s="13">
        <f>AC69/AC70</f>
        <v>1.4789156626506024</v>
      </c>
      <c r="AE71" t="s">
        <v>25</v>
      </c>
      <c r="AF71" s="14">
        <v>7.1334279999999998E-3</v>
      </c>
      <c r="AG71" s="14">
        <v>-6.4169309999999999E-3</v>
      </c>
      <c r="AH71" s="14">
        <v>1.2558959999999999E-2</v>
      </c>
      <c r="AI71" s="14">
        <v>-1.129892E-2</v>
      </c>
      <c r="AJ71">
        <v>1.616275E-2</v>
      </c>
      <c r="AK71" s="14">
        <v>-1.380555E-2</v>
      </c>
      <c r="AM71" t="s">
        <v>42</v>
      </c>
      <c r="AN71" s="13">
        <f>AN69/AN70</f>
        <v>1.236413043478261</v>
      </c>
      <c r="AO71" s="13">
        <f>AO69/AO70</f>
        <v>1.236413043478261</v>
      </c>
      <c r="AP71" s="13">
        <f>AP69/AP70</f>
        <v>1.1715039577836412</v>
      </c>
    </row>
    <row r="72" spans="1:42" x14ac:dyDescent="0.25">
      <c r="A72" t="s">
        <v>31</v>
      </c>
      <c r="B72" t="s">
        <v>30</v>
      </c>
      <c r="C72" t="s">
        <v>33</v>
      </c>
      <c r="D72" t="s">
        <v>58</v>
      </c>
      <c r="E72" t="s">
        <v>59</v>
      </c>
      <c r="F72" t="s">
        <v>65</v>
      </c>
      <c r="G72" t="s">
        <v>66</v>
      </c>
      <c r="K72" s="17">
        <f>K69/SUM(K69:K70)</f>
        <v>0.55893074119076547</v>
      </c>
      <c r="L72" s="17">
        <f>L69/SUM(L69:L70)</f>
        <v>0.58566221142162822</v>
      </c>
      <c r="M72" s="17">
        <f>M69/SUM(M69:M70)</f>
        <v>0.58687727825030378</v>
      </c>
      <c r="N72" s="17"/>
      <c r="O72" s="17"/>
      <c r="R72" t="s">
        <v>31</v>
      </c>
      <c r="S72" t="s">
        <v>30</v>
      </c>
      <c r="T72" t="s">
        <v>33</v>
      </c>
      <c r="U72" t="s">
        <v>58</v>
      </c>
      <c r="V72" t="s">
        <v>59</v>
      </c>
      <c r="W72" t="s">
        <v>65</v>
      </c>
      <c r="X72" t="s">
        <v>66</v>
      </c>
      <c r="AA72" s="17">
        <f>AA69/SUM(AA69:AA70)</f>
        <v>0.52126366950182257</v>
      </c>
      <c r="AB72" s="17">
        <f>AB69/SUM(AB69:AB70)</f>
        <v>0.58029197080291972</v>
      </c>
      <c r="AC72" s="17">
        <f>AC69/SUM(AC69:AC70)</f>
        <v>0.59659781287970837</v>
      </c>
      <c r="AE72" t="s">
        <v>31</v>
      </c>
      <c r="AF72" t="s">
        <v>30</v>
      </c>
      <c r="AG72" t="s">
        <v>33</v>
      </c>
      <c r="AH72" t="s">
        <v>23</v>
      </c>
      <c r="AI72" t="s">
        <v>24</v>
      </c>
      <c r="AJ72" t="s">
        <v>65</v>
      </c>
      <c r="AK72" t="s">
        <v>66</v>
      </c>
      <c r="AN72" s="17">
        <f>AN69/SUM(AN69:AN70)</f>
        <v>0.55285540704738756</v>
      </c>
      <c r="AO72" s="17">
        <f>AO69/SUM(AO69:AO70)</f>
        <v>0.55285540704738756</v>
      </c>
      <c r="AP72" s="17">
        <f>AP69/SUM(AP69:AP70)</f>
        <v>0.53948967193195629</v>
      </c>
    </row>
    <row r="73" spans="1:42" x14ac:dyDescent="0.25">
      <c r="A73">
        <v>0.1</v>
      </c>
      <c r="B73" s="17">
        <v>0.86767899999999998</v>
      </c>
      <c r="C73" s="17">
        <v>0.87292820000000004</v>
      </c>
      <c r="D73" s="17">
        <v>0.93361000000000005</v>
      </c>
      <c r="E73" s="17">
        <v>0.91228070000000006</v>
      </c>
      <c r="F73" s="17">
        <v>0.9544513</v>
      </c>
      <c r="G73" s="17">
        <v>0.95014659999999995</v>
      </c>
      <c r="H73" s="25">
        <f>$M$119*(A73/100+1)</f>
        <v>371.19081999999997</v>
      </c>
      <c r="I73" s="25">
        <f>(1-A73/100)*$M$119</f>
        <v>370.44918000000001</v>
      </c>
      <c r="J73" s="25"/>
      <c r="K73" s="17">
        <f>K70/SUM(K69:K70)</f>
        <v>0.44106925880923453</v>
      </c>
      <c r="L73" s="17">
        <f>L70/SUM(L69:L70)</f>
        <v>0.41433778857837184</v>
      </c>
      <c r="M73" s="17">
        <f>M70/SUM(M69:M70)</f>
        <v>0.41312272174969622</v>
      </c>
      <c r="N73" s="17"/>
      <c r="O73" s="17"/>
      <c r="R73">
        <v>0.1</v>
      </c>
      <c r="S73" s="17">
        <v>0.86713289999999998</v>
      </c>
      <c r="T73" s="17">
        <v>0.85532989999999998</v>
      </c>
      <c r="U73" s="17">
        <v>0.97071130000000005</v>
      </c>
      <c r="V73" s="17">
        <v>0.92463770000000001</v>
      </c>
      <c r="W73" s="17">
        <v>0.96341460000000001</v>
      </c>
      <c r="X73" s="17">
        <v>0.93975900000000001</v>
      </c>
      <c r="Y73" s="25">
        <f>$M$119*(R73/100+1)</f>
        <v>371.19081999999997</v>
      </c>
      <c r="Z73" s="25">
        <f>(1-R73/100)*$M$119</f>
        <v>370.44918000000001</v>
      </c>
      <c r="AA73" s="17">
        <f>AA70/SUM(AA69:AA70)</f>
        <v>0.47873633049817738</v>
      </c>
      <c r="AB73" s="17">
        <f>AB70/SUM(AB69:AB70)</f>
        <v>0.41970802919708028</v>
      </c>
      <c r="AC73" s="17">
        <f>AC70/SUM(AC69:AC70)</f>
        <v>0.40340218712029163</v>
      </c>
      <c r="AE73">
        <v>0.1</v>
      </c>
      <c r="AF73" s="17">
        <v>0.92087909999999995</v>
      </c>
      <c r="AG73" s="17">
        <v>0.88858700000000002</v>
      </c>
      <c r="AH73" s="17">
        <v>0.96043959999999995</v>
      </c>
      <c r="AI73" s="17">
        <v>0.92119569999999995</v>
      </c>
      <c r="AJ73" s="17">
        <v>0.954955</v>
      </c>
      <c r="AK73" s="17">
        <v>0.93403689999999995</v>
      </c>
      <c r="AL73" s="25">
        <f>$M$119*(AE73/100+1)</f>
        <v>371.19081999999997</v>
      </c>
      <c r="AM73" s="25">
        <f>(1-AE73/100)*$M$119</f>
        <v>370.44918000000001</v>
      </c>
      <c r="AN73" s="17">
        <f>AN70/SUM(AN69:AN70)</f>
        <v>0.44714459295261239</v>
      </c>
      <c r="AO73" s="17">
        <f>AO70/SUM(AO69:AO70)</f>
        <v>0.44714459295261239</v>
      </c>
      <c r="AP73" s="17">
        <f>AP70/SUM(AP69:AP70)</f>
        <v>0.46051032806804376</v>
      </c>
    </row>
    <row r="74" spans="1:42" x14ac:dyDescent="0.25">
      <c r="A74">
        <v>0.2</v>
      </c>
      <c r="B74" s="17">
        <v>0.7635575</v>
      </c>
      <c r="C74" s="17">
        <v>0.72099449999999998</v>
      </c>
      <c r="D74" s="17">
        <v>0.873444</v>
      </c>
      <c r="E74" s="17">
        <v>0.83333330000000005</v>
      </c>
      <c r="F74" s="17">
        <v>0.91304350000000001</v>
      </c>
      <c r="G74" s="17">
        <v>0.87976540000000003</v>
      </c>
      <c r="H74" s="25">
        <f>$M$119*(A74/100+1)</f>
        <v>371.56164000000001</v>
      </c>
      <c r="I74" s="25">
        <f>(1-A74/100)*$M$119</f>
        <v>370.07835999999998</v>
      </c>
      <c r="J74" s="25"/>
      <c r="R74">
        <v>0.2</v>
      </c>
      <c r="S74" s="17">
        <v>0.75990679999999999</v>
      </c>
      <c r="T74" s="17">
        <v>0.73096450000000002</v>
      </c>
      <c r="U74" s="17">
        <v>0.89121340000000004</v>
      </c>
      <c r="V74" s="17">
        <v>0.87246380000000001</v>
      </c>
      <c r="W74" s="17">
        <v>0.92073170000000004</v>
      </c>
      <c r="X74" s="17">
        <v>0.89457830000000005</v>
      </c>
      <c r="Y74" s="25">
        <f>$M$119*(R74/100+1)</f>
        <v>371.56164000000001</v>
      </c>
      <c r="Z74" s="25">
        <f>(1-R74/100)*$M$119</f>
        <v>370.07835999999998</v>
      </c>
      <c r="AE74">
        <v>0.2</v>
      </c>
      <c r="AF74" s="17">
        <v>0.82857139999999996</v>
      </c>
      <c r="AG74" s="17">
        <v>0.76630430000000005</v>
      </c>
      <c r="AH74" s="17">
        <v>0.90549449999999998</v>
      </c>
      <c r="AI74" s="17">
        <v>0.86956520000000004</v>
      </c>
      <c r="AJ74" s="17">
        <v>0.91441439999999996</v>
      </c>
      <c r="AK74" s="17">
        <v>0.87335090000000004</v>
      </c>
      <c r="AL74" s="25">
        <f>$M$119*(AE74/100+1)</f>
        <v>371.56164000000001</v>
      </c>
      <c r="AM74" s="25">
        <f>(1-AE74/100)*$M$119</f>
        <v>370.07835999999998</v>
      </c>
    </row>
    <row r="75" spans="1:42" x14ac:dyDescent="0.25">
      <c r="A75">
        <v>0.3</v>
      </c>
      <c r="B75" s="17">
        <v>0.66377439999999999</v>
      </c>
      <c r="C75" s="17">
        <v>0.57458560000000003</v>
      </c>
      <c r="D75" s="17">
        <v>0.8215768</v>
      </c>
      <c r="E75" s="17">
        <v>0.78362569999999998</v>
      </c>
      <c r="F75" s="17">
        <v>0.86956520000000004</v>
      </c>
      <c r="G75" s="17">
        <v>0.82404690000000003</v>
      </c>
      <c r="H75" s="25">
        <f>$M$119*(A75/100+1)</f>
        <v>371.93245999999994</v>
      </c>
      <c r="I75" s="25">
        <f>(1-A75/100)*$M$119</f>
        <v>369.70753999999999</v>
      </c>
      <c r="J75" s="25"/>
      <c r="R75">
        <v>0.3</v>
      </c>
      <c r="S75" s="17">
        <v>0.65501169999999997</v>
      </c>
      <c r="T75" s="17">
        <v>0.61928930000000004</v>
      </c>
      <c r="U75" s="17">
        <v>0.83682009999999996</v>
      </c>
      <c r="V75" s="17">
        <v>0.80289860000000002</v>
      </c>
      <c r="W75" s="17">
        <v>0.88414630000000005</v>
      </c>
      <c r="X75" s="17">
        <v>0.84036140000000004</v>
      </c>
      <c r="Y75" s="25">
        <f>$M$119*(R75/100+1)</f>
        <v>371.93245999999994</v>
      </c>
      <c r="Z75" s="25">
        <f>(1-R75/100)*$M$119</f>
        <v>369.70753999999999</v>
      </c>
      <c r="AE75">
        <v>0.3</v>
      </c>
      <c r="AF75" s="17">
        <v>0.72527470000000005</v>
      </c>
      <c r="AG75" s="17">
        <v>0.66576089999999999</v>
      </c>
      <c r="AH75" s="17">
        <v>0.86593410000000004</v>
      </c>
      <c r="AI75" s="17">
        <v>0.8125</v>
      </c>
      <c r="AJ75" s="17">
        <v>0.8716216</v>
      </c>
      <c r="AK75" s="17">
        <v>0.82321900000000003</v>
      </c>
      <c r="AL75" s="25">
        <f>$M$119*(AE75/100+1)</f>
        <v>371.93245999999994</v>
      </c>
      <c r="AM75" s="25">
        <f>(1-AE75/100)*$M$119</f>
        <v>369.70753999999999</v>
      </c>
    </row>
    <row r="76" spans="1:42" x14ac:dyDescent="0.25">
      <c r="A76">
        <v>0.4</v>
      </c>
      <c r="B76" s="17">
        <v>0.55531450000000004</v>
      </c>
      <c r="C76" s="17">
        <v>0.4861878</v>
      </c>
      <c r="D76" s="17">
        <v>0.753112</v>
      </c>
      <c r="E76" s="17">
        <v>0.7192982</v>
      </c>
      <c r="F76" s="17">
        <v>0.83022770000000001</v>
      </c>
      <c r="G76" s="17">
        <v>0.77712610000000004</v>
      </c>
      <c r="H76" s="25">
        <f>$M$119*(A76/100+1)</f>
        <v>372.30327999999997</v>
      </c>
      <c r="I76" s="25">
        <f>(1-A76/100)*$M$119</f>
        <v>369.33672000000001</v>
      </c>
      <c r="J76" s="25"/>
      <c r="R76">
        <v>0.4</v>
      </c>
      <c r="S76" s="17">
        <v>0.57342660000000001</v>
      </c>
      <c r="T76" s="17">
        <v>0.51776650000000002</v>
      </c>
      <c r="U76" s="17">
        <v>0.78451879999999996</v>
      </c>
      <c r="V76" s="17">
        <v>0.74202900000000005</v>
      </c>
      <c r="W76" s="17">
        <v>0.82723579999999997</v>
      </c>
      <c r="X76" s="17">
        <v>0.79216869999999995</v>
      </c>
      <c r="Y76" s="25">
        <f>$M$119*(R76/100+1)</f>
        <v>372.30327999999997</v>
      </c>
      <c r="Z76" s="25">
        <f>(1-R76/100)*$M$119</f>
        <v>369.33672000000001</v>
      </c>
      <c r="AE76">
        <v>0.4</v>
      </c>
      <c r="AF76" s="17">
        <v>0.64175819999999995</v>
      </c>
      <c r="AG76" s="17">
        <v>0.58423910000000001</v>
      </c>
      <c r="AH76" s="17">
        <v>0.81538460000000001</v>
      </c>
      <c r="AI76" s="17">
        <v>0.77173910000000001</v>
      </c>
      <c r="AJ76" s="17">
        <v>0.85810810000000004</v>
      </c>
      <c r="AK76" s="17">
        <v>0.78100259999999999</v>
      </c>
      <c r="AL76" s="25">
        <f>$M$119*(AE76/100+1)</f>
        <v>372.30327999999997</v>
      </c>
      <c r="AM76" s="25">
        <f>(1-AE76/100)*$M$119</f>
        <v>369.33672000000001</v>
      </c>
    </row>
    <row r="77" spans="1:42" x14ac:dyDescent="0.25">
      <c r="A77">
        <v>0.5</v>
      </c>
      <c r="B77" s="17">
        <v>0.472885</v>
      </c>
      <c r="C77" s="17">
        <v>0.39502759999999998</v>
      </c>
      <c r="D77" s="17">
        <v>0.69917010000000002</v>
      </c>
      <c r="E77" s="17">
        <v>0.66081869999999998</v>
      </c>
      <c r="F77" s="17">
        <v>0.78260870000000005</v>
      </c>
      <c r="G77" s="17">
        <v>0.72434019999999999</v>
      </c>
      <c r="H77" s="25">
        <f>$M$119*(A77/100+1)</f>
        <v>372.67409999999995</v>
      </c>
      <c r="I77" s="25">
        <f>(1-A77/100)*$M$119</f>
        <v>368.96589999999998</v>
      </c>
      <c r="J77" s="25"/>
      <c r="R77">
        <v>0.5</v>
      </c>
      <c r="S77" s="17">
        <v>0.50815849999999996</v>
      </c>
      <c r="T77" s="17">
        <v>0.45431470000000002</v>
      </c>
      <c r="U77" s="17">
        <v>0.73430960000000001</v>
      </c>
      <c r="V77" s="17">
        <v>0.67826090000000006</v>
      </c>
      <c r="W77" s="17">
        <v>0.79471539999999996</v>
      </c>
      <c r="X77" s="17">
        <v>0.74698799999999999</v>
      </c>
      <c r="Y77" s="25">
        <f>$M$119*(R77/100+1)</f>
        <v>372.67409999999995</v>
      </c>
      <c r="Z77" s="25">
        <f>(1-R77/100)*$M$119</f>
        <v>368.96589999999998</v>
      </c>
      <c r="AE77">
        <v>0.5</v>
      </c>
      <c r="AF77" s="17">
        <v>0.56043960000000004</v>
      </c>
      <c r="AG77" s="17">
        <v>0.4918478</v>
      </c>
      <c r="AH77" s="17">
        <v>0.77802199999999999</v>
      </c>
      <c r="AI77" s="17">
        <v>0.72282610000000003</v>
      </c>
      <c r="AJ77" s="17">
        <v>0.81981979999999999</v>
      </c>
      <c r="AK77" s="17">
        <v>0.74406329999999998</v>
      </c>
      <c r="AL77" s="25">
        <f>$M$119*(AE77/100+1)</f>
        <v>372.67409999999995</v>
      </c>
      <c r="AM77" s="25">
        <f>(1-AE77/100)*$M$119</f>
        <v>368.96589999999998</v>
      </c>
    </row>
    <row r="78" spans="1:42" x14ac:dyDescent="0.25">
      <c r="A78">
        <v>0.6</v>
      </c>
      <c r="B78" s="17">
        <v>0.37960949999999999</v>
      </c>
      <c r="C78" s="17">
        <v>0.3232044</v>
      </c>
      <c r="D78" s="17">
        <v>0.65560169999999995</v>
      </c>
      <c r="E78" s="17">
        <v>0.57602339999999996</v>
      </c>
      <c r="F78" s="17">
        <v>0.74327120000000002</v>
      </c>
      <c r="G78" s="17">
        <v>0.67448680000000005</v>
      </c>
      <c r="H78" s="25">
        <f>$M$119*(A78/100+1)</f>
        <v>373.04491999999999</v>
      </c>
      <c r="I78" s="25">
        <f>(1-A78/100)*$M$119</f>
        <v>368.59508</v>
      </c>
      <c r="J78" s="25"/>
      <c r="R78">
        <v>0.6</v>
      </c>
      <c r="S78" s="17">
        <v>0.44055939999999999</v>
      </c>
      <c r="T78" s="17">
        <v>0.37817260000000003</v>
      </c>
      <c r="U78" s="17">
        <v>0.67782430000000005</v>
      </c>
      <c r="V78" s="17">
        <v>0.64057969999999997</v>
      </c>
      <c r="W78" s="17">
        <v>0.73983739999999998</v>
      </c>
      <c r="X78" s="17">
        <v>0.69578309999999999</v>
      </c>
      <c r="Y78" s="25">
        <f>$M$119*(R78/100+1)</f>
        <v>373.04491999999999</v>
      </c>
      <c r="Z78" s="25">
        <f>(1-R78/100)*$M$119</f>
        <v>368.59508</v>
      </c>
      <c r="AE78">
        <v>0.6</v>
      </c>
      <c r="AF78" s="17">
        <v>0.50769229999999999</v>
      </c>
      <c r="AG78" s="17">
        <v>0.4375</v>
      </c>
      <c r="AH78" s="17">
        <v>0.73186810000000002</v>
      </c>
      <c r="AI78" s="17">
        <v>0.69565220000000005</v>
      </c>
      <c r="AJ78" s="17">
        <v>0.76351349999999996</v>
      </c>
      <c r="AK78" s="17">
        <v>0.70976249999999996</v>
      </c>
      <c r="AL78" s="25">
        <f>$M$119*(AE78/100+1)</f>
        <v>373.04491999999999</v>
      </c>
      <c r="AM78" s="25">
        <f>(1-AE78/100)*$M$119</f>
        <v>368.59508</v>
      </c>
    </row>
    <row r="79" spans="1:42" x14ac:dyDescent="0.25">
      <c r="A79">
        <v>0.7</v>
      </c>
      <c r="B79" s="17">
        <v>0.30802600000000002</v>
      </c>
      <c r="C79" s="17">
        <v>0.25690610000000003</v>
      </c>
      <c r="D79" s="17">
        <v>0.58091289999999995</v>
      </c>
      <c r="E79" s="17">
        <v>0.51169589999999998</v>
      </c>
      <c r="F79" s="17">
        <v>0.71014489999999997</v>
      </c>
      <c r="G79" s="17">
        <v>0.62756599999999996</v>
      </c>
      <c r="H79" s="25">
        <f>$M$119*(A79/100+1)</f>
        <v>373.41573999999997</v>
      </c>
      <c r="I79" s="25">
        <f>(1-A79/100)*$M$119</f>
        <v>368.22426000000002</v>
      </c>
      <c r="J79" s="25"/>
      <c r="R79">
        <v>0.7</v>
      </c>
      <c r="S79" s="17">
        <v>0.3752914</v>
      </c>
      <c r="T79" s="17">
        <v>0.319797</v>
      </c>
      <c r="U79" s="17">
        <v>0.60878659999999996</v>
      </c>
      <c r="V79" s="17">
        <v>0.57971010000000001</v>
      </c>
      <c r="W79" s="17">
        <v>0.69308939999999997</v>
      </c>
      <c r="X79" s="17">
        <v>0.64457830000000005</v>
      </c>
      <c r="Y79" s="25">
        <f>$M$119*(R79/100+1)</f>
        <v>373.41573999999997</v>
      </c>
      <c r="Z79" s="25">
        <f>(1-R79/100)*$M$119</f>
        <v>368.22426000000002</v>
      </c>
      <c r="AE79">
        <v>0.7</v>
      </c>
      <c r="AF79" s="17">
        <v>0.45494509999999999</v>
      </c>
      <c r="AG79" s="17">
        <v>0.36956519999999998</v>
      </c>
      <c r="AH79" s="17">
        <v>0.67472529999999997</v>
      </c>
      <c r="AI79" s="17">
        <v>0.63858700000000002</v>
      </c>
      <c r="AJ79" s="17">
        <v>0.72972970000000004</v>
      </c>
      <c r="AK79" s="17">
        <v>0.68337729999999997</v>
      </c>
      <c r="AL79" s="25">
        <f>$M$119*(AE79/100+1)</f>
        <v>373.41573999999997</v>
      </c>
      <c r="AM79" s="25">
        <f>(1-AE79/100)*$M$119</f>
        <v>368.22426000000002</v>
      </c>
    </row>
    <row r="80" spans="1:42" x14ac:dyDescent="0.25">
      <c r="A80">
        <v>0.8</v>
      </c>
      <c r="B80" s="17">
        <v>0.26030370000000003</v>
      </c>
      <c r="C80" s="17">
        <v>0.19060769999999999</v>
      </c>
      <c r="D80" s="17">
        <v>0.51867220000000003</v>
      </c>
      <c r="E80" s="17">
        <v>0.4561404</v>
      </c>
      <c r="F80" s="17">
        <v>0.66045549999999997</v>
      </c>
      <c r="G80" s="17">
        <v>0.58064519999999997</v>
      </c>
      <c r="H80" s="25">
        <f>$M$119*(A80/100+1)</f>
        <v>373.78656000000001</v>
      </c>
      <c r="I80" s="25">
        <f>(1-A80/100)*$M$119</f>
        <v>367.85343999999998</v>
      </c>
      <c r="J80" s="25"/>
      <c r="R80">
        <v>0.8</v>
      </c>
      <c r="S80" s="17">
        <v>0.31235429999999997</v>
      </c>
      <c r="T80" s="17">
        <v>0.27157360000000003</v>
      </c>
      <c r="U80" s="17">
        <v>0.56485359999999996</v>
      </c>
      <c r="V80" s="17">
        <v>0.52753620000000001</v>
      </c>
      <c r="W80" s="17">
        <v>0.65853660000000003</v>
      </c>
      <c r="X80" s="17">
        <v>0.60542169999999995</v>
      </c>
      <c r="Y80" s="25">
        <f>$M$119*(R80/100+1)</f>
        <v>373.78656000000001</v>
      </c>
      <c r="Z80" s="25">
        <f>(1-R80/100)*$M$119</f>
        <v>367.85343999999998</v>
      </c>
      <c r="AE80">
        <v>0.8</v>
      </c>
      <c r="AF80" s="17">
        <v>0.39120880000000002</v>
      </c>
      <c r="AG80" s="17">
        <v>0.32608700000000002</v>
      </c>
      <c r="AH80" s="17">
        <v>0.62637359999999997</v>
      </c>
      <c r="AI80" s="17">
        <v>0.59510870000000005</v>
      </c>
      <c r="AJ80" s="17">
        <v>0.68918919999999995</v>
      </c>
      <c r="AK80" s="17">
        <v>0.63060689999999997</v>
      </c>
      <c r="AL80" s="25">
        <f>$M$119*(AE80/100+1)</f>
        <v>373.78656000000001</v>
      </c>
      <c r="AM80" s="25">
        <f>(1-AE80/100)*$M$119</f>
        <v>367.85343999999998</v>
      </c>
    </row>
    <row r="81" spans="1:39" x14ac:dyDescent="0.25">
      <c r="A81">
        <v>0.9</v>
      </c>
      <c r="B81" s="17">
        <v>0.1995662</v>
      </c>
      <c r="C81" s="17">
        <v>0.14640880000000001</v>
      </c>
      <c r="D81" s="17">
        <v>0.4626556</v>
      </c>
      <c r="E81" s="17">
        <v>0.40935670000000002</v>
      </c>
      <c r="F81" s="17">
        <v>0.60455490000000001</v>
      </c>
      <c r="G81" s="17">
        <v>0.51906160000000001</v>
      </c>
      <c r="H81" s="25">
        <f>$M$119*(A81/100+1)</f>
        <v>374.15737999999993</v>
      </c>
      <c r="I81" s="25">
        <f>(1-A81/100)*$M$119</f>
        <v>367.48262</v>
      </c>
      <c r="J81" s="25"/>
      <c r="R81">
        <v>0.9</v>
      </c>
      <c r="S81" s="17">
        <v>0.27039629999999998</v>
      </c>
      <c r="T81" s="17">
        <v>0.21573600000000001</v>
      </c>
      <c r="U81" s="17">
        <v>0.50418410000000002</v>
      </c>
      <c r="V81" s="17">
        <v>0.47826089999999999</v>
      </c>
      <c r="W81" s="17">
        <v>0.61788620000000005</v>
      </c>
      <c r="X81" s="17">
        <v>0.563253</v>
      </c>
      <c r="Y81" s="25">
        <f>$M$119*(R81/100+1)</f>
        <v>374.15737999999993</v>
      </c>
      <c r="Z81" s="25">
        <f>(1-R81/100)*$M$119</f>
        <v>367.48262</v>
      </c>
      <c r="AE81">
        <v>0.9</v>
      </c>
      <c r="AF81" s="17">
        <v>0.3274725</v>
      </c>
      <c r="AG81" s="17">
        <v>0.25543480000000002</v>
      </c>
      <c r="AH81" s="17">
        <v>0.58901099999999995</v>
      </c>
      <c r="AI81" s="17">
        <v>0.55163039999999997</v>
      </c>
      <c r="AJ81" s="17">
        <v>0.66891889999999998</v>
      </c>
      <c r="AK81" s="17">
        <v>0.61477570000000004</v>
      </c>
      <c r="AL81" s="25">
        <f>$M$119*(AE81/100+1)</f>
        <v>374.15737999999993</v>
      </c>
      <c r="AM81" s="25">
        <f>(1-AE81/100)*$M$119</f>
        <v>367.48262</v>
      </c>
    </row>
    <row r="82" spans="1:39" x14ac:dyDescent="0.25">
      <c r="A82">
        <v>1</v>
      </c>
      <c r="B82" s="17">
        <v>0.16702819999999999</v>
      </c>
      <c r="C82" s="17">
        <v>0.1132597</v>
      </c>
      <c r="D82" s="17">
        <v>0.42116179999999998</v>
      </c>
      <c r="E82" s="17">
        <v>0.3596491</v>
      </c>
      <c r="F82" s="17">
        <v>0.57349899999999998</v>
      </c>
      <c r="G82" s="17">
        <v>0.457478</v>
      </c>
      <c r="H82" s="25">
        <f>$M$119*(A82/100+1)</f>
        <v>374.52819999999997</v>
      </c>
      <c r="I82" s="25">
        <f>(1-A82/100)*$M$119</f>
        <v>367.11180000000002</v>
      </c>
      <c r="J82" s="25"/>
      <c r="R82">
        <v>1</v>
      </c>
      <c r="S82" s="17">
        <v>0.23310020000000001</v>
      </c>
      <c r="T82" s="17">
        <v>0.16243650000000001</v>
      </c>
      <c r="U82" s="17">
        <v>0.4414226</v>
      </c>
      <c r="V82" s="17">
        <v>0.42608699999999999</v>
      </c>
      <c r="W82" s="17">
        <v>0.57723579999999997</v>
      </c>
      <c r="X82" s="17">
        <v>0.53915659999999999</v>
      </c>
      <c r="Y82" s="25">
        <f>$M$119*(R82/100+1)</f>
        <v>374.52819999999997</v>
      </c>
      <c r="Z82" s="25">
        <f>(1-R82/100)*$M$119</f>
        <v>367.11180000000002</v>
      </c>
      <c r="AE82">
        <v>1</v>
      </c>
      <c r="AF82" s="17">
        <v>0.27692309999999998</v>
      </c>
      <c r="AG82" s="17">
        <v>0.21739130000000001</v>
      </c>
      <c r="AH82" s="17">
        <v>0.53846150000000004</v>
      </c>
      <c r="AI82" s="17">
        <v>0.50543479999999996</v>
      </c>
      <c r="AJ82" s="17">
        <v>0.64189189999999996</v>
      </c>
      <c r="AK82" s="17">
        <v>0.58311349999999995</v>
      </c>
      <c r="AL82" s="25">
        <f>$M$119*(AE82/100+1)</f>
        <v>374.52819999999997</v>
      </c>
      <c r="AM82" s="25">
        <f>(1-AE82/100)*$M$119</f>
        <v>367.11180000000002</v>
      </c>
    </row>
    <row r="83" spans="1:39" x14ac:dyDescent="0.25">
      <c r="A83">
        <v>1.1000000000000001</v>
      </c>
      <c r="B83" s="17">
        <v>0.13015180000000001</v>
      </c>
      <c r="C83" s="17">
        <v>7.1823200000000004E-2</v>
      </c>
      <c r="D83" s="17">
        <v>0.38381739999999998</v>
      </c>
      <c r="E83" s="17">
        <v>0.31871349999999998</v>
      </c>
      <c r="F83" s="17">
        <v>0.53416149999999996</v>
      </c>
      <c r="G83" s="17">
        <v>0.42521989999999998</v>
      </c>
      <c r="H83" s="25">
        <f>$M$119*(A83/100+1)</f>
        <v>374.89901999999995</v>
      </c>
      <c r="I83" s="25">
        <f>(1-A83/100)*$M$119</f>
        <v>366.74097999999998</v>
      </c>
      <c r="J83" s="25"/>
      <c r="R83">
        <v>1.1000000000000001</v>
      </c>
      <c r="S83" s="17">
        <v>0.19114220000000001</v>
      </c>
      <c r="T83" s="17">
        <v>0.13197970000000001</v>
      </c>
      <c r="U83" s="17">
        <v>0.40585769999999999</v>
      </c>
      <c r="V83" s="17">
        <v>0.373913</v>
      </c>
      <c r="W83" s="17">
        <v>0.52032520000000004</v>
      </c>
      <c r="X83" s="17">
        <v>0.50602409999999998</v>
      </c>
      <c r="Y83" s="25">
        <f>$M$119*(R83/100+1)</f>
        <v>374.89901999999995</v>
      </c>
      <c r="Z83" s="25">
        <f>(1-R83/100)*$M$119</f>
        <v>366.74097999999998</v>
      </c>
      <c r="AE83">
        <v>1.1000000000000001</v>
      </c>
      <c r="AF83" s="17">
        <v>0.23296700000000001</v>
      </c>
      <c r="AG83" s="17">
        <v>0.18478259999999999</v>
      </c>
      <c r="AH83" s="17">
        <v>0.50109890000000001</v>
      </c>
      <c r="AI83" s="17">
        <v>0.45108700000000002</v>
      </c>
      <c r="AJ83" s="17">
        <v>0.60810810000000004</v>
      </c>
      <c r="AK83" s="17">
        <v>0.56200530000000004</v>
      </c>
      <c r="AL83" s="25">
        <f>$M$119*(AE83/100+1)</f>
        <v>374.89901999999995</v>
      </c>
      <c r="AM83" s="25">
        <f>(1-AE83/100)*$M$119</f>
        <v>366.74097999999998</v>
      </c>
    </row>
    <row r="84" spans="1:39" x14ac:dyDescent="0.25">
      <c r="A84">
        <v>1.2</v>
      </c>
      <c r="B84" s="17">
        <v>0.1084599</v>
      </c>
      <c r="C84" s="17">
        <v>6.0773479999999998E-2</v>
      </c>
      <c r="D84" s="17">
        <v>0.34439829999999999</v>
      </c>
      <c r="E84" s="17">
        <v>0.27777780000000002</v>
      </c>
      <c r="F84" s="17">
        <v>0.50310560000000004</v>
      </c>
      <c r="G84" s="17">
        <v>0.38123170000000001</v>
      </c>
      <c r="H84" s="25">
        <f>$M$119*(A84/100+1)</f>
        <v>375.26983999999999</v>
      </c>
      <c r="I84" s="25">
        <f>(1-A84/100)*$M$119</f>
        <v>366.37016</v>
      </c>
      <c r="J84" s="25"/>
      <c r="R84">
        <v>1.2</v>
      </c>
      <c r="S84" s="17">
        <v>0.15384619999999999</v>
      </c>
      <c r="T84" s="17">
        <v>0.1015228</v>
      </c>
      <c r="U84" s="17">
        <v>0.35146440000000001</v>
      </c>
      <c r="V84" s="17">
        <v>0.32463769999999997</v>
      </c>
      <c r="W84" s="17">
        <v>0.46951219999999999</v>
      </c>
      <c r="X84" s="17">
        <v>0.45180720000000002</v>
      </c>
      <c r="Y84" s="25">
        <f>$M$119*(R84/100+1)</f>
        <v>375.26983999999999</v>
      </c>
      <c r="Z84" s="25">
        <f>(1-R84/100)*$M$119</f>
        <v>366.37016</v>
      </c>
      <c r="AE84">
        <v>1.2</v>
      </c>
      <c r="AF84" s="17">
        <v>0.18681320000000001</v>
      </c>
      <c r="AG84" s="17">
        <v>0.16576089999999999</v>
      </c>
      <c r="AH84" s="17">
        <v>0.45714290000000002</v>
      </c>
      <c r="AI84" s="17">
        <v>0.41304350000000001</v>
      </c>
      <c r="AJ84" s="17">
        <v>0.57657659999999999</v>
      </c>
      <c r="AK84" s="17">
        <v>0.53034300000000001</v>
      </c>
      <c r="AL84" s="25">
        <f>$M$119*(AE84/100+1)</f>
        <v>375.26983999999999</v>
      </c>
      <c r="AM84" s="25">
        <f>(1-AE84/100)*$M$119</f>
        <v>366.37016</v>
      </c>
    </row>
    <row r="85" spans="1:39" x14ac:dyDescent="0.25">
      <c r="A85">
        <v>1.3</v>
      </c>
      <c r="B85" s="17">
        <v>8.2429500000000003E-2</v>
      </c>
      <c r="C85" s="17">
        <v>4.9723759999999999E-2</v>
      </c>
      <c r="D85" s="17">
        <v>0.313278</v>
      </c>
      <c r="E85" s="17">
        <v>0.22222220000000001</v>
      </c>
      <c r="F85" s="17">
        <v>0.46997929999999999</v>
      </c>
      <c r="G85" s="17">
        <v>0.31085040000000003</v>
      </c>
      <c r="H85" s="25">
        <f>$M$119*(A85/100+1)</f>
        <v>375.64065999999997</v>
      </c>
      <c r="I85" s="25">
        <f>(1-A85/100)*$M$119</f>
        <v>365.99933999999996</v>
      </c>
      <c r="J85" s="25"/>
      <c r="R85">
        <v>1.3</v>
      </c>
      <c r="S85" s="17">
        <v>0.1235431</v>
      </c>
      <c r="T85" s="17">
        <v>8.883249E-2</v>
      </c>
      <c r="U85" s="17">
        <v>0.31799159999999999</v>
      </c>
      <c r="V85" s="17">
        <v>0.2927536</v>
      </c>
      <c r="W85" s="17">
        <v>0.42682930000000002</v>
      </c>
      <c r="X85" s="17">
        <v>0.4156627</v>
      </c>
      <c r="Y85" s="25">
        <f>$M$119*(R85/100+1)</f>
        <v>375.64065999999997</v>
      </c>
      <c r="Z85" s="25">
        <f>(1-R85/100)*$M$119</f>
        <v>365.99933999999996</v>
      </c>
      <c r="AE85">
        <v>1.3</v>
      </c>
      <c r="AF85" s="17">
        <v>0.15164839999999999</v>
      </c>
      <c r="AG85" s="17">
        <v>0.1440217</v>
      </c>
      <c r="AH85" s="17">
        <v>0.41978019999999999</v>
      </c>
      <c r="AI85" s="17">
        <v>0.3831522</v>
      </c>
      <c r="AJ85" s="17">
        <v>0.52927930000000001</v>
      </c>
      <c r="AK85" s="17">
        <v>0.4934037</v>
      </c>
      <c r="AL85" s="25">
        <f>$M$119*(AE85/100+1)</f>
        <v>375.64065999999997</v>
      </c>
      <c r="AM85" s="25">
        <f>(1-AE85/100)*$M$119</f>
        <v>365.99933999999996</v>
      </c>
    </row>
    <row r="86" spans="1:39" x14ac:dyDescent="0.25">
      <c r="A86">
        <v>1.4</v>
      </c>
      <c r="B86" s="17">
        <v>6.0737529999999998E-2</v>
      </c>
      <c r="C86" s="17">
        <v>4.1436460000000001E-2</v>
      </c>
      <c r="D86" s="17">
        <v>0.27800829999999999</v>
      </c>
      <c r="E86" s="17">
        <v>0.19590640000000001</v>
      </c>
      <c r="F86" s="17">
        <v>0.42857139999999999</v>
      </c>
      <c r="G86" s="17">
        <v>0.26686219999999999</v>
      </c>
      <c r="H86" s="25">
        <f>$M$119*(A86/100+1)</f>
        <v>376.01148000000001</v>
      </c>
      <c r="I86" s="25">
        <f>(1-A86/100)*$M$119</f>
        <v>365.62851999999998</v>
      </c>
      <c r="J86" s="25"/>
      <c r="R86">
        <v>1.4</v>
      </c>
      <c r="S86" s="17">
        <v>9.3240089999999998E-2</v>
      </c>
      <c r="T86" s="17">
        <v>6.0913710000000003E-2</v>
      </c>
      <c r="U86" s="17">
        <v>0.28033469999999999</v>
      </c>
      <c r="V86" s="17">
        <v>0.25797100000000001</v>
      </c>
      <c r="W86" s="17">
        <v>0.39430890000000002</v>
      </c>
      <c r="X86" s="17">
        <v>0.37349399999999999</v>
      </c>
      <c r="Y86" s="25">
        <f>$M$119*(R86/100+1)</f>
        <v>376.01148000000001</v>
      </c>
      <c r="Z86" s="25">
        <f>(1-R86/100)*$M$119</f>
        <v>365.62851999999998</v>
      </c>
      <c r="AE86">
        <v>1.4</v>
      </c>
      <c r="AF86" s="17">
        <v>0.12527469999999999</v>
      </c>
      <c r="AG86" s="17">
        <v>0.10869570000000001</v>
      </c>
      <c r="AH86" s="17">
        <v>0.38681320000000002</v>
      </c>
      <c r="AI86" s="17">
        <v>0.34239130000000001</v>
      </c>
      <c r="AJ86" s="17">
        <v>0.50225229999999998</v>
      </c>
      <c r="AK86" s="17">
        <v>0.47229549999999998</v>
      </c>
      <c r="AL86" s="25">
        <f>$M$119*(AE86/100+1)</f>
        <v>376.01148000000001</v>
      </c>
      <c r="AM86" s="25">
        <f>(1-AE86/100)*$M$119</f>
        <v>365.62851999999998</v>
      </c>
    </row>
    <row r="87" spans="1:39" x14ac:dyDescent="0.25">
      <c r="A87">
        <v>1.5</v>
      </c>
      <c r="B87" s="17">
        <v>4.7722340000000002E-2</v>
      </c>
      <c r="C87" s="17">
        <v>2.209945E-2</v>
      </c>
      <c r="D87" s="17">
        <v>0.2427386</v>
      </c>
      <c r="E87" s="17">
        <v>0.1578947</v>
      </c>
      <c r="F87" s="17">
        <v>0.39751550000000002</v>
      </c>
      <c r="G87" s="17">
        <v>0.24046919999999999</v>
      </c>
      <c r="H87" s="25">
        <f>$M$119*(A87/100+1)</f>
        <v>376.38229999999993</v>
      </c>
      <c r="I87" s="25">
        <f>(1-A87/100)*$M$119</f>
        <v>365.2577</v>
      </c>
      <c r="J87" s="25"/>
      <c r="R87">
        <v>1.5</v>
      </c>
      <c r="S87" s="17">
        <v>7.4592069999999996E-2</v>
      </c>
      <c r="T87" s="17">
        <v>5.0761420000000002E-2</v>
      </c>
      <c r="U87" s="17">
        <v>0.2384937</v>
      </c>
      <c r="V87" s="17">
        <v>0.21159420000000001</v>
      </c>
      <c r="W87" s="17">
        <v>0.36382110000000001</v>
      </c>
      <c r="X87" s="17">
        <v>0.35240959999999999</v>
      </c>
      <c r="Y87" s="25">
        <f>$M$119*(R87/100+1)</f>
        <v>376.38229999999993</v>
      </c>
      <c r="Z87" s="25">
        <f>(1-R87/100)*$M$119</f>
        <v>365.2577</v>
      </c>
      <c r="AE87">
        <v>1.5</v>
      </c>
      <c r="AF87" s="17">
        <v>8.7912089999999998E-2</v>
      </c>
      <c r="AG87" s="17">
        <v>8.4239129999999995E-2</v>
      </c>
      <c r="AH87" s="17">
        <v>0.34725270000000003</v>
      </c>
      <c r="AI87" s="17">
        <v>0.30706519999999998</v>
      </c>
      <c r="AJ87" s="17">
        <v>0.46846850000000001</v>
      </c>
      <c r="AK87" s="17">
        <v>0.43535620000000003</v>
      </c>
      <c r="AL87" s="25">
        <f>$M$119*(AE87/100+1)</f>
        <v>376.38229999999993</v>
      </c>
      <c r="AM87" s="25">
        <f>(1-AE87/100)*$M$119</f>
        <v>365.2577</v>
      </c>
    </row>
    <row r="88" spans="1:39" x14ac:dyDescent="0.25">
      <c r="A88">
        <v>1.6</v>
      </c>
      <c r="B88" s="17">
        <v>3.6876359999999997E-2</v>
      </c>
      <c r="C88" s="17">
        <v>1.657459E-2</v>
      </c>
      <c r="D88" s="17">
        <v>0.2157676</v>
      </c>
      <c r="E88" s="17">
        <v>0.119883</v>
      </c>
      <c r="F88" s="17">
        <v>0.37267080000000002</v>
      </c>
      <c r="G88" s="17">
        <v>0.2170088</v>
      </c>
      <c r="H88" s="25">
        <f>$M$119*(A88/100+1)</f>
        <v>376.75312000000002</v>
      </c>
      <c r="I88" s="25">
        <f>(1-A88/100)*$M$119</f>
        <v>364.88687999999996</v>
      </c>
      <c r="J88" s="25"/>
      <c r="R88">
        <v>1.6</v>
      </c>
      <c r="S88" s="17">
        <v>6.5268069999999997E-2</v>
      </c>
      <c r="T88" s="17">
        <v>3.8071069999999999E-2</v>
      </c>
      <c r="U88" s="17">
        <v>0.21757319999999999</v>
      </c>
      <c r="V88" s="17">
        <v>0.17971010000000001</v>
      </c>
      <c r="W88" s="17">
        <v>0.32926830000000001</v>
      </c>
      <c r="X88" s="17">
        <v>0.29518070000000002</v>
      </c>
      <c r="Y88" s="25">
        <f>$M$119*(R88/100+1)</f>
        <v>376.75312000000002</v>
      </c>
      <c r="Z88" s="25">
        <f>(1-R88/100)*$M$119</f>
        <v>364.88687999999996</v>
      </c>
      <c r="AE88">
        <v>1.6</v>
      </c>
      <c r="AF88" s="17">
        <v>7.0329669999999997E-2</v>
      </c>
      <c r="AG88" s="17">
        <v>6.521739E-2</v>
      </c>
      <c r="AH88" s="17">
        <v>0.32087909999999997</v>
      </c>
      <c r="AI88" s="17">
        <v>0.26630429999999999</v>
      </c>
      <c r="AJ88" s="17">
        <v>0.43468469999999998</v>
      </c>
      <c r="AK88" s="17">
        <v>0.40105540000000001</v>
      </c>
      <c r="AL88" s="25">
        <f>$M$119*(AE88/100+1)</f>
        <v>376.75312000000002</v>
      </c>
      <c r="AM88" s="25">
        <f>(1-AE88/100)*$M$119</f>
        <v>364.88687999999996</v>
      </c>
    </row>
    <row r="89" spans="1:39" x14ac:dyDescent="0.25">
      <c r="A89">
        <v>1.7</v>
      </c>
      <c r="B89" s="17">
        <v>2.819957E-2</v>
      </c>
      <c r="C89" s="17">
        <v>1.381215E-2</v>
      </c>
      <c r="D89" s="17">
        <v>0.1908714</v>
      </c>
      <c r="E89" s="17">
        <v>0.1052632</v>
      </c>
      <c r="F89" s="17">
        <v>0.34782610000000003</v>
      </c>
      <c r="G89" s="17">
        <v>0.18475069999999999</v>
      </c>
      <c r="H89" s="25">
        <f>$M$119*(A89/100+1)</f>
        <v>377.12393999999995</v>
      </c>
      <c r="I89" s="25">
        <f>(1-A89/100)*$M$119</f>
        <v>364.51605999999998</v>
      </c>
      <c r="J89" s="25"/>
      <c r="R89">
        <v>1.7</v>
      </c>
      <c r="S89" s="17">
        <v>4.8951050000000003E-2</v>
      </c>
      <c r="T89" s="17">
        <v>2.5380710000000001E-2</v>
      </c>
      <c r="U89" s="17">
        <v>0.19037660000000001</v>
      </c>
      <c r="V89" s="17">
        <v>0.15652170000000001</v>
      </c>
      <c r="W89" s="17">
        <v>0.30487799999999998</v>
      </c>
      <c r="X89" s="17">
        <v>0.2710843</v>
      </c>
      <c r="Y89" s="25">
        <f>$M$119*(R89/100+1)</f>
        <v>377.12393999999995</v>
      </c>
      <c r="Z89" s="25">
        <f>(1-R89/100)*$M$119</f>
        <v>364.51605999999998</v>
      </c>
      <c r="AE89">
        <v>1.7</v>
      </c>
      <c r="AF89" s="17">
        <v>5.4945050000000002E-2</v>
      </c>
      <c r="AG89" s="17">
        <v>4.3478259999999998E-2</v>
      </c>
      <c r="AH89" s="17">
        <v>0.26373629999999998</v>
      </c>
      <c r="AI89" s="17">
        <v>0.2418478</v>
      </c>
      <c r="AJ89" s="17">
        <v>0.4009009</v>
      </c>
      <c r="AK89" s="17">
        <v>0.37203170000000002</v>
      </c>
      <c r="AL89" s="25">
        <f>$M$119*(AE89/100+1)</f>
        <v>377.12393999999995</v>
      </c>
      <c r="AM89" s="25">
        <f>(1-AE89/100)*$M$119</f>
        <v>364.51605999999998</v>
      </c>
    </row>
    <row r="90" spans="1:39" x14ac:dyDescent="0.25">
      <c r="A90">
        <v>1.8</v>
      </c>
      <c r="B90" s="17">
        <v>2.3861170000000001E-2</v>
      </c>
      <c r="C90" s="17">
        <v>1.381215E-2</v>
      </c>
      <c r="D90" s="17">
        <v>0.1721992</v>
      </c>
      <c r="E90" s="17">
        <v>9.0643269999999998E-2</v>
      </c>
      <c r="F90" s="17">
        <v>0.30641819999999997</v>
      </c>
      <c r="G90" s="17">
        <v>0.15542520000000001</v>
      </c>
      <c r="H90" s="25">
        <f>$M$119*(A90/100+1)</f>
        <v>377.49475999999999</v>
      </c>
      <c r="I90" s="25">
        <f>(1-A90/100)*$M$119</f>
        <v>364.14524</v>
      </c>
      <c r="J90" s="25"/>
      <c r="R90">
        <v>1.8</v>
      </c>
      <c r="S90" s="17">
        <v>3.4965030000000001E-2</v>
      </c>
      <c r="T90" s="17">
        <v>1.5228429999999999E-2</v>
      </c>
      <c r="U90" s="17">
        <v>0.17154810000000001</v>
      </c>
      <c r="V90" s="17">
        <v>0.13913039999999999</v>
      </c>
      <c r="W90" s="17">
        <v>0.27642280000000002</v>
      </c>
      <c r="X90" s="17">
        <v>0.23795179999999999</v>
      </c>
      <c r="Y90" s="25">
        <f>$M$119*(R90/100+1)</f>
        <v>377.49475999999999</v>
      </c>
      <c r="Z90" s="25">
        <f>(1-R90/100)*$M$119</f>
        <v>364.14524</v>
      </c>
      <c r="AE90">
        <v>1.8</v>
      </c>
      <c r="AF90" s="17">
        <v>3.5164840000000003E-2</v>
      </c>
      <c r="AG90" s="17">
        <v>3.5326089999999997E-2</v>
      </c>
      <c r="AH90" s="17">
        <v>0.23956040000000001</v>
      </c>
      <c r="AI90" s="17">
        <v>0.21739130000000001</v>
      </c>
      <c r="AJ90" s="17">
        <v>0.38063059999999999</v>
      </c>
      <c r="AK90" s="17">
        <v>0.32717679999999999</v>
      </c>
      <c r="AL90" s="25">
        <f>$M$119*(AE90/100+1)</f>
        <v>377.49475999999999</v>
      </c>
      <c r="AM90" s="25">
        <f>(1-AE90/100)*$M$119</f>
        <v>364.14524</v>
      </c>
    </row>
    <row r="91" spans="1:39" x14ac:dyDescent="0.25">
      <c r="A91">
        <v>1.9</v>
      </c>
      <c r="B91" s="17">
        <v>1.952278E-2</v>
      </c>
      <c r="C91" s="17">
        <v>1.1049720000000001E-2</v>
      </c>
      <c r="D91" s="17">
        <v>0.15767629999999999</v>
      </c>
      <c r="E91" s="17">
        <v>7.3099419999999998E-2</v>
      </c>
      <c r="F91" s="17">
        <v>0.26915109999999998</v>
      </c>
      <c r="G91" s="17">
        <v>0.13196479999999999</v>
      </c>
      <c r="H91" s="25">
        <f>$M$119*(A91/100+1)</f>
        <v>377.86557999999997</v>
      </c>
      <c r="I91" s="25">
        <f>(1-A91/100)*$M$119</f>
        <v>363.77441999999996</v>
      </c>
      <c r="J91" s="25"/>
      <c r="R91">
        <v>1.9</v>
      </c>
      <c r="S91" s="17">
        <v>3.0303030000000002E-2</v>
      </c>
      <c r="T91" s="17">
        <v>1.2690359999999999E-2</v>
      </c>
      <c r="U91" s="17">
        <v>0.14435149999999999</v>
      </c>
      <c r="V91" s="17">
        <v>0.1101449</v>
      </c>
      <c r="W91" s="17">
        <v>0.24796750000000001</v>
      </c>
      <c r="X91" s="17">
        <v>0.1927711</v>
      </c>
      <c r="Y91" s="25">
        <f>$M$119*(R91/100+1)</f>
        <v>377.86557999999997</v>
      </c>
      <c r="Z91" s="25">
        <f>(1-R91/100)*$M$119</f>
        <v>363.77441999999996</v>
      </c>
      <c r="AE91">
        <v>1.9</v>
      </c>
      <c r="AF91" s="17">
        <v>2.8571429999999998E-2</v>
      </c>
      <c r="AG91" s="17">
        <v>2.4456519999999999E-2</v>
      </c>
      <c r="AH91" s="17">
        <v>0.21538460000000001</v>
      </c>
      <c r="AI91" s="17">
        <v>0.1793478</v>
      </c>
      <c r="AJ91" s="17">
        <v>0.35360360000000002</v>
      </c>
      <c r="AK91" s="17">
        <v>0.30079159999999999</v>
      </c>
      <c r="AL91" s="25">
        <f>$M$119*(AE91/100+1)</f>
        <v>377.86557999999997</v>
      </c>
      <c r="AM91" s="25">
        <f>(1-AE91/100)*$M$119</f>
        <v>363.77441999999996</v>
      </c>
    </row>
    <row r="92" spans="1:39" x14ac:dyDescent="0.25">
      <c r="A92">
        <v>2</v>
      </c>
      <c r="B92" s="17">
        <v>1.084599E-2</v>
      </c>
      <c r="C92" s="17">
        <v>1.1049720000000001E-2</v>
      </c>
      <c r="D92" s="17">
        <v>0.14315349999999999</v>
      </c>
      <c r="E92" s="17">
        <v>6.1403510000000001E-2</v>
      </c>
      <c r="F92" s="17">
        <v>0.23602480000000001</v>
      </c>
      <c r="G92" s="17">
        <v>0.1231672</v>
      </c>
      <c r="H92" s="25">
        <f>$M$119*(A92/100+1)</f>
        <v>378.2364</v>
      </c>
      <c r="I92" s="25">
        <f>(1-A92/100)*$M$119</f>
        <v>363.40359999999998</v>
      </c>
      <c r="J92" s="25"/>
      <c r="R92">
        <v>2</v>
      </c>
      <c r="S92" s="17">
        <v>2.3310020000000001E-2</v>
      </c>
      <c r="T92" s="17">
        <v>7.6142129999999999E-3</v>
      </c>
      <c r="U92" s="17">
        <v>0.13179920000000001</v>
      </c>
      <c r="V92" s="17">
        <v>9.5652169999999995E-2</v>
      </c>
      <c r="W92" s="17">
        <v>0.22154470000000001</v>
      </c>
      <c r="X92" s="17">
        <v>0.17469879999999999</v>
      </c>
      <c r="Y92" s="25">
        <f>$M$119*(R92/100+1)</f>
        <v>378.2364</v>
      </c>
      <c r="Z92" s="25">
        <f>(1-R92/100)*$M$119</f>
        <v>363.40359999999998</v>
      </c>
      <c r="AE92">
        <v>2</v>
      </c>
      <c r="AF92" s="17">
        <v>1.538462E-2</v>
      </c>
      <c r="AG92" s="17">
        <v>2.1739129999999999E-2</v>
      </c>
      <c r="AH92" s="17">
        <v>0.19340660000000001</v>
      </c>
      <c r="AI92" s="17">
        <v>0.15760869999999999</v>
      </c>
      <c r="AJ92" s="17">
        <v>0.30855860000000002</v>
      </c>
      <c r="AK92" s="17">
        <v>0.26649080000000003</v>
      </c>
      <c r="AL92" s="25">
        <f>$M$119*(AE92/100+1)</f>
        <v>378.2364</v>
      </c>
      <c r="AM92" s="25">
        <f>(1-AE92/100)*$M$119</f>
        <v>363.40359999999998</v>
      </c>
    </row>
    <row r="93" spans="1:39" x14ac:dyDescent="0.25">
      <c r="A93">
        <v>2.1</v>
      </c>
      <c r="B93" s="17">
        <v>6.5075920000000004E-3</v>
      </c>
      <c r="C93" s="17">
        <v>8.2872929999999994E-3</v>
      </c>
      <c r="D93" s="17">
        <v>0.126556</v>
      </c>
      <c r="E93" s="17">
        <v>5.2631579999999997E-2</v>
      </c>
      <c r="F93" s="17">
        <v>0.22774330000000001</v>
      </c>
      <c r="G93" s="17">
        <v>0.1143695</v>
      </c>
      <c r="H93" s="25">
        <f>$M$119*(A93/100+1)</f>
        <v>378.60721999999998</v>
      </c>
      <c r="I93" s="25">
        <f>(1-A93/100)*$M$119</f>
        <v>363.03278</v>
      </c>
      <c r="J93" s="25"/>
      <c r="R93">
        <v>2.1</v>
      </c>
      <c r="S93" s="17">
        <v>2.3310020000000001E-2</v>
      </c>
      <c r="T93" s="17">
        <v>7.6142129999999999E-3</v>
      </c>
      <c r="U93" s="17">
        <v>0.123431</v>
      </c>
      <c r="V93" s="17">
        <v>8.1159419999999996E-2</v>
      </c>
      <c r="W93" s="17">
        <v>0.199187</v>
      </c>
      <c r="X93" s="17">
        <v>0.1656627</v>
      </c>
      <c r="Y93" s="25">
        <f>$M$119*(R93/100+1)</f>
        <v>378.60721999999998</v>
      </c>
      <c r="Z93" s="25">
        <f>(1-R93/100)*$M$119</f>
        <v>363.03278</v>
      </c>
      <c r="AE93">
        <v>2.1</v>
      </c>
      <c r="AF93" s="17">
        <v>1.318681E-2</v>
      </c>
      <c r="AG93" s="17">
        <v>1.086957E-2</v>
      </c>
      <c r="AH93" s="17">
        <v>0.17802200000000001</v>
      </c>
      <c r="AI93" s="17">
        <v>0.14130429999999999</v>
      </c>
      <c r="AJ93" s="17">
        <v>0.28603600000000001</v>
      </c>
      <c r="AK93" s="17">
        <v>0.22427440000000001</v>
      </c>
      <c r="AL93" s="25">
        <f>$M$119*(AE93/100+1)</f>
        <v>378.60721999999998</v>
      </c>
      <c r="AM93" s="25">
        <f>(1-AE93/100)*$M$119</f>
        <v>363.03278</v>
      </c>
    </row>
    <row r="94" spans="1:39" x14ac:dyDescent="0.25">
      <c r="A94">
        <v>2.2000000000000002</v>
      </c>
      <c r="B94" s="17">
        <v>4.3383950000000001E-3</v>
      </c>
      <c r="C94" s="17">
        <v>8.2872929999999994E-3</v>
      </c>
      <c r="D94" s="17">
        <v>0.1099585</v>
      </c>
      <c r="E94" s="17">
        <v>4.9707599999999998E-2</v>
      </c>
      <c r="F94" s="17">
        <v>0.20289860000000001</v>
      </c>
      <c r="G94" s="17">
        <v>8.7976540000000006E-2</v>
      </c>
      <c r="H94" s="25">
        <f>$M$119*(A94/100+1)</f>
        <v>378.97804000000002</v>
      </c>
      <c r="I94" s="25">
        <f>(1-A94/100)*$M$119</f>
        <v>362.66195999999997</v>
      </c>
      <c r="J94" s="25"/>
      <c r="R94">
        <v>2.2000000000000002</v>
      </c>
      <c r="S94" s="17">
        <v>1.165501E-2</v>
      </c>
      <c r="T94" s="17">
        <v>5.0761419999999996E-3</v>
      </c>
      <c r="U94" s="17">
        <v>0.1046025</v>
      </c>
      <c r="V94" s="17">
        <v>5.7971010000000003E-2</v>
      </c>
      <c r="W94" s="17">
        <v>0.18495929999999999</v>
      </c>
      <c r="X94" s="17">
        <v>0.1566265</v>
      </c>
      <c r="Y94" s="25">
        <f>$M$119*(R94/100+1)</f>
        <v>378.97804000000002</v>
      </c>
      <c r="Z94" s="25">
        <f>(1-R94/100)*$M$119</f>
        <v>362.66195999999997</v>
      </c>
      <c r="AE94">
        <v>2.2000000000000002</v>
      </c>
      <c r="AF94" s="17">
        <v>8.7912089999999995E-3</v>
      </c>
      <c r="AG94" s="17">
        <v>8.1521739999999999E-3</v>
      </c>
      <c r="AH94" s="17">
        <v>0.15824179999999999</v>
      </c>
      <c r="AI94" s="17">
        <v>0.12228260000000001</v>
      </c>
      <c r="AJ94" s="17">
        <v>0.27027030000000002</v>
      </c>
      <c r="AK94" s="17">
        <v>0.19788919999999999</v>
      </c>
      <c r="AL94" s="25">
        <f>$M$119*(AE94/100+1)</f>
        <v>378.97804000000002</v>
      </c>
      <c r="AM94" s="25">
        <f>(1-AE94/100)*$M$119</f>
        <v>362.66195999999997</v>
      </c>
    </row>
    <row r="95" spans="1:39" x14ac:dyDescent="0.25">
      <c r="A95">
        <v>2.2999999999999998</v>
      </c>
      <c r="B95" s="17">
        <v>4.3383950000000001E-3</v>
      </c>
      <c r="C95" s="17">
        <v>2.7624310000000001E-3</v>
      </c>
      <c r="D95" s="17">
        <v>9.3361E-2</v>
      </c>
      <c r="E95" s="17">
        <v>3.5087720000000003E-2</v>
      </c>
      <c r="F95" s="17">
        <v>0.19461700000000001</v>
      </c>
      <c r="G95" s="17">
        <v>7.6246330000000001E-2</v>
      </c>
      <c r="H95" s="25">
        <f>$M$119*(A95/100+1)</f>
        <v>379.34885999999995</v>
      </c>
      <c r="I95" s="25">
        <f>(1-A95/100)*$M$119</f>
        <v>362.29113999999998</v>
      </c>
      <c r="J95" s="25"/>
      <c r="R95">
        <v>2.2999999999999998</v>
      </c>
      <c r="S95" s="17">
        <v>9.3240089999999994E-3</v>
      </c>
      <c r="T95" s="17">
        <v>2.5380709999999998E-3</v>
      </c>
      <c r="U95" s="17">
        <v>9.2050209999999993E-2</v>
      </c>
      <c r="V95" s="17">
        <v>4.9275359999999997E-2</v>
      </c>
      <c r="W95" s="17">
        <v>0.17682929999999999</v>
      </c>
      <c r="X95" s="17">
        <v>0.14156630000000001</v>
      </c>
      <c r="Y95" s="25">
        <f>$M$119*(R95/100+1)</f>
        <v>379.34885999999995</v>
      </c>
      <c r="Z95" s="25">
        <f>(1-R95/100)*$M$119</f>
        <v>362.29113999999998</v>
      </c>
      <c r="AE95">
        <v>2.2999999999999998</v>
      </c>
      <c r="AF95" s="17">
        <v>2.197802E-3</v>
      </c>
      <c r="AG95" s="17">
        <v>5.4347830000000003E-3</v>
      </c>
      <c r="AH95" s="17">
        <v>0.13846149999999999</v>
      </c>
      <c r="AI95" s="17">
        <v>9.5108700000000004E-2</v>
      </c>
      <c r="AJ95" s="17">
        <v>0.25900899999999999</v>
      </c>
      <c r="AK95" s="17">
        <v>0.18469659999999999</v>
      </c>
      <c r="AL95" s="25">
        <f>$M$119*(AE95/100+1)</f>
        <v>379.34885999999995</v>
      </c>
      <c r="AM95" s="25">
        <f>(1-AE95/100)*$M$119</f>
        <v>362.29113999999998</v>
      </c>
    </row>
    <row r="96" spans="1:39" x14ac:dyDescent="0.25">
      <c r="A96">
        <v>2.4</v>
      </c>
      <c r="B96" s="17">
        <v>4.3383950000000001E-3</v>
      </c>
      <c r="C96" s="17">
        <v>2.7624310000000001E-3</v>
      </c>
      <c r="D96" s="17">
        <v>8.0912860000000003E-2</v>
      </c>
      <c r="E96" s="17">
        <v>3.2163740000000003E-2</v>
      </c>
      <c r="F96" s="17">
        <v>0.18219460000000001</v>
      </c>
      <c r="G96" s="17">
        <v>6.7448679999999997E-2</v>
      </c>
      <c r="H96" s="25">
        <f>$M$119*(A96/100+1)</f>
        <v>379.71967999999998</v>
      </c>
      <c r="I96" s="25">
        <f>(1-A96/100)*$M$119</f>
        <v>361.92032</v>
      </c>
      <c r="J96" s="25"/>
      <c r="R96">
        <v>2.4</v>
      </c>
      <c r="S96" s="17">
        <v>6.9930069999999999E-3</v>
      </c>
      <c r="T96" s="17">
        <v>2.5380709999999998E-3</v>
      </c>
      <c r="U96" s="17">
        <v>8.9958159999999995E-2</v>
      </c>
      <c r="V96" s="17">
        <v>4.0579709999999998E-2</v>
      </c>
      <c r="W96" s="17">
        <v>0.16056909999999999</v>
      </c>
      <c r="X96" s="17">
        <v>0.12650600000000001</v>
      </c>
      <c r="Y96" s="25">
        <f>$M$119*(R96/100+1)</f>
        <v>379.71967999999998</v>
      </c>
      <c r="Z96" s="25">
        <f>(1-R96/100)*$M$119</f>
        <v>361.92032</v>
      </c>
      <c r="AE96">
        <v>2.4</v>
      </c>
      <c r="AF96" s="17">
        <v>0</v>
      </c>
      <c r="AG96" s="17">
        <v>2.717391E-3</v>
      </c>
      <c r="AH96" s="17">
        <v>0.1120879</v>
      </c>
      <c r="AI96" s="17">
        <v>7.6086959999999995E-2</v>
      </c>
      <c r="AJ96" s="17">
        <v>0.2342342</v>
      </c>
      <c r="AK96" s="17">
        <v>0.16622690000000001</v>
      </c>
      <c r="AL96" s="25">
        <f>$M$119*(AE96/100+1)</f>
        <v>379.71967999999998</v>
      </c>
      <c r="AM96" s="25">
        <f>(1-AE96/100)*$M$119</f>
        <v>361.92032</v>
      </c>
    </row>
    <row r="97" spans="1:39" x14ac:dyDescent="0.25">
      <c r="A97">
        <v>2.5</v>
      </c>
      <c r="B97" s="17">
        <v>4.3383950000000001E-3</v>
      </c>
      <c r="C97" s="17"/>
      <c r="D97" s="17">
        <v>7.2614109999999996E-2</v>
      </c>
      <c r="E97" s="17">
        <v>2.6315789999999999E-2</v>
      </c>
      <c r="F97" s="17">
        <v>0.17598340000000001</v>
      </c>
      <c r="G97" s="17">
        <v>5.278592E-2</v>
      </c>
      <c r="H97" s="25">
        <f>$M$119*(A97/100+1)</f>
        <v>380.09049999999996</v>
      </c>
      <c r="I97" s="25">
        <f>(1-A97/100)*$M$119</f>
        <v>361.54949999999997</v>
      </c>
      <c r="J97" s="25"/>
      <c r="R97">
        <v>2.5</v>
      </c>
      <c r="S97" s="17">
        <v>2.331002E-3</v>
      </c>
      <c r="T97" s="17">
        <v>0</v>
      </c>
      <c r="U97" s="17">
        <v>7.9497910000000005E-2</v>
      </c>
      <c r="V97" s="17">
        <v>3.4782609999999999E-2</v>
      </c>
      <c r="W97" s="17">
        <v>0.1422764</v>
      </c>
      <c r="X97" s="17">
        <v>0.10542169999999999</v>
      </c>
      <c r="Y97" s="25">
        <f>$M$119*(R97/100+1)</f>
        <v>380.09049999999996</v>
      </c>
      <c r="Z97" s="25">
        <f>(1-R97/100)*$M$119</f>
        <v>361.54949999999997</v>
      </c>
      <c r="AE97">
        <v>2.5</v>
      </c>
      <c r="AF97" s="17"/>
      <c r="AG97" s="17">
        <v>2.717391E-3</v>
      </c>
      <c r="AH97" s="17">
        <v>0.10109890000000001</v>
      </c>
      <c r="AI97" s="17">
        <v>6.25E-2</v>
      </c>
      <c r="AJ97" s="17">
        <v>0.222973</v>
      </c>
      <c r="AK97" s="17">
        <v>0.1424802</v>
      </c>
      <c r="AL97" s="25">
        <f>$M$119*(AE97/100+1)</f>
        <v>380.09049999999996</v>
      </c>
      <c r="AM97" s="25">
        <f>(1-AE97/100)*$M$119</f>
        <v>361.54949999999997</v>
      </c>
    </row>
    <row r="98" spans="1:39" x14ac:dyDescent="0.25">
      <c r="A98">
        <v>2.6</v>
      </c>
      <c r="B98" s="17">
        <v>2.1691969999999999E-3</v>
      </c>
      <c r="C98" s="17"/>
      <c r="D98" s="17">
        <v>6.0165980000000001E-2</v>
      </c>
      <c r="E98" s="17">
        <v>2.3391809999999999E-2</v>
      </c>
      <c r="F98" s="17">
        <v>0.15113869999999999</v>
      </c>
      <c r="G98" s="17">
        <v>4.6920820000000002E-2</v>
      </c>
      <c r="H98" s="25">
        <f>$M$119*(A98/100+1)</f>
        <v>380.46132</v>
      </c>
      <c r="I98" s="25">
        <f>(1-A98/100)*$M$119</f>
        <v>361.17867999999999</v>
      </c>
      <c r="J98" s="25"/>
      <c r="R98">
        <v>2.6</v>
      </c>
      <c r="S98" s="17">
        <v>0</v>
      </c>
      <c r="T98" s="17"/>
      <c r="U98" s="17">
        <v>6.6945610000000003E-2</v>
      </c>
      <c r="V98" s="17">
        <v>2.8985509999999999E-2</v>
      </c>
      <c r="W98" s="17">
        <v>0.13617889999999999</v>
      </c>
      <c r="X98" s="17">
        <v>9.6385540000000006E-2</v>
      </c>
      <c r="Y98" s="25">
        <f>$M$119*(R98/100+1)</f>
        <v>380.46132</v>
      </c>
      <c r="Z98" s="25">
        <f>(1-R98/100)*$M$119</f>
        <v>361.17867999999999</v>
      </c>
      <c r="AE98">
        <v>2.6</v>
      </c>
      <c r="AG98" s="17">
        <v>0</v>
      </c>
      <c r="AH98" s="17">
        <v>9.0109889999999998E-2</v>
      </c>
      <c r="AI98" s="17">
        <v>5.1630429999999998E-2</v>
      </c>
      <c r="AJ98" s="17">
        <v>0.19594590000000001</v>
      </c>
      <c r="AK98" s="17">
        <v>0.12137199999999999</v>
      </c>
      <c r="AL98" s="25">
        <f>$M$119*(AE98/100+1)</f>
        <v>380.46132</v>
      </c>
      <c r="AM98" s="25">
        <f>(1-AE98/100)*$M$119</f>
        <v>361.17867999999999</v>
      </c>
    </row>
    <row r="99" spans="1:39" x14ac:dyDescent="0.25">
      <c r="A99">
        <v>2.7</v>
      </c>
      <c r="B99" s="17">
        <v>2.1691969999999999E-3</v>
      </c>
      <c r="C99" s="17"/>
      <c r="D99" s="17">
        <v>4.9792530000000002E-2</v>
      </c>
      <c r="E99" s="17">
        <v>2.0467840000000001E-2</v>
      </c>
      <c r="F99" s="17">
        <v>0.14492749999999999</v>
      </c>
      <c r="G99" s="17">
        <v>4.3988270000000003E-2</v>
      </c>
      <c r="H99" s="25">
        <f>$M$119*(A99/100+1)</f>
        <v>380.83213999999998</v>
      </c>
      <c r="I99" s="25">
        <f>(1-A99/100)*$M$119</f>
        <v>360.80786000000001</v>
      </c>
      <c r="J99" s="25"/>
      <c r="R99">
        <v>2.7</v>
      </c>
      <c r="S99" s="17">
        <v>0</v>
      </c>
      <c r="T99" s="17"/>
      <c r="U99" s="17">
        <v>6.4853560000000005E-2</v>
      </c>
      <c r="V99" s="17">
        <v>2.318841E-2</v>
      </c>
      <c r="W99" s="17">
        <v>0.11382109999999999</v>
      </c>
      <c r="X99" s="17">
        <v>7.5301199999999999E-2</v>
      </c>
      <c r="Y99" s="25">
        <f>$M$119*(R99/100+1)</f>
        <v>380.83213999999998</v>
      </c>
      <c r="Z99" s="25">
        <f>(1-R99/100)*$M$119</f>
        <v>360.80786000000001</v>
      </c>
      <c r="AE99">
        <v>2.7</v>
      </c>
      <c r="AH99" s="17">
        <v>8.1318680000000004E-2</v>
      </c>
      <c r="AI99" s="17">
        <v>4.6195649999999998E-2</v>
      </c>
      <c r="AJ99" s="17">
        <v>0.18693689999999999</v>
      </c>
      <c r="AK99" s="17">
        <v>0.1029024</v>
      </c>
      <c r="AL99" s="25">
        <f>$M$119*(AE99/100+1)</f>
        <v>380.83213999999998</v>
      </c>
      <c r="AM99" s="25">
        <f>(1-AE99/100)*$M$119</f>
        <v>360.80786000000001</v>
      </c>
    </row>
    <row r="100" spans="1:39" x14ac:dyDescent="0.25">
      <c r="A100">
        <v>2.8</v>
      </c>
      <c r="D100" s="17">
        <v>4.564315E-2</v>
      </c>
      <c r="E100" s="17">
        <v>1.461988E-2</v>
      </c>
      <c r="F100" s="17">
        <v>0.13457559999999999</v>
      </c>
      <c r="G100" s="17">
        <v>3.8123169999999998E-2</v>
      </c>
      <c r="H100" s="25">
        <f>$M$119*(A100/100+1)</f>
        <v>381.20296000000002</v>
      </c>
      <c r="I100" s="25">
        <f>(1-A100/100)*$M$119</f>
        <v>360.43703999999997</v>
      </c>
      <c r="J100" s="25"/>
      <c r="R100">
        <v>2.8</v>
      </c>
      <c r="U100" s="17">
        <v>5.8577410000000003E-2</v>
      </c>
      <c r="V100" s="17">
        <v>1.7391299999999998E-2</v>
      </c>
      <c r="W100" s="17">
        <v>0.1056911</v>
      </c>
      <c r="X100" s="17">
        <v>6.3253009999999998E-2</v>
      </c>
      <c r="Y100" s="25">
        <f>$M$119*(R100/100+1)</f>
        <v>381.20296000000002</v>
      </c>
      <c r="Z100" s="25">
        <f>(1-R100/100)*$M$119</f>
        <v>360.43703999999997</v>
      </c>
      <c r="AE100">
        <v>2.8</v>
      </c>
      <c r="AH100" s="17">
        <v>7.4725269999999996E-2</v>
      </c>
      <c r="AI100" s="17">
        <v>4.3478259999999998E-2</v>
      </c>
      <c r="AJ100" s="17">
        <v>0.16441439999999999</v>
      </c>
      <c r="AK100" s="17">
        <v>8.4432720000000003E-2</v>
      </c>
      <c r="AL100" s="25">
        <f>$M$119*(AE100/100+1)</f>
        <v>381.20296000000002</v>
      </c>
      <c r="AM100" s="25">
        <f>(1-AE100/100)*$M$119</f>
        <v>360.43703999999997</v>
      </c>
    </row>
    <row r="101" spans="1:39" x14ac:dyDescent="0.25">
      <c r="A101">
        <v>2.9</v>
      </c>
      <c r="D101" s="17">
        <v>3.73444E-2</v>
      </c>
      <c r="E101" s="17">
        <v>8.7719300000000007E-3</v>
      </c>
      <c r="F101" s="17">
        <v>0.1200828</v>
      </c>
      <c r="G101" s="17">
        <v>3.5190619999999999E-2</v>
      </c>
      <c r="H101" s="25">
        <f>$M$119*(A101/100+1)</f>
        <v>381.57377999999994</v>
      </c>
      <c r="I101" s="25">
        <f>(1-A101/100)*$M$119</f>
        <v>360.06621999999999</v>
      </c>
      <c r="J101" s="25"/>
      <c r="R101">
        <v>2.9</v>
      </c>
      <c r="U101" s="17">
        <v>5.2301260000000002E-2</v>
      </c>
      <c r="V101" s="17">
        <v>1.7391299999999998E-2</v>
      </c>
      <c r="W101" s="17">
        <v>9.1463409999999995E-2</v>
      </c>
      <c r="X101" s="17">
        <v>5.7228920000000003E-2</v>
      </c>
      <c r="Y101" s="25">
        <f>$M$119*(R101/100+1)</f>
        <v>381.57377999999994</v>
      </c>
      <c r="Z101" s="25">
        <f>(1-R101/100)*$M$119</f>
        <v>360.06621999999999</v>
      </c>
      <c r="AE101">
        <v>2.9</v>
      </c>
      <c r="AH101" s="17">
        <v>6.5934069999999997E-2</v>
      </c>
      <c r="AI101" s="17">
        <v>3.5326089999999997E-2</v>
      </c>
      <c r="AJ101" s="17">
        <v>0.14189189999999999</v>
      </c>
      <c r="AK101" s="17">
        <v>6.5963060000000004E-2</v>
      </c>
      <c r="AL101" s="25">
        <f>$M$119*(AE101/100+1)</f>
        <v>381.57377999999994</v>
      </c>
      <c r="AM101" s="25">
        <f>(1-AE101/100)*$M$119</f>
        <v>360.06621999999999</v>
      </c>
    </row>
    <row r="102" spans="1:39" x14ac:dyDescent="0.25">
      <c r="A102">
        <v>3</v>
      </c>
      <c r="D102" s="17">
        <v>2.4896270000000002E-2</v>
      </c>
      <c r="E102" s="17">
        <v>8.7719300000000007E-3</v>
      </c>
      <c r="F102" s="17">
        <v>0.1138716</v>
      </c>
      <c r="G102" s="17">
        <v>2.639296E-2</v>
      </c>
      <c r="H102" s="25">
        <f>$M$119*(A102/100+1)</f>
        <v>381.94459999999998</v>
      </c>
      <c r="I102" s="25">
        <f>(1-A102/100)*$M$119</f>
        <v>359.69540000000001</v>
      </c>
      <c r="J102" s="25"/>
      <c r="R102">
        <v>3</v>
      </c>
      <c r="U102" s="17">
        <v>3.76569E-2</v>
      </c>
      <c r="V102" s="17">
        <v>1.1594200000000001E-2</v>
      </c>
      <c r="W102" s="17">
        <v>8.1300810000000001E-2</v>
      </c>
      <c r="X102" s="17">
        <v>4.8192770000000003E-2</v>
      </c>
      <c r="Y102" s="25">
        <f>$M$119*(R102/100+1)</f>
        <v>381.94459999999998</v>
      </c>
      <c r="Z102" s="25">
        <f>(1-R102/100)*$M$119</f>
        <v>359.69540000000001</v>
      </c>
      <c r="AE102">
        <v>3</v>
      </c>
      <c r="AH102" s="17">
        <v>5.7142859999999997E-2</v>
      </c>
      <c r="AI102" s="17">
        <v>3.2608699999999997E-2</v>
      </c>
      <c r="AJ102" s="17">
        <v>0.12612609999999999</v>
      </c>
      <c r="AK102" s="17">
        <v>6.068602E-2</v>
      </c>
      <c r="AL102" s="25">
        <f>$M$119*(AE102/100+1)</f>
        <v>381.94459999999998</v>
      </c>
      <c r="AM102" s="25">
        <f>(1-AE102/100)*$M$119</f>
        <v>359.69540000000001</v>
      </c>
    </row>
    <row r="103" spans="1:39" x14ac:dyDescent="0.25">
      <c r="A103">
        <v>3.1</v>
      </c>
      <c r="D103" s="17">
        <v>2.4896270000000002E-2</v>
      </c>
      <c r="E103" s="17">
        <v>5.8479530000000004E-3</v>
      </c>
      <c r="F103" s="17">
        <v>0.10144930000000001</v>
      </c>
      <c r="G103" s="17">
        <v>2.0527859999999998E-2</v>
      </c>
      <c r="H103" s="25">
        <f>$M$119*(A103/100+1)</f>
        <v>382.31541999999996</v>
      </c>
      <c r="I103" s="25">
        <f>(1-A103/100)*$M$119</f>
        <v>359.32457999999997</v>
      </c>
      <c r="R103">
        <v>3.1</v>
      </c>
      <c r="U103" s="17">
        <v>3.1380749999999999E-2</v>
      </c>
      <c r="V103" s="17">
        <v>1.1594200000000001E-2</v>
      </c>
      <c r="W103" s="17">
        <v>6.5040650000000005E-2</v>
      </c>
      <c r="X103" s="17">
        <v>4.2168669999999998E-2</v>
      </c>
      <c r="Y103" s="25">
        <f>$M$119*(R103/100+1)</f>
        <v>382.31541999999996</v>
      </c>
      <c r="Z103" s="25">
        <f>(1-R103/100)*$M$119</f>
        <v>359.32457999999997</v>
      </c>
      <c r="AE103">
        <v>3.1</v>
      </c>
      <c r="AH103" s="17">
        <v>4.1758240000000002E-2</v>
      </c>
      <c r="AI103" s="17">
        <v>2.1739129999999999E-2</v>
      </c>
      <c r="AJ103" s="17">
        <v>0.1216216</v>
      </c>
      <c r="AK103" s="17">
        <v>5.0131929999999998E-2</v>
      </c>
      <c r="AL103" s="25">
        <f>$M$119*(AE103/100+1)</f>
        <v>382.31541999999996</v>
      </c>
      <c r="AM103" s="25">
        <f>(1-AE103/100)*$M$119</f>
        <v>359.32457999999997</v>
      </c>
    </row>
    <row r="104" spans="1:39" x14ac:dyDescent="0.25">
      <c r="A104">
        <v>3.2</v>
      </c>
      <c r="D104" s="17">
        <v>2.074689E-2</v>
      </c>
      <c r="E104" s="17">
        <v>2.9239769999999999E-3</v>
      </c>
      <c r="F104" s="17">
        <v>8.9026919999999996E-2</v>
      </c>
      <c r="G104" s="17">
        <v>1.173021E-2</v>
      </c>
      <c r="H104" s="25">
        <f>$M$119*(A104/100+1)</f>
        <v>382.68624</v>
      </c>
      <c r="I104" s="25">
        <f>(1-A104/100)*$M$119</f>
        <v>358.95375999999999</v>
      </c>
      <c r="R104">
        <v>3.2</v>
      </c>
      <c r="U104" s="17">
        <v>2.0920500000000002E-2</v>
      </c>
      <c r="V104" s="17">
        <v>5.7971009999999998E-3</v>
      </c>
      <c r="W104" s="17">
        <v>5.4878049999999998E-2</v>
      </c>
      <c r="X104" s="17">
        <v>3.313253E-2</v>
      </c>
      <c r="Y104" s="25">
        <f>$M$119*(R104/100+1)</f>
        <v>382.68624</v>
      </c>
      <c r="Z104" s="25">
        <f>(1-R104/100)*$M$119</f>
        <v>358.95375999999999</v>
      </c>
      <c r="AE104">
        <v>3.2</v>
      </c>
      <c r="AH104" s="17">
        <v>3.2967030000000001E-2</v>
      </c>
      <c r="AI104" s="17">
        <v>1.9021739999999999E-2</v>
      </c>
      <c r="AJ104" s="17">
        <v>0.1081081</v>
      </c>
      <c r="AK104" s="17">
        <v>4.7493399999999998E-2</v>
      </c>
      <c r="AL104" s="25">
        <f>$M$119*(AE104/100+1)</f>
        <v>382.68624</v>
      </c>
      <c r="AM104" s="25">
        <f>(1-AE104/100)*$M$119</f>
        <v>358.95375999999999</v>
      </c>
    </row>
    <row r="105" spans="1:39" x14ac:dyDescent="0.25">
      <c r="A105">
        <v>3.3</v>
      </c>
      <c r="D105" s="17">
        <v>1.4522820000000001E-2</v>
      </c>
      <c r="E105" s="17">
        <v>0</v>
      </c>
      <c r="F105" s="17">
        <v>7.4534160000000002E-2</v>
      </c>
      <c r="G105" s="17">
        <v>5.865103E-3</v>
      </c>
      <c r="H105" s="25">
        <f>$M$119*(A105/100+1)</f>
        <v>383.05705999999998</v>
      </c>
      <c r="I105" s="25">
        <f>(1-A105/100)*$M$119</f>
        <v>358.58294000000001</v>
      </c>
      <c r="R105">
        <v>3.3</v>
      </c>
      <c r="U105" s="17">
        <v>1.882845E-2</v>
      </c>
      <c r="V105" s="17">
        <v>5.7971009999999998E-3</v>
      </c>
      <c r="W105" s="17">
        <v>4.4715449999999997E-2</v>
      </c>
      <c r="X105" s="17">
        <v>2.4096389999999999E-2</v>
      </c>
      <c r="Y105" s="25">
        <f>$M$119*(R105/100+1)</f>
        <v>383.05705999999998</v>
      </c>
      <c r="Z105" s="25">
        <f>(1-R105/100)*$M$119</f>
        <v>358.58294000000001</v>
      </c>
      <c r="AE105">
        <v>3.3</v>
      </c>
      <c r="AH105" s="17">
        <v>3.0769230000000002E-2</v>
      </c>
      <c r="AI105" s="17">
        <v>1.358696E-2</v>
      </c>
      <c r="AJ105" s="17">
        <v>9.6846849999999998E-2</v>
      </c>
      <c r="AK105" s="17">
        <v>4.485488E-2</v>
      </c>
      <c r="AL105" s="25">
        <f>$M$119*(AE105/100+1)</f>
        <v>383.05705999999998</v>
      </c>
      <c r="AM105" s="25">
        <f>(1-AE105/100)*$M$119</f>
        <v>358.58294000000001</v>
      </c>
    </row>
    <row r="106" spans="1:39" x14ac:dyDescent="0.25">
      <c r="A106">
        <v>3.4</v>
      </c>
      <c r="D106" s="17">
        <v>1.0373439999999999E-2</v>
      </c>
      <c r="E106" s="17"/>
      <c r="F106" s="17">
        <v>6.8322980000000005E-2</v>
      </c>
      <c r="G106" s="17">
        <v>5.865103E-3</v>
      </c>
      <c r="H106" s="25">
        <f>$M$119*(A106/100+1)</f>
        <v>383.42788000000002</v>
      </c>
      <c r="I106" s="25">
        <f>(1-A106/100)*$M$119</f>
        <v>358.21211999999997</v>
      </c>
      <c r="R106">
        <v>3.4</v>
      </c>
      <c r="U106" s="17">
        <v>1.464435E-2</v>
      </c>
      <c r="V106" s="17">
        <v>5.7971009999999998E-3</v>
      </c>
      <c r="W106" s="17">
        <v>4.0650409999999998E-2</v>
      </c>
      <c r="X106" s="17">
        <v>2.108434E-2</v>
      </c>
      <c r="Y106" s="25">
        <f>$M$119*(R106/100+1)</f>
        <v>383.42788000000002</v>
      </c>
      <c r="Z106" s="25">
        <f>(1-R106/100)*$M$119</f>
        <v>358.21211999999997</v>
      </c>
      <c r="AE106">
        <v>3.4</v>
      </c>
      <c r="AH106" s="17">
        <v>2.6373629999999999E-2</v>
      </c>
      <c r="AI106" s="17">
        <v>8.1521739999999999E-3</v>
      </c>
      <c r="AJ106" s="17">
        <v>8.5585590000000003E-2</v>
      </c>
      <c r="AK106" s="17">
        <v>3.6939310000000003E-2</v>
      </c>
      <c r="AL106" s="25">
        <f>$M$119*(AE106/100+1)</f>
        <v>383.42788000000002</v>
      </c>
      <c r="AM106" s="25">
        <f>(1-AE106/100)*$M$119</f>
        <v>358.21211999999997</v>
      </c>
    </row>
    <row r="107" spans="1:39" x14ac:dyDescent="0.25">
      <c r="A107">
        <v>3.5</v>
      </c>
      <c r="D107" s="17">
        <v>1.0373439999999999E-2</v>
      </c>
      <c r="E107" s="17"/>
      <c r="F107" s="17">
        <v>6.418219E-2</v>
      </c>
      <c r="G107" s="17">
        <v>2.9325509999999998E-3</v>
      </c>
      <c r="H107" s="25">
        <f>$M$119*(A107/100+1)</f>
        <v>383.79869999999994</v>
      </c>
      <c r="I107" s="25">
        <f>(1-A107/100)*$M$119</f>
        <v>357.84129999999999</v>
      </c>
      <c r="J107" s="25"/>
      <c r="R107">
        <v>3.5</v>
      </c>
      <c r="U107" s="17">
        <v>1.2552300000000001E-2</v>
      </c>
      <c r="V107" s="17">
        <v>2.8985510000000001E-3</v>
      </c>
      <c r="W107" s="17">
        <v>3.8617890000000002E-2</v>
      </c>
      <c r="X107" s="17">
        <v>1.5060240000000001E-2</v>
      </c>
      <c r="Y107" s="25">
        <f>$M$119*(R107/100+1)</f>
        <v>383.79869999999994</v>
      </c>
      <c r="Z107" s="25">
        <f>(1-R107/100)*$M$119</f>
        <v>357.84129999999999</v>
      </c>
      <c r="AE107">
        <v>3.5</v>
      </c>
      <c r="AH107" s="17">
        <v>1.538462E-2</v>
      </c>
      <c r="AI107" s="17">
        <v>8.1521739999999999E-3</v>
      </c>
      <c r="AJ107" s="17">
        <v>7.2072070000000002E-2</v>
      </c>
      <c r="AK107" s="17">
        <v>3.1662269999999999E-2</v>
      </c>
      <c r="AL107" s="25">
        <f>$M$119*(AE107/100+1)</f>
        <v>383.79869999999994</v>
      </c>
      <c r="AM107" s="25">
        <f>(1-AE107/100)*$M$119</f>
        <v>357.84129999999999</v>
      </c>
    </row>
    <row r="108" spans="1:39" x14ac:dyDescent="0.25">
      <c r="A108">
        <v>3.6</v>
      </c>
      <c r="D108" s="17">
        <v>1.0373439999999999E-2</v>
      </c>
      <c r="E108" s="17"/>
      <c r="F108" s="17">
        <v>5.5900619999999998E-2</v>
      </c>
      <c r="G108" s="17">
        <v>2.9325509999999998E-3</v>
      </c>
      <c r="H108" s="25">
        <f>$M$119*(A108/100+1)</f>
        <v>384.16951999999998</v>
      </c>
      <c r="I108" s="25">
        <f>(1-A108/100)*$M$119</f>
        <v>357.47048000000001</v>
      </c>
      <c r="R108">
        <v>3.6</v>
      </c>
      <c r="U108" s="17">
        <v>6.2761509999999998E-3</v>
      </c>
      <c r="V108" s="17">
        <v>2.8985510000000001E-3</v>
      </c>
      <c r="W108" s="17">
        <v>3.4552850000000003E-2</v>
      </c>
      <c r="X108" s="17">
        <v>1.5060240000000001E-2</v>
      </c>
      <c r="Y108" s="25">
        <f>$M$119*(R108/100+1)</f>
        <v>384.16951999999998</v>
      </c>
      <c r="Z108" s="25">
        <f>(1-R108/100)*$M$119</f>
        <v>357.47048000000001</v>
      </c>
      <c r="AE108">
        <v>3.6</v>
      </c>
      <c r="AH108" s="17">
        <v>1.098901E-2</v>
      </c>
      <c r="AI108" s="17">
        <v>5.4347830000000003E-3</v>
      </c>
      <c r="AJ108" s="17">
        <v>6.081081E-2</v>
      </c>
      <c r="AK108" s="17">
        <v>2.6385220000000001E-2</v>
      </c>
      <c r="AL108" s="25">
        <f>$M$119*(AE108/100+1)</f>
        <v>384.16951999999998</v>
      </c>
      <c r="AM108" s="25">
        <f>(1-AE108/100)*$M$119</f>
        <v>357.47048000000001</v>
      </c>
    </row>
    <row r="109" spans="1:39" x14ac:dyDescent="0.25">
      <c r="A109">
        <v>3.7</v>
      </c>
      <c r="D109" s="17">
        <v>8.2987549999999997E-3</v>
      </c>
      <c r="E109" s="17"/>
      <c r="F109" s="17">
        <v>5.5900619999999998E-2</v>
      </c>
      <c r="G109" s="17">
        <v>0</v>
      </c>
      <c r="H109" s="25">
        <f>$M$119*(A109/100+1)</f>
        <v>384.54033999999996</v>
      </c>
      <c r="I109" s="25">
        <f>(1-A109/100)*$M$119</f>
        <v>357.09965999999997</v>
      </c>
      <c r="R109">
        <v>3.7</v>
      </c>
      <c r="U109" s="17">
        <v>6.2761509999999998E-3</v>
      </c>
      <c r="V109" s="17">
        <v>2.8985510000000001E-3</v>
      </c>
      <c r="W109" s="17">
        <v>3.252033E-2</v>
      </c>
      <c r="X109" s="17">
        <v>1.204819E-2</v>
      </c>
      <c r="Y109" s="25">
        <f>$M$119*(R109/100+1)</f>
        <v>384.54033999999996</v>
      </c>
      <c r="Z109" s="25">
        <f>(1-R109/100)*$M$119</f>
        <v>357.09965999999997</v>
      </c>
      <c r="AE109">
        <v>3.7</v>
      </c>
      <c r="AH109" s="17">
        <v>1.098901E-2</v>
      </c>
      <c r="AI109" s="17">
        <v>2.717391E-3</v>
      </c>
      <c r="AJ109" s="17">
        <v>5.6306309999999998E-2</v>
      </c>
      <c r="AK109" s="17">
        <v>2.6385220000000001E-2</v>
      </c>
      <c r="AL109" s="25">
        <f>$M$119*(AE109/100+1)</f>
        <v>384.54033999999996</v>
      </c>
      <c r="AM109" s="25">
        <f>(1-AE109/100)*$M$119</f>
        <v>357.09965999999997</v>
      </c>
    </row>
    <row r="110" spans="1:39" x14ac:dyDescent="0.25">
      <c r="A110">
        <v>3.8</v>
      </c>
      <c r="D110" s="17">
        <v>8.2987549999999997E-3</v>
      </c>
      <c r="E110" s="17"/>
      <c r="F110" s="17">
        <v>4.7619050000000003E-2</v>
      </c>
      <c r="G110" s="17"/>
      <c r="R110">
        <v>3.8</v>
      </c>
      <c r="U110" s="17">
        <v>6.2761509999999998E-3</v>
      </c>
      <c r="V110" s="17">
        <v>2.8985510000000001E-3</v>
      </c>
      <c r="W110" s="17">
        <v>2.8455279999999999E-2</v>
      </c>
      <c r="X110" s="17">
        <v>9.0361450000000006E-3</v>
      </c>
      <c r="AE110">
        <v>3.8</v>
      </c>
      <c r="AH110" s="17">
        <v>4.395604E-3</v>
      </c>
      <c r="AI110" s="17">
        <v>2.717391E-3</v>
      </c>
      <c r="AJ110" s="17">
        <v>5.1801800000000002E-2</v>
      </c>
      <c r="AK110" s="17">
        <v>2.1108180000000001E-2</v>
      </c>
    </row>
    <row r="111" spans="1:39" x14ac:dyDescent="0.25">
      <c r="A111">
        <v>3.9</v>
      </c>
      <c r="D111" s="17">
        <v>8.2987549999999997E-3</v>
      </c>
      <c r="E111" s="17"/>
      <c r="F111" s="17">
        <v>4.1407869999999999E-2</v>
      </c>
      <c r="G111" s="17"/>
      <c r="R111">
        <v>3.9</v>
      </c>
      <c r="U111" s="17">
        <v>6.2761509999999998E-3</v>
      </c>
      <c r="V111" s="17">
        <v>0</v>
      </c>
      <c r="W111" s="17">
        <v>2.642276E-2</v>
      </c>
      <c r="X111" s="17">
        <v>3.0120479999999998E-3</v>
      </c>
      <c r="AE111">
        <v>3.9</v>
      </c>
      <c r="AH111" s="17">
        <v>2.197802E-3</v>
      </c>
      <c r="AI111" s="17">
        <v>2.717391E-3</v>
      </c>
      <c r="AJ111" s="17">
        <v>4.5045050000000003E-2</v>
      </c>
      <c r="AK111" s="17">
        <v>1.8469659999999999E-2</v>
      </c>
    </row>
    <row r="112" spans="1:39" x14ac:dyDescent="0.25">
      <c r="A112">
        <v>4</v>
      </c>
      <c r="D112" s="17">
        <v>8.2987549999999997E-3</v>
      </c>
      <c r="E112" s="17"/>
      <c r="F112" s="17">
        <v>3.3126290000000003E-2</v>
      </c>
      <c r="G112" s="17"/>
      <c r="R112">
        <v>4</v>
      </c>
      <c r="U112" s="17">
        <v>4.1840999999999996E-3</v>
      </c>
      <c r="V112" s="17"/>
      <c r="W112" s="17">
        <v>2.4390240000000001E-2</v>
      </c>
      <c r="X112" s="17">
        <v>0</v>
      </c>
      <c r="AE112">
        <v>4</v>
      </c>
      <c r="AH112" s="17">
        <v>2.197802E-3</v>
      </c>
      <c r="AI112" s="17">
        <v>0</v>
      </c>
      <c r="AJ112" s="17">
        <v>4.054054E-2</v>
      </c>
      <c r="AK112" s="17">
        <v>1.5831129999999999E-2</v>
      </c>
    </row>
    <row r="113" spans="1:45" x14ac:dyDescent="0.25">
      <c r="A113">
        <v>4.0999999999999996</v>
      </c>
      <c r="D113" s="17">
        <v>8.2987549999999997E-3</v>
      </c>
      <c r="E113" s="17"/>
      <c r="F113" s="17">
        <v>3.3126290000000003E-2</v>
      </c>
      <c r="G113" s="17"/>
      <c r="R113">
        <v>4.0999999999999996</v>
      </c>
      <c r="U113" s="17">
        <v>4.1840999999999996E-3</v>
      </c>
      <c r="V113" s="17"/>
      <c r="W113" s="17">
        <v>2.2357720000000001E-2</v>
      </c>
      <c r="X113" s="17"/>
      <c r="AE113">
        <v>4.0999999999999996</v>
      </c>
      <c r="AH113" s="17">
        <v>2.197802E-3</v>
      </c>
      <c r="AI113" s="17"/>
      <c r="AJ113" s="17">
        <v>3.8288290000000003E-2</v>
      </c>
      <c r="AK113" s="17">
        <v>1.5831129999999999E-2</v>
      </c>
    </row>
    <row r="114" spans="1:45" x14ac:dyDescent="0.25">
      <c r="A114">
        <v>4.2</v>
      </c>
      <c r="D114" s="17">
        <v>8.2987549999999997E-3</v>
      </c>
      <c r="E114" s="17"/>
      <c r="F114" s="17">
        <v>2.8985509999999999E-2</v>
      </c>
      <c r="G114" s="17"/>
      <c r="R114">
        <v>4.2</v>
      </c>
      <c r="U114" s="17">
        <v>4.1840999999999996E-3</v>
      </c>
      <c r="V114" s="17"/>
      <c r="W114" s="17">
        <v>2.0325200000000002E-2</v>
      </c>
      <c r="X114" s="17"/>
      <c r="AE114">
        <v>4.2</v>
      </c>
      <c r="AH114" s="17">
        <v>2.197802E-3</v>
      </c>
      <c r="AI114" s="17"/>
      <c r="AJ114" s="17">
        <v>3.6036039999999998E-2</v>
      </c>
      <c r="AK114" s="17">
        <v>1.319261E-2</v>
      </c>
    </row>
    <row r="115" spans="1:45" x14ac:dyDescent="0.25">
      <c r="A115">
        <v>4.3</v>
      </c>
      <c r="D115" s="17">
        <v>6.2240660000000003E-3</v>
      </c>
      <c r="E115" s="17"/>
      <c r="F115" s="17">
        <v>2.4844720000000001E-2</v>
      </c>
      <c r="G115" s="17"/>
      <c r="R115">
        <v>4.3</v>
      </c>
      <c r="U115" s="17">
        <v>2.0920499999999998E-3</v>
      </c>
      <c r="V115" s="17"/>
      <c r="W115" s="17">
        <v>1.8292679999999999E-2</v>
      </c>
      <c r="X115" s="17"/>
      <c r="AE115">
        <v>4.3</v>
      </c>
      <c r="AH115" s="17">
        <v>0</v>
      </c>
      <c r="AI115" s="17"/>
      <c r="AJ115" s="17">
        <v>3.6036039999999998E-2</v>
      </c>
      <c r="AK115" s="17">
        <v>1.319261E-2</v>
      </c>
    </row>
    <row r="116" spans="1:45" x14ac:dyDescent="0.25">
      <c r="A116">
        <v>4.4000000000000004</v>
      </c>
      <c r="D116" s="17">
        <v>4.1493779999999996E-3</v>
      </c>
      <c r="E116" s="17"/>
      <c r="F116" s="17">
        <v>2.0703929999999999E-2</v>
      </c>
      <c r="G116" s="17"/>
      <c r="R116">
        <v>4.4000000000000004</v>
      </c>
      <c r="U116" s="17">
        <v>2.0920499999999998E-3</v>
      </c>
      <c r="V116" s="17"/>
      <c r="W116" s="17">
        <v>1.6260159999999999E-2</v>
      </c>
      <c r="X116" s="17"/>
      <c r="AE116">
        <v>4.4000000000000004</v>
      </c>
      <c r="AH116" s="14"/>
      <c r="AI116" s="14"/>
      <c r="AJ116" s="17">
        <v>2.9279280000000001E-2</v>
      </c>
      <c r="AK116" s="17">
        <v>1.055409E-2</v>
      </c>
    </row>
    <row r="117" spans="1:45" x14ac:dyDescent="0.25">
      <c r="D117" s="17">
        <v>4.1493779999999996E-3</v>
      </c>
      <c r="E117" s="17"/>
      <c r="F117" s="17">
        <v>1.8633540000000001E-2</v>
      </c>
      <c r="G117" s="17"/>
      <c r="R117">
        <v>4.5</v>
      </c>
      <c r="U117" s="17">
        <v>2.0920499999999998E-3</v>
      </c>
      <c r="V117" s="17"/>
      <c r="W117" s="17">
        <v>1.422764E-2</v>
      </c>
      <c r="X117" s="17"/>
      <c r="AE117">
        <v>4.5</v>
      </c>
      <c r="AH117" s="14"/>
      <c r="AI117" s="14"/>
      <c r="AJ117" s="17">
        <v>2.4774770000000002E-2</v>
      </c>
      <c r="AK117" s="17">
        <v>5.2770450000000002E-3</v>
      </c>
    </row>
    <row r="118" spans="1:45" x14ac:dyDescent="0.25">
      <c r="R118" s="25" t="s">
        <v>27</v>
      </c>
      <c r="S118">
        <v>1.6</v>
      </c>
      <c r="T118">
        <v>1.5</v>
      </c>
      <c r="U118" s="25">
        <v>4.0423179999999999</v>
      </c>
      <c r="V118" s="25">
        <v>2.6244010000000002</v>
      </c>
      <c r="W118">
        <v>4.9000000000000004</v>
      </c>
      <c r="X118">
        <v>3.1</v>
      </c>
    </row>
    <row r="119" spans="1:45" x14ac:dyDescent="0.25">
      <c r="A119" s="25" t="s">
        <v>27</v>
      </c>
      <c r="B119">
        <v>2.1</v>
      </c>
      <c r="C119">
        <v>1.3</v>
      </c>
      <c r="D119" s="25">
        <v>4.8984920000000001</v>
      </c>
      <c r="E119" s="25">
        <v>2.1595399999999998</v>
      </c>
      <c r="F119">
        <v>5.3</v>
      </c>
      <c r="G119">
        <v>2.7</v>
      </c>
      <c r="L119" s="26" t="s">
        <v>19</v>
      </c>
      <c r="M119">
        <v>370.82</v>
      </c>
      <c r="R119" t="s">
        <v>26</v>
      </c>
      <c r="S119">
        <v>2</v>
      </c>
      <c r="T119">
        <v>1</v>
      </c>
      <c r="U119" s="6">
        <v>3</v>
      </c>
      <c r="V119" s="6">
        <v>2</v>
      </c>
      <c r="W119">
        <v>4</v>
      </c>
      <c r="X119">
        <v>3</v>
      </c>
      <c r="AE119" t="s">
        <v>27</v>
      </c>
      <c r="AF119">
        <v>2</v>
      </c>
      <c r="AG119">
        <v>1.6</v>
      </c>
      <c r="AH119" s="25">
        <v>3.4891860000000001</v>
      </c>
      <c r="AI119" s="25">
        <v>2.1559499999999998</v>
      </c>
      <c r="AJ119">
        <v>4.4000000000000004</v>
      </c>
      <c r="AK119">
        <v>2.9</v>
      </c>
    </row>
    <row r="120" spans="1:45" x14ac:dyDescent="0.25">
      <c r="A120" s="25" t="s">
        <v>26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R120" t="s">
        <v>25</v>
      </c>
      <c r="S120">
        <v>2.1</v>
      </c>
      <c r="T120">
        <v>2</v>
      </c>
      <c r="U120" s="25">
        <v>3.9180329999999999</v>
      </c>
      <c r="V120" s="25">
        <v>2.8278690000000002</v>
      </c>
      <c r="W120">
        <v>5.3</v>
      </c>
      <c r="X120">
        <v>3.6</v>
      </c>
      <c r="AE120" t="s">
        <v>26</v>
      </c>
      <c r="AF120">
        <v>1</v>
      </c>
      <c r="AG120">
        <v>1</v>
      </c>
      <c r="AH120">
        <v>2</v>
      </c>
      <c r="AI120">
        <v>2</v>
      </c>
      <c r="AJ120">
        <v>2</v>
      </c>
      <c r="AK120">
        <v>3</v>
      </c>
    </row>
    <row r="121" spans="1:45" x14ac:dyDescent="0.25">
      <c r="A121" s="25" t="s">
        <v>25</v>
      </c>
      <c r="B121">
        <v>2.2999999999999998</v>
      </c>
      <c r="C121">
        <v>1.8</v>
      </c>
      <c r="D121" s="25">
        <v>3.8559999999999999</v>
      </c>
      <c r="E121" s="25">
        <v>2.7360000000000002</v>
      </c>
      <c r="F121">
        <v>4.4000000000000004</v>
      </c>
      <c r="G121">
        <v>3.1</v>
      </c>
      <c r="R121" s="17" t="s">
        <v>76</v>
      </c>
      <c r="S121" s="17">
        <v>0.14925369999999999</v>
      </c>
      <c r="T121" s="17">
        <v>0.11</v>
      </c>
      <c r="U121" s="17">
        <v>0.1147541</v>
      </c>
      <c r="V121" s="17">
        <v>0.1311475</v>
      </c>
      <c r="W121" s="17">
        <v>0.172043</v>
      </c>
      <c r="X121" s="17">
        <v>0.14130429999999999</v>
      </c>
      <c r="AE121" t="s">
        <v>25</v>
      </c>
      <c r="AF121">
        <v>2.2999999999999998</v>
      </c>
      <c r="AG121">
        <v>1.9</v>
      </c>
      <c r="AH121" s="25">
        <v>3.5</v>
      </c>
      <c r="AI121" s="25">
        <v>2.8384619999999998</v>
      </c>
      <c r="AJ121">
        <v>4</v>
      </c>
      <c r="AK121">
        <v>3.5</v>
      </c>
    </row>
    <row r="122" spans="1:45" x14ac:dyDescent="0.25">
      <c r="A122" s="17" t="s">
        <v>76</v>
      </c>
      <c r="B122" s="17">
        <v>9.0909089999999998E-2</v>
      </c>
      <c r="C122" s="17">
        <v>8.6294419999999997E-2</v>
      </c>
      <c r="D122" s="17">
        <v>8.7999999999999995E-2</v>
      </c>
      <c r="E122" s="17">
        <v>0.16800000000000001</v>
      </c>
      <c r="F122" s="17">
        <v>0.13513510000000001</v>
      </c>
      <c r="G122" s="17">
        <v>0.14545449999999999</v>
      </c>
      <c r="H122" s="27"/>
      <c r="I122" s="27"/>
      <c r="L122" s="27"/>
      <c r="M122" s="27"/>
      <c r="N122" s="27"/>
      <c r="O122" s="27"/>
      <c r="P122" s="27"/>
      <c r="Q122" s="27"/>
      <c r="R122" s="17" t="s">
        <v>133</v>
      </c>
      <c r="U122" s="17">
        <v>4.8780490000000003E-2</v>
      </c>
      <c r="V122" s="17">
        <v>6.5040650000000005E-2</v>
      </c>
      <c r="Y122" s="27"/>
      <c r="Z122" s="27"/>
      <c r="AA122" s="27"/>
      <c r="AB122" s="27"/>
      <c r="AC122" s="27"/>
      <c r="AD122" s="27"/>
      <c r="AE122" s="17" t="s">
        <v>76</v>
      </c>
      <c r="AF122" s="17">
        <v>0.10050249999999999</v>
      </c>
      <c r="AG122" s="17">
        <v>9.0452260000000007E-2</v>
      </c>
      <c r="AH122" s="17">
        <v>0.1153846</v>
      </c>
      <c r="AI122" s="17">
        <v>0.1076923</v>
      </c>
      <c r="AJ122" s="17">
        <v>0.1363636</v>
      </c>
      <c r="AK122" s="17">
        <v>0.13761470000000001</v>
      </c>
    </row>
    <row r="123" spans="1:45" x14ac:dyDescent="0.25">
      <c r="A123" s="17" t="s">
        <v>133</v>
      </c>
      <c r="B123" s="17"/>
      <c r="C123" s="17"/>
      <c r="D123" s="17">
        <v>5.6451609999999999E-2</v>
      </c>
      <c r="E123" s="17">
        <v>8.0645159999999994E-2</v>
      </c>
      <c r="F123" s="17"/>
      <c r="G123" s="17"/>
      <c r="H123" s="27"/>
      <c r="I123" s="27"/>
      <c r="L123" s="27"/>
      <c r="M123" s="27"/>
      <c r="N123" s="27"/>
      <c r="O123" s="27"/>
      <c r="P123" s="27"/>
      <c r="Q123" s="27"/>
      <c r="R123" t="s">
        <v>78</v>
      </c>
      <c r="S123" s="17">
        <v>0.14925369999999999</v>
      </c>
      <c r="T123" s="17">
        <v>0.24</v>
      </c>
      <c r="U123" s="17">
        <v>0.27868850000000001</v>
      </c>
      <c r="V123" s="17">
        <v>0.2377049</v>
      </c>
      <c r="W123" s="17">
        <v>0.30107529999999999</v>
      </c>
      <c r="X123" s="17">
        <v>0.27173910000000001</v>
      </c>
      <c r="Y123" s="27"/>
      <c r="Z123" s="27"/>
      <c r="AA123" s="27"/>
      <c r="AB123" s="27"/>
      <c r="AC123" s="27"/>
      <c r="AD123" s="27"/>
      <c r="AE123" s="17" t="s">
        <v>133</v>
      </c>
      <c r="AF123" s="17"/>
      <c r="AG123" s="17"/>
      <c r="AH123" s="17">
        <v>9.3023259999999997E-2</v>
      </c>
      <c r="AI123" s="17">
        <v>6.2015500000000001E-2</v>
      </c>
      <c r="AJ123" s="17"/>
      <c r="AK123" s="17"/>
    </row>
    <row r="124" spans="1:45" x14ac:dyDescent="0.25">
      <c r="A124" t="s">
        <v>78</v>
      </c>
      <c r="B124" s="17">
        <v>0.1767677</v>
      </c>
      <c r="C124" s="17">
        <v>0.19289339999999999</v>
      </c>
      <c r="D124" s="17">
        <v>0.29599999999999999</v>
      </c>
      <c r="E124" s="17">
        <v>0.24</v>
      </c>
      <c r="F124" s="17">
        <v>0.36036040000000003</v>
      </c>
      <c r="G124" s="17">
        <v>0.29090909999999998</v>
      </c>
      <c r="R124" t="s">
        <v>135</v>
      </c>
      <c r="U124" s="17">
        <v>0.18699189999999999</v>
      </c>
      <c r="V124" s="17">
        <v>0.16260160000000001</v>
      </c>
      <c r="AE124" t="s">
        <v>78</v>
      </c>
      <c r="AF124" s="17">
        <v>0.3115578</v>
      </c>
      <c r="AG124" s="17">
        <v>0.19095480000000001</v>
      </c>
      <c r="AH124" s="17">
        <v>0.33846150000000003</v>
      </c>
      <c r="AI124" s="17">
        <v>0.27692309999999998</v>
      </c>
      <c r="AJ124" s="17">
        <v>0.36363640000000003</v>
      </c>
      <c r="AK124" s="17">
        <v>0.32110090000000002</v>
      </c>
      <c r="AN124">
        <v>1200</v>
      </c>
      <c r="AO124">
        <v>0.35</v>
      </c>
      <c r="AP124">
        <v>0.4</v>
      </c>
      <c r="AQ124">
        <v>0.3</v>
      </c>
      <c r="AR124">
        <v>0.24</v>
      </c>
      <c r="AS124">
        <v>0.3</v>
      </c>
    </row>
    <row r="125" spans="1:45" x14ac:dyDescent="0.25">
      <c r="A125" t="s">
        <v>135</v>
      </c>
      <c r="B125" s="17"/>
      <c r="C125" s="17"/>
      <c r="D125" s="17">
        <v>0.233871</v>
      </c>
      <c r="E125" s="17">
        <v>0.1774194</v>
      </c>
      <c r="F125" s="17"/>
      <c r="G125" s="17"/>
      <c r="R125" t="s">
        <v>136</v>
      </c>
      <c r="U125">
        <v>23</v>
      </c>
      <c r="V125">
        <v>15</v>
      </c>
      <c r="AE125" t="s">
        <v>135</v>
      </c>
      <c r="AF125" s="17"/>
      <c r="AG125" s="17"/>
      <c r="AH125" s="17">
        <v>0.2403101</v>
      </c>
      <c r="AI125" s="17">
        <v>0.1782946</v>
      </c>
      <c r="AJ125" s="17"/>
      <c r="AK125" s="17"/>
      <c r="AM125">
        <v>0.2</v>
      </c>
      <c r="AN125">
        <f>AM125*$AN$124</f>
        <v>240</v>
      </c>
      <c r="AO125" s="6">
        <f>$AN125/AO$124</f>
        <v>685.71428571428578</v>
      </c>
      <c r="AP125" s="6">
        <f>$AN125/AP$124</f>
        <v>600</v>
      </c>
      <c r="AQ125" s="6">
        <f t="shared" ref="AP125:AQ126" si="0">$AN125/AQ$124</f>
        <v>800</v>
      </c>
      <c r="AR125">
        <f>AN125/AR124</f>
        <v>1000</v>
      </c>
    </row>
    <row r="126" spans="1:45" x14ac:dyDescent="0.25">
      <c r="A126" t="s">
        <v>136</v>
      </c>
      <c r="D126">
        <v>32</v>
      </c>
      <c r="E126">
        <v>11</v>
      </c>
      <c r="AH126">
        <v>24</v>
      </c>
      <c r="AI126">
        <v>12</v>
      </c>
      <c r="AM126">
        <v>0.8</v>
      </c>
      <c r="AN126">
        <f>AM126*$AN$124</f>
        <v>960</v>
      </c>
      <c r="AO126" s="6">
        <f>$AN126/AO$124</f>
        <v>2742.8571428571431</v>
      </c>
      <c r="AP126" s="6">
        <f t="shared" si="0"/>
        <v>2400</v>
      </c>
      <c r="AQ126" s="6">
        <f t="shared" si="0"/>
        <v>3200</v>
      </c>
      <c r="AR126" s="6">
        <f>AN126/AS124</f>
        <v>3200</v>
      </c>
    </row>
    <row r="128" spans="1:45" x14ac:dyDescent="0.25">
      <c r="P128" t="s">
        <v>68</v>
      </c>
      <c r="S128" s="14">
        <f>S131/SQRT(3)</f>
        <v>1.1078375943793989E-2</v>
      </c>
      <c r="U128" s="14">
        <f>(U131+1)^(1/3)-1</f>
        <v>1.4330539591589364E-4</v>
      </c>
      <c r="W128" s="14">
        <f>(W131+1)^(1/3)-1</f>
        <v>4.1844687778747058E-4</v>
      </c>
      <c r="AC128" t="s">
        <v>68</v>
      </c>
      <c r="AF128" s="14">
        <f>AF131/SQRT(3)</f>
        <v>1.3707548240645857E-2</v>
      </c>
      <c r="AH128" s="14">
        <f>(AH131+1)^(1/3)-1</f>
        <v>-1.1594160594188274E-3</v>
      </c>
      <c r="AJ128" s="14">
        <f>(AJ131+1)^(1/3)-1</f>
        <v>-7.0017412939282764E-4</v>
      </c>
    </row>
    <row r="129" spans="1:42" x14ac:dyDescent="0.25">
      <c r="S129" s="14">
        <f>S132/SQRT(5)</f>
        <v>1.100723692108878E-2</v>
      </c>
      <c r="U129" s="14">
        <f>(U132+1)^(1/5)-1</f>
        <v>6.0290597034229343E-4</v>
      </c>
      <c r="W129" s="14">
        <f>(W132+1)^(1/5)-1</f>
        <v>6.2109879323446471E-4</v>
      </c>
      <c r="AF129" s="14">
        <f>AF132/SQRT(5)</f>
        <v>1.2848603123472217E-2</v>
      </c>
      <c r="AH129" s="14">
        <f>(AH132+1)^(1/5)-1</f>
        <v>-1.0988705807554178E-3</v>
      </c>
      <c r="AJ129" s="14">
        <f>(AJ132+1)^(1/5)-1</f>
        <v>-7.4716648159112165E-4</v>
      </c>
    </row>
    <row r="130" spans="1:42" x14ac:dyDescent="0.25">
      <c r="R130" t="s">
        <v>27</v>
      </c>
      <c r="S130" s="14">
        <v>1.129285E-2</v>
      </c>
      <c r="T130" t="s">
        <v>26</v>
      </c>
      <c r="U130" s="14">
        <v>5.3072619999999999E-5</v>
      </c>
      <c r="V130" t="s">
        <v>25</v>
      </c>
      <c r="W130" s="14">
        <v>4.8804619999999998E-5</v>
      </c>
      <c r="AE130" t="s">
        <v>27</v>
      </c>
      <c r="AF130" s="14">
        <v>1.4072360000000001E-2</v>
      </c>
      <c r="AG130" t="s">
        <v>26</v>
      </c>
      <c r="AH130" s="14">
        <v>-1.150365E-3</v>
      </c>
      <c r="AI130" t="s">
        <v>25</v>
      </c>
      <c r="AJ130" s="14">
        <v>-7.7417670000000003E-4</v>
      </c>
    </row>
    <row r="131" spans="1:42" x14ac:dyDescent="0.25">
      <c r="R131" t="s">
        <v>27</v>
      </c>
      <c r="S131" s="14">
        <v>1.918831E-2</v>
      </c>
      <c r="T131" t="s">
        <v>26</v>
      </c>
      <c r="U131" s="14">
        <v>4.2997780000000001E-4</v>
      </c>
      <c r="V131" t="s">
        <v>25</v>
      </c>
      <c r="W131" s="14">
        <v>1.255866E-3</v>
      </c>
      <c r="Y131" s="21">
        <f>ABS(S132*2-1)</f>
        <v>0.95077414000000005</v>
      </c>
      <c r="Z131" s="21">
        <f>ABS(S132-1)</f>
        <v>0.97538707000000002</v>
      </c>
      <c r="AA131" s="21">
        <f>S132+1</f>
        <v>1.02461293</v>
      </c>
      <c r="AB131" s="21">
        <f>S132*2+1</f>
        <v>1.04922586</v>
      </c>
      <c r="AE131" t="s">
        <v>27</v>
      </c>
      <c r="AF131" s="14">
        <v>2.374217E-2</v>
      </c>
      <c r="AG131" t="s">
        <v>26</v>
      </c>
      <c r="AH131" s="14">
        <v>-3.4742169999999999E-3</v>
      </c>
      <c r="AI131" t="s">
        <v>25</v>
      </c>
      <c r="AJ131" s="14">
        <v>-2.0990520000000001E-3</v>
      </c>
      <c r="AL131" s="21">
        <f>ABS(AF132*2)</f>
        <v>5.7460700000000003E-2</v>
      </c>
      <c r="AM131" s="21">
        <f>ABS(AF132)</f>
        <v>2.8730350000000002E-2</v>
      </c>
      <c r="AN131" s="21">
        <f>AF132</f>
        <v>2.8730350000000002E-2</v>
      </c>
      <c r="AO131" s="21">
        <f>AF132*2</f>
        <v>5.7460700000000003E-2</v>
      </c>
    </row>
    <row r="132" spans="1:42" x14ac:dyDescent="0.25">
      <c r="P132" s="14"/>
      <c r="R132" t="s">
        <v>27</v>
      </c>
      <c r="S132" s="14">
        <v>2.4612930000000002E-2</v>
      </c>
      <c r="T132" t="s">
        <v>26</v>
      </c>
      <c r="U132" s="14">
        <v>3.018167E-3</v>
      </c>
      <c r="V132" t="s">
        <v>25</v>
      </c>
      <c r="W132" s="14">
        <v>3.1093539999999999E-3</v>
      </c>
      <c r="Y132">
        <f>Y131*$M$119</f>
        <v>352.56606659480002</v>
      </c>
      <c r="Z132">
        <f>Z131*$M$119</f>
        <v>361.69303329740001</v>
      </c>
      <c r="AA132">
        <f>AA131*$M$119</f>
        <v>379.94696670259998</v>
      </c>
      <c r="AB132">
        <f>AB131*$M$119</f>
        <v>389.07393340519997</v>
      </c>
      <c r="AE132" t="s">
        <v>27</v>
      </c>
      <c r="AF132" s="14">
        <v>2.8730350000000002E-2</v>
      </c>
      <c r="AG132" t="s">
        <v>26</v>
      </c>
      <c r="AH132" s="14">
        <v>-5.4822910000000002E-3</v>
      </c>
      <c r="AI132" t="s">
        <v>25</v>
      </c>
      <c r="AJ132" s="14">
        <v>-3.7302540000000001E-3</v>
      </c>
      <c r="AL132" s="13">
        <f>(AL131+1)*$M$119</f>
        <v>392.12757677399998</v>
      </c>
      <c r="AM132" s="13">
        <f>(AM131+1)*$M$119</f>
        <v>381.47378838700001</v>
      </c>
      <c r="AN132" s="13">
        <f>(AN131+1)*$M$119</f>
        <v>381.47378838700001</v>
      </c>
      <c r="AO132" s="13">
        <f>(AO131+1)*$M$119</f>
        <v>392.12757677399998</v>
      </c>
    </row>
    <row r="133" spans="1:42" x14ac:dyDescent="0.25">
      <c r="A133">
        <v>19.71</v>
      </c>
      <c r="B133" t="s">
        <v>47</v>
      </c>
      <c r="C133" s="13">
        <v>21.809000000000001</v>
      </c>
      <c r="D133" t="s">
        <v>27</v>
      </c>
      <c r="E133" s="14">
        <v>1.0414959999999999E-2</v>
      </c>
      <c r="F133" t="s">
        <v>26</v>
      </c>
      <c r="G133" s="14">
        <v>-1.7403549999999999E-4</v>
      </c>
      <c r="H133" t="s">
        <v>25</v>
      </c>
      <c r="I133" s="14">
        <v>3.173413E-4</v>
      </c>
      <c r="J133" s="14"/>
      <c r="R133" s="13">
        <v>21.809000000000001</v>
      </c>
      <c r="S133" t="s">
        <v>50</v>
      </c>
      <c r="T133" s="13">
        <v>24.46</v>
      </c>
      <c r="Z133" s="21">
        <f>X138+1</f>
        <v>0.98330596999999997</v>
      </c>
      <c r="AA133" s="21">
        <f>W138+1</f>
        <v>1.0183666200000001</v>
      </c>
      <c r="AE133" s="13">
        <v>24.46</v>
      </c>
      <c r="AF133" t="s">
        <v>49</v>
      </c>
      <c r="AG133" s="13">
        <v>28.95</v>
      </c>
      <c r="AL133" s="21">
        <f>AK138-2*AK137</f>
        <v>-5.3819069999999997E-2</v>
      </c>
      <c r="AM133" s="21">
        <f>AK138</f>
        <v>-2.214795E-2</v>
      </c>
      <c r="AN133" s="21">
        <f>AJ138</f>
        <v>2.0682369999999999E-2</v>
      </c>
      <c r="AO133" s="21">
        <f>AJ137*2+AJ138</f>
        <v>5.5126290000000001E-2</v>
      </c>
    </row>
    <row r="134" spans="1:42" x14ac:dyDescent="0.25">
      <c r="C134" s="13"/>
      <c r="E134" s="14"/>
      <c r="G134" s="14"/>
      <c r="I134" s="14"/>
      <c r="J134" s="14"/>
      <c r="P134" s="14"/>
      <c r="S134" t="s">
        <v>68</v>
      </c>
      <c r="T134" t="s">
        <v>27</v>
      </c>
      <c r="U134" s="14">
        <f>U137/SQRT(3)</f>
        <v>7.3669028323192463E-3</v>
      </c>
      <c r="V134" s="14">
        <f>V137/SQRT(3)</f>
        <v>5.8808147864305334E-3</v>
      </c>
      <c r="W134" s="14">
        <f>W137/SQRT(5)</f>
        <v>6.8181469228170786E-3</v>
      </c>
      <c r="X134" s="14">
        <f>X137/SQRT(5)</f>
        <v>5.7450981496385244E-3</v>
      </c>
      <c r="Z134">
        <f>$M$119*Z133</f>
        <v>364.62951979539997</v>
      </c>
      <c r="AA134">
        <f>$M$119*AA133</f>
        <v>377.63071002840002</v>
      </c>
      <c r="AF134" t="s">
        <v>68</v>
      </c>
      <c r="AG134" t="s">
        <v>27</v>
      </c>
      <c r="AH134" s="14">
        <f>AH137/SQRT(3)</f>
        <v>8.3743097700228405E-3</v>
      </c>
      <c r="AI134" s="14">
        <f>AI137/SQRT(3)</f>
        <v>7.55446661427088E-3</v>
      </c>
      <c r="AJ134" s="14">
        <f>AJ137/SQRT(5)</f>
        <v>7.7018946531564559E-3</v>
      </c>
      <c r="AK134" s="14">
        <f>AK137/SQRT(5)</f>
        <v>7.081877724355313E-3</v>
      </c>
      <c r="AL134" s="16">
        <f>$M$119*(AL133+1)</f>
        <v>350.8628124626</v>
      </c>
      <c r="AM134" s="16">
        <f>$M$119*(AM133+1)</f>
        <v>362.60709718099997</v>
      </c>
      <c r="AN134" s="16">
        <f>$M$119*(AN133+1)</f>
        <v>378.4894364434</v>
      </c>
      <c r="AO134" s="16">
        <f>$M$119*(AO133+1)</f>
        <v>391.2619308578</v>
      </c>
    </row>
    <row r="135" spans="1:42" x14ac:dyDescent="0.25">
      <c r="C135" s="13"/>
      <c r="D135" t="s">
        <v>27</v>
      </c>
      <c r="E135" s="14">
        <v>1.7069290000000001E-2</v>
      </c>
      <c r="F135" t="s">
        <v>26</v>
      </c>
      <c r="G135" s="14">
        <v>1.683489E-3</v>
      </c>
      <c r="H135" t="s">
        <v>25</v>
      </c>
      <c r="I135" s="14">
        <v>1.740066E-3</v>
      </c>
      <c r="J135" s="14"/>
      <c r="P135" s="14"/>
      <c r="R135" s="13"/>
      <c r="T135" t="s">
        <v>26</v>
      </c>
      <c r="U135" s="14">
        <f>(U138+1)^(1/3)-1</f>
        <v>4.4493406735830465E-3</v>
      </c>
      <c r="V135" s="14">
        <f t="shared" ref="V135:V136" si="1">(V138+1)^(1/3)-1</f>
        <v>-4.1566639154944074E-3</v>
      </c>
      <c r="W135" s="14">
        <f t="shared" ref="W135:X136" si="2">(W138+1)^(1/5)-1</f>
        <v>3.6466310025018434E-3</v>
      </c>
      <c r="X135" s="14">
        <f t="shared" si="2"/>
        <v>-3.3613272127838156E-3</v>
      </c>
      <c r="AB135" s="21">
        <f>AVERAGE(AG138,T138)</f>
        <v>-8.1109224999999993E-3</v>
      </c>
      <c r="AE135" s="13"/>
      <c r="AG135" t="s">
        <v>26</v>
      </c>
      <c r="AH135" s="14">
        <f t="shared" ref="AH135:AI135" si="3">(AH138+1)^(1/3)-1</f>
        <v>5.1712454576480216E-3</v>
      </c>
      <c r="AI135" s="14">
        <f t="shared" si="3"/>
        <v>-6.0564498669495315E-3</v>
      </c>
      <c r="AJ135" s="14">
        <f t="shared" ref="AJ135:AK135" si="4">(AJ138+1)^(1/5)-1</f>
        <v>4.1026717734422569E-3</v>
      </c>
      <c r="AK135" s="14">
        <f t="shared" si="4"/>
        <v>-4.4693622435814095E-3</v>
      </c>
      <c r="AN135" s="14"/>
    </row>
    <row r="136" spans="1:42" x14ac:dyDescent="0.25">
      <c r="A136" t="s">
        <v>64</v>
      </c>
      <c r="C136" s="13"/>
      <c r="D136" t="s">
        <v>27</v>
      </c>
      <c r="E136" s="14">
        <v>2.123032E-2</v>
      </c>
      <c r="F136" t="s">
        <v>26</v>
      </c>
      <c r="G136" s="14">
        <v>3.6074710000000001E-3</v>
      </c>
      <c r="H136" t="s">
        <v>25</v>
      </c>
      <c r="I136" s="14">
        <v>3.2767529999999999E-3</v>
      </c>
      <c r="J136" s="14"/>
      <c r="P136" s="14"/>
      <c r="R136" s="13"/>
      <c r="T136" t="s">
        <v>25</v>
      </c>
      <c r="U136" s="14">
        <f>(U139+1)^(1/3)-1</f>
        <v>5.4117962947983766E-3</v>
      </c>
      <c r="V136" s="14">
        <f t="shared" si="1"/>
        <v>-4.7879983399305992E-3</v>
      </c>
      <c r="W136" s="14">
        <f t="shared" si="2"/>
        <v>4.2624399967907678E-3</v>
      </c>
      <c r="X136" s="14">
        <f t="shared" si="2"/>
        <v>-3.7997588193675602E-3</v>
      </c>
      <c r="AE136" s="13"/>
      <c r="AG136" t="s">
        <v>25</v>
      </c>
      <c r="AH136" s="14">
        <f t="shared" ref="AH136:AI136" si="5">(AH139+1)^(1/3)-1</f>
        <v>6.2406038498663552E-3</v>
      </c>
      <c r="AI136" s="14">
        <f t="shared" si="5"/>
        <v>-6.7020707381956202E-3</v>
      </c>
      <c r="AJ136" s="14">
        <f t="shared" ref="AJ136:AK136" si="6">(AJ139+1)^(1/5)-1</f>
        <v>4.7000607160319063E-3</v>
      </c>
      <c r="AK136" s="14">
        <f t="shared" si="6"/>
        <v>-4.8351661279426583E-3</v>
      </c>
    </row>
    <row r="137" spans="1:42" x14ac:dyDescent="0.25">
      <c r="A137" t="s">
        <v>27</v>
      </c>
      <c r="B137" s="14">
        <v>6.9093399999999999E-3</v>
      </c>
      <c r="C137" s="14">
        <v>6.4126410000000002E-3</v>
      </c>
      <c r="D137" s="14">
        <v>1.055798E-2</v>
      </c>
      <c r="E137" s="14">
        <v>9.3868049999999998E-3</v>
      </c>
      <c r="F137" s="14">
        <v>1.38079E-2</v>
      </c>
      <c r="G137" s="14">
        <v>1.1375339999999999E-2</v>
      </c>
      <c r="H137" s="21" t="s">
        <v>40</v>
      </c>
      <c r="I137" s="21"/>
      <c r="J137" s="21"/>
      <c r="K137">
        <v>407</v>
      </c>
      <c r="L137">
        <v>448</v>
      </c>
      <c r="M137">
        <v>459</v>
      </c>
      <c r="R137" t="s">
        <v>27</v>
      </c>
      <c r="S137" s="14">
        <v>7.1256640000000003E-3</v>
      </c>
      <c r="T137" s="14">
        <v>6.8305249999999996E-3</v>
      </c>
      <c r="U137" s="14">
        <v>1.275985E-2</v>
      </c>
      <c r="V137" s="14">
        <v>1.018587E-2</v>
      </c>
      <c r="W137" s="14">
        <v>1.524584E-2</v>
      </c>
      <c r="X137" s="14">
        <v>1.2846430000000001E-2</v>
      </c>
      <c r="Z137" s="21" t="s">
        <v>40</v>
      </c>
      <c r="AA137">
        <v>412</v>
      </c>
      <c r="AB137">
        <v>418</v>
      </c>
      <c r="AC137">
        <v>448</v>
      </c>
      <c r="AE137" t="s">
        <v>27</v>
      </c>
      <c r="AF137" s="14">
        <v>9.2675629999999995E-3</v>
      </c>
      <c r="AG137" s="14">
        <v>8.3943449999999992E-3</v>
      </c>
      <c r="AH137" s="14">
        <v>1.450473E-2</v>
      </c>
      <c r="AI137" s="14">
        <v>1.3084719999999999E-2</v>
      </c>
      <c r="AJ137" s="14">
        <v>1.7221960000000001E-2</v>
      </c>
      <c r="AK137" s="14">
        <v>1.5835559999999999E-2</v>
      </c>
      <c r="AM137" s="21" t="s">
        <v>40</v>
      </c>
      <c r="AN137">
        <v>381</v>
      </c>
      <c r="AO137">
        <v>379</v>
      </c>
      <c r="AP137">
        <v>349</v>
      </c>
    </row>
    <row r="138" spans="1:42" x14ac:dyDescent="0.25">
      <c r="A138" t="s">
        <v>26</v>
      </c>
      <c r="B138" s="14">
        <v>6.9187959999999996E-3</v>
      </c>
      <c r="C138" s="14">
        <v>-6.2368789999999999E-3</v>
      </c>
      <c r="D138" s="14">
        <v>1.276364E-2</v>
      </c>
      <c r="E138" s="14">
        <v>-1.182914E-2</v>
      </c>
      <c r="F138" s="14">
        <v>1.50843E-2</v>
      </c>
      <c r="G138" s="14">
        <v>-1.3648240000000001E-2</v>
      </c>
      <c r="H138" s="21" t="s">
        <v>41</v>
      </c>
      <c r="I138" s="21"/>
      <c r="J138" s="21"/>
      <c r="K138">
        <v>415</v>
      </c>
      <c r="L138">
        <v>375</v>
      </c>
      <c r="M138">
        <v>364</v>
      </c>
      <c r="R138" t="s">
        <v>26</v>
      </c>
      <c r="S138" s="14">
        <v>6.8290979999999996E-3</v>
      </c>
      <c r="T138" s="14">
        <v>-7.3944470000000002E-3</v>
      </c>
      <c r="U138" s="14">
        <v>1.3407499999999999E-2</v>
      </c>
      <c r="V138" s="14">
        <v>-1.2418230000000001E-2</v>
      </c>
      <c r="W138" s="14">
        <v>1.836662E-2</v>
      </c>
      <c r="X138" s="14">
        <v>-1.6694029999999999E-2</v>
      </c>
      <c r="Z138" s="21" t="s">
        <v>41</v>
      </c>
      <c r="AA138">
        <v>409</v>
      </c>
      <c r="AB138">
        <v>405</v>
      </c>
      <c r="AC138">
        <v>375</v>
      </c>
      <c r="AE138" t="s">
        <v>26</v>
      </c>
      <c r="AF138" s="14">
        <v>9.0408060000000002E-3</v>
      </c>
      <c r="AG138" s="14">
        <v>-8.8273980000000002E-3</v>
      </c>
      <c r="AH138" s="14">
        <v>1.55941E-2</v>
      </c>
      <c r="AI138" s="14">
        <v>-1.8059530000000001E-2</v>
      </c>
      <c r="AJ138" s="14">
        <v>2.0682369999999999E-2</v>
      </c>
      <c r="AK138" s="14">
        <v>-2.214795E-2</v>
      </c>
      <c r="AM138" s="21" t="s">
        <v>41</v>
      </c>
      <c r="AN138">
        <v>442</v>
      </c>
      <c r="AO138">
        <v>444</v>
      </c>
      <c r="AP138">
        <v>474</v>
      </c>
    </row>
    <row r="139" spans="1:42" x14ac:dyDescent="0.25">
      <c r="A139" t="s">
        <v>25</v>
      </c>
      <c r="B139" s="14">
        <v>8.4276119999999993E-3</v>
      </c>
      <c r="C139" s="14">
        <v>-7.5972080000000003E-3</v>
      </c>
      <c r="D139" s="14">
        <v>1.436517E-2</v>
      </c>
      <c r="E139" s="14">
        <v>-1.3342720000000001E-2</v>
      </c>
      <c r="F139" s="14">
        <v>1.8363250000000001E-2</v>
      </c>
      <c r="G139" s="14">
        <v>-1.5747150000000001E-2</v>
      </c>
      <c r="H139" t="s">
        <v>42</v>
      </c>
      <c r="K139" s="13">
        <f>K137/K138</f>
        <v>0.98072289156626502</v>
      </c>
      <c r="L139" s="13">
        <f>L137/L138</f>
        <v>1.1946666666666668</v>
      </c>
      <c r="M139" s="13">
        <f>M137/M138</f>
        <v>1.2609890109890109</v>
      </c>
      <c r="N139" s="13"/>
      <c r="O139" s="13"/>
      <c r="R139" t="s">
        <v>25</v>
      </c>
      <c r="S139" s="14">
        <v>8.8873010000000002E-3</v>
      </c>
      <c r="T139" s="14">
        <v>-8.8977669999999991E-3</v>
      </c>
      <c r="U139" s="14">
        <v>1.632341E-2</v>
      </c>
      <c r="V139" s="14">
        <v>-1.429533E-2</v>
      </c>
      <c r="W139" s="14">
        <v>2.1494659999999999E-2</v>
      </c>
      <c r="X139" s="14">
        <v>-1.885496E-2</v>
      </c>
      <c r="Z139" t="s">
        <v>42</v>
      </c>
      <c r="AA139" s="13">
        <f>AA137/AA138</f>
        <v>1.0073349633251834</v>
      </c>
      <c r="AB139" s="13">
        <f>AB137/AB138</f>
        <v>1.0320987654320988</v>
      </c>
      <c r="AC139" s="13">
        <f>AC137/AC138</f>
        <v>1.1946666666666668</v>
      </c>
      <c r="AE139" t="s">
        <v>25</v>
      </c>
      <c r="AF139" s="14">
        <v>1.099956E-2</v>
      </c>
      <c r="AG139" s="14">
        <v>-1.0995919999999999E-2</v>
      </c>
      <c r="AH139" s="14">
        <v>1.883889E-2</v>
      </c>
      <c r="AI139" s="14">
        <v>-1.9971760000000002E-2</v>
      </c>
      <c r="AJ139" s="14">
        <v>2.372225E-2</v>
      </c>
      <c r="AK139" s="14">
        <v>-2.394317E-2</v>
      </c>
      <c r="AM139" t="s">
        <v>42</v>
      </c>
      <c r="AN139" s="13">
        <f>AN137/AN138</f>
        <v>0.86199095022624439</v>
      </c>
      <c r="AO139" s="13">
        <f>AO137/AO138</f>
        <v>0.85360360360360366</v>
      </c>
      <c r="AP139" s="13">
        <f>AP137/AP138</f>
        <v>0.73628691983122363</v>
      </c>
    </row>
    <row r="140" spans="1:42" x14ac:dyDescent="0.25">
      <c r="A140" t="s">
        <v>31</v>
      </c>
      <c r="B140" t="s">
        <v>30</v>
      </c>
      <c r="C140" t="s">
        <v>33</v>
      </c>
      <c r="D140" t="s">
        <v>58</v>
      </c>
      <c r="E140" t="s">
        <v>59</v>
      </c>
      <c r="F140" t="s">
        <v>65</v>
      </c>
      <c r="G140" t="s">
        <v>66</v>
      </c>
      <c r="K140" s="17">
        <f>K137/SUM(K137:K138)</f>
        <v>0.49513381995133821</v>
      </c>
      <c r="L140" s="17">
        <f>L137/SUM(L137:L138)</f>
        <v>0.54434993924665853</v>
      </c>
      <c r="M140" s="17">
        <f>M137/SUM(M137:M138)</f>
        <v>0.55771567436208991</v>
      </c>
      <c r="N140" s="17"/>
      <c r="O140" s="17"/>
      <c r="R140" t="s">
        <v>31</v>
      </c>
      <c r="S140" t="s">
        <v>30</v>
      </c>
      <c r="T140" t="s">
        <v>33</v>
      </c>
      <c r="U140" t="s">
        <v>58</v>
      </c>
      <c r="V140" t="s">
        <v>59</v>
      </c>
      <c r="W140" t="s">
        <v>65</v>
      </c>
      <c r="X140" t="s">
        <v>66</v>
      </c>
      <c r="AA140" s="17">
        <f>AA137/SUM(AA137:AA138)</f>
        <v>0.50182704019488433</v>
      </c>
      <c r="AB140" s="17">
        <f>AB137/SUM(AB137:AB138)</f>
        <v>0.5078979343863913</v>
      </c>
      <c r="AC140" s="17">
        <f>AC137/SUM(AC137:AC138)</f>
        <v>0.54434993924665853</v>
      </c>
      <c r="AE140" t="s">
        <v>31</v>
      </c>
      <c r="AF140" t="s">
        <v>30</v>
      </c>
      <c r="AG140" t="s">
        <v>33</v>
      </c>
      <c r="AH140" t="s">
        <v>58</v>
      </c>
      <c r="AI140" t="s">
        <v>59</v>
      </c>
      <c r="AJ140" t="s">
        <v>65</v>
      </c>
      <c r="AK140" t="s">
        <v>66</v>
      </c>
      <c r="AN140" s="17">
        <f>AN137/SUM(AN137:AN138)</f>
        <v>0.46294046172539488</v>
      </c>
      <c r="AO140" s="17">
        <f>AO137/SUM(AO137:AO138)</f>
        <v>0.46051032806804376</v>
      </c>
      <c r="AP140" s="17">
        <f>AP137/SUM(AP137:AP138)</f>
        <v>0.42405832320777642</v>
      </c>
    </row>
    <row r="141" spans="1:42" x14ac:dyDescent="0.25">
      <c r="A141">
        <v>0.1</v>
      </c>
      <c r="B141" s="17">
        <v>0.93103449999999999</v>
      </c>
      <c r="C141" s="17">
        <v>0.88942310000000002</v>
      </c>
      <c r="D141" s="17">
        <v>0.96428570000000002</v>
      </c>
      <c r="E141" s="17">
        <v>0.96</v>
      </c>
      <c r="F141" s="17">
        <v>0.96078430000000004</v>
      </c>
      <c r="G141" s="17">
        <v>0.956044</v>
      </c>
      <c r="H141" s="25">
        <f>$M$119*(A141/100+1)</f>
        <v>371.19081999999997</v>
      </c>
      <c r="I141" s="25">
        <f>(1-A141/100)*$M$119</f>
        <v>370.44918000000001</v>
      </c>
      <c r="J141" s="25"/>
      <c r="K141" s="17">
        <f>K138/SUM(K137:K138)</f>
        <v>0.50486618004866179</v>
      </c>
      <c r="L141" s="17">
        <f>L138/SUM(L137:L138)</f>
        <v>0.45565006075334141</v>
      </c>
      <c r="M141" s="17">
        <f>M138/SUM(M137:M138)</f>
        <v>0.44228432563791009</v>
      </c>
      <c r="N141" s="17"/>
      <c r="O141" s="17"/>
      <c r="R141">
        <v>0.1</v>
      </c>
      <c r="S141" s="17">
        <v>0.91525420000000002</v>
      </c>
      <c r="T141" s="17">
        <v>0.93137250000000005</v>
      </c>
      <c r="U141" s="17">
        <v>0.96411480000000005</v>
      </c>
      <c r="V141" s="17">
        <v>0.95802469999999995</v>
      </c>
      <c r="W141" s="17">
        <v>0.97321429999999998</v>
      </c>
      <c r="X141" s="17">
        <v>0.96533329999999995</v>
      </c>
      <c r="Y141" s="25">
        <f>$M$119*(R141/100+1)</f>
        <v>371.19081999999997</v>
      </c>
      <c r="Z141" s="25">
        <f>(1-R141/100)*$M$119</f>
        <v>370.44918000000001</v>
      </c>
      <c r="AA141" s="17">
        <f>AA138/SUM(AA137:AA138)</f>
        <v>0.49817295980511572</v>
      </c>
      <c r="AB141" s="17">
        <f>AB138/SUM(AB137:AB138)</f>
        <v>0.49210206561360875</v>
      </c>
      <c r="AC141" s="17">
        <f>AC138/SUM(AC137:AC138)</f>
        <v>0.45565006075334141</v>
      </c>
      <c r="AE141">
        <v>0.1</v>
      </c>
      <c r="AF141" s="17">
        <v>0.91099479999999999</v>
      </c>
      <c r="AG141" s="17">
        <v>0.93636359999999996</v>
      </c>
      <c r="AH141" s="17">
        <v>0.96569919999999998</v>
      </c>
      <c r="AI141" s="17">
        <v>0.97522520000000001</v>
      </c>
      <c r="AJ141" s="17">
        <v>0.98275860000000004</v>
      </c>
      <c r="AK141" s="17">
        <v>0.98526320000000001</v>
      </c>
      <c r="AL141" s="25">
        <f>$M$119*(AE141/100+1)</f>
        <v>371.19081999999997</v>
      </c>
      <c r="AM141" s="25">
        <f>(1-AE141/100)*$M$119</f>
        <v>370.44918000000001</v>
      </c>
      <c r="AN141" s="17">
        <f>AN138/SUM(AN137:AN138)</f>
        <v>0.53705953827460506</v>
      </c>
      <c r="AO141" s="17">
        <f>AO138/SUM(AO137:AO138)</f>
        <v>0.53948967193195629</v>
      </c>
      <c r="AP141" s="17">
        <f>AP138/SUM(AP137:AP138)</f>
        <v>0.57594167679222352</v>
      </c>
    </row>
    <row r="142" spans="1:42" x14ac:dyDescent="0.25">
      <c r="A142">
        <v>0.2</v>
      </c>
      <c r="B142" s="17">
        <v>0.85714290000000004</v>
      </c>
      <c r="C142" s="17">
        <v>0.78125</v>
      </c>
      <c r="D142" s="17">
        <v>0.91071429999999998</v>
      </c>
      <c r="E142" s="17">
        <v>0.91466670000000005</v>
      </c>
      <c r="F142" s="17">
        <v>0.93899779999999999</v>
      </c>
      <c r="G142" s="17">
        <v>0.91758240000000002</v>
      </c>
      <c r="H142" s="25">
        <f>$M$119*(A142/100+1)</f>
        <v>371.56164000000001</v>
      </c>
      <c r="I142" s="25">
        <f>(1-A142/100)*$M$119</f>
        <v>370.07835999999998</v>
      </c>
      <c r="J142" s="25"/>
      <c r="R142">
        <v>0.2</v>
      </c>
      <c r="S142" s="17">
        <v>0.85472150000000002</v>
      </c>
      <c r="T142" s="17">
        <v>0.86519610000000002</v>
      </c>
      <c r="U142" s="17">
        <v>0.92822970000000005</v>
      </c>
      <c r="V142" s="17">
        <v>0.91111109999999995</v>
      </c>
      <c r="W142" s="17">
        <v>0.94419640000000005</v>
      </c>
      <c r="X142" s="17">
        <v>0.93866669999999996</v>
      </c>
      <c r="Y142" s="25">
        <f>$M$119*(R142/100+1)</f>
        <v>371.56164000000001</v>
      </c>
      <c r="Z142" s="25">
        <f>(1-R142/100)*$M$119</f>
        <v>370.07835999999998</v>
      </c>
      <c r="AE142">
        <v>0.2</v>
      </c>
      <c r="AF142" s="17">
        <v>0.85078529999999997</v>
      </c>
      <c r="AG142" s="17">
        <v>0.87727270000000002</v>
      </c>
      <c r="AH142" s="17">
        <v>0.91556729999999997</v>
      </c>
      <c r="AI142" s="17">
        <v>0.95045049999999998</v>
      </c>
      <c r="AJ142" s="17">
        <v>0.95402299999999995</v>
      </c>
      <c r="AK142" s="17">
        <v>0.96421049999999997</v>
      </c>
      <c r="AL142" s="25">
        <f>$M$119*(AE142/100+1)</f>
        <v>371.56164000000001</v>
      </c>
      <c r="AM142" s="25">
        <f>(1-AE142/100)*$M$119</f>
        <v>370.07835999999998</v>
      </c>
    </row>
    <row r="143" spans="1:42" x14ac:dyDescent="0.25">
      <c r="A143">
        <v>0.3</v>
      </c>
      <c r="B143" s="17">
        <v>0.77339899999999995</v>
      </c>
      <c r="C143" s="17">
        <v>0.69230769999999997</v>
      </c>
      <c r="D143" s="17">
        <v>0.87946429999999998</v>
      </c>
      <c r="E143" s="17">
        <v>0.87733329999999998</v>
      </c>
      <c r="F143" s="17">
        <v>0.90849670000000005</v>
      </c>
      <c r="G143" s="17">
        <v>0.88186810000000004</v>
      </c>
      <c r="H143" s="25">
        <f>$M$119*(A143/100+1)</f>
        <v>371.93245999999994</v>
      </c>
      <c r="I143" s="25">
        <f>(1-A143/100)*$M$119</f>
        <v>369.70753999999999</v>
      </c>
      <c r="J143" s="25"/>
      <c r="R143">
        <v>0.3</v>
      </c>
      <c r="S143" s="17">
        <v>0.77966100000000005</v>
      </c>
      <c r="T143" s="17">
        <v>0.78676469999999998</v>
      </c>
      <c r="U143" s="17">
        <v>0.87799039999999995</v>
      </c>
      <c r="V143" s="17">
        <v>0.87160490000000002</v>
      </c>
      <c r="W143" s="17">
        <v>0.91964290000000004</v>
      </c>
      <c r="X143" s="17">
        <v>0.90400000000000003</v>
      </c>
      <c r="Y143" s="25">
        <f>$M$119*(R143/100+1)</f>
        <v>371.93245999999994</v>
      </c>
      <c r="Z143" s="25">
        <f>(1-R143/100)*$M$119</f>
        <v>369.70753999999999</v>
      </c>
      <c r="AE143">
        <v>0.3</v>
      </c>
      <c r="AF143" s="17">
        <v>0.7958115</v>
      </c>
      <c r="AG143" s="17">
        <v>0.80909089999999995</v>
      </c>
      <c r="AH143" s="17">
        <v>0.88390500000000005</v>
      </c>
      <c r="AI143" s="17">
        <v>0.93243240000000005</v>
      </c>
      <c r="AJ143" s="17">
        <v>0.92241379999999995</v>
      </c>
      <c r="AK143" s="17">
        <v>0.94105260000000002</v>
      </c>
      <c r="AL143" s="25">
        <f>$M$119*(AE143/100+1)</f>
        <v>371.93245999999994</v>
      </c>
      <c r="AM143" s="25">
        <f>(1-AE143/100)*$M$119</f>
        <v>369.70753999999999</v>
      </c>
      <c r="AN143" s="23">
        <f>AVERAGE(AF143,AH143)</f>
        <v>0.83985825000000003</v>
      </c>
      <c r="AO143" s="23">
        <f>AVERAGE(AG143,AI143)</f>
        <v>0.87076164999999994</v>
      </c>
    </row>
    <row r="144" spans="1:42" x14ac:dyDescent="0.25">
      <c r="A144">
        <v>0.4</v>
      </c>
      <c r="B144" s="17">
        <v>0.67980300000000005</v>
      </c>
      <c r="C144" s="17">
        <v>0.61538459999999995</v>
      </c>
      <c r="D144" s="17">
        <v>0.83705359999999995</v>
      </c>
      <c r="E144" s="17">
        <v>0.82133330000000004</v>
      </c>
      <c r="F144" s="17">
        <v>0.87581699999999996</v>
      </c>
      <c r="G144" s="17">
        <v>0.85714290000000004</v>
      </c>
      <c r="H144" s="25">
        <f>$M$119*(A144/100+1)</f>
        <v>372.30327999999997</v>
      </c>
      <c r="I144" s="25">
        <f>(1-A144/100)*$M$119</f>
        <v>369.33672000000001</v>
      </c>
      <c r="J144" s="25"/>
      <c r="R144">
        <v>0.4</v>
      </c>
      <c r="S144" s="17">
        <v>0.70460049999999996</v>
      </c>
      <c r="T144" s="17">
        <v>0.72303919999999999</v>
      </c>
      <c r="U144" s="17">
        <v>0.82535890000000001</v>
      </c>
      <c r="V144" s="17">
        <v>0.82716049999999997</v>
      </c>
      <c r="W144" s="17">
        <v>0.89285709999999996</v>
      </c>
      <c r="X144" s="17">
        <v>0.86933329999999998</v>
      </c>
      <c r="Y144" s="25">
        <f>$M$119*(R144/100+1)</f>
        <v>372.30327999999997</v>
      </c>
      <c r="Z144" s="25">
        <f>(1-R144/100)*$M$119</f>
        <v>369.33672000000001</v>
      </c>
      <c r="AE144">
        <v>0.4</v>
      </c>
      <c r="AF144" s="17">
        <v>0.73560210000000004</v>
      </c>
      <c r="AG144" s="17">
        <v>0.7431818</v>
      </c>
      <c r="AH144" s="17">
        <v>0.86015830000000004</v>
      </c>
      <c r="AI144" s="17">
        <v>0.91666669999999995</v>
      </c>
      <c r="AJ144" s="17">
        <v>0.89942529999999998</v>
      </c>
      <c r="AK144" s="17">
        <v>0.91157889999999997</v>
      </c>
      <c r="AL144" s="25">
        <f>$M$119*(AE144/100+1)</f>
        <v>372.30327999999997</v>
      </c>
      <c r="AM144" s="25">
        <f>(1-AE144/100)*$M$119</f>
        <v>369.33672000000001</v>
      </c>
      <c r="AN144" s="23">
        <f t="shared" ref="AN144:AN176" si="7">AVERAGE(AF144,AH144)</f>
        <v>0.79788020000000004</v>
      </c>
      <c r="AO144" s="23">
        <f t="shared" ref="AO144:AO176" si="8">AVERAGE(AG144,AI144)</f>
        <v>0.82992424999999992</v>
      </c>
    </row>
    <row r="145" spans="1:41" x14ac:dyDescent="0.25">
      <c r="A145">
        <v>0.5</v>
      </c>
      <c r="B145" s="17">
        <v>0.60837439999999998</v>
      </c>
      <c r="C145" s="17">
        <v>0.57932689999999998</v>
      </c>
      <c r="D145" s="17">
        <v>0.79910709999999996</v>
      </c>
      <c r="E145" s="17">
        <v>0.76800000000000002</v>
      </c>
      <c r="F145" s="17">
        <v>0.84749459999999999</v>
      </c>
      <c r="G145" s="17">
        <v>0.8159341</v>
      </c>
      <c r="H145" s="25">
        <f>$M$119*(A145/100+1)</f>
        <v>372.67409999999995</v>
      </c>
      <c r="I145" s="25">
        <f>(1-A145/100)*$M$119</f>
        <v>368.96589999999998</v>
      </c>
      <c r="J145" s="25"/>
      <c r="R145">
        <v>0.5</v>
      </c>
      <c r="S145" s="17">
        <v>0.63196129999999995</v>
      </c>
      <c r="T145" s="17">
        <v>0.63970590000000005</v>
      </c>
      <c r="U145" s="17">
        <v>0.79186599999999996</v>
      </c>
      <c r="V145" s="17">
        <v>0.78765430000000003</v>
      </c>
      <c r="W145" s="17">
        <v>0.88392859999999995</v>
      </c>
      <c r="X145" s="17">
        <v>0.82399999999999995</v>
      </c>
      <c r="Y145" s="25">
        <f>$M$119*(R145/100+1)</f>
        <v>372.67409999999995</v>
      </c>
      <c r="Z145" s="25">
        <f>(1-R145/100)*$M$119</f>
        <v>368.96589999999998</v>
      </c>
      <c r="AE145">
        <v>0.5</v>
      </c>
      <c r="AF145" s="17">
        <v>0.67801049999999996</v>
      </c>
      <c r="AG145" s="17">
        <v>0.68863640000000004</v>
      </c>
      <c r="AH145" s="17">
        <v>0.81794199999999995</v>
      </c>
      <c r="AI145" s="17">
        <v>0.88513509999999995</v>
      </c>
      <c r="AJ145" s="17">
        <v>0.87068970000000001</v>
      </c>
      <c r="AK145" s="17">
        <v>0.87789470000000003</v>
      </c>
      <c r="AL145" s="25">
        <f>$M$119*(AE145/100+1)</f>
        <v>372.67409999999995</v>
      </c>
      <c r="AM145" s="25">
        <f>(1-AE145/100)*$M$119</f>
        <v>368.96589999999998</v>
      </c>
      <c r="AN145" s="23">
        <f t="shared" si="7"/>
        <v>0.74797625000000001</v>
      </c>
      <c r="AO145" s="23">
        <f t="shared" si="8"/>
        <v>0.78688574999999994</v>
      </c>
    </row>
    <row r="146" spans="1:41" x14ac:dyDescent="0.25">
      <c r="A146">
        <v>0.6</v>
      </c>
      <c r="B146" s="17">
        <v>0.53940889999999997</v>
      </c>
      <c r="C146" s="17">
        <v>0.50961540000000005</v>
      </c>
      <c r="D146" s="17">
        <v>0.75446429999999998</v>
      </c>
      <c r="E146" s="17">
        <v>0.73333329999999997</v>
      </c>
      <c r="F146" s="17">
        <v>0.81263620000000003</v>
      </c>
      <c r="G146" s="17">
        <v>0.76373630000000003</v>
      </c>
      <c r="H146" s="25">
        <f>$M$119*(A146/100+1)</f>
        <v>373.04491999999999</v>
      </c>
      <c r="I146" s="25">
        <f>(1-A146/100)*$M$119</f>
        <v>368.59508</v>
      </c>
      <c r="J146" s="25"/>
      <c r="R146">
        <v>0.6</v>
      </c>
      <c r="S146" s="17">
        <v>0.55932199999999999</v>
      </c>
      <c r="T146" s="17">
        <v>0.58823530000000002</v>
      </c>
      <c r="U146" s="17">
        <v>0.74641150000000001</v>
      </c>
      <c r="V146" s="17">
        <v>0.72839509999999996</v>
      </c>
      <c r="W146" s="17">
        <v>0.85044640000000005</v>
      </c>
      <c r="X146" s="17">
        <v>0.79200000000000004</v>
      </c>
      <c r="Y146" s="25">
        <f>$M$119*(R146/100+1)</f>
        <v>373.04491999999999</v>
      </c>
      <c r="Z146" s="25">
        <f>(1-R146/100)*$M$119</f>
        <v>368.59508</v>
      </c>
      <c r="AE146">
        <v>0.6</v>
      </c>
      <c r="AF146" s="17">
        <v>0.61256540000000004</v>
      </c>
      <c r="AG146" s="17">
        <v>0.63409090000000001</v>
      </c>
      <c r="AH146" s="17">
        <v>0.80211080000000001</v>
      </c>
      <c r="AI146" s="17">
        <v>0.85360360000000002</v>
      </c>
      <c r="AJ146" s="17">
        <v>0.85344830000000005</v>
      </c>
      <c r="AK146" s="17">
        <v>0.85052629999999996</v>
      </c>
      <c r="AL146" s="25">
        <f>$M$119*(AE146/100+1)</f>
        <v>373.04491999999999</v>
      </c>
      <c r="AM146" s="25">
        <f>(1-AE146/100)*$M$119</f>
        <v>368.59508</v>
      </c>
      <c r="AN146" s="23">
        <f t="shared" si="7"/>
        <v>0.70733810000000008</v>
      </c>
      <c r="AO146" s="23">
        <f t="shared" si="8"/>
        <v>0.74384724999999996</v>
      </c>
    </row>
    <row r="147" spans="1:41" x14ac:dyDescent="0.25">
      <c r="A147">
        <v>0.7</v>
      </c>
      <c r="B147" s="17">
        <v>0.49014780000000002</v>
      </c>
      <c r="C147" s="17">
        <v>0.44230770000000003</v>
      </c>
      <c r="D147" s="17">
        <v>0.70089290000000004</v>
      </c>
      <c r="E147" s="17">
        <v>0.69599999999999995</v>
      </c>
      <c r="F147" s="17">
        <v>0.77995639999999999</v>
      </c>
      <c r="G147" s="17">
        <v>0.73626369999999997</v>
      </c>
      <c r="H147" s="25">
        <f>$M$119*(A147/100+1)</f>
        <v>373.41573999999997</v>
      </c>
      <c r="I147" s="25">
        <f>(1-A147/100)*$M$119</f>
        <v>368.22426000000002</v>
      </c>
      <c r="J147" s="25"/>
      <c r="R147">
        <v>0.7</v>
      </c>
      <c r="S147" s="17">
        <v>0.48426150000000001</v>
      </c>
      <c r="T147" s="17">
        <v>0.51960779999999995</v>
      </c>
      <c r="U147" s="17">
        <v>0.71770330000000004</v>
      </c>
      <c r="V147" s="17">
        <v>0.69135800000000003</v>
      </c>
      <c r="W147" s="17">
        <v>0.81919640000000005</v>
      </c>
      <c r="X147" s="17">
        <v>0.76266670000000003</v>
      </c>
      <c r="Y147" s="25">
        <f>$M$119*(R147/100+1)</f>
        <v>373.41573999999997</v>
      </c>
      <c r="Z147" s="25">
        <f>(1-R147/100)*$M$119</f>
        <v>368.22426000000002</v>
      </c>
      <c r="AE147">
        <v>0.7</v>
      </c>
      <c r="AF147" s="17">
        <v>0.57329839999999999</v>
      </c>
      <c r="AG147" s="17">
        <v>0.58409089999999997</v>
      </c>
      <c r="AH147" s="17">
        <v>0.7651715</v>
      </c>
      <c r="AI147" s="17">
        <v>0.82657659999999999</v>
      </c>
      <c r="AJ147" s="17">
        <v>0.83333330000000005</v>
      </c>
      <c r="AK147" s="17">
        <v>0.83368419999999999</v>
      </c>
      <c r="AL147" s="25">
        <f>$M$119*(AE147/100+1)</f>
        <v>373.41573999999997</v>
      </c>
      <c r="AM147" s="25">
        <f>(1-AE147/100)*$M$119</f>
        <v>368.22426000000002</v>
      </c>
      <c r="AN147" s="23">
        <f t="shared" si="7"/>
        <v>0.66923495</v>
      </c>
      <c r="AO147" s="23">
        <f t="shared" si="8"/>
        <v>0.70533374999999998</v>
      </c>
    </row>
    <row r="148" spans="1:41" x14ac:dyDescent="0.25">
      <c r="A148">
        <v>0.8</v>
      </c>
      <c r="B148" s="17">
        <v>0.45320199999999999</v>
      </c>
      <c r="C148" s="17">
        <v>0.38701920000000001</v>
      </c>
      <c r="D148" s="17">
        <v>0.66741070000000002</v>
      </c>
      <c r="E148" s="17">
        <v>0.67200000000000004</v>
      </c>
      <c r="F148" s="17">
        <v>0.74291940000000001</v>
      </c>
      <c r="G148" s="17">
        <v>0.70879119999999995</v>
      </c>
      <c r="H148" s="25">
        <f>$M$119*(A148/100+1)</f>
        <v>373.78656000000001</v>
      </c>
      <c r="I148" s="25">
        <f>(1-A148/100)*$M$119</f>
        <v>367.85343999999998</v>
      </c>
      <c r="J148" s="25"/>
      <c r="R148">
        <v>0.8</v>
      </c>
      <c r="S148" s="17">
        <v>0.43341400000000002</v>
      </c>
      <c r="T148" s="17">
        <v>0.45588240000000002</v>
      </c>
      <c r="U148" s="17">
        <v>0.68899520000000003</v>
      </c>
      <c r="V148" s="17">
        <v>0.64444440000000003</v>
      </c>
      <c r="W148" s="17">
        <v>0.79017859999999995</v>
      </c>
      <c r="X148" s="17">
        <v>0.73599999999999999</v>
      </c>
      <c r="Y148" s="25">
        <f>$M$119*(R148/100+1)</f>
        <v>373.78656000000001</v>
      </c>
      <c r="Z148" s="25">
        <f>(1-R148/100)*$M$119</f>
        <v>367.85343999999998</v>
      </c>
      <c r="AE148">
        <v>0.8</v>
      </c>
      <c r="AF148" s="17">
        <v>0.53403140000000004</v>
      </c>
      <c r="AG148" s="17">
        <v>0.54772730000000003</v>
      </c>
      <c r="AH148" s="17">
        <v>0.74406329999999998</v>
      </c>
      <c r="AI148" s="17">
        <v>0.79954950000000002</v>
      </c>
      <c r="AJ148" s="17">
        <v>0.79022990000000004</v>
      </c>
      <c r="AK148" s="17">
        <v>0.81052630000000003</v>
      </c>
      <c r="AL148" s="25">
        <f>$M$119*(AE148/100+1)</f>
        <v>373.78656000000001</v>
      </c>
      <c r="AM148" s="25">
        <f>(1-AE148/100)*$M$119</f>
        <v>367.85343999999998</v>
      </c>
      <c r="AN148" s="23">
        <f t="shared" si="7"/>
        <v>0.63904735000000001</v>
      </c>
      <c r="AO148" s="23">
        <f t="shared" si="8"/>
        <v>0.67363839999999997</v>
      </c>
    </row>
    <row r="149" spans="1:41" x14ac:dyDescent="0.25">
      <c r="A149">
        <v>0.9</v>
      </c>
      <c r="B149" s="17">
        <v>0.38177339999999998</v>
      </c>
      <c r="C149" s="17">
        <v>0.34615380000000001</v>
      </c>
      <c r="D149" s="17">
        <v>0.62946429999999998</v>
      </c>
      <c r="E149" s="17">
        <v>0.62666670000000002</v>
      </c>
      <c r="F149" s="17">
        <v>0.71241829999999995</v>
      </c>
      <c r="G149" s="17">
        <v>0.66758240000000002</v>
      </c>
      <c r="H149" s="25">
        <f>$M$119*(A149/100+1)</f>
        <v>374.15737999999993</v>
      </c>
      <c r="I149" s="25">
        <f>(1-A149/100)*$M$119</f>
        <v>367.48262</v>
      </c>
      <c r="J149" s="25"/>
      <c r="R149">
        <v>0.9</v>
      </c>
      <c r="S149" s="17">
        <v>0.3946731</v>
      </c>
      <c r="T149" s="17">
        <v>0.39705879999999999</v>
      </c>
      <c r="U149" s="17">
        <v>0.65310999999999997</v>
      </c>
      <c r="V149" s="17">
        <v>0.60987650000000004</v>
      </c>
      <c r="W149" s="17">
        <v>0.75446429999999998</v>
      </c>
      <c r="X149" s="17">
        <v>0.72533329999999996</v>
      </c>
      <c r="Y149" s="25">
        <f>$M$119*(R149/100+1)</f>
        <v>374.15737999999993</v>
      </c>
      <c r="Z149" s="25">
        <f>(1-R149/100)*$M$119</f>
        <v>367.48262</v>
      </c>
      <c r="AE149">
        <v>0.9</v>
      </c>
      <c r="AF149" s="17">
        <v>0.5026178</v>
      </c>
      <c r="AG149" s="17">
        <v>0.4931818</v>
      </c>
      <c r="AH149" s="17">
        <v>0.70448549999999999</v>
      </c>
      <c r="AI149" s="17">
        <v>0.7725225</v>
      </c>
      <c r="AJ149" s="17">
        <v>0.76149429999999996</v>
      </c>
      <c r="AK149" s="17">
        <v>0.78526320000000005</v>
      </c>
      <c r="AL149" s="25">
        <f>$M$119*(AE149/100+1)</f>
        <v>374.15737999999993</v>
      </c>
      <c r="AM149" s="25">
        <f>(1-AE149/100)*$M$119</f>
        <v>367.48262</v>
      </c>
      <c r="AN149" s="23">
        <f t="shared" si="7"/>
        <v>0.60355165</v>
      </c>
      <c r="AO149" s="23">
        <f t="shared" si="8"/>
        <v>0.63285214999999995</v>
      </c>
    </row>
    <row r="150" spans="1:41" x14ac:dyDescent="0.25">
      <c r="A150">
        <v>1</v>
      </c>
      <c r="B150" s="17">
        <v>0.33251229999999998</v>
      </c>
      <c r="C150" s="17">
        <v>0.3028846</v>
      </c>
      <c r="D150" s="17">
        <v>0.57366070000000002</v>
      </c>
      <c r="E150" s="17">
        <v>0.59733329999999996</v>
      </c>
      <c r="F150" s="17">
        <v>0.68845319999999999</v>
      </c>
      <c r="G150" s="17">
        <v>0.64010990000000001</v>
      </c>
      <c r="H150" s="25">
        <f>$M$119*(A150/100+1)</f>
        <v>374.52819999999997</v>
      </c>
      <c r="I150" s="25">
        <f>(1-A150/100)*$M$119</f>
        <v>367.11180000000002</v>
      </c>
      <c r="J150" s="25"/>
      <c r="R150">
        <v>1</v>
      </c>
      <c r="S150" s="17">
        <v>0.36561739999999998</v>
      </c>
      <c r="T150" s="17">
        <v>0.36274509999999999</v>
      </c>
      <c r="U150" s="17">
        <v>0.62440189999999995</v>
      </c>
      <c r="V150" s="17">
        <v>0.59259260000000002</v>
      </c>
      <c r="W150" s="17">
        <v>0.73214290000000004</v>
      </c>
      <c r="X150" s="17">
        <v>0.67200000000000004</v>
      </c>
      <c r="Y150" s="25">
        <f>$M$119*(R150/100+1)</f>
        <v>374.52819999999997</v>
      </c>
      <c r="Z150" s="25">
        <f>(1-R150/100)*$M$119</f>
        <v>367.11180000000002</v>
      </c>
      <c r="AE150">
        <v>1</v>
      </c>
      <c r="AF150" s="17">
        <v>0.46335080000000001</v>
      </c>
      <c r="AG150" s="17">
        <v>0.4704545</v>
      </c>
      <c r="AH150" s="17">
        <v>0.67018469999999997</v>
      </c>
      <c r="AI150" s="17">
        <v>0.74549549999999998</v>
      </c>
      <c r="AJ150" s="17">
        <v>0.73275860000000004</v>
      </c>
      <c r="AK150" s="17">
        <v>0.76842109999999997</v>
      </c>
      <c r="AL150" s="25">
        <f>$M$119*(AE150/100+1)</f>
        <v>374.52819999999997</v>
      </c>
      <c r="AM150" s="25">
        <f>(1-AE150/100)*$M$119</f>
        <v>367.11180000000002</v>
      </c>
      <c r="AN150" s="23">
        <f t="shared" si="7"/>
        <v>0.56676775000000001</v>
      </c>
      <c r="AO150" s="23">
        <f t="shared" si="8"/>
        <v>0.60797499999999993</v>
      </c>
    </row>
    <row r="151" spans="1:41" x14ac:dyDescent="0.25">
      <c r="A151">
        <v>1.1000000000000001</v>
      </c>
      <c r="B151" s="17">
        <v>0.27832509999999999</v>
      </c>
      <c r="C151" s="17">
        <v>0.26682689999999998</v>
      </c>
      <c r="D151" s="17">
        <v>0.53794640000000005</v>
      </c>
      <c r="E151" s="17">
        <v>0.54133330000000002</v>
      </c>
      <c r="F151" s="17">
        <v>0.64923750000000002</v>
      </c>
      <c r="G151" s="17">
        <v>0.60989009999999999</v>
      </c>
      <c r="H151" s="25">
        <f>$M$119*(A151/100+1)</f>
        <v>374.89901999999995</v>
      </c>
      <c r="I151" s="25">
        <f>(1-A151/100)*$M$119</f>
        <v>366.74097999999998</v>
      </c>
      <c r="J151" s="25"/>
      <c r="R151">
        <v>1.1000000000000001</v>
      </c>
      <c r="S151" s="17">
        <v>0.32687650000000001</v>
      </c>
      <c r="T151" s="17">
        <v>0.3259804</v>
      </c>
      <c r="U151" s="17">
        <v>0.58373209999999998</v>
      </c>
      <c r="V151" s="17">
        <v>0.55802470000000004</v>
      </c>
      <c r="W151" s="17">
        <v>0.70758929999999998</v>
      </c>
      <c r="X151" s="17">
        <v>0.63733329999999999</v>
      </c>
      <c r="Y151" s="25">
        <f>$M$119*(R151/100+1)</f>
        <v>374.89901999999995</v>
      </c>
      <c r="Z151" s="25">
        <f>(1-R151/100)*$M$119</f>
        <v>366.74097999999998</v>
      </c>
      <c r="AE151">
        <v>1.1000000000000001</v>
      </c>
      <c r="AF151" s="17">
        <v>0.4188482</v>
      </c>
      <c r="AG151" s="17">
        <v>0.4340909</v>
      </c>
      <c r="AH151" s="17">
        <v>0.63588389999999995</v>
      </c>
      <c r="AI151" s="17">
        <v>0.7274775</v>
      </c>
      <c r="AJ151" s="17">
        <v>0.7183908</v>
      </c>
      <c r="AK151" s="17">
        <v>0.75157890000000005</v>
      </c>
      <c r="AL151" s="25">
        <f>$M$119*(AE151/100+1)</f>
        <v>374.89901999999995</v>
      </c>
      <c r="AM151" s="25">
        <f>(1-AE151/100)*$M$119</f>
        <v>366.74097999999998</v>
      </c>
      <c r="AN151" s="23">
        <f t="shared" si="7"/>
        <v>0.52736604999999992</v>
      </c>
      <c r="AO151" s="23">
        <f t="shared" si="8"/>
        <v>0.58078419999999997</v>
      </c>
    </row>
    <row r="152" spans="1:41" x14ac:dyDescent="0.25">
      <c r="A152">
        <v>1.2</v>
      </c>
      <c r="B152" s="17">
        <v>0.24137929999999999</v>
      </c>
      <c r="C152" s="17">
        <v>0.23076920000000001</v>
      </c>
      <c r="D152" s="17">
        <v>0.515625</v>
      </c>
      <c r="E152" s="17">
        <v>0.49066670000000001</v>
      </c>
      <c r="F152" s="17">
        <v>0.61220039999999998</v>
      </c>
      <c r="G152" s="17">
        <v>0.57142859999999995</v>
      </c>
      <c r="H152" s="25">
        <f>$M$119*(A152/100+1)</f>
        <v>375.26983999999999</v>
      </c>
      <c r="I152" s="25">
        <f>(1-A152/100)*$M$119</f>
        <v>366.37016</v>
      </c>
      <c r="J152" s="25"/>
      <c r="R152">
        <v>1.2</v>
      </c>
      <c r="S152" s="17">
        <v>0.28571429999999998</v>
      </c>
      <c r="T152" s="17">
        <v>0.26960780000000001</v>
      </c>
      <c r="U152" s="17">
        <v>0.54306220000000005</v>
      </c>
      <c r="V152" s="17">
        <v>0.52345680000000006</v>
      </c>
      <c r="W152" s="17">
        <v>0.67857140000000005</v>
      </c>
      <c r="X152" s="17">
        <v>0.61333329999999997</v>
      </c>
      <c r="Y152" s="25">
        <f>$M$119*(R152/100+1)</f>
        <v>375.26983999999999</v>
      </c>
      <c r="Z152" s="25">
        <f>(1-R152/100)*$M$119</f>
        <v>366.37016</v>
      </c>
      <c r="AE152">
        <v>1.2</v>
      </c>
      <c r="AF152" s="17">
        <v>0.38481680000000001</v>
      </c>
      <c r="AG152" s="17">
        <v>0.4</v>
      </c>
      <c r="AH152" s="17">
        <v>0.59630609999999995</v>
      </c>
      <c r="AI152" s="17">
        <v>0.69369369999999997</v>
      </c>
      <c r="AJ152" s="17">
        <v>0.70977009999999996</v>
      </c>
      <c r="AK152" s="17">
        <v>0.73052629999999996</v>
      </c>
      <c r="AL152" s="25">
        <f>$M$119*(AE152/100+1)</f>
        <v>375.26983999999999</v>
      </c>
      <c r="AM152" s="25">
        <f>(1-AE152/100)*$M$119</f>
        <v>366.37016</v>
      </c>
      <c r="AN152" s="23">
        <f t="shared" si="7"/>
        <v>0.49056144999999995</v>
      </c>
      <c r="AO152" s="23">
        <f t="shared" si="8"/>
        <v>0.54684685</v>
      </c>
    </row>
    <row r="153" spans="1:41" x14ac:dyDescent="0.25">
      <c r="A153">
        <v>1.3</v>
      </c>
      <c r="B153" s="17">
        <v>0.21921180000000001</v>
      </c>
      <c r="C153" s="17">
        <v>0.1875</v>
      </c>
      <c r="D153" s="17">
        <v>0.49776789999999999</v>
      </c>
      <c r="E153" s="17">
        <v>0.45066669999999998</v>
      </c>
      <c r="F153" s="17">
        <v>0.57080609999999998</v>
      </c>
      <c r="G153" s="17">
        <v>0.51373630000000003</v>
      </c>
      <c r="H153" s="25">
        <f>$M$119*(A153/100+1)</f>
        <v>375.64065999999997</v>
      </c>
      <c r="I153" s="25">
        <f>(1-A153/100)*$M$119</f>
        <v>365.99933999999996</v>
      </c>
      <c r="J153" s="25"/>
      <c r="R153">
        <v>1.3</v>
      </c>
      <c r="S153" s="17">
        <v>0.24213080000000001</v>
      </c>
      <c r="T153" s="17">
        <v>0.23529410000000001</v>
      </c>
      <c r="U153" s="17">
        <v>0.51196169999999996</v>
      </c>
      <c r="V153" s="17">
        <v>0.4765432</v>
      </c>
      <c r="W153" s="17">
        <v>0.65178570000000002</v>
      </c>
      <c r="X153" s="17">
        <v>0.59466669999999999</v>
      </c>
      <c r="Y153" s="25">
        <f>$M$119*(R153/100+1)</f>
        <v>375.64065999999997</v>
      </c>
      <c r="Z153" s="25">
        <f>(1-R153/100)*$M$119</f>
        <v>365.99933999999996</v>
      </c>
      <c r="AE153">
        <v>1.3</v>
      </c>
      <c r="AF153" s="17">
        <v>0.35078530000000002</v>
      </c>
      <c r="AG153" s="17">
        <v>0.36590909999999999</v>
      </c>
      <c r="AH153" s="17">
        <v>0.56728230000000002</v>
      </c>
      <c r="AI153" s="17">
        <v>0.65540540000000003</v>
      </c>
      <c r="AJ153" s="17">
        <v>0.67816089999999996</v>
      </c>
      <c r="AK153" s="17">
        <v>0.7031579</v>
      </c>
      <c r="AL153" s="25">
        <f>$M$119*(AE153/100+1)</f>
        <v>375.64065999999997</v>
      </c>
      <c r="AM153" s="25">
        <f>(1-AE153/100)*$M$119</f>
        <v>365.99933999999996</v>
      </c>
      <c r="AN153" s="23">
        <f t="shared" si="7"/>
        <v>0.45903380000000005</v>
      </c>
      <c r="AO153" s="23">
        <f t="shared" si="8"/>
        <v>0.51065724999999995</v>
      </c>
    </row>
    <row r="154" spans="1:41" x14ac:dyDescent="0.25">
      <c r="A154">
        <v>1.4</v>
      </c>
      <c r="B154" s="17">
        <v>0.1871921</v>
      </c>
      <c r="C154" s="17">
        <v>0.16346150000000001</v>
      </c>
      <c r="D154" s="17">
        <v>0.44866070000000002</v>
      </c>
      <c r="E154" s="17">
        <v>0.40533330000000001</v>
      </c>
      <c r="F154" s="17">
        <v>0.52941179999999999</v>
      </c>
      <c r="G154" s="17">
        <v>0.48626370000000002</v>
      </c>
      <c r="H154" s="25">
        <f>$M$119*(A154/100+1)</f>
        <v>376.01148000000001</v>
      </c>
      <c r="I154" s="25">
        <f>(1-A154/100)*$M$119</f>
        <v>365.62851999999998</v>
      </c>
      <c r="J154" s="25"/>
      <c r="R154">
        <v>1.4</v>
      </c>
      <c r="S154" s="17">
        <v>0.2058111</v>
      </c>
      <c r="T154" s="17">
        <v>0.2083333</v>
      </c>
      <c r="U154" s="17">
        <v>0.48086119999999999</v>
      </c>
      <c r="V154" s="17">
        <v>0.44444440000000002</v>
      </c>
      <c r="W154" s="17">
        <v>0.63839290000000004</v>
      </c>
      <c r="X154" s="17">
        <v>0.57066669999999997</v>
      </c>
      <c r="Y154" s="25">
        <f>$M$119*(R154/100+1)</f>
        <v>376.01148000000001</v>
      </c>
      <c r="Z154" s="25">
        <f>(1-R154/100)*$M$119</f>
        <v>365.62851999999998</v>
      </c>
      <c r="AE154">
        <v>1.4</v>
      </c>
      <c r="AF154" s="17">
        <v>0.30628270000000002</v>
      </c>
      <c r="AG154" s="17">
        <v>0.33181820000000001</v>
      </c>
      <c r="AH154" s="17">
        <v>0.54089710000000002</v>
      </c>
      <c r="AI154" s="17">
        <v>0.61036040000000003</v>
      </c>
      <c r="AJ154" s="17">
        <v>0.65804600000000002</v>
      </c>
      <c r="AK154" s="17">
        <v>0.68631580000000003</v>
      </c>
      <c r="AL154" s="25">
        <f>$M$119*(AE154/100+1)</f>
        <v>376.01148000000001</v>
      </c>
      <c r="AM154" s="25">
        <f>(1-AE154/100)*$M$119</f>
        <v>365.62851999999998</v>
      </c>
      <c r="AN154" s="23">
        <f t="shared" si="7"/>
        <v>0.42358990000000002</v>
      </c>
      <c r="AO154" s="23">
        <f t="shared" si="8"/>
        <v>0.47108930000000004</v>
      </c>
    </row>
    <row r="155" spans="1:41" x14ac:dyDescent="0.25">
      <c r="A155">
        <v>1.5</v>
      </c>
      <c r="B155" s="17">
        <v>0.14778330000000001</v>
      </c>
      <c r="C155" s="17">
        <v>0.12740380000000001</v>
      </c>
      <c r="D155" s="17">
        <v>0.41071429999999998</v>
      </c>
      <c r="E155" s="17">
        <v>0.36799999999999999</v>
      </c>
      <c r="F155" s="17">
        <v>0.50108929999999996</v>
      </c>
      <c r="G155" s="17">
        <v>0.46428570000000002</v>
      </c>
      <c r="H155" s="25">
        <f>$M$119*(A155/100+1)</f>
        <v>376.38229999999993</v>
      </c>
      <c r="I155" s="25">
        <f>(1-A155/100)*$M$119</f>
        <v>365.2577</v>
      </c>
      <c r="J155" s="25"/>
      <c r="R155">
        <v>1.5</v>
      </c>
      <c r="S155" s="17">
        <v>0.18159810000000001</v>
      </c>
      <c r="T155" s="17">
        <v>0.19362750000000001</v>
      </c>
      <c r="U155" s="17">
        <v>0.45933010000000002</v>
      </c>
      <c r="V155" s="17">
        <v>0.41728399999999999</v>
      </c>
      <c r="W155" s="17">
        <v>0.60044640000000005</v>
      </c>
      <c r="X155" s="17">
        <v>0.54933330000000002</v>
      </c>
      <c r="Y155" s="25">
        <f>$M$119*(R155/100+1)</f>
        <v>376.38229999999993</v>
      </c>
      <c r="Z155" s="25">
        <f>(1-R155/100)*$M$119</f>
        <v>365.2577</v>
      </c>
      <c r="AE155">
        <v>1.5</v>
      </c>
      <c r="AF155" s="17">
        <v>0.28010469999999998</v>
      </c>
      <c r="AG155" s="17">
        <v>0.29090909999999998</v>
      </c>
      <c r="AH155" s="17">
        <v>0.5197889</v>
      </c>
      <c r="AI155" s="17">
        <v>0.59009009999999995</v>
      </c>
      <c r="AJ155" s="17">
        <v>0.62931029999999999</v>
      </c>
      <c r="AK155" s="17">
        <v>0.66947369999999995</v>
      </c>
      <c r="AL155" s="25">
        <f>$M$119*(AE155/100+1)</f>
        <v>376.38229999999993</v>
      </c>
      <c r="AM155" s="25">
        <f>(1-AE155/100)*$M$119</f>
        <v>365.2577</v>
      </c>
      <c r="AN155" s="23">
        <f t="shared" si="7"/>
        <v>0.39994679999999999</v>
      </c>
      <c r="AO155" s="23">
        <f t="shared" si="8"/>
        <v>0.44049959999999999</v>
      </c>
    </row>
    <row r="156" spans="1:41" x14ac:dyDescent="0.25">
      <c r="A156">
        <v>1.6</v>
      </c>
      <c r="B156" s="17">
        <v>0.1182266</v>
      </c>
      <c r="C156" s="17">
        <v>9.375E-2</v>
      </c>
      <c r="D156" s="17">
        <v>0.375</v>
      </c>
      <c r="E156" s="17">
        <v>0.34399999999999997</v>
      </c>
      <c r="F156" s="17">
        <v>0.4771242</v>
      </c>
      <c r="G156" s="17">
        <v>0.42857139999999999</v>
      </c>
      <c r="H156" s="25">
        <f>$M$119*(A156/100+1)</f>
        <v>376.75312000000002</v>
      </c>
      <c r="I156" s="25">
        <f>(1-A156/100)*$M$119</f>
        <v>364.88687999999996</v>
      </c>
      <c r="J156" s="25"/>
      <c r="R156">
        <v>1.6</v>
      </c>
      <c r="S156" s="17">
        <v>0.157385</v>
      </c>
      <c r="T156" s="17">
        <v>0.16911760000000001</v>
      </c>
      <c r="U156" s="17">
        <v>0.43540669999999998</v>
      </c>
      <c r="V156" s="17">
        <v>0.39753090000000002</v>
      </c>
      <c r="W156" s="17">
        <v>0.56473209999999996</v>
      </c>
      <c r="X156" s="17">
        <v>0.5173333</v>
      </c>
      <c r="Y156" s="25">
        <f>$M$119*(R156/100+1)</f>
        <v>376.75312000000002</v>
      </c>
      <c r="Z156" s="25">
        <f>(1-R156/100)*$M$119</f>
        <v>364.88687999999996</v>
      </c>
      <c r="AE156">
        <v>1.6</v>
      </c>
      <c r="AF156" s="17">
        <v>0.24083769999999999</v>
      </c>
      <c r="AG156" s="17">
        <v>0.25909090000000001</v>
      </c>
      <c r="AH156" s="17">
        <v>0.48812660000000002</v>
      </c>
      <c r="AI156" s="17">
        <v>0.56531529999999997</v>
      </c>
      <c r="AJ156" s="17">
        <v>0.60344830000000005</v>
      </c>
      <c r="AK156" s="17">
        <v>0.64210529999999999</v>
      </c>
      <c r="AL156" s="25">
        <f>$M$119*(AE156/100+1)</f>
        <v>376.75312000000002</v>
      </c>
      <c r="AM156" s="25">
        <f>(1-AE156/100)*$M$119</f>
        <v>364.88687999999996</v>
      </c>
      <c r="AN156" s="23">
        <f t="shared" si="7"/>
        <v>0.36448215</v>
      </c>
      <c r="AO156" s="23">
        <f t="shared" si="8"/>
        <v>0.41220309999999999</v>
      </c>
    </row>
    <row r="157" spans="1:41" x14ac:dyDescent="0.25">
      <c r="A157">
        <v>1.7</v>
      </c>
      <c r="B157" s="17">
        <v>9.8522170000000006E-2</v>
      </c>
      <c r="C157" s="17">
        <v>8.6538459999999998E-2</v>
      </c>
      <c r="D157" s="17">
        <v>0.35044639999999999</v>
      </c>
      <c r="E157" s="17">
        <v>0.30666670000000001</v>
      </c>
      <c r="F157" s="17">
        <v>0.44880170000000003</v>
      </c>
      <c r="G157" s="17">
        <v>0.39560440000000002</v>
      </c>
      <c r="H157" s="25">
        <f>$M$119*(A157/100+1)</f>
        <v>377.12393999999995</v>
      </c>
      <c r="I157" s="25">
        <f>(1-A157/100)*$M$119</f>
        <v>364.51605999999998</v>
      </c>
      <c r="J157" s="25"/>
      <c r="R157">
        <v>1.7</v>
      </c>
      <c r="S157" s="17">
        <v>0.1355932</v>
      </c>
      <c r="T157" s="17">
        <v>0.1421569</v>
      </c>
      <c r="U157" s="17">
        <v>0.40669860000000002</v>
      </c>
      <c r="V157" s="17">
        <v>0.37037039999999999</v>
      </c>
      <c r="W157" s="17">
        <v>0.53571429999999998</v>
      </c>
      <c r="X157" s="17">
        <v>0.49333329999999997</v>
      </c>
      <c r="Y157" s="25">
        <f>$M$119*(R157/100+1)</f>
        <v>377.12393999999995</v>
      </c>
      <c r="Z157" s="25">
        <f>(1-R157/100)*$M$119</f>
        <v>364.51605999999998</v>
      </c>
      <c r="AE157">
        <v>1.7</v>
      </c>
      <c r="AF157" s="17">
        <v>0.21727750000000001</v>
      </c>
      <c r="AG157" s="17">
        <v>0.2318182</v>
      </c>
      <c r="AH157" s="17">
        <v>0.46965699999999999</v>
      </c>
      <c r="AI157" s="17">
        <v>0.53378380000000003</v>
      </c>
      <c r="AJ157" s="17">
        <v>0.58620689999999998</v>
      </c>
      <c r="AK157" s="17">
        <v>0.61894740000000004</v>
      </c>
      <c r="AL157" s="25">
        <f>$M$119*(AE157/100+1)</f>
        <v>377.12393999999995</v>
      </c>
      <c r="AM157" s="25">
        <f>(1-AE157/100)*$M$119</f>
        <v>364.51605999999998</v>
      </c>
      <c r="AN157" s="23">
        <f t="shared" si="7"/>
        <v>0.34346725</v>
      </c>
      <c r="AO157" s="23">
        <f t="shared" si="8"/>
        <v>0.382801</v>
      </c>
    </row>
    <row r="158" spans="1:41" x14ac:dyDescent="0.25">
      <c r="A158">
        <v>1.8</v>
      </c>
      <c r="B158" s="17">
        <v>8.8669949999999997E-2</v>
      </c>
      <c r="C158" s="17">
        <v>6.9711540000000002E-2</v>
      </c>
      <c r="D158" s="17">
        <v>0.32366070000000002</v>
      </c>
      <c r="E158" s="17">
        <v>0.27200000000000002</v>
      </c>
      <c r="F158" s="17">
        <v>0.42701529999999999</v>
      </c>
      <c r="G158" s="17">
        <v>0.3653846</v>
      </c>
      <c r="H158" s="25">
        <f>$M$119*(A158/100+1)</f>
        <v>377.49475999999999</v>
      </c>
      <c r="I158" s="25">
        <f>(1-A158/100)*$M$119</f>
        <v>364.14524</v>
      </c>
      <c r="J158" s="25"/>
      <c r="R158">
        <v>1.8</v>
      </c>
      <c r="S158" s="17">
        <v>0.1210654</v>
      </c>
      <c r="T158" s="17">
        <v>0.120098</v>
      </c>
      <c r="U158" s="17">
        <v>0.3779904</v>
      </c>
      <c r="V158" s="17">
        <v>0.34320990000000001</v>
      </c>
      <c r="W158" s="17">
        <v>0.50892859999999995</v>
      </c>
      <c r="X158" s="17">
        <v>0.47199999999999998</v>
      </c>
      <c r="Y158" s="25">
        <f>$M$119*(R158/100+1)</f>
        <v>377.49475999999999</v>
      </c>
      <c r="Z158" s="25">
        <f>(1-R158/100)*$M$119</f>
        <v>364.14524</v>
      </c>
      <c r="AE158">
        <v>1.8</v>
      </c>
      <c r="AF158" s="17">
        <v>0.19371730000000001</v>
      </c>
      <c r="AG158" s="17">
        <v>0.20454549999999999</v>
      </c>
      <c r="AH158" s="17">
        <v>0.44591029999999998</v>
      </c>
      <c r="AI158" s="17">
        <v>0.50225229999999998</v>
      </c>
      <c r="AJ158" s="17">
        <v>0.56321840000000001</v>
      </c>
      <c r="AK158" s="17">
        <v>0.6</v>
      </c>
      <c r="AL158" s="25">
        <f>$M$119*(AE158/100+1)</f>
        <v>377.49475999999999</v>
      </c>
      <c r="AM158" s="25">
        <f>(1-AE158/100)*$M$119</f>
        <v>364.14524</v>
      </c>
      <c r="AN158" s="23">
        <f t="shared" si="7"/>
        <v>0.31981379999999998</v>
      </c>
      <c r="AO158" s="23">
        <f t="shared" si="8"/>
        <v>0.35339889999999996</v>
      </c>
    </row>
    <row r="159" spans="1:41" x14ac:dyDescent="0.25">
      <c r="A159">
        <v>1.9</v>
      </c>
      <c r="B159" s="17">
        <v>7.8817730000000003E-2</v>
      </c>
      <c r="C159" s="17">
        <v>6.25E-2</v>
      </c>
      <c r="D159" s="17">
        <v>0.29910710000000001</v>
      </c>
      <c r="E159" s="17">
        <v>0.2373333</v>
      </c>
      <c r="F159" s="17">
        <v>0.39869280000000001</v>
      </c>
      <c r="G159" s="17">
        <v>0.33791209999999999</v>
      </c>
      <c r="H159" s="25">
        <f>$M$119*(A159/100+1)</f>
        <v>377.86557999999997</v>
      </c>
      <c r="I159" s="25">
        <f>(1-A159/100)*$M$119</f>
        <v>363.77441999999996</v>
      </c>
      <c r="J159" s="25"/>
      <c r="R159">
        <v>1.9</v>
      </c>
      <c r="S159" s="17">
        <v>0.10653749999999999</v>
      </c>
      <c r="T159" s="17">
        <v>8.3333329999999997E-2</v>
      </c>
      <c r="U159" s="17">
        <v>0.3516746</v>
      </c>
      <c r="V159" s="17">
        <v>0.31851849999999998</v>
      </c>
      <c r="W159" s="17">
        <v>0.48660710000000001</v>
      </c>
      <c r="X159" s="17">
        <v>0.46400000000000002</v>
      </c>
      <c r="Y159" s="25">
        <f>$M$119*(R159/100+1)</f>
        <v>377.86557999999997</v>
      </c>
      <c r="Z159" s="25">
        <f>(1-R159/100)*$M$119</f>
        <v>363.77441999999996</v>
      </c>
      <c r="AE159">
        <v>1.9</v>
      </c>
      <c r="AF159" s="17">
        <v>0.17015710000000001</v>
      </c>
      <c r="AG159" s="17">
        <v>0.17499999999999999</v>
      </c>
      <c r="AH159" s="17">
        <v>0.40897099999999997</v>
      </c>
      <c r="AI159" s="17">
        <v>0.46621620000000003</v>
      </c>
      <c r="AJ159" s="17">
        <v>0.54022990000000004</v>
      </c>
      <c r="AK159" s="17">
        <v>0.57684210000000002</v>
      </c>
      <c r="AL159" s="25">
        <f>$M$119*(AE159/100+1)</f>
        <v>377.86557999999997</v>
      </c>
      <c r="AM159" s="25">
        <f>(1-AE159/100)*$M$119</f>
        <v>363.77441999999996</v>
      </c>
      <c r="AN159" s="23">
        <f t="shared" si="7"/>
        <v>0.28956404999999996</v>
      </c>
      <c r="AO159" s="23">
        <f t="shared" si="8"/>
        <v>0.32060810000000001</v>
      </c>
    </row>
    <row r="160" spans="1:41" x14ac:dyDescent="0.25">
      <c r="A160">
        <v>2</v>
      </c>
      <c r="B160" s="17">
        <v>7.1428569999999997E-2</v>
      </c>
      <c r="C160" s="17">
        <v>5.0480770000000001E-2</v>
      </c>
      <c r="D160" s="17">
        <v>0.265625</v>
      </c>
      <c r="E160" s="17">
        <v>0.216</v>
      </c>
      <c r="F160" s="17">
        <v>0.38126359999999998</v>
      </c>
      <c r="G160" s="17">
        <v>0.30769229999999997</v>
      </c>
      <c r="H160" s="25">
        <f>$M$119*(A160/100+1)</f>
        <v>378.2364</v>
      </c>
      <c r="I160" s="25">
        <f>(1-A160/100)*$M$119</f>
        <v>363.40359999999998</v>
      </c>
      <c r="J160" s="25"/>
      <c r="R160">
        <v>2</v>
      </c>
      <c r="S160" s="17">
        <v>9.2009690000000005E-2</v>
      </c>
      <c r="T160" s="17">
        <v>7.3529410000000003E-2</v>
      </c>
      <c r="U160" s="17">
        <v>0.33732060000000003</v>
      </c>
      <c r="V160" s="17">
        <v>0.29135800000000001</v>
      </c>
      <c r="W160" s="17">
        <v>0.46428570000000002</v>
      </c>
      <c r="X160" s="17">
        <v>0.44533329999999999</v>
      </c>
      <c r="Y160" s="25">
        <f>$M$119*(R160/100+1)</f>
        <v>378.2364</v>
      </c>
      <c r="Z160" s="25">
        <f>(1-R160/100)*$M$119</f>
        <v>363.40359999999998</v>
      </c>
      <c r="AE160">
        <v>2</v>
      </c>
      <c r="AF160" s="17">
        <v>0.14921470000000001</v>
      </c>
      <c r="AG160" s="17">
        <v>0.1613636</v>
      </c>
      <c r="AH160" s="17">
        <v>0.39577839999999997</v>
      </c>
      <c r="AI160" s="17">
        <v>0.43693690000000002</v>
      </c>
      <c r="AJ160" s="17">
        <v>0.51724139999999996</v>
      </c>
      <c r="AK160" s="17">
        <v>0.54526319999999995</v>
      </c>
      <c r="AL160" s="25">
        <f>$M$119*(AE160/100+1)</f>
        <v>378.2364</v>
      </c>
      <c r="AM160" s="25">
        <f>(1-AE160/100)*$M$119</f>
        <v>363.40359999999998</v>
      </c>
      <c r="AN160" s="23">
        <f t="shared" si="7"/>
        <v>0.27249655</v>
      </c>
      <c r="AO160" s="23">
        <f t="shared" si="8"/>
        <v>0.29915025000000001</v>
      </c>
    </row>
    <row r="161" spans="1:41" x14ac:dyDescent="0.25">
      <c r="A161">
        <v>2.1</v>
      </c>
      <c r="B161" s="17">
        <v>6.1576350000000002E-2</v>
      </c>
      <c r="C161" s="17">
        <v>4.5673079999999998E-2</v>
      </c>
      <c r="D161" s="17">
        <v>0.24330360000000001</v>
      </c>
      <c r="E161" s="17">
        <v>0.19733329999999999</v>
      </c>
      <c r="F161" s="17">
        <v>0.35947709999999999</v>
      </c>
      <c r="G161" s="17">
        <v>0.27747250000000001</v>
      </c>
      <c r="H161" s="25">
        <f>$M$119*(A161/100+1)</f>
        <v>378.60721999999998</v>
      </c>
      <c r="I161" s="25">
        <f>(1-A161/100)*$M$119</f>
        <v>363.03278</v>
      </c>
      <c r="J161" s="25"/>
      <c r="R161">
        <v>2.1</v>
      </c>
      <c r="S161" s="17">
        <v>8.4745760000000003E-2</v>
      </c>
      <c r="T161" s="17">
        <v>5.8823529999999999E-2</v>
      </c>
      <c r="U161" s="17">
        <v>0.3157895</v>
      </c>
      <c r="V161" s="17">
        <v>0.27160489999999998</v>
      </c>
      <c r="W161" s="17">
        <v>0.44196429999999998</v>
      </c>
      <c r="X161" s="17">
        <v>0.42666670000000001</v>
      </c>
      <c r="Y161" s="25">
        <f>$M$119*(R161/100+1)</f>
        <v>378.60721999999998</v>
      </c>
      <c r="Z161" s="25">
        <f>(1-R161/100)*$M$119</f>
        <v>363.03278</v>
      </c>
      <c r="AE161">
        <v>2.1</v>
      </c>
      <c r="AF161" s="17">
        <v>0.1413613</v>
      </c>
      <c r="AG161" s="17">
        <v>0.1431818</v>
      </c>
      <c r="AH161" s="17">
        <v>0.36939309999999997</v>
      </c>
      <c r="AI161" s="17">
        <v>0.40990989999999999</v>
      </c>
      <c r="AJ161" s="17">
        <v>0.47988510000000001</v>
      </c>
      <c r="AK161" s="17">
        <v>0.53052630000000001</v>
      </c>
      <c r="AL161" s="25">
        <f>$M$119*(AE161/100+1)</f>
        <v>378.60721999999998</v>
      </c>
      <c r="AM161" s="25">
        <f>(1-AE161/100)*$M$119</f>
        <v>363.03278</v>
      </c>
      <c r="AN161" s="23">
        <f t="shared" si="7"/>
        <v>0.25537719999999997</v>
      </c>
      <c r="AO161" s="23">
        <f t="shared" si="8"/>
        <v>0.27654584999999998</v>
      </c>
    </row>
    <row r="162" spans="1:41" x14ac:dyDescent="0.25">
      <c r="A162">
        <v>2.2000000000000002</v>
      </c>
      <c r="B162" s="17">
        <v>4.6798029999999997E-2</v>
      </c>
      <c r="C162" s="17">
        <v>3.8461540000000002E-2</v>
      </c>
      <c r="D162" s="17">
        <v>0.21205360000000001</v>
      </c>
      <c r="E162" s="17">
        <v>0.1813333</v>
      </c>
      <c r="F162" s="17">
        <v>0.34204790000000002</v>
      </c>
      <c r="G162" s="17">
        <v>0.25824180000000002</v>
      </c>
      <c r="H162" s="25">
        <f>$M$119*(A162/100+1)</f>
        <v>378.97804000000002</v>
      </c>
      <c r="I162" s="25">
        <f>(1-A162/100)*$M$119</f>
        <v>362.66195999999997</v>
      </c>
      <c r="J162" s="25"/>
      <c r="R162">
        <v>2.2000000000000002</v>
      </c>
      <c r="S162" s="17">
        <v>6.7796609999999993E-2</v>
      </c>
      <c r="T162" s="17">
        <v>5.3921570000000002E-2</v>
      </c>
      <c r="U162" s="17">
        <v>0.2894737</v>
      </c>
      <c r="V162" s="17">
        <v>0.2419753</v>
      </c>
      <c r="W162" s="17">
        <v>0.421875</v>
      </c>
      <c r="X162" s="17">
        <v>0.40533330000000001</v>
      </c>
      <c r="Y162" s="25">
        <f>$M$119*(R162/100+1)</f>
        <v>378.97804000000002</v>
      </c>
      <c r="Z162" s="25">
        <f>(1-R162/100)*$M$119</f>
        <v>362.66195999999997</v>
      </c>
      <c r="AE162">
        <v>2.2000000000000002</v>
      </c>
      <c r="AF162" s="17">
        <v>0.13874349999999999</v>
      </c>
      <c r="AG162" s="17">
        <v>0.12727269999999999</v>
      </c>
      <c r="AH162" s="17">
        <v>0.34036939999999999</v>
      </c>
      <c r="AI162" s="17">
        <v>0.39639639999999998</v>
      </c>
      <c r="AJ162" s="17">
        <v>0.4425287</v>
      </c>
      <c r="AK162" s="17">
        <v>0.50736840000000005</v>
      </c>
      <c r="AL162" s="25">
        <f>$M$119*(AE162/100+1)</f>
        <v>378.97804000000002</v>
      </c>
      <c r="AM162" s="25">
        <f>(1-AE162/100)*$M$119</f>
        <v>362.66195999999997</v>
      </c>
      <c r="AN162" s="23">
        <f t="shared" si="7"/>
        <v>0.23955644999999998</v>
      </c>
      <c r="AO162" s="23">
        <f t="shared" si="8"/>
        <v>0.26183455</v>
      </c>
    </row>
    <row r="163" spans="1:41" x14ac:dyDescent="0.25">
      <c r="A163">
        <v>2.2999999999999998</v>
      </c>
      <c r="B163" s="17">
        <v>3.6945810000000003E-2</v>
      </c>
      <c r="C163" s="17">
        <v>3.125E-2</v>
      </c>
      <c r="D163" s="17">
        <v>0.19419639999999999</v>
      </c>
      <c r="E163" s="17">
        <v>0.16533329999999999</v>
      </c>
      <c r="F163" s="17">
        <v>0.32026139999999997</v>
      </c>
      <c r="G163" s="17">
        <v>0.21978020000000001</v>
      </c>
      <c r="H163" s="25">
        <f>$M$119*(A163/100+1)</f>
        <v>379.34885999999995</v>
      </c>
      <c r="I163" s="25">
        <f>(1-A163/100)*$M$119</f>
        <v>362.29113999999998</v>
      </c>
      <c r="J163" s="25"/>
      <c r="R163">
        <v>2.2999999999999998</v>
      </c>
      <c r="S163" s="17">
        <v>4.8426150000000001E-2</v>
      </c>
      <c r="T163" s="17">
        <v>5.1470589999999997E-2</v>
      </c>
      <c r="U163" s="17">
        <v>0.2631579</v>
      </c>
      <c r="V163" s="17">
        <v>0.2148148</v>
      </c>
      <c r="W163" s="17">
        <v>0.39508929999999998</v>
      </c>
      <c r="X163" s="17">
        <v>0.38400000000000001</v>
      </c>
      <c r="Y163" s="25">
        <f>$M$119*(R163/100+1)</f>
        <v>379.34885999999995</v>
      </c>
      <c r="Z163" s="25">
        <f>(1-R163/100)*$M$119</f>
        <v>362.29113999999998</v>
      </c>
      <c r="AE163">
        <v>2.2999999999999998</v>
      </c>
      <c r="AF163" s="17">
        <v>0.117801</v>
      </c>
      <c r="AG163" s="17">
        <v>0.1090909</v>
      </c>
      <c r="AH163" s="17">
        <v>0.3245383</v>
      </c>
      <c r="AI163" s="17">
        <v>0.36936940000000001</v>
      </c>
      <c r="AJ163" s="17">
        <v>0.42528739999999998</v>
      </c>
      <c r="AK163" s="17">
        <v>0.48</v>
      </c>
      <c r="AL163" s="25">
        <f>$M$119*(AE163/100+1)</f>
        <v>379.34885999999995</v>
      </c>
      <c r="AM163" s="25">
        <f>(1-AE163/100)*$M$119</f>
        <v>362.29113999999998</v>
      </c>
      <c r="AN163" s="23">
        <f t="shared" si="7"/>
        <v>0.22116965</v>
      </c>
      <c r="AO163" s="23">
        <f t="shared" si="8"/>
        <v>0.23923015</v>
      </c>
    </row>
    <row r="164" spans="1:41" x14ac:dyDescent="0.25">
      <c r="A164">
        <v>2.4</v>
      </c>
      <c r="B164" s="17">
        <v>2.955665E-2</v>
      </c>
      <c r="C164" s="17">
        <v>2.163462E-2</v>
      </c>
      <c r="D164" s="17">
        <v>0.16294639999999999</v>
      </c>
      <c r="E164" s="17">
        <v>0.15733330000000001</v>
      </c>
      <c r="F164" s="17">
        <v>0.291939</v>
      </c>
      <c r="G164" s="17">
        <v>0.20054949999999999</v>
      </c>
      <c r="H164" s="25">
        <f>$M$119*(A164/100+1)</f>
        <v>379.71967999999998</v>
      </c>
      <c r="I164" s="25">
        <f>(1-A164/100)*$M$119</f>
        <v>361.92032</v>
      </c>
      <c r="J164" s="25"/>
      <c r="R164">
        <v>2.4</v>
      </c>
      <c r="S164" s="17">
        <v>3.3898310000000001E-2</v>
      </c>
      <c r="T164" s="17">
        <v>4.1666670000000003E-2</v>
      </c>
      <c r="U164" s="17">
        <v>0.23444980000000001</v>
      </c>
      <c r="V164" s="17">
        <v>0.20493829999999999</v>
      </c>
      <c r="W164" s="17">
        <v>0.37053570000000002</v>
      </c>
      <c r="X164" s="17">
        <v>0.36799999999999999</v>
      </c>
      <c r="Y164" s="25">
        <f>$M$119*(R164/100+1)</f>
        <v>379.71967999999998</v>
      </c>
      <c r="Z164" s="25">
        <f>(1-R164/100)*$M$119</f>
        <v>361.92032</v>
      </c>
      <c r="AE164">
        <v>2.4</v>
      </c>
      <c r="AF164" s="17">
        <v>9.9476439999999999E-2</v>
      </c>
      <c r="AG164" s="17">
        <v>9.5454549999999999E-2</v>
      </c>
      <c r="AH164" s="17">
        <v>0.3113456</v>
      </c>
      <c r="AI164" s="17">
        <v>0.3490991</v>
      </c>
      <c r="AJ164" s="17">
        <v>0.40229890000000001</v>
      </c>
      <c r="AK164" s="17">
        <v>0.46736840000000002</v>
      </c>
      <c r="AL164" s="25">
        <f>$M$119*(AE164/100+1)</f>
        <v>379.71967999999998</v>
      </c>
      <c r="AM164" s="25">
        <f>(1-AE164/100)*$M$119</f>
        <v>361.92032</v>
      </c>
      <c r="AN164" s="23">
        <f t="shared" si="7"/>
        <v>0.20541102</v>
      </c>
      <c r="AO164" s="23">
        <f t="shared" si="8"/>
        <v>0.22227682500000001</v>
      </c>
    </row>
    <row r="165" spans="1:41" x14ac:dyDescent="0.25">
      <c r="A165">
        <v>2.5</v>
      </c>
      <c r="B165" s="17">
        <v>2.7093599999999999E-2</v>
      </c>
      <c r="C165" s="17">
        <v>1.6826919999999999E-2</v>
      </c>
      <c r="D165" s="17">
        <v>0.15401790000000001</v>
      </c>
      <c r="E165" s="17">
        <v>0.14399999999999999</v>
      </c>
      <c r="F165" s="17">
        <v>0.28104580000000001</v>
      </c>
      <c r="G165" s="17">
        <v>0.1840659</v>
      </c>
      <c r="H165" s="25">
        <f>$M$119*(A165/100+1)</f>
        <v>380.09049999999996</v>
      </c>
      <c r="I165" s="25">
        <f>(1-A165/100)*$M$119</f>
        <v>361.54949999999997</v>
      </c>
      <c r="J165" s="25"/>
      <c r="R165">
        <v>2.5</v>
      </c>
      <c r="S165" s="17">
        <v>2.9055689999999999E-2</v>
      </c>
      <c r="T165" s="17">
        <v>3.1862750000000002E-2</v>
      </c>
      <c r="U165" s="17">
        <v>0.21291869999999999</v>
      </c>
      <c r="V165" s="17">
        <v>0.18024689999999999</v>
      </c>
      <c r="W165" s="17">
        <v>0.34598210000000001</v>
      </c>
      <c r="X165" s="17">
        <v>0.34933330000000001</v>
      </c>
      <c r="Y165" s="25">
        <f>$M$119*(R165/100+1)</f>
        <v>380.09049999999996</v>
      </c>
      <c r="Z165" s="25">
        <f>(1-R165/100)*$M$119</f>
        <v>361.54949999999997</v>
      </c>
      <c r="AE165">
        <v>2.5</v>
      </c>
      <c r="AF165" s="17">
        <v>8.1151829999999994E-2</v>
      </c>
      <c r="AG165" s="17">
        <v>7.0454550000000005E-2</v>
      </c>
      <c r="AH165" s="17">
        <v>0.28759889999999999</v>
      </c>
      <c r="AI165" s="17">
        <v>0.32432430000000001</v>
      </c>
      <c r="AJ165" s="17">
        <v>0.38218390000000002</v>
      </c>
      <c r="AK165" s="17">
        <v>0.44631579999999998</v>
      </c>
      <c r="AL165" s="25">
        <f>$M$119*(AE165/100+1)</f>
        <v>380.09049999999996</v>
      </c>
      <c r="AM165" s="25">
        <f>(1-AE165/100)*$M$119</f>
        <v>361.54949999999997</v>
      </c>
      <c r="AN165" s="23">
        <f t="shared" si="7"/>
        <v>0.18437536499999999</v>
      </c>
      <c r="AO165" s="23">
        <f t="shared" si="8"/>
        <v>0.19738942500000001</v>
      </c>
    </row>
    <row r="166" spans="1:41" x14ac:dyDescent="0.25">
      <c r="A166">
        <v>2.6</v>
      </c>
      <c r="B166" s="17">
        <v>2.4630539999999999E-2</v>
      </c>
      <c r="C166" s="17">
        <v>9.6153850000000006E-3</v>
      </c>
      <c r="D166" s="17">
        <v>0.14285709999999999</v>
      </c>
      <c r="E166" s="17">
        <v>0.128</v>
      </c>
      <c r="F166" s="17">
        <v>0.25925930000000003</v>
      </c>
      <c r="G166" s="17">
        <v>0.1703297</v>
      </c>
      <c r="H166" s="25">
        <f>$M$119*(A166/100+1)</f>
        <v>380.46132</v>
      </c>
      <c r="I166" s="25">
        <f>(1-A166/100)*$M$119</f>
        <v>361.17867999999999</v>
      </c>
      <c r="J166" s="25"/>
      <c r="R166">
        <v>2.6</v>
      </c>
      <c r="S166" s="17">
        <v>2.4213080000000001E-2</v>
      </c>
      <c r="T166" s="17">
        <v>1.9607840000000001E-2</v>
      </c>
      <c r="U166" s="17">
        <v>0.1937799</v>
      </c>
      <c r="V166" s="17">
        <v>0.15802469999999999</v>
      </c>
      <c r="W166" s="17">
        <v>0.328125</v>
      </c>
      <c r="X166" s="17">
        <v>0.31733329999999998</v>
      </c>
      <c r="Y166" s="25">
        <f>$M$119*(R166/100+1)</f>
        <v>380.46132</v>
      </c>
      <c r="Z166" s="25">
        <f>(1-R166/100)*$M$119</f>
        <v>361.17867999999999</v>
      </c>
      <c r="AE166">
        <v>2.6</v>
      </c>
      <c r="AF166" s="17">
        <v>7.0680629999999994E-2</v>
      </c>
      <c r="AG166" s="17">
        <v>6.1363639999999997E-2</v>
      </c>
      <c r="AH166" s="17">
        <v>0.26912930000000002</v>
      </c>
      <c r="AI166" s="17">
        <v>0.2882883</v>
      </c>
      <c r="AJ166" s="17">
        <v>0.37356319999999998</v>
      </c>
      <c r="AK166" s="17">
        <v>0.41894740000000003</v>
      </c>
      <c r="AL166" s="25">
        <f>$M$119*(AE166/100+1)</f>
        <v>380.46132</v>
      </c>
      <c r="AM166" s="25">
        <f>(1-AE166/100)*$M$119</f>
        <v>361.17867999999999</v>
      </c>
      <c r="AN166" s="23">
        <f t="shared" si="7"/>
        <v>0.16990496500000002</v>
      </c>
      <c r="AO166" s="23">
        <f t="shared" si="8"/>
        <v>0.17482597</v>
      </c>
    </row>
    <row r="167" spans="1:41" x14ac:dyDescent="0.25">
      <c r="A167">
        <v>2.7</v>
      </c>
      <c r="B167" s="17">
        <v>2.4630539999999999E-2</v>
      </c>
      <c r="C167" s="17">
        <v>0</v>
      </c>
      <c r="D167" s="17">
        <v>0.1294643</v>
      </c>
      <c r="E167" s="17">
        <v>0.1066667</v>
      </c>
      <c r="F167" s="17">
        <v>0.24183009999999999</v>
      </c>
      <c r="G167" s="17">
        <v>0.1593407</v>
      </c>
      <c r="H167" s="25">
        <f>$M$119*(A167/100+1)</f>
        <v>380.83213999999998</v>
      </c>
      <c r="I167" s="25">
        <f>(1-A167/100)*$M$119</f>
        <v>360.80786000000001</v>
      </c>
      <c r="J167" s="25"/>
      <c r="R167">
        <v>2.7</v>
      </c>
      <c r="S167" s="17">
        <v>2.1791769999999999E-2</v>
      </c>
      <c r="T167" s="17">
        <v>1.7156859999999999E-2</v>
      </c>
      <c r="U167" s="17">
        <v>0.1842105</v>
      </c>
      <c r="V167" s="17">
        <v>0.13827159999999999</v>
      </c>
      <c r="W167" s="17">
        <v>0.31473210000000001</v>
      </c>
      <c r="X167" s="17">
        <v>0.29333330000000002</v>
      </c>
      <c r="Y167" s="25">
        <f>$M$119*(R167/100+1)</f>
        <v>380.83213999999998</v>
      </c>
      <c r="Z167" s="25">
        <f>(1-R167/100)*$M$119</f>
        <v>360.80786000000001</v>
      </c>
      <c r="AE167">
        <v>2.7</v>
      </c>
      <c r="AF167" s="17">
        <v>6.2827229999999998E-2</v>
      </c>
      <c r="AG167" s="17">
        <v>5.4545450000000002E-2</v>
      </c>
      <c r="AH167" s="17">
        <v>0.24802109999999999</v>
      </c>
      <c r="AI167" s="17">
        <v>0.27027030000000002</v>
      </c>
      <c r="AJ167" s="17">
        <v>0.35057470000000002</v>
      </c>
      <c r="AK167" s="17">
        <v>0.3831579</v>
      </c>
      <c r="AL167" s="25">
        <f>$M$119*(AE167/100+1)</f>
        <v>380.83213999999998</v>
      </c>
      <c r="AM167" s="25">
        <f>(1-AE167/100)*$M$119</f>
        <v>360.80786000000001</v>
      </c>
      <c r="AN167" s="23">
        <f t="shared" si="7"/>
        <v>0.155424165</v>
      </c>
      <c r="AO167" s="23">
        <f t="shared" si="8"/>
        <v>0.16240787500000001</v>
      </c>
    </row>
    <row r="168" spans="1:41" x14ac:dyDescent="0.25">
      <c r="A168">
        <v>2.8</v>
      </c>
      <c r="B168" s="17"/>
      <c r="C168" s="17"/>
      <c r="D168" s="17">
        <v>0.11607140000000001</v>
      </c>
      <c r="E168" s="17">
        <v>8.7999999999999995E-2</v>
      </c>
      <c r="F168" s="17">
        <v>0.22004360000000001</v>
      </c>
      <c r="G168" s="17">
        <v>0.14285709999999999</v>
      </c>
      <c r="H168" s="25">
        <f>$M$119*(A168/100+1)</f>
        <v>381.20296000000002</v>
      </c>
      <c r="I168" s="25">
        <f>(1-A168/100)*$M$119</f>
        <v>360.43703999999997</v>
      </c>
      <c r="J168" s="25"/>
      <c r="R168">
        <v>2.8</v>
      </c>
      <c r="S168" s="17"/>
      <c r="T168" s="17"/>
      <c r="U168" s="17">
        <v>0.1674641</v>
      </c>
      <c r="V168" s="17">
        <v>0.1061728</v>
      </c>
      <c r="W168" s="17">
        <v>0.296875</v>
      </c>
      <c r="X168" s="17">
        <v>0.27466669999999999</v>
      </c>
      <c r="Y168" s="25">
        <f>$M$119*(R168/100+1)</f>
        <v>381.20296000000002</v>
      </c>
      <c r="Z168" s="25">
        <f>(1-R168/100)*$M$119</f>
        <v>360.43703999999997</v>
      </c>
      <c r="AE168">
        <v>2.8</v>
      </c>
      <c r="AF168" s="17"/>
      <c r="AG168" s="17"/>
      <c r="AH168" s="17">
        <v>0.22955149999999999</v>
      </c>
      <c r="AI168" s="17">
        <v>0.24549550000000001</v>
      </c>
      <c r="AJ168" s="17">
        <v>0.32758619999999999</v>
      </c>
      <c r="AK168" s="17">
        <v>0.35789470000000001</v>
      </c>
      <c r="AL168" s="25">
        <f>$M$119*(AE168/100+1)</f>
        <v>381.20296000000002</v>
      </c>
      <c r="AM168" s="25">
        <f>(1-AE168/100)*$M$119</f>
        <v>360.43703999999997</v>
      </c>
      <c r="AN168" s="23">
        <f t="shared" si="7"/>
        <v>0.22955149999999999</v>
      </c>
      <c r="AO168" s="23">
        <f t="shared" si="8"/>
        <v>0.24549550000000001</v>
      </c>
    </row>
    <row r="169" spans="1:41" x14ac:dyDescent="0.25">
      <c r="A169">
        <v>2.9</v>
      </c>
      <c r="B169" s="17"/>
      <c r="C169" s="17"/>
      <c r="D169" s="17">
        <v>9.8214289999999996E-2</v>
      </c>
      <c r="E169" s="17">
        <v>6.9333329999999999E-2</v>
      </c>
      <c r="F169" s="17">
        <v>0.20915030000000001</v>
      </c>
      <c r="G169" s="17">
        <v>0.1346154</v>
      </c>
      <c r="H169" s="25">
        <f>$M$119*(A169/100+1)</f>
        <v>381.57377999999994</v>
      </c>
      <c r="I169" s="25">
        <f>(1-A169/100)*$M$119</f>
        <v>360.06621999999999</v>
      </c>
      <c r="J169" s="25"/>
      <c r="R169">
        <v>2.9</v>
      </c>
      <c r="S169" s="17"/>
      <c r="T169" s="17"/>
      <c r="U169" s="17">
        <v>0.15550240000000001</v>
      </c>
      <c r="V169" s="17">
        <v>0.10123459999999999</v>
      </c>
      <c r="W169" s="17">
        <v>0.28125</v>
      </c>
      <c r="X169" s="17">
        <v>0.24266670000000001</v>
      </c>
      <c r="Y169" s="25">
        <f>$M$119*(R169/100+1)</f>
        <v>381.57377999999994</v>
      </c>
      <c r="Z169" s="25">
        <f>(1-R169/100)*$M$119</f>
        <v>360.06621999999999</v>
      </c>
      <c r="AE169">
        <v>2.9</v>
      </c>
      <c r="AF169" s="17"/>
      <c r="AG169" s="17"/>
      <c r="AH169" s="17">
        <v>0.2216359</v>
      </c>
      <c r="AI169" s="17">
        <v>0.22972970000000001</v>
      </c>
      <c r="AJ169" s="17">
        <v>0.31609199999999998</v>
      </c>
      <c r="AK169" s="17">
        <v>0.34526319999999999</v>
      </c>
      <c r="AL169" s="25">
        <f>$M$119*(AE169/100+1)</f>
        <v>381.57377999999994</v>
      </c>
      <c r="AM169" s="25">
        <f>(1-AE169/100)*$M$119</f>
        <v>360.06621999999999</v>
      </c>
      <c r="AN169" s="23">
        <f t="shared" si="7"/>
        <v>0.2216359</v>
      </c>
      <c r="AO169" s="23">
        <f t="shared" si="8"/>
        <v>0.22972970000000001</v>
      </c>
    </row>
    <row r="170" spans="1:41" x14ac:dyDescent="0.25">
      <c r="A170">
        <v>3</v>
      </c>
      <c r="B170" s="17"/>
      <c r="C170" s="17"/>
      <c r="D170" s="17">
        <v>8.0357139999999994E-2</v>
      </c>
      <c r="E170" s="17">
        <v>6.1333329999999998E-2</v>
      </c>
      <c r="F170" s="17">
        <v>0.1895425</v>
      </c>
      <c r="G170" s="17">
        <v>0.1181319</v>
      </c>
      <c r="H170" s="25">
        <f>$M$119*(A170/100+1)</f>
        <v>381.94459999999998</v>
      </c>
      <c r="I170" s="25">
        <f>(1-A170/100)*$M$119</f>
        <v>359.69540000000001</v>
      </c>
      <c r="J170" s="25"/>
      <c r="R170">
        <v>3</v>
      </c>
      <c r="S170" s="17"/>
      <c r="T170" s="17"/>
      <c r="U170" s="17">
        <v>0.1411483</v>
      </c>
      <c r="V170" s="17">
        <v>9.1358019999999998E-2</v>
      </c>
      <c r="W170" s="17">
        <v>0.27008929999999998</v>
      </c>
      <c r="X170" s="17">
        <v>0.22933329999999999</v>
      </c>
      <c r="Y170" s="25">
        <f>$M$119*(R170/100+1)</f>
        <v>381.94459999999998</v>
      </c>
      <c r="Z170" s="25">
        <f>(1-R170/100)*$M$119</f>
        <v>359.69540000000001</v>
      </c>
      <c r="AE170">
        <v>3</v>
      </c>
      <c r="AF170" s="17"/>
      <c r="AG170" s="17"/>
      <c r="AH170" s="17">
        <v>0.2137203</v>
      </c>
      <c r="AI170" s="17">
        <v>0.20945949999999999</v>
      </c>
      <c r="AJ170" s="17">
        <v>0.3074713</v>
      </c>
      <c r="AK170" s="17">
        <v>0.3305263</v>
      </c>
      <c r="AL170" s="25">
        <f>$M$119*(AE170/100+1)</f>
        <v>381.94459999999998</v>
      </c>
      <c r="AM170" s="25">
        <f>(1-AE170/100)*$M$119</f>
        <v>359.69540000000001</v>
      </c>
      <c r="AN170" s="23">
        <f t="shared" si="7"/>
        <v>0.2137203</v>
      </c>
      <c r="AO170" s="23">
        <f t="shared" si="8"/>
        <v>0.20945949999999999</v>
      </c>
    </row>
    <row r="171" spans="1:41" x14ac:dyDescent="0.25">
      <c r="A171">
        <v>3.1</v>
      </c>
      <c r="C171" t="s">
        <v>48</v>
      </c>
      <c r="D171" s="17">
        <v>7.1428569999999997E-2</v>
      </c>
      <c r="E171" s="17">
        <v>4.8000000000000001E-2</v>
      </c>
      <c r="F171" s="17">
        <v>0.18300649999999999</v>
      </c>
      <c r="G171" s="17">
        <v>0.1071429</v>
      </c>
      <c r="H171" s="25">
        <f>$M$119*(A171/100+1)</f>
        <v>382.31541999999996</v>
      </c>
      <c r="I171" s="25">
        <f>(1-A171/100)*$M$119</f>
        <v>359.32457999999997</v>
      </c>
      <c r="J171" s="25"/>
      <c r="R171">
        <v>3.1</v>
      </c>
      <c r="U171" s="17">
        <v>0.12918660000000001</v>
      </c>
      <c r="V171" s="17">
        <v>6.6666669999999997E-2</v>
      </c>
      <c r="W171" s="17">
        <v>0.25446429999999998</v>
      </c>
      <c r="X171" s="17">
        <v>0.216</v>
      </c>
      <c r="Y171" s="25">
        <f>$M$119*(R171/100+1)</f>
        <v>382.31541999999996</v>
      </c>
      <c r="Z171" s="25">
        <f>(1-R171/100)*$M$119</f>
        <v>359.32457999999997</v>
      </c>
      <c r="AE171">
        <v>3.1</v>
      </c>
      <c r="AH171" s="17">
        <v>0.2005277</v>
      </c>
      <c r="AI171" s="17">
        <v>0.19594590000000001</v>
      </c>
      <c r="AJ171" s="17">
        <v>0.29022989999999999</v>
      </c>
      <c r="AK171" s="17">
        <v>0.29894739999999997</v>
      </c>
      <c r="AL171" s="25">
        <f>$M$119*(AE171/100+1)</f>
        <v>382.31541999999996</v>
      </c>
      <c r="AM171" s="25">
        <f>(1-AE171/100)*$M$119</f>
        <v>359.32457999999997</v>
      </c>
      <c r="AN171" s="23">
        <f t="shared" si="7"/>
        <v>0.2005277</v>
      </c>
      <c r="AO171" s="23">
        <f t="shared" si="8"/>
        <v>0.19594590000000001</v>
      </c>
    </row>
    <row r="172" spans="1:41" x14ac:dyDescent="0.25">
      <c r="A172">
        <v>3.2</v>
      </c>
      <c r="D172" s="17">
        <v>6.4732139999999994E-2</v>
      </c>
      <c r="E172" s="17">
        <v>3.7333329999999998E-2</v>
      </c>
      <c r="F172" s="17">
        <v>0.1742919</v>
      </c>
      <c r="G172" s="17">
        <v>9.8901100000000006E-2</v>
      </c>
      <c r="H172" s="25">
        <f>$M$119*(A172/100+1)</f>
        <v>382.68624</v>
      </c>
      <c r="I172" s="25">
        <f>(1-A172/100)*$M$119</f>
        <v>358.95375999999999</v>
      </c>
      <c r="J172" s="25"/>
      <c r="R172">
        <v>3.2</v>
      </c>
      <c r="U172" s="17">
        <v>0.1220096</v>
      </c>
      <c r="V172" s="17">
        <v>4.9382719999999998E-2</v>
      </c>
      <c r="W172" s="17">
        <v>0.24330360000000001</v>
      </c>
      <c r="X172" s="17">
        <v>0.18933330000000001</v>
      </c>
      <c r="Y172" s="25">
        <f>$M$119*(R172/100+1)</f>
        <v>382.68624</v>
      </c>
      <c r="Z172" s="25">
        <f>(1-R172/100)*$M$119</f>
        <v>358.95375999999999</v>
      </c>
      <c r="AE172">
        <v>3.2</v>
      </c>
      <c r="AH172" s="17">
        <v>0.18997359999999999</v>
      </c>
      <c r="AI172" s="17">
        <v>0.18243239999999999</v>
      </c>
      <c r="AJ172" s="17">
        <v>0.27873559999999997</v>
      </c>
      <c r="AK172" s="17">
        <v>0.29263159999999999</v>
      </c>
      <c r="AL172" s="25">
        <f>$M$119*(AE172/100+1)</f>
        <v>382.68624</v>
      </c>
      <c r="AM172" s="25">
        <f>(1-AE172/100)*$M$119</f>
        <v>358.95375999999999</v>
      </c>
      <c r="AN172" s="23">
        <f t="shared" si="7"/>
        <v>0.18997359999999999</v>
      </c>
      <c r="AO172" s="23">
        <f t="shared" si="8"/>
        <v>0.18243239999999999</v>
      </c>
    </row>
    <row r="173" spans="1:41" x14ac:dyDescent="0.25">
      <c r="A173">
        <v>3.3</v>
      </c>
      <c r="D173" s="17">
        <v>6.25E-2</v>
      </c>
      <c r="E173" s="17">
        <v>3.7333329999999998E-2</v>
      </c>
      <c r="F173" s="17">
        <v>0.15468409999999999</v>
      </c>
      <c r="G173" s="17">
        <v>8.5164840000000006E-2</v>
      </c>
      <c r="H173" s="25">
        <f>$M$119*(A173/100+1)</f>
        <v>383.05705999999998</v>
      </c>
      <c r="I173" s="25">
        <f>(1-A173/100)*$M$119</f>
        <v>358.58294000000001</v>
      </c>
      <c r="J173" s="25"/>
      <c r="R173">
        <v>3.3</v>
      </c>
      <c r="U173" s="17">
        <v>0.1148325</v>
      </c>
      <c r="V173" s="17">
        <v>4.1975310000000002E-2</v>
      </c>
      <c r="W173" s="17">
        <v>0.22544639999999999</v>
      </c>
      <c r="X173" s="17">
        <v>0.16800000000000001</v>
      </c>
      <c r="Y173" s="25">
        <f>$M$119*(R173/100+1)</f>
        <v>383.05705999999998</v>
      </c>
      <c r="Z173" s="25">
        <f>(1-R173/100)*$M$119</f>
        <v>358.58294000000001</v>
      </c>
      <c r="AE173">
        <v>3.3</v>
      </c>
      <c r="AH173" s="17">
        <v>0.17414250000000001</v>
      </c>
      <c r="AI173" s="17">
        <v>0.17567569999999999</v>
      </c>
      <c r="AJ173" s="17">
        <v>0.26724140000000002</v>
      </c>
      <c r="AK173" s="17">
        <v>0.27789469999999999</v>
      </c>
      <c r="AL173" s="25">
        <f>$M$119*(AE173/100+1)</f>
        <v>383.05705999999998</v>
      </c>
      <c r="AM173" s="25">
        <f>(1-AE173/100)*$M$119</f>
        <v>358.58294000000001</v>
      </c>
      <c r="AN173" s="23">
        <f t="shared" si="7"/>
        <v>0.17414250000000001</v>
      </c>
      <c r="AO173" s="23">
        <f t="shared" si="8"/>
        <v>0.17567569999999999</v>
      </c>
    </row>
    <row r="174" spans="1:41" x14ac:dyDescent="0.25">
      <c r="A174">
        <v>3.4</v>
      </c>
      <c r="D174" s="17">
        <v>5.5803569999999997E-2</v>
      </c>
      <c r="E174" s="17">
        <v>3.4666669999999997E-2</v>
      </c>
      <c r="F174" s="17">
        <v>0.14161219999999999</v>
      </c>
      <c r="G174" s="17">
        <v>8.2417580000000004E-2</v>
      </c>
      <c r="H174" s="25">
        <f>$M$119*(A174/100+1)</f>
        <v>383.42788000000002</v>
      </c>
      <c r="I174" s="25">
        <f>(1-A174/100)*$M$119</f>
        <v>358.21211999999997</v>
      </c>
      <c r="J174" s="25"/>
      <c r="R174">
        <v>3.4</v>
      </c>
      <c r="U174" s="17">
        <v>0.1028708</v>
      </c>
      <c r="V174" s="17">
        <v>3.4567899999999999E-2</v>
      </c>
      <c r="W174" s="17">
        <v>0.22098209999999999</v>
      </c>
      <c r="X174" s="17">
        <v>0.15466669999999999</v>
      </c>
      <c r="Y174" s="25">
        <f>$M$119*(R174/100+1)</f>
        <v>383.42788000000002</v>
      </c>
      <c r="Z174" s="25">
        <f>(1-R174/100)*$M$119</f>
        <v>358.21211999999997</v>
      </c>
      <c r="AE174">
        <v>3.4</v>
      </c>
      <c r="AH174" s="17">
        <v>0.1503958</v>
      </c>
      <c r="AI174" s="17">
        <v>0.15315319999999999</v>
      </c>
      <c r="AJ174" s="17">
        <v>0.26149430000000001</v>
      </c>
      <c r="AK174" s="17">
        <v>0.25473679999999999</v>
      </c>
      <c r="AL174" s="25">
        <f>$M$119*(AE174/100+1)</f>
        <v>383.42788000000002</v>
      </c>
      <c r="AM174" s="25">
        <f>(1-AE174/100)*$M$119</f>
        <v>358.21211999999997</v>
      </c>
      <c r="AN174" s="23">
        <f t="shared" si="7"/>
        <v>0.1503958</v>
      </c>
      <c r="AO174" s="23">
        <f t="shared" si="8"/>
        <v>0.15315319999999999</v>
      </c>
    </row>
    <row r="175" spans="1:41" x14ac:dyDescent="0.25">
      <c r="A175">
        <v>3.5</v>
      </c>
      <c r="D175" s="17">
        <v>4.6875E-2</v>
      </c>
      <c r="E175" s="17">
        <v>2.666667E-2</v>
      </c>
      <c r="F175" s="17">
        <v>0.13725490000000001</v>
      </c>
      <c r="G175" s="17">
        <v>7.1428569999999997E-2</v>
      </c>
      <c r="H175" s="25">
        <f>$M$119*(A175/100+1)</f>
        <v>383.79869999999994</v>
      </c>
      <c r="I175" s="25">
        <f>(1-A175/100)*$M$119</f>
        <v>357.84129999999999</v>
      </c>
      <c r="J175" s="25"/>
      <c r="R175">
        <v>3.5</v>
      </c>
      <c r="U175" s="17">
        <v>0.1004785</v>
      </c>
      <c r="V175" s="17">
        <v>2.7160489999999999E-2</v>
      </c>
      <c r="W175" s="17">
        <v>0.203125</v>
      </c>
      <c r="X175" s="17">
        <v>0.13333329999999999</v>
      </c>
      <c r="Y175" s="25">
        <f>$M$119*(R175/100+1)</f>
        <v>383.79869999999994</v>
      </c>
      <c r="Z175" s="25">
        <f>(1-R175/100)*$M$119</f>
        <v>357.84129999999999</v>
      </c>
      <c r="AE175">
        <v>3.5</v>
      </c>
      <c r="AH175" s="17">
        <v>0.14511869999999999</v>
      </c>
      <c r="AI175" s="17">
        <v>0.13738739999999999</v>
      </c>
      <c r="AJ175" s="17">
        <v>0.2471264</v>
      </c>
      <c r="AK175" s="17">
        <v>0.23578950000000001</v>
      </c>
      <c r="AL175" s="25">
        <f>$M$119*(AE175/100+1)</f>
        <v>383.79869999999994</v>
      </c>
      <c r="AM175" s="25">
        <f>(1-AE175/100)*$M$119</f>
        <v>357.84129999999999</v>
      </c>
      <c r="AN175" s="23">
        <f t="shared" si="7"/>
        <v>0.14511869999999999</v>
      </c>
      <c r="AO175" s="23">
        <f t="shared" si="8"/>
        <v>0.13738739999999999</v>
      </c>
    </row>
    <row r="176" spans="1:41" x14ac:dyDescent="0.25">
      <c r="A176">
        <v>3.6</v>
      </c>
      <c r="D176" s="17">
        <v>3.5714290000000003E-2</v>
      </c>
      <c r="E176" s="17">
        <v>2.1333330000000001E-2</v>
      </c>
      <c r="F176" s="17">
        <v>0.1220044</v>
      </c>
      <c r="G176" s="17">
        <v>6.5934069999999997E-2</v>
      </c>
      <c r="H176" s="25">
        <f>$M$119*(A176/100+1)</f>
        <v>384.16951999999998</v>
      </c>
      <c r="I176" s="25">
        <f>(1-A176/100)*$M$119</f>
        <v>357.47048000000001</v>
      </c>
      <c r="J176" s="25"/>
      <c r="R176">
        <v>3.6</v>
      </c>
      <c r="U176" s="17">
        <v>8.6124400000000004E-2</v>
      </c>
      <c r="V176" s="17">
        <v>2.4691359999999999E-2</v>
      </c>
      <c r="W176" s="17">
        <v>0.18526790000000001</v>
      </c>
      <c r="X176" s="17">
        <v>0.12533330000000001</v>
      </c>
      <c r="Y176" s="25">
        <f>$M$119*(R176/100+1)</f>
        <v>384.16951999999998</v>
      </c>
      <c r="Z176" s="25">
        <f>(1-R176/100)*$M$119</f>
        <v>357.47048000000001</v>
      </c>
      <c r="AE176">
        <v>3.6</v>
      </c>
      <c r="AH176" s="17">
        <v>0.13456460000000001</v>
      </c>
      <c r="AI176" s="17">
        <v>0.1193694</v>
      </c>
      <c r="AJ176" s="17">
        <v>0.23563220000000001</v>
      </c>
      <c r="AK176" s="17">
        <v>0.21894739999999999</v>
      </c>
      <c r="AL176" s="25">
        <f>$M$119*(AE176/100+1)</f>
        <v>384.16951999999998</v>
      </c>
      <c r="AM176" s="25">
        <f>(1-AE176/100)*$M$119</f>
        <v>357.47048000000001</v>
      </c>
      <c r="AN176" s="23">
        <f t="shared" si="7"/>
        <v>0.13456460000000001</v>
      </c>
      <c r="AO176" s="23">
        <f t="shared" si="8"/>
        <v>0.1193694</v>
      </c>
    </row>
    <row r="177" spans="1:39" x14ac:dyDescent="0.25">
      <c r="A177">
        <v>3.7</v>
      </c>
      <c r="D177" s="17">
        <v>3.125E-2</v>
      </c>
      <c r="E177" s="17">
        <v>2.1333330000000001E-2</v>
      </c>
      <c r="F177" s="17">
        <v>0.1089325</v>
      </c>
      <c r="G177" s="17">
        <v>6.3186809999999996E-2</v>
      </c>
      <c r="H177" s="25">
        <f>$M$119*(A177/100+1)</f>
        <v>384.54033999999996</v>
      </c>
      <c r="I177" s="25">
        <f>(1-A177/100)*$M$119</f>
        <v>357.09965999999997</v>
      </c>
      <c r="J177" s="25"/>
      <c r="R177">
        <v>3.7</v>
      </c>
      <c r="U177" s="17">
        <v>7.6555020000000001E-2</v>
      </c>
      <c r="V177" s="17">
        <v>1.9753090000000001E-2</v>
      </c>
      <c r="W177" s="17">
        <v>0.171875</v>
      </c>
      <c r="X177" s="17">
        <v>0.112</v>
      </c>
      <c r="Y177" s="25">
        <f>$M$119*(R177/100+1)</f>
        <v>384.54033999999996</v>
      </c>
      <c r="Z177" s="25">
        <f>(1-R177/100)*$M$119</f>
        <v>357.09965999999997</v>
      </c>
      <c r="AE177">
        <v>3.7</v>
      </c>
      <c r="AH177" s="17">
        <v>0.1240106</v>
      </c>
      <c r="AI177" s="17">
        <v>0.1103604</v>
      </c>
      <c r="AJ177" s="17">
        <v>0.22988510000000001</v>
      </c>
      <c r="AK177" s="17">
        <v>0.20421049999999999</v>
      </c>
      <c r="AL177" s="25">
        <f>$M$119*(AE177/100+1)</f>
        <v>384.54033999999996</v>
      </c>
      <c r="AM177" s="25">
        <f>(1-AE177/100)*$M$119</f>
        <v>357.09965999999997</v>
      </c>
    </row>
    <row r="178" spans="1:39" x14ac:dyDescent="0.25">
      <c r="A178">
        <v>3.8</v>
      </c>
      <c r="D178" s="17">
        <v>2.9017859999999999E-2</v>
      </c>
      <c r="E178" s="17">
        <v>1.3333329999999999E-2</v>
      </c>
      <c r="F178" s="17">
        <v>9.1503269999999998E-2</v>
      </c>
      <c r="G178" s="17">
        <v>6.0439560000000003E-2</v>
      </c>
      <c r="H178" s="25">
        <f>$M$119*(A178/100+1)</f>
        <v>384.91116</v>
      </c>
      <c r="I178" s="25">
        <f>(1-A178/100)*$M$119</f>
        <v>356.72883999999999</v>
      </c>
      <c r="J178" s="25"/>
      <c r="R178">
        <v>3.8</v>
      </c>
      <c r="U178" s="17">
        <v>6.6985649999999994E-2</v>
      </c>
      <c r="V178" s="17">
        <v>9.8765429999999998E-3</v>
      </c>
      <c r="W178" s="17">
        <v>0.15625</v>
      </c>
      <c r="X178" s="17">
        <v>9.3333330000000006E-2</v>
      </c>
      <c r="Y178" s="25">
        <f>$M$119*(R178/100+1)</f>
        <v>384.91116</v>
      </c>
      <c r="Z178" s="25">
        <f>(1-R178/100)*$M$119</f>
        <v>356.72883999999999</v>
      </c>
      <c r="AE178">
        <v>3.8</v>
      </c>
      <c r="AH178" s="17">
        <v>0.11873350000000001</v>
      </c>
      <c r="AI178" s="17">
        <v>0.1036036</v>
      </c>
      <c r="AJ178" s="17">
        <v>0.20977009999999999</v>
      </c>
      <c r="AK178" s="17">
        <v>0.19578950000000001</v>
      </c>
      <c r="AL178" s="25">
        <f>$M$119*(AE178/100+1)</f>
        <v>384.91116</v>
      </c>
      <c r="AM178" s="25">
        <f>(1-AE178/100)*$M$119</f>
        <v>356.72883999999999</v>
      </c>
    </row>
    <row r="179" spans="1:39" x14ac:dyDescent="0.25">
      <c r="A179">
        <v>3.9</v>
      </c>
      <c r="D179" s="17">
        <v>2.6785710000000001E-2</v>
      </c>
      <c r="E179" s="17">
        <v>1.066667E-2</v>
      </c>
      <c r="F179" s="17">
        <v>8.0610020000000004E-2</v>
      </c>
      <c r="G179" s="17">
        <v>6.0439560000000003E-2</v>
      </c>
      <c r="H179" s="25">
        <f>$M$119*(A179/100+1)</f>
        <v>385.28197999999998</v>
      </c>
      <c r="I179" s="25">
        <f>(1-A179/100)*$M$119</f>
        <v>356.35801999999995</v>
      </c>
      <c r="J179" s="25"/>
      <c r="R179">
        <v>3.9</v>
      </c>
      <c r="U179" s="17">
        <v>5.7416269999999998E-2</v>
      </c>
      <c r="V179" s="17">
        <v>7.4074070000000004E-3</v>
      </c>
      <c r="W179" s="17">
        <v>0.1450893</v>
      </c>
      <c r="X179" s="17">
        <v>7.1999999999999995E-2</v>
      </c>
      <c r="Y179" s="25">
        <f>$M$119*(R179/100+1)</f>
        <v>385.28197999999998</v>
      </c>
      <c r="Z179" s="25">
        <f>(1-R179/100)*$M$119</f>
        <v>356.35801999999995</v>
      </c>
      <c r="AE179">
        <v>3.9</v>
      </c>
      <c r="AH179" s="17">
        <v>0.1108179</v>
      </c>
      <c r="AI179" s="17">
        <v>9.4594590000000006E-2</v>
      </c>
      <c r="AJ179" s="17">
        <v>0.18390799999999999</v>
      </c>
      <c r="AK179" s="17">
        <v>0.18736839999999999</v>
      </c>
      <c r="AL179" s="25">
        <f>$M$119*(AE179/100+1)</f>
        <v>385.28197999999998</v>
      </c>
      <c r="AM179" s="25">
        <f>(1-AE179/100)*$M$119</f>
        <v>356.35801999999995</v>
      </c>
    </row>
    <row r="180" spans="1:39" x14ac:dyDescent="0.25">
      <c r="A180">
        <v>4</v>
      </c>
      <c r="D180" s="17">
        <v>2.232143E-2</v>
      </c>
      <c r="E180" s="17">
        <v>5.333333E-3</v>
      </c>
      <c r="F180" s="17">
        <v>7.6252719999999996E-2</v>
      </c>
      <c r="G180" s="17">
        <v>5.4945050000000002E-2</v>
      </c>
      <c r="H180" s="25">
        <f>$M$119*(A180/100+1)</f>
        <v>385.65280000000001</v>
      </c>
      <c r="I180" s="25">
        <f>(1-A180/100)*$M$119</f>
        <v>355.98719999999997</v>
      </c>
      <c r="J180" s="25"/>
      <c r="R180">
        <v>4</v>
      </c>
      <c r="U180" s="17">
        <v>5.2631579999999997E-2</v>
      </c>
      <c r="V180" s="17">
        <v>7.4074070000000004E-3</v>
      </c>
      <c r="W180" s="17">
        <v>0.140625</v>
      </c>
      <c r="X180" s="17">
        <v>5.3333329999999998E-2</v>
      </c>
      <c r="Y180" s="25">
        <f>$M$119*(R180/100+1)</f>
        <v>385.65280000000001</v>
      </c>
      <c r="Z180" s="25">
        <f>(1-R180/100)*$M$119</f>
        <v>355.98719999999997</v>
      </c>
      <c r="AE180">
        <v>4</v>
      </c>
      <c r="AH180" s="17">
        <v>0.1002639</v>
      </c>
      <c r="AI180" s="17">
        <v>8.108108E-2</v>
      </c>
      <c r="AJ180" s="17">
        <v>0.17816090000000001</v>
      </c>
      <c r="AK180" s="17">
        <v>0.16421050000000001</v>
      </c>
      <c r="AL180" s="25">
        <f>$M$119*(AE180/100+1)</f>
        <v>385.65280000000001</v>
      </c>
      <c r="AM180" s="25">
        <f>(1-AE180/100)*$M$119</f>
        <v>355.98719999999997</v>
      </c>
    </row>
    <row r="181" spans="1:39" x14ac:dyDescent="0.25">
      <c r="A181">
        <v>4.0999999999999996</v>
      </c>
      <c r="D181" s="17">
        <v>2.0089289999999999E-2</v>
      </c>
      <c r="E181" s="17">
        <v>2.6666670000000002E-3</v>
      </c>
      <c r="F181" s="17">
        <v>6.7538130000000002E-2</v>
      </c>
      <c r="G181" s="17">
        <v>4.3956040000000002E-2</v>
      </c>
      <c r="H181" s="25">
        <f>$M$119*(A181/100+1)</f>
        <v>386.02361999999994</v>
      </c>
      <c r="I181" s="25">
        <f>(1-A181/100)*$M$119</f>
        <v>355.61637999999999</v>
      </c>
      <c r="J181" s="25"/>
      <c r="R181">
        <v>4.0999999999999996</v>
      </c>
      <c r="U181" s="17">
        <v>4.7846890000000003E-2</v>
      </c>
      <c r="V181" s="17">
        <v>2.4691359999999998E-3</v>
      </c>
      <c r="W181" s="17">
        <v>0.125</v>
      </c>
      <c r="X181" s="17">
        <v>4.8000000000000001E-2</v>
      </c>
      <c r="Y181" s="25">
        <f>$M$119*(R181/100+1)</f>
        <v>386.02361999999994</v>
      </c>
      <c r="Z181" s="25">
        <f>(1-R181/100)*$M$119</f>
        <v>355.61637999999999</v>
      </c>
      <c r="AE181">
        <v>4.0999999999999996</v>
      </c>
      <c r="AH181" s="17">
        <v>8.7071239999999994E-2</v>
      </c>
      <c r="AI181" s="17">
        <v>6.3063060000000004E-2</v>
      </c>
      <c r="AJ181" s="17">
        <v>0.17241380000000001</v>
      </c>
      <c r="AK181" s="17">
        <v>0.1557895</v>
      </c>
      <c r="AL181" s="25">
        <f>$M$119*(AE181/100+1)</f>
        <v>386.02361999999994</v>
      </c>
      <c r="AM181" s="25">
        <f>(1-AE181/100)*$M$119</f>
        <v>355.61637999999999</v>
      </c>
    </row>
    <row r="182" spans="1:39" x14ac:dyDescent="0.25">
      <c r="A182">
        <v>4.2</v>
      </c>
      <c r="D182" s="17">
        <v>1.7857140000000001E-2</v>
      </c>
      <c r="E182" s="17">
        <v>2.6666670000000002E-3</v>
      </c>
      <c r="F182" s="17">
        <v>5.8823529999999999E-2</v>
      </c>
      <c r="G182" s="17">
        <v>3.2967030000000001E-2</v>
      </c>
      <c r="H182" s="25">
        <f>$M$119*(A182/100+1)</f>
        <v>386.39444000000003</v>
      </c>
      <c r="I182" s="25">
        <f>(1-A182/100)*$M$119</f>
        <v>355.24555999999995</v>
      </c>
      <c r="J182" s="25"/>
      <c r="R182">
        <v>4.2</v>
      </c>
      <c r="U182" s="17">
        <v>4.5454550000000003E-2</v>
      </c>
      <c r="V182" s="17"/>
      <c r="W182" s="17">
        <v>0.1116071</v>
      </c>
      <c r="X182" s="17">
        <v>4.8000000000000001E-2</v>
      </c>
      <c r="Y182" s="25">
        <f>$M$119*(R182/100+1)</f>
        <v>386.39444000000003</v>
      </c>
      <c r="Z182" s="25">
        <f>(1-R182/100)*$M$119</f>
        <v>355.24555999999995</v>
      </c>
      <c r="AE182">
        <v>4.2</v>
      </c>
      <c r="AH182" s="17">
        <v>7.9155669999999997E-2</v>
      </c>
      <c r="AI182" s="17">
        <v>5.6306309999999998E-2</v>
      </c>
      <c r="AJ182" s="17">
        <v>0.16091949999999999</v>
      </c>
      <c r="AK182" s="17">
        <v>0.1410526</v>
      </c>
      <c r="AL182" s="25">
        <f>$M$119*(AE182/100+1)</f>
        <v>386.39444000000003</v>
      </c>
      <c r="AM182" s="25">
        <f>(1-AE182/100)*$M$119</f>
        <v>355.24555999999995</v>
      </c>
    </row>
    <row r="183" spans="1:39" x14ac:dyDescent="0.25">
      <c r="A183">
        <v>4.3</v>
      </c>
      <c r="D183" s="17">
        <v>1.5625E-2</v>
      </c>
      <c r="E183" s="17">
        <v>2.6666670000000002E-3</v>
      </c>
      <c r="F183" s="17">
        <v>4.5751630000000001E-2</v>
      </c>
      <c r="G183" s="17">
        <v>2.4725270000000001E-2</v>
      </c>
      <c r="H183" s="25">
        <f>$M$119*(A183/100+1)</f>
        <v>386.76525999999996</v>
      </c>
      <c r="I183" s="25">
        <f>(1-A183/100)*$M$119</f>
        <v>354.87473999999997</v>
      </c>
      <c r="J183" s="25"/>
      <c r="R183">
        <v>4.3</v>
      </c>
      <c r="U183" s="17">
        <v>4.3062200000000002E-2</v>
      </c>
      <c r="V183" s="17"/>
      <c r="W183" s="17">
        <v>0.1116071</v>
      </c>
      <c r="X183" s="17">
        <v>4.2666669999999997E-2</v>
      </c>
      <c r="Y183" s="25">
        <f>$M$119*(R183/100+1)</f>
        <v>386.76525999999996</v>
      </c>
      <c r="Z183" s="25">
        <f>(1-R183/100)*$M$119</f>
        <v>354.87473999999997</v>
      </c>
      <c r="AE183">
        <v>4.3</v>
      </c>
      <c r="AH183" s="17">
        <v>7.1240109999999995E-2</v>
      </c>
      <c r="AI183" s="17">
        <v>5.1801800000000002E-2</v>
      </c>
      <c r="AJ183" s="17">
        <v>0.15517239999999999</v>
      </c>
      <c r="AK183" s="17">
        <v>0.12842110000000001</v>
      </c>
      <c r="AL183" s="25">
        <f>$M$119*(AE183/100+1)</f>
        <v>386.76525999999996</v>
      </c>
      <c r="AM183" s="25">
        <f>(1-AE183/100)*$M$119</f>
        <v>354.87473999999997</v>
      </c>
    </row>
    <row r="184" spans="1:39" x14ac:dyDescent="0.25">
      <c r="A184">
        <v>4.4000000000000004</v>
      </c>
      <c r="D184" s="17">
        <v>1.3392859999999999E-2</v>
      </c>
      <c r="E184" s="17">
        <v>2.6666670000000002E-3</v>
      </c>
      <c r="F184" s="17">
        <v>4.1394340000000002E-2</v>
      </c>
      <c r="G184" s="17">
        <v>1.6483520000000002E-2</v>
      </c>
      <c r="R184">
        <v>4.4000000000000004</v>
      </c>
      <c r="U184" s="17">
        <v>3.8277510000000001E-2</v>
      </c>
      <c r="V184" s="17"/>
      <c r="W184" s="17">
        <v>0.10044640000000001</v>
      </c>
      <c r="X184" s="17">
        <v>2.9333330000000001E-2</v>
      </c>
      <c r="Y184" s="25">
        <f>$M$119*(R184/100+1)</f>
        <v>387.13607999999999</v>
      </c>
      <c r="Z184" s="25">
        <f>(1-R184/100)*$M$119</f>
        <v>354.50391999999999</v>
      </c>
      <c r="AE184">
        <v>4.4000000000000004</v>
      </c>
      <c r="AH184" s="17">
        <v>6.8601579999999995E-2</v>
      </c>
      <c r="AI184" s="17">
        <v>4.72973E-2</v>
      </c>
      <c r="AJ184" s="17">
        <v>0.15517239999999999</v>
      </c>
      <c r="AK184" s="17">
        <v>0.11789470000000001</v>
      </c>
      <c r="AL184" s="25">
        <f>$M$119*(AE184/100+1)</f>
        <v>387.13607999999999</v>
      </c>
      <c r="AM184" s="25">
        <f>(1-AE184/100)*$M$119</f>
        <v>354.50391999999999</v>
      </c>
    </row>
    <row r="185" spans="1:39" x14ac:dyDescent="0.25">
      <c r="A185">
        <v>4.5</v>
      </c>
      <c r="D185" s="17">
        <v>1.1160710000000001E-2</v>
      </c>
      <c r="E185" s="17">
        <v>0</v>
      </c>
      <c r="F185" s="17">
        <v>4.1394340000000002E-2</v>
      </c>
      <c r="G185" s="17">
        <v>1.6483520000000002E-2</v>
      </c>
      <c r="R185">
        <v>4.5</v>
      </c>
      <c r="U185" s="17">
        <v>3.110048E-2</v>
      </c>
      <c r="V185" s="17"/>
      <c r="W185" s="17">
        <v>9.1517860000000006E-2</v>
      </c>
      <c r="X185" s="17">
        <v>1.3333329999999999E-2</v>
      </c>
      <c r="Y185" s="25">
        <f>$M$119*(R185/100+1)</f>
        <v>387.50689999999997</v>
      </c>
      <c r="Z185" s="25">
        <f>(1-R185/100)*$M$119</f>
        <v>354.13309999999996</v>
      </c>
      <c r="AE185">
        <v>4.5</v>
      </c>
      <c r="AH185" s="17">
        <v>6.068602E-2</v>
      </c>
      <c r="AI185" s="17">
        <v>4.2792789999999997E-2</v>
      </c>
      <c r="AJ185" s="17">
        <v>0.137931</v>
      </c>
      <c r="AK185" s="17">
        <v>0.10947369999999999</v>
      </c>
      <c r="AL185" s="25">
        <f>$M$119*(AE185/100+1)</f>
        <v>387.50689999999997</v>
      </c>
      <c r="AM185" s="25">
        <f>(1-AE185/100)*$M$119</f>
        <v>354.13309999999996</v>
      </c>
    </row>
    <row r="186" spans="1:39" x14ac:dyDescent="0.25">
      <c r="A186" t="s">
        <v>27</v>
      </c>
      <c r="B186">
        <v>1.4</v>
      </c>
      <c r="C186">
        <v>1.7</v>
      </c>
      <c r="D186" s="25">
        <v>3.3485130000000001</v>
      </c>
      <c r="E186" s="25">
        <v>2.5997690000000002</v>
      </c>
      <c r="F186">
        <v>3.8</v>
      </c>
      <c r="G186">
        <v>3</v>
      </c>
      <c r="R186" t="s">
        <v>27</v>
      </c>
      <c r="S186">
        <v>1.4</v>
      </c>
      <c r="T186">
        <v>1.4</v>
      </c>
      <c r="U186" s="25">
        <v>3.059323</v>
      </c>
      <c r="V186" s="25">
        <v>3.1688040000000002</v>
      </c>
      <c r="W186">
        <v>4.2</v>
      </c>
      <c r="X186">
        <v>3.4</v>
      </c>
      <c r="AE186" t="s">
        <v>27</v>
      </c>
      <c r="AF186">
        <v>1.3</v>
      </c>
      <c r="AG186">
        <v>1.5</v>
      </c>
      <c r="AH186" s="25">
        <v>2.6591719999999999</v>
      </c>
      <c r="AI186" s="25">
        <v>3.0398610000000001</v>
      </c>
      <c r="AJ186">
        <v>4</v>
      </c>
      <c r="AK186">
        <v>4.4000000000000004</v>
      </c>
    </row>
    <row r="187" spans="1:39" x14ac:dyDescent="0.25">
      <c r="A187" t="s">
        <v>26</v>
      </c>
      <c r="B187">
        <v>1</v>
      </c>
      <c r="C187">
        <v>1</v>
      </c>
      <c r="D187">
        <v>2</v>
      </c>
      <c r="E187">
        <v>2</v>
      </c>
      <c r="F187">
        <v>2</v>
      </c>
      <c r="G187">
        <v>2</v>
      </c>
      <c r="R187" t="s">
        <v>26</v>
      </c>
      <c r="S187">
        <v>2</v>
      </c>
      <c r="T187">
        <v>1</v>
      </c>
      <c r="U187">
        <v>3</v>
      </c>
      <c r="V187">
        <v>2</v>
      </c>
      <c r="W187">
        <v>3</v>
      </c>
      <c r="X187">
        <v>2</v>
      </c>
      <c r="AE187" t="s">
        <v>26</v>
      </c>
      <c r="AF187">
        <v>1</v>
      </c>
      <c r="AG187">
        <v>2</v>
      </c>
      <c r="AH187">
        <v>2</v>
      </c>
      <c r="AI187">
        <v>3</v>
      </c>
      <c r="AJ187">
        <v>2</v>
      </c>
      <c r="AK187">
        <v>4</v>
      </c>
    </row>
    <row r="188" spans="1:39" x14ac:dyDescent="0.25">
      <c r="A188" t="s">
        <v>25</v>
      </c>
      <c r="B188">
        <v>2</v>
      </c>
      <c r="C188">
        <v>2</v>
      </c>
      <c r="D188" s="25">
        <v>3.5078119999999999</v>
      </c>
      <c r="E188" s="25">
        <v>2.9296880000000001</v>
      </c>
      <c r="F188">
        <v>4</v>
      </c>
      <c r="G188">
        <v>3.1</v>
      </c>
      <c r="R188" t="s">
        <v>25</v>
      </c>
      <c r="S188">
        <v>2</v>
      </c>
      <c r="T188">
        <v>1.9</v>
      </c>
      <c r="U188" s="25">
        <v>3.4146339999999999</v>
      </c>
      <c r="V188" s="25">
        <v>3.2845529999999998</v>
      </c>
      <c r="W188">
        <v>4.5999999999999996</v>
      </c>
      <c r="X188">
        <v>3.9</v>
      </c>
      <c r="AE188" t="s">
        <v>25</v>
      </c>
      <c r="AF188">
        <v>1.9</v>
      </c>
      <c r="AG188">
        <v>2.2000000000000002</v>
      </c>
      <c r="AH188" s="25">
        <v>3.106557</v>
      </c>
      <c r="AI188" s="25">
        <v>3.6393439999999999</v>
      </c>
      <c r="AJ188">
        <v>3.6</v>
      </c>
      <c r="AK188">
        <v>4.9000000000000004</v>
      </c>
    </row>
    <row r="189" spans="1:39" x14ac:dyDescent="0.25">
      <c r="A189" s="17" t="s">
        <v>76</v>
      </c>
      <c r="B189" s="17">
        <v>0.15121950000000001</v>
      </c>
      <c r="C189" s="17">
        <v>0.1365854</v>
      </c>
      <c r="D189" s="17">
        <v>0.1171875</v>
      </c>
      <c r="E189" s="17">
        <v>0.1328125</v>
      </c>
      <c r="F189" s="17">
        <v>0.137931</v>
      </c>
      <c r="G189" s="17">
        <v>0.10344830000000001</v>
      </c>
      <c r="R189" s="17" t="s">
        <v>134</v>
      </c>
      <c r="S189" s="17">
        <v>0.11057690000000001</v>
      </c>
      <c r="T189" s="17">
        <v>0.11961720000000001</v>
      </c>
      <c r="U189" s="17">
        <v>8.1300810000000001E-2</v>
      </c>
      <c r="V189" s="17">
        <v>0.1056911</v>
      </c>
      <c r="W189" s="17">
        <v>0.1649485</v>
      </c>
      <c r="X189" s="17">
        <v>0.1546392</v>
      </c>
      <c r="AE189" s="17" t="s">
        <v>134</v>
      </c>
      <c r="AF189" s="17">
        <v>0.1188119</v>
      </c>
      <c r="AG189" s="17">
        <v>0.17326730000000001</v>
      </c>
      <c r="AH189" s="17">
        <v>0.15573770000000001</v>
      </c>
      <c r="AI189" s="17">
        <v>0.15573770000000001</v>
      </c>
      <c r="AJ189" s="17">
        <v>0.1145833</v>
      </c>
      <c r="AK189" s="17">
        <v>0.14432990000000001</v>
      </c>
    </row>
    <row r="190" spans="1:39" x14ac:dyDescent="0.25">
      <c r="A190" s="17" t="s">
        <v>133</v>
      </c>
      <c r="B190" s="17"/>
      <c r="C190" s="17"/>
      <c r="D190" s="17">
        <v>6.2015500000000001E-2</v>
      </c>
      <c r="E190" s="17">
        <v>4.6511629999999998E-2</v>
      </c>
      <c r="F190" s="17"/>
      <c r="G190" s="17"/>
      <c r="R190" s="17" t="s">
        <v>133</v>
      </c>
      <c r="S190" s="17"/>
      <c r="T190" s="17"/>
      <c r="U190" s="17">
        <v>7.1999999999999995E-2</v>
      </c>
      <c r="V190" s="17">
        <v>5.6000000000000001E-2</v>
      </c>
      <c r="W190" s="17"/>
      <c r="X190" s="17"/>
      <c r="AE190" s="17" t="s">
        <v>133</v>
      </c>
      <c r="AF190" s="17"/>
      <c r="AG190" s="17"/>
      <c r="AH190" s="17">
        <v>9.0163930000000003E-2</v>
      </c>
      <c r="AI190" s="17">
        <v>4.0650409999999998E-2</v>
      </c>
      <c r="AJ190" s="17"/>
      <c r="AK190" s="17"/>
    </row>
    <row r="191" spans="1:39" x14ac:dyDescent="0.25">
      <c r="A191" t="s">
        <v>78</v>
      </c>
      <c r="B191" s="17">
        <v>0.2634146</v>
      </c>
      <c r="C191" s="17">
        <v>0.22439020000000001</v>
      </c>
      <c r="D191" s="17">
        <v>0.34375</v>
      </c>
      <c r="E191" s="17">
        <v>0.234375</v>
      </c>
      <c r="F191" s="17">
        <v>0.37931029999999999</v>
      </c>
      <c r="G191" s="17">
        <v>0.32758619999999999</v>
      </c>
      <c r="R191" t="s">
        <v>78</v>
      </c>
      <c r="S191" s="17">
        <v>0.11057690000000001</v>
      </c>
      <c r="T191" s="17">
        <v>0.20095689999999999</v>
      </c>
      <c r="U191" s="17">
        <v>0.23577239999999999</v>
      </c>
      <c r="V191" s="17">
        <v>0.300813</v>
      </c>
      <c r="W191" s="17">
        <v>0.34020620000000001</v>
      </c>
      <c r="X191" s="17">
        <v>0.37113400000000002</v>
      </c>
      <c r="AE191" t="s">
        <v>78</v>
      </c>
      <c r="AF191" s="17">
        <v>0.24257429999999999</v>
      </c>
      <c r="AG191" s="17">
        <v>0.17241380000000001</v>
      </c>
      <c r="AH191" s="17">
        <v>0.27868850000000001</v>
      </c>
      <c r="AI191" s="17">
        <v>0.25203249999999999</v>
      </c>
      <c r="AJ191" s="17">
        <v>0.30927840000000001</v>
      </c>
      <c r="AK191" s="17">
        <v>0.32989689999999999</v>
      </c>
    </row>
    <row r="192" spans="1:39" x14ac:dyDescent="0.25">
      <c r="A192" t="s">
        <v>135</v>
      </c>
      <c r="B192" s="17"/>
      <c r="C192" s="17"/>
      <c r="D192" s="17">
        <v>0.248062</v>
      </c>
      <c r="E192" s="17">
        <v>0.17054259999999999</v>
      </c>
      <c r="F192" s="17"/>
      <c r="G192" s="17"/>
      <c r="R192" t="s">
        <v>135</v>
      </c>
      <c r="S192" s="17"/>
      <c r="T192" s="17"/>
      <c r="U192" s="17">
        <v>0.224</v>
      </c>
      <c r="V192" s="17">
        <v>0.25600000000000001</v>
      </c>
      <c r="W192" s="17"/>
      <c r="X192" s="17"/>
      <c r="AE192" t="s">
        <v>135</v>
      </c>
      <c r="AF192" s="17"/>
      <c r="AG192" s="17"/>
      <c r="AH192" s="17">
        <v>0.20491799999999999</v>
      </c>
      <c r="AI192" s="17">
        <v>0.19512199999999999</v>
      </c>
      <c r="AJ192" s="17"/>
      <c r="AK192" s="17"/>
    </row>
    <row r="193" spans="1:35" x14ac:dyDescent="0.25">
      <c r="D193">
        <v>24</v>
      </c>
      <c r="E193">
        <v>17</v>
      </c>
      <c r="R193" t="s">
        <v>132</v>
      </c>
      <c r="U193">
        <v>17</v>
      </c>
      <c r="V193">
        <v>18</v>
      </c>
      <c r="AE193" t="s">
        <v>132</v>
      </c>
      <c r="AH193">
        <v>15</v>
      </c>
      <c r="AI193">
        <v>15</v>
      </c>
    </row>
    <row r="200" spans="1:35" x14ac:dyDescent="0.25">
      <c r="E200" s="14">
        <f>E203/SQRT(3)</f>
        <v>2.1629994822487435E-2</v>
      </c>
      <c r="G200" s="14">
        <f>(1+G203)^(1/3)-1</f>
        <v>-2.8885755011277547E-3</v>
      </c>
      <c r="I200" s="14">
        <f>(1+I203)^(1/3)-1</f>
        <v>-2.6401941572533616E-3</v>
      </c>
    </row>
    <row r="201" spans="1:35" x14ac:dyDescent="0.25">
      <c r="E201" s="14">
        <f>E204/SQRT(5)</f>
        <v>2.1025979743500182E-2</v>
      </c>
      <c r="G201" s="14">
        <f>(1+G204)^(1/5)-1</f>
        <v>-2.7058072184259485E-3</v>
      </c>
      <c r="I201" s="14">
        <f>(1+I204)^(1/5)-1</f>
        <v>-2.4080353757159889E-3</v>
      </c>
      <c r="W201" s="22"/>
      <c r="X201" s="22"/>
    </row>
    <row r="202" spans="1:35" x14ac:dyDescent="0.25">
      <c r="A202" s="13">
        <v>28.95</v>
      </c>
      <c r="B202" t="s">
        <v>38</v>
      </c>
      <c r="C202" s="13">
        <v>82.69</v>
      </c>
      <c r="D202" t="s">
        <v>27</v>
      </c>
      <c r="E202" s="14">
        <v>2.4741030000000001E-2</v>
      </c>
      <c r="F202" t="s">
        <v>26</v>
      </c>
      <c r="G202" s="14">
        <v>-2.7377030000000002E-3</v>
      </c>
      <c r="H202" t="s">
        <v>25</v>
      </c>
      <c r="I202" s="14">
        <v>-2.5696740000000001E-3</v>
      </c>
      <c r="J202" s="14"/>
      <c r="P202" s="14"/>
      <c r="W202" s="22"/>
      <c r="X202" s="22"/>
    </row>
    <row r="203" spans="1:35" x14ac:dyDescent="0.25">
      <c r="A203" s="13" t="s">
        <v>67</v>
      </c>
      <c r="C203" s="13"/>
      <c r="D203" t="s">
        <v>27</v>
      </c>
      <c r="E203" s="14">
        <v>3.7464249999999998E-2</v>
      </c>
      <c r="F203" t="s">
        <v>26</v>
      </c>
      <c r="G203" s="14">
        <v>-8.6407189999999998E-3</v>
      </c>
      <c r="H203" s="14" t="s">
        <v>25</v>
      </c>
      <c r="I203" s="14">
        <v>-7.8996889999999997E-3</v>
      </c>
      <c r="K203" s="21">
        <f>ABS(E204*2-1)</f>
        <v>0.90596896000000005</v>
      </c>
      <c r="L203" s="21">
        <f>ABS(E204-1)</f>
        <v>0.95298448000000002</v>
      </c>
      <c r="M203" s="21">
        <f>E204+1</f>
        <v>1.04701552</v>
      </c>
      <c r="N203" s="21">
        <f>E204*2+1</f>
        <v>1.09403104</v>
      </c>
      <c r="P203" s="14"/>
      <c r="W203" s="22"/>
      <c r="X203" s="22"/>
    </row>
    <row r="204" spans="1:35" x14ac:dyDescent="0.25">
      <c r="A204" s="13" t="s">
        <v>63</v>
      </c>
      <c r="C204" s="13"/>
      <c r="D204" t="s">
        <v>27</v>
      </c>
      <c r="E204" s="14">
        <v>4.7015519999999998E-2</v>
      </c>
      <c r="F204" t="s">
        <v>26</v>
      </c>
      <c r="G204" s="14">
        <v>-1.3456020000000001E-2</v>
      </c>
      <c r="H204" t="s">
        <v>25</v>
      </c>
      <c r="I204" s="14">
        <v>-1.1982329999999999E-2</v>
      </c>
      <c r="J204" s="14"/>
      <c r="K204" s="13">
        <f>K203*$M$119</f>
        <v>335.95140974719999</v>
      </c>
      <c r="L204" s="13">
        <f>L203*$M$119</f>
        <v>353.38570487359999</v>
      </c>
      <c r="M204" s="13">
        <f>M203*$M$119</f>
        <v>388.2542951264</v>
      </c>
      <c r="N204" s="13">
        <f>N203*$M$119</f>
        <v>405.6885902528</v>
      </c>
      <c r="P204" s="14"/>
      <c r="W204" s="22"/>
      <c r="X204" s="22"/>
    </row>
    <row r="205" spans="1:35" x14ac:dyDescent="0.25">
      <c r="A205" t="s">
        <v>27</v>
      </c>
      <c r="B205" s="14">
        <v>1.7005019999999999E-2</v>
      </c>
      <c r="C205" s="14">
        <v>1.6418019999999998E-2</v>
      </c>
      <c r="D205" s="14">
        <v>2.3921999999999999E-2</v>
      </c>
      <c r="E205" s="14">
        <v>2.4015689999999999E-2</v>
      </c>
      <c r="F205" s="14">
        <v>3.116909E-2</v>
      </c>
      <c r="G205" s="14">
        <v>3.1103889999999999E-2</v>
      </c>
      <c r="K205" s="21">
        <f>G206-2*G205+1</f>
        <v>0.90462251999999999</v>
      </c>
      <c r="L205" s="21">
        <f>G206+1</f>
        <v>0.96683030000000003</v>
      </c>
      <c r="M205" s="21">
        <f>F206+1</f>
        <v>1.0246725400000001</v>
      </c>
      <c r="N205" s="21">
        <f>F206+2*F205+1</f>
        <v>1.0870107200000001</v>
      </c>
    </row>
    <row r="206" spans="1:35" x14ac:dyDescent="0.25">
      <c r="A206" t="s">
        <v>26</v>
      </c>
      <c r="B206" s="14">
        <v>1.23182E-2</v>
      </c>
      <c r="C206" s="14">
        <v>-1.5632630000000002E-2</v>
      </c>
      <c r="D206" s="14">
        <v>2.2661959999999998E-2</v>
      </c>
      <c r="E206" s="14">
        <v>-2.636428E-2</v>
      </c>
      <c r="F206" s="14">
        <v>2.467254E-2</v>
      </c>
      <c r="G206" s="14">
        <v>-3.3169700000000003E-2</v>
      </c>
      <c r="K206">
        <f>K205*M119</f>
        <v>335.45212286639998</v>
      </c>
      <c r="L206" s="13">
        <f>$M$119*L205</f>
        <v>358.52001184599999</v>
      </c>
      <c r="M206" s="13">
        <f>$M$119*M205</f>
        <v>379.96907128280003</v>
      </c>
      <c r="N206" s="13">
        <f>N205*$M$119</f>
        <v>403.08531519040002</v>
      </c>
    </row>
    <row r="207" spans="1:35" x14ac:dyDescent="0.25">
      <c r="A207" t="s">
        <v>25</v>
      </c>
      <c r="B207" s="14">
        <v>1.7569669999999999E-2</v>
      </c>
      <c r="C207" s="14">
        <v>-1.9136630000000002E-2</v>
      </c>
      <c r="D207" s="14">
        <v>2.7277610000000001E-2</v>
      </c>
      <c r="E207" s="14">
        <v>-3.144636E-2</v>
      </c>
      <c r="F207" s="14">
        <v>3.3573270000000002E-2</v>
      </c>
      <c r="G207" s="14">
        <v>-3.9227239999999997E-2</v>
      </c>
      <c r="N207" s="13"/>
      <c r="O207" s="13"/>
    </row>
    <row r="208" spans="1:35" x14ac:dyDescent="0.25">
      <c r="A208" t="s">
        <v>31</v>
      </c>
      <c r="B208" t="s">
        <v>30</v>
      </c>
      <c r="C208" t="s">
        <v>33</v>
      </c>
      <c r="D208" t="s">
        <v>58</v>
      </c>
      <c r="E208" t="s">
        <v>59</v>
      </c>
      <c r="F208" t="s">
        <v>65</v>
      </c>
      <c r="G208" t="s">
        <v>66</v>
      </c>
      <c r="N208" s="17"/>
      <c r="O208" s="17"/>
    </row>
    <row r="209" spans="1:15" x14ac:dyDescent="0.25">
      <c r="A209">
        <v>0.1</v>
      </c>
      <c r="B209" s="17">
        <v>0.97849459999999999</v>
      </c>
      <c r="C209" s="17">
        <v>0.96452329999999997</v>
      </c>
      <c r="D209" s="17">
        <v>0.9757576</v>
      </c>
      <c r="E209" s="17">
        <v>0.98985800000000002</v>
      </c>
      <c r="F209" s="17">
        <v>0.96103899999999998</v>
      </c>
      <c r="G209" s="17">
        <v>0.99417480000000003</v>
      </c>
      <c r="H209" s="25">
        <f>$M$119*(A209/100+1)</f>
        <v>371.19081999999997</v>
      </c>
      <c r="I209" s="25">
        <f>(1-A209/100)*$M$119</f>
        <v>370.44918000000001</v>
      </c>
      <c r="J209" s="21" t="s">
        <v>40</v>
      </c>
      <c r="K209">
        <v>372</v>
      </c>
      <c r="L209">
        <v>330</v>
      </c>
      <c r="M209">
        <v>308</v>
      </c>
      <c r="N209" s="17"/>
      <c r="O209" s="17"/>
    </row>
    <row r="210" spans="1:15" x14ac:dyDescent="0.25">
      <c r="A210">
        <v>0.2</v>
      </c>
      <c r="B210" s="17">
        <v>0.92473119999999998</v>
      </c>
      <c r="C210" s="17">
        <v>0.92904659999999994</v>
      </c>
      <c r="D210" s="17">
        <v>0.95454550000000005</v>
      </c>
      <c r="E210" s="17">
        <v>0.97565919999999995</v>
      </c>
      <c r="F210" s="17">
        <v>0.9253247</v>
      </c>
      <c r="G210" s="17">
        <v>0.98640779999999995</v>
      </c>
      <c r="H210" s="25">
        <f>$M$119*(A210/100+1)</f>
        <v>371.56164000000001</v>
      </c>
      <c r="I210" s="25">
        <f>(1-A210/100)*$M$119</f>
        <v>370.07835999999998</v>
      </c>
      <c r="J210" s="21" t="s">
        <v>41</v>
      </c>
      <c r="K210">
        <v>451</v>
      </c>
      <c r="L210">
        <v>493</v>
      </c>
      <c r="M210">
        <v>515</v>
      </c>
    </row>
    <row r="211" spans="1:15" x14ac:dyDescent="0.25">
      <c r="A211">
        <v>0.3</v>
      </c>
      <c r="B211" s="17">
        <v>0.87365590000000004</v>
      </c>
      <c r="C211" s="17">
        <v>0.89800440000000004</v>
      </c>
      <c r="D211" s="17">
        <v>0.93030299999999999</v>
      </c>
      <c r="E211" s="17">
        <v>0.94320490000000001</v>
      </c>
      <c r="F211" s="17">
        <v>0.89610389999999995</v>
      </c>
      <c r="G211" s="17">
        <v>0.96310680000000004</v>
      </c>
      <c r="H211" s="25">
        <f>$M$119*(A211/100+1)</f>
        <v>371.93245999999994</v>
      </c>
      <c r="I211" s="25">
        <f>(1-A211/100)*$M$119</f>
        <v>369.70753999999999</v>
      </c>
      <c r="J211" t="s">
        <v>42</v>
      </c>
      <c r="K211" s="13">
        <f>K209/K210</f>
        <v>0.82483370288248337</v>
      </c>
      <c r="L211" s="13">
        <f>L209/L210</f>
        <v>0.66937119675456391</v>
      </c>
      <c r="M211" s="13">
        <f>M209/M210</f>
        <v>0.59805825242718447</v>
      </c>
    </row>
    <row r="212" spans="1:15" x14ac:dyDescent="0.25">
      <c r="A212">
        <v>0.4</v>
      </c>
      <c r="B212" s="17">
        <v>0.844086</v>
      </c>
      <c r="C212" s="17">
        <v>0.87583149999999999</v>
      </c>
      <c r="D212" s="17">
        <v>0.89696969999999998</v>
      </c>
      <c r="E212" s="17">
        <v>0.92900609999999995</v>
      </c>
      <c r="F212" s="17">
        <v>0.87337659999999995</v>
      </c>
      <c r="G212" s="17">
        <v>0.94951459999999999</v>
      </c>
      <c r="H212" s="25">
        <f>$M$119*(A212/100+1)</f>
        <v>372.30327999999997</v>
      </c>
      <c r="I212" s="25">
        <f>(1-A212/100)*$M$119</f>
        <v>369.33672000000001</v>
      </c>
      <c r="K212" s="17">
        <f>K209/SUM(K209:K210)</f>
        <v>0.45200486026731468</v>
      </c>
      <c r="L212" s="17">
        <f>L209/SUM(L209:L210)</f>
        <v>0.40097205346294046</v>
      </c>
      <c r="M212" s="17">
        <f>M209/SUM(M209:M210)</f>
        <v>0.37424058323207776</v>
      </c>
    </row>
    <row r="213" spans="1:15" x14ac:dyDescent="0.25">
      <c r="A213">
        <v>0.5</v>
      </c>
      <c r="B213" s="17">
        <v>0.79569889999999999</v>
      </c>
      <c r="C213" s="17">
        <v>0.84922390000000003</v>
      </c>
      <c r="D213" s="17">
        <v>0.87878789999999996</v>
      </c>
      <c r="E213" s="17">
        <v>0.90669370000000005</v>
      </c>
      <c r="F213" s="17">
        <v>0.85389610000000005</v>
      </c>
      <c r="G213" s="17">
        <v>0.94368929999999995</v>
      </c>
      <c r="H213" s="25">
        <f>$M$119*(A213/100+1)</f>
        <v>372.67409999999995</v>
      </c>
      <c r="I213" s="25">
        <f>(1-A213/100)*$M$119</f>
        <v>368.96589999999998</v>
      </c>
      <c r="J213" s="25"/>
      <c r="K213" s="17">
        <f>K210/SUM(K209:K210)</f>
        <v>0.54799513973268532</v>
      </c>
      <c r="L213" s="17">
        <f>L210/SUM(L209:L210)</f>
        <v>0.59902794653705949</v>
      </c>
      <c r="M213" s="17">
        <f>M210/SUM(M209:M210)</f>
        <v>0.62575941676792224</v>
      </c>
    </row>
    <row r="214" spans="1:15" x14ac:dyDescent="0.25">
      <c r="A214">
        <v>0.6</v>
      </c>
      <c r="B214" s="17">
        <v>0.75</v>
      </c>
      <c r="C214" s="17">
        <v>0.79600890000000002</v>
      </c>
      <c r="D214" s="17">
        <v>0.85454549999999996</v>
      </c>
      <c r="E214" s="17">
        <v>0.88640969999999997</v>
      </c>
      <c r="F214" s="17">
        <v>0.82792209999999999</v>
      </c>
      <c r="G214" s="17">
        <v>0.93009710000000001</v>
      </c>
      <c r="H214" s="25">
        <f>$M$119*(A214/100+1)</f>
        <v>373.04491999999999</v>
      </c>
      <c r="I214" s="25">
        <f>(1-A214/100)*$M$119</f>
        <v>368.59508</v>
      </c>
      <c r="J214" s="25"/>
    </row>
    <row r="215" spans="1:15" x14ac:dyDescent="0.25">
      <c r="A215">
        <v>0.7</v>
      </c>
      <c r="B215" s="17">
        <v>0.70967740000000001</v>
      </c>
      <c r="C215" s="17">
        <v>0.7760532</v>
      </c>
      <c r="D215" s="17">
        <v>0.83333330000000005</v>
      </c>
      <c r="E215" s="17">
        <v>0.86206899999999997</v>
      </c>
      <c r="F215" s="17">
        <v>0.79545449999999995</v>
      </c>
      <c r="G215" s="17">
        <v>0.91650489999999996</v>
      </c>
      <c r="H215" s="25">
        <f>$M$119*(A215/100+1)</f>
        <v>373.41573999999997</v>
      </c>
      <c r="I215" s="25">
        <f>(1-A215/100)*$M$119</f>
        <v>368.22426000000002</v>
      </c>
      <c r="J215" s="25"/>
    </row>
    <row r="216" spans="1:15" x14ac:dyDescent="0.25">
      <c r="A216">
        <v>0.8</v>
      </c>
      <c r="B216" s="17">
        <v>0.655914</v>
      </c>
      <c r="C216" s="17">
        <v>0.73835919999999999</v>
      </c>
      <c r="D216" s="17">
        <v>0.80303029999999997</v>
      </c>
      <c r="E216" s="17">
        <v>0.84989859999999995</v>
      </c>
      <c r="F216" s="17">
        <v>0.77922080000000005</v>
      </c>
      <c r="G216" s="17">
        <v>0.88737860000000002</v>
      </c>
      <c r="H216" s="25">
        <f>$M$119*(A216/100+1)</f>
        <v>373.78656000000001</v>
      </c>
      <c r="I216" s="25">
        <f>(1-A216/100)*$M$119</f>
        <v>367.85343999999998</v>
      </c>
      <c r="J216" s="25"/>
    </row>
    <row r="217" spans="1:15" x14ac:dyDescent="0.25">
      <c r="A217">
        <v>0.9</v>
      </c>
      <c r="B217" s="17">
        <v>0.61559140000000001</v>
      </c>
      <c r="C217" s="17">
        <v>0.69401330000000006</v>
      </c>
      <c r="D217" s="17">
        <v>0.77575760000000005</v>
      </c>
      <c r="E217" s="17">
        <v>0.82961459999999998</v>
      </c>
      <c r="F217" s="17">
        <v>0.76623379999999996</v>
      </c>
      <c r="G217" s="17">
        <v>0.86796119999999999</v>
      </c>
      <c r="H217" s="25">
        <f>$M$119*(A217/100+1)</f>
        <v>374.15737999999993</v>
      </c>
      <c r="I217" s="25">
        <f>(1-A217/100)*$M$119</f>
        <v>367.48262</v>
      </c>
      <c r="J217" s="25"/>
    </row>
    <row r="218" spans="1:15" x14ac:dyDescent="0.25">
      <c r="A218">
        <v>1</v>
      </c>
      <c r="B218" s="17">
        <v>0.56989250000000002</v>
      </c>
      <c r="C218" s="17">
        <v>0.66075390000000001</v>
      </c>
      <c r="D218" s="17">
        <v>0.75151520000000005</v>
      </c>
      <c r="E218" s="17">
        <v>0.81744419999999995</v>
      </c>
      <c r="F218" s="17">
        <v>0.75324679999999999</v>
      </c>
      <c r="G218" s="17">
        <v>0.85242720000000005</v>
      </c>
      <c r="H218" s="25">
        <f>$M$119*(A218/100+1)</f>
        <v>374.52819999999997</v>
      </c>
      <c r="I218" s="25">
        <f>(1-A218/100)*$M$119</f>
        <v>367.11180000000002</v>
      </c>
      <c r="J218" s="25"/>
    </row>
    <row r="219" spans="1:15" x14ac:dyDescent="0.25">
      <c r="A219">
        <v>1.1000000000000001</v>
      </c>
      <c r="B219" s="17">
        <v>0.54301080000000002</v>
      </c>
      <c r="C219" s="17">
        <v>0.62971180000000004</v>
      </c>
      <c r="D219" s="17">
        <v>0.72727269999999999</v>
      </c>
      <c r="E219" s="17">
        <v>0.79918860000000003</v>
      </c>
      <c r="F219" s="17">
        <v>0.73701300000000003</v>
      </c>
      <c r="G219" s="17">
        <v>0.83300969999999996</v>
      </c>
      <c r="H219" s="25">
        <f>$M$119*(A219/100+1)</f>
        <v>374.89901999999995</v>
      </c>
      <c r="I219" s="25">
        <f>(1-A219/100)*$M$119</f>
        <v>366.74097999999998</v>
      </c>
      <c r="J219" s="25"/>
    </row>
    <row r="220" spans="1:15" x14ac:dyDescent="0.25">
      <c r="A220">
        <v>1.2</v>
      </c>
      <c r="B220" s="17">
        <v>0.51075269999999995</v>
      </c>
      <c r="C220" s="17">
        <v>0.60532149999999996</v>
      </c>
      <c r="D220" s="17">
        <v>0.7030303</v>
      </c>
      <c r="E220" s="17">
        <v>0.78701829999999995</v>
      </c>
      <c r="F220" s="17">
        <v>0.72077919999999995</v>
      </c>
      <c r="G220" s="17">
        <v>0.8252427</v>
      </c>
      <c r="H220" s="25">
        <f>$M$119*(A220/100+1)</f>
        <v>375.26983999999999</v>
      </c>
      <c r="I220" s="25">
        <f>(1-A220/100)*$M$119</f>
        <v>366.37016</v>
      </c>
      <c r="J220" s="25"/>
    </row>
    <row r="221" spans="1:15" x14ac:dyDescent="0.25">
      <c r="A221">
        <v>1.3</v>
      </c>
      <c r="B221" s="17">
        <v>0.4892473</v>
      </c>
      <c r="C221" s="17">
        <v>0.56984480000000004</v>
      </c>
      <c r="D221" s="17">
        <v>0.66363640000000002</v>
      </c>
      <c r="E221" s="17">
        <v>0.77079109999999995</v>
      </c>
      <c r="F221" s="17">
        <v>0.71428570000000002</v>
      </c>
      <c r="G221" s="17">
        <v>0.80970869999999995</v>
      </c>
      <c r="H221" s="25">
        <f>$M$119*(A221/100+1)</f>
        <v>375.64065999999997</v>
      </c>
      <c r="I221" s="25">
        <f>(1-A221/100)*$M$119</f>
        <v>365.99933999999996</v>
      </c>
      <c r="J221" s="25"/>
    </row>
    <row r="222" spans="1:15" x14ac:dyDescent="0.25">
      <c r="A222">
        <v>1.4</v>
      </c>
      <c r="B222" s="17">
        <v>0.45967740000000001</v>
      </c>
      <c r="C222" s="17">
        <v>0.54323730000000003</v>
      </c>
      <c r="D222" s="17">
        <v>0.6424242</v>
      </c>
      <c r="E222" s="17">
        <v>0.75862070000000004</v>
      </c>
      <c r="F222" s="17">
        <v>0.69155840000000002</v>
      </c>
      <c r="G222" s="17">
        <v>0.78640779999999999</v>
      </c>
      <c r="H222" s="25">
        <f>$M$119*(A222/100+1)</f>
        <v>376.01148000000001</v>
      </c>
      <c r="I222" s="25">
        <f>(1-A222/100)*$M$119</f>
        <v>365.62851999999998</v>
      </c>
      <c r="J222" s="25"/>
    </row>
    <row r="223" spans="1:15" x14ac:dyDescent="0.25">
      <c r="A223">
        <v>1.5</v>
      </c>
      <c r="B223" s="17">
        <v>0.43279570000000001</v>
      </c>
      <c r="C223" s="17">
        <v>0.52549889999999999</v>
      </c>
      <c r="D223" s="17">
        <v>0.60606059999999995</v>
      </c>
      <c r="E223" s="17">
        <v>0.74239350000000004</v>
      </c>
      <c r="F223" s="17">
        <v>0.6753247</v>
      </c>
      <c r="G223" s="17">
        <v>0.77087380000000005</v>
      </c>
      <c r="H223" s="25">
        <f>$M$119*(A223/100+1)</f>
        <v>376.38229999999993</v>
      </c>
      <c r="I223" s="25">
        <f>(1-A223/100)*$M$119</f>
        <v>365.2577</v>
      </c>
      <c r="J223" s="25"/>
    </row>
    <row r="224" spans="1:15" x14ac:dyDescent="0.25">
      <c r="A224">
        <v>1.6</v>
      </c>
      <c r="B224" s="17">
        <v>0.40322580000000002</v>
      </c>
      <c r="C224" s="17">
        <v>0.4922395</v>
      </c>
      <c r="D224" s="17">
        <v>0.58181819999999995</v>
      </c>
      <c r="E224" s="17">
        <v>0.72008110000000003</v>
      </c>
      <c r="F224" s="17">
        <v>0.6493506</v>
      </c>
      <c r="G224" s="17">
        <v>0.75145629999999997</v>
      </c>
      <c r="H224" s="25">
        <f>$M$119*(A224/100+1)</f>
        <v>376.75312000000002</v>
      </c>
      <c r="I224" s="25">
        <f>(1-A224/100)*$M$119</f>
        <v>364.88687999999996</v>
      </c>
      <c r="J224" s="25"/>
    </row>
    <row r="225" spans="1:10" x14ac:dyDescent="0.25">
      <c r="A225">
        <v>1.7</v>
      </c>
      <c r="B225" s="17">
        <v>0.37365589999999999</v>
      </c>
      <c r="C225" s="17">
        <v>0.45898</v>
      </c>
      <c r="D225" s="17">
        <v>0.57878790000000002</v>
      </c>
      <c r="E225" s="17">
        <v>0.70182560000000005</v>
      </c>
      <c r="F225" s="17">
        <v>0.63961040000000002</v>
      </c>
      <c r="G225" s="17">
        <v>0.74174759999999995</v>
      </c>
      <c r="H225" s="25">
        <f>$M$119*(A225/100+1)</f>
        <v>377.12393999999995</v>
      </c>
      <c r="I225" s="25">
        <f>(1-A225/100)*$M$119</f>
        <v>364.51605999999998</v>
      </c>
      <c r="J225" s="25"/>
    </row>
    <row r="226" spans="1:10" x14ac:dyDescent="0.25">
      <c r="A226">
        <v>1.8</v>
      </c>
      <c r="B226" s="17">
        <v>0.344086</v>
      </c>
      <c r="C226" s="17">
        <v>0.43015520000000002</v>
      </c>
      <c r="D226" s="17">
        <v>0.5606061</v>
      </c>
      <c r="E226" s="17">
        <v>0.67951320000000004</v>
      </c>
      <c r="F226" s="17">
        <v>0.61688310000000002</v>
      </c>
      <c r="G226" s="17">
        <v>0.72621360000000001</v>
      </c>
      <c r="H226" s="25">
        <f>$M$119*(A226/100+1)</f>
        <v>377.49475999999999</v>
      </c>
      <c r="I226" s="25">
        <f>(1-A226/100)*$M$119</f>
        <v>364.14524</v>
      </c>
      <c r="J226" s="25"/>
    </row>
    <row r="227" spans="1:10" x14ac:dyDescent="0.25">
      <c r="A227">
        <v>1.9</v>
      </c>
      <c r="B227" s="17">
        <v>0.32526880000000002</v>
      </c>
      <c r="C227" s="17">
        <v>0.3991131</v>
      </c>
      <c r="D227" s="17">
        <v>0.53939389999999998</v>
      </c>
      <c r="E227" s="17">
        <v>0.65314399999999995</v>
      </c>
      <c r="F227" s="17">
        <v>0.59740260000000001</v>
      </c>
      <c r="G227" s="17">
        <v>0.7029126</v>
      </c>
      <c r="H227" s="25">
        <f>$M$119*(A227/100+1)</f>
        <v>377.86557999999997</v>
      </c>
      <c r="I227" s="25">
        <f>(1-A227/100)*$M$119</f>
        <v>363.77441999999996</v>
      </c>
      <c r="J227" s="25"/>
    </row>
    <row r="228" spans="1:10" x14ac:dyDescent="0.25">
      <c r="A228">
        <v>2</v>
      </c>
      <c r="B228" s="17">
        <v>0.30645159999999999</v>
      </c>
      <c r="C228" s="17">
        <v>0.37250549999999999</v>
      </c>
      <c r="D228" s="17">
        <v>0.51818180000000003</v>
      </c>
      <c r="E228" s="17">
        <v>0.63894519999999999</v>
      </c>
      <c r="F228" s="17">
        <v>0.57792209999999999</v>
      </c>
      <c r="G228" s="17">
        <v>0.68349510000000002</v>
      </c>
      <c r="H228" s="25">
        <f>$M$119*(A228/100+1)</f>
        <v>378.2364</v>
      </c>
      <c r="I228" s="25">
        <f>(1-A228/100)*$M$119</f>
        <v>363.40359999999998</v>
      </c>
      <c r="J228" s="25"/>
    </row>
    <row r="229" spans="1:10" x14ac:dyDescent="0.25">
      <c r="A229">
        <v>2.1</v>
      </c>
      <c r="B229" s="17">
        <v>0.29569889999999999</v>
      </c>
      <c r="C229" s="17">
        <v>0.34811530000000002</v>
      </c>
      <c r="D229" s="17">
        <v>0.51818180000000003</v>
      </c>
      <c r="E229" s="17">
        <v>0.62677479999999997</v>
      </c>
      <c r="F229" s="17">
        <v>0.56818179999999996</v>
      </c>
      <c r="G229" s="17">
        <v>0.66019419999999995</v>
      </c>
      <c r="H229" s="25">
        <f>$M$119*(A229/100+1)</f>
        <v>378.60721999999998</v>
      </c>
      <c r="I229" s="25">
        <f>(1-A229/100)*$M$119</f>
        <v>363.03278</v>
      </c>
      <c r="J229" s="25"/>
    </row>
    <row r="230" spans="1:10" x14ac:dyDescent="0.25">
      <c r="A230">
        <v>2.2000000000000002</v>
      </c>
      <c r="B230" s="17">
        <v>0.27688170000000001</v>
      </c>
      <c r="C230" s="17">
        <v>0.32594240000000002</v>
      </c>
      <c r="D230" s="17">
        <v>0.50606059999999997</v>
      </c>
      <c r="E230" s="17">
        <v>0.60851929999999999</v>
      </c>
      <c r="F230" s="17">
        <v>0.55519479999999999</v>
      </c>
      <c r="G230" s="17">
        <v>0.65048539999999999</v>
      </c>
      <c r="H230" s="25">
        <f>$M$119*(A230/100+1)</f>
        <v>378.97804000000002</v>
      </c>
      <c r="I230" s="25">
        <f>(1-A230/100)*$M$119</f>
        <v>362.66195999999997</v>
      </c>
      <c r="J230" s="25"/>
    </row>
    <row r="231" spans="1:10" x14ac:dyDescent="0.25">
      <c r="A231">
        <v>2.2999999999999998</v>
      </c>
      <c r="B231" s="17">
        <v>0.25806449999999997</v>
      </c>
      <c r="C231" s="17">
        <v>0.29711749999999998</v>
      </c>
      <c r="D231" s="17">
        <v>0.49696970000000001</v>
      </c>
      <c r="E231" s="17">
        <v>0.57809330000000003</v>
      </c>
      <c r="F231" s="17">
        <v>0.52922080000000005</v>
      </c>
      <c r="G231" s="17">
        <v>0.62912619999999997</v>
      </c>
      <c r="H231" s="25">
        <f>$M$119*(A231/100+1)</f>
        <v>379.34885999999995</v>
      </c>
      <c r="I231" s="25">
        <f>(1-A231/100)*$M$119</f>
        <v>362.29113999999998</v>
      </c>
      <c r="J231" s="25"/>
    </row>
    <row r="232" spans="1:10" x14ac:dyDescent="0.25">
      <c r="A232">
        <v>2.4</v>
      </c>
      <c r="B232" s="17">
        <v>0.2473118</v>
      </c>
      <c r="C232" s="17">
        <v>0.28159650000000003</v>
      </c>
      <c r="D232" s="17">
        <v>0.47272730000000002</v>
      </c>
      <c r="E232" s="17">
        <v>0.55780929999999995</v>
      </c>
      <c r="F232" s="17">
        <v>0.51623379999999996</v>
      </c>
      <c r="G232" s="17">
        <v>0.6213592</v>
      </c>
      <c r="H232" s="25">
        <f>$M$119*(A232/100+1)</f>
        <v>379.71967999999998</v>
      </c>
      <c r="I232" s="25">
        <f>(1-A232/100)*$M$119</f>
        <v>361.92032</v>
      </c>
      <c r="J232" s="25"/>
    </row>
    <row r="233" spans="1:10" x14ac:dyDescent="0.25">
      <c r="A233">
        <v>2.5</v>
      </c>
      <c r="B233" s="17">
        <v>0.23118279999999999</v>
      </c>
      <c r="C233" s="17">
        <v>0.26385809999999998</v>
      </c>
      <c r="D233" s="17">
        <v>0.4636364</v>
      </c>
      <c r="E233" s="17">
        <v>0.52738339999999995</v>
      </c>
      <c r="F233" s="17">
        <v>0.48701299999999997</v>
      </c>
      <c r="G233" s="17">
        <v>0.60388350000000002</v>
      </c>
      <c r="H233" s="25">
        <f>$M$119*(A233/100+1)</f>
        <v>380.09049999999996</v>
      </c>
      <c r="I233" s="25">
        <f>(1-A233/100)*$M$119</f>
        <v>361.54949999999997</v>
      </c>
      <c r="J233" s="25"/>
    </row>
    <row r="234" spans="1:10" x14ac:dyDescent="0.25">
      <c r="A234">
        <v>2.6</v>
      </c>
      <c r="B234" s="17">
        <v>0.21505379999999999</v>
      </c>
      <c r="C234" s="17">
        <v>0.24390239999999999</v>
      </c>
      <c r="D234" s="17">
        <v>0.44242419999999999</v>
      </c>
      <c r="E234" s="17">
        <v>0.50709939999999998</v>
      </c>
      <c r="F234" s="17">
        <v>0.474026</v>
      </c>
      <c r="G234" s="17">
        <v>0.59805830000000004</v>
      </c>
      <c r="H234" s="25">
        <f>$M$119*(A234/100+1)</f>
        <v>380.46132</v>
      </c>
      <c r="I234" s="25">
        <f>(1-A234/100)*$M$119</f>
        <v>361.17867999999999</v>
      </c>
      <c r="J234" s="25"/>
    </row>
    <row r="235" spans="1:10" x14ac:dyDescent="0.25">
      <c r="A235">
        <v>2.7</v>
      </c>
      <c r="B235" s="17">
        <v>0.19892470000000001</v>
      </c>
      <c r="C235" s="17">
        <v>0.23725060000000001</v>
      </c>
      <c r="D235" s="17">
        <v>0.42727270000000001</v>
      </c>
      <c r="E235" s="17">
        <v>0.48275859999999998</v>
      </c>
      <c r="F235" s="17">
        <v>0.46753250000000002</v>
      </c>
      <c r="G235" s="17">
        <v>0.58640780000000003</v>
      </c>
      <c r="H235" s="25">
        <f>$M$119*(A235/100+1)</f>
        <v>380.83213999999998</v>
      </c>
      <c r="I235" s="25">
        <f>(1-A235/100)*$M$119</f>
        <v>360.80786000000001</v>
      </c>
      <c r="J235" s="25"/>
    </row>
    <row r="236" spans="1:10" x14ac:dyDescent="0.25">
      <c r="A236">
        <v>2.8</v>
      </c>
      <c r="B236" s="17">
        <v>0.19623660000000001</v>
      </c>
      <c r="C236" s="17">
        <v>0.2239468</v>
      </c>
      <c r="D236" s="17">
        <v>0.41515150000000001</v>
      </c>
      <c r="E236" s="17">
        <v>0.4726166</v>
      </c>
      <c r="F236" s="17">
        <v>0.4480519</v>
      </c>
      <c r="G236" s="17">
        <v>0.57475730000000003</v>
      </c>
      <c r="H236" s="25">
        <f>$M$119*(A236/100+1)</f>
        <v>381.20296000000002</v>
      </c>
      <c r="I236" s="25">
        <f>(1-A236/100)*$M$119</f>
        <v>360.43703999999997</v>
      </c>
      <c r="J236" s="25"/>
    </row>
    <row r="237" spans="1:10" x14ac:dyDescent="0.25">
      <c r="A237">
        <v>2.9</v>
      </c>
      <c r="B237" s="17">
        <v>0.18548390000000001</v>
      </c>
      <c r="C237" s="17">
        <v>0.20842569999999999</v>
      </c>
      <c r="D237" s="17">
        <v>0.38787880000000002</v>
      </c>
      <c r="E237" s="17">
        <v>0.44016230000000001</v>
      </c>
      <c r="F237" s="17">
        <v>0.44155840000000002</v>
      </c>
      <c r="G237" s="17">
        <v>0.55922329999999998</v>
      </c>
      <c r="H237" s="25">
        <f>$M$119*(A237/100+1)</f>
        <v>381.57377999999994</v>
      </c>
      <c r="I237" s="25">
        <f>(1-A237/100)*$M$119</f>
        <v>360.06621999999999</v>
      </c>
      <c r="J237" s="25"/>
    </row>
    <row r="238" spans="1:10" x14ac:dyDescent="0.25">
      <c r="A238">
        <v>3</v>
      </c>
      <c r="B238" s="17">
        <v>0.1747312</v>
      </c>
      <c r="C238" s="17">
        <v>0.19068740000000001</v>
      </c>
      <c r="D238" s="17">
        <v>0.369697</v>
      </c>
      <c r="E238" s="17">
        <v>0.41987829999999998</v>
      </c>
      <c r="F238" s="17">
        <v>0.42857139999999999</v>
      </c>
      <c r="G238" s="17">
        <v>0.54757279999999997</v>
      </c>
      <c r="H238" s="25">
        <f>$M$119*(A238/100+1)</f>
        <v>381.94459999999998</v>
      </c>
      <c r="I238" s="25">
        <f>(1-A238/100)*$M$119</f>
        <v>359.69540000000001</v>
      </c>
      <c r="J238" s="25"/>
    </row>
    <row r="239" spans="1:10" x14ac:dyDescent="0.25">
      <c r="A239">
        <v>3.1</v>
      </c>
      <c r="B239" s="17">
        <v>0.1693548</v>
      </c>
      <c r="C239" s="17">
        <v>0.17294899999999999</v>
      </c>
      <c r="D239" s="17">
        <v>0.34848479999999998</v>
      </c>
      <c r="E239" s="17">
        <v>0.4097363</v>
      </c>
      <c r="F239" s="17">
        <v>0.41883120000000001</v>
      </c>
      <c r="G239" s="17">
        <v>0.52815529999999999</v>
      </c>
      <c r="H239" s="25">
        <f>$M$119*(A239/100+1)</f>
        <v>382.31541999999996</v>
      </c>
      <c r="I239" s="25">
        <f>(1-A239/100)*$M$119</f>
        <v>359.32457999999997</v>
      </c>
      <c r="J239" s="25"/>
    </row>
    <row r="240" spans="1:10" x14ac:dyDescent="0.25">
      <c r="A240">
        <v>3.2</v>
      </c>
      <c r="B240" s="17">
        <v>0.1612903</v>
      </c>
      <c r="C240" s="17">
        <v>0.16186249999999999</v>
      </c>
      <c r="D240" s="17">
        <v>0.33939390000000003</v>
      </c>
      <c r="E240" s="17">
        <v>0.39553749999999999</v>
      </c>
      <c r="F240" s="17">
        <v>0.41883120000000001</v>
      </c>
      <c r="G240" s="17">
        <v>0.52233010000000002</v>
      </c>
      <c r="H240" s="25">
        <f>$M$119*(A240/100+1)</f>
        <v>382.68624</v>
      </c>
      <c r="I240" s="25">
        <f>(1-A240/100)*$M$119</f>
        <v>358.95375999999999</v>
      </c>
      <c r="J240" s="25"/>
    </row>
    <row r="241" spans="1:10" x14ac:dyDescent="0.25">
      <c r="A241">
        <v>3.3</v>
      </c>
      <c r="B241" s="17">
        <v>0.1532258</v>
      </c>
      <c r="C241" s="17">
        <v>0.1507761</v>
      </c>
      <c r="D241" s="17">
        <v>0.32727270000000003</v>
      </c>
      <c r="E241" s="17">
        <v>0.3772819</v>
      </c>
      <c r="F241" s="17">
        <v>0.40584419999999999</v>
      </c>
      <c r="G241" s="17">
        <v>0.50291260000000004</v>
      </c>
      <c r="H241" s="25">
        <f>$M$119*(A241/100+1)</f>
        <v>383.05705999999998</v>
      </c>
      <c r="I241" s="25">
        <f>(1-A241/100)*$M$119</f>
        <v>358.58294000000001</v>
      </c>
      <c r="J241" s="25"/>
    </row>
    <row r="242" spans="1:10" x14ac:dyDescent="0.25">
      <c r="A242">
        <v>3.4</v>
      </c>
      <c r="B242" s="17">
        <v>0.14247309999999999</v>
      </c>
      <c r="C242" s="17">
        <v>0.1396896</v>
      </c>
      <c r="D242" s="17">
        <v>0.3090909</v>
      </c>
      <c r="E242" s="17">
        <v>0.37525350000000002</v>
      </c>
      <c r="F242" s="17">
        <v>0.39285710000000001</v>
      </c>
      <c r="G242" s="17">
        <v>0.49320389999999997</v>
      </c>
      <c r="H242" s="25">
        <f>$M$119*(A242/100+1)</f>
        <v>383.42788000000002</v>
      </c>
      <c r="I242" s="25">
        <f>(1-A242/100)*$M$119</f>
        <v>358.21211999999997</v>
      </c>
      <c r="J242" s="25"/>
    </row>
    <row r="243" spans="1:10" x14ac:dyDescent="0.25">
      <c r="A243">
        <v>3.5</v>
      </c>
      <c r="B243" s="17">
        <v>0.12903229999999999</v>
      </c>
      <c r="C243" s="17">
        <v>0.12638579999999999</v>
      </c>
      <c r="D243" s="17">
        <v>0.28787879999999999</v>
      </c>
      <c r="E243" s="17">
        <v>0.36105480000000001</v>
      </c>
      <c r="F243" s="17">
        <v>0.37987009999999999</v>
      </c>
      <c r="G243" s="17">
        <v>0.4737864</v>
      </c>
      <c r="H243" s="25">
        <f>$M$119*(A243/100+1)</f>
        <v>383.79869999999994</v>
      </c>
      <c r="I243" s="25">
        <f>(1-A243/100)*$M$119</f>
        <v>357.84129999999999</v>
      </c>
      <c r="J243" s="25"/>
    </row>
    <row r="244" spans="1:10" x14ac:dyDescent="0.25">
      <c r="A244">
        <v>3.6</v>
      </c>
      <c r="B244" s="17">
        <v>0.1209677</v>
      </c>
      <c r="C244" s="17">
        <v>0.1175166</v>
      </c>
      <c r="D244" s="17">
        <v>0.26666669999999998</v>
      </c>
      <c r="E244" s="17">
        <v>0.33468560000000003</v>
      </c>
      <c r="F244" s="17">
        <v>0.35714289999999999</v>
      </c>
      <c r="G244" s="17">
        <v>0.46213589999999999</v>
      </c>
      <c r="H244" s="25">
        <f>$M$119*(A244/100+1)</f>
        <v>384.16951999999998</v>
      </c>
      <c r="I244" s="25">
        <f>(1-A244/100)*$M$119</f>
        <v>357.47048000000001</v>
      </c>
      <c r="J244" s="25"/>
    </row>
    <row r="245" spans="1:10" x14ac:dyDescent="0.25">
      <c r="A245">
        <v>3.7</v>
      </c>
      <c r="B245" s="17">
        <v>0.1182796</v>
      </c>
      <c r="C245" s="17">
        <v>0.1108647</v>
      </c>
      <c r="D245" s="17">
        <v>0.24545449999999999</v>
      </c>
      <c r="E245" s="17">
        <v>0.31845839999999997</v>
      </c>
      <c r="F245" s="17">
        <v>0.35714289999999999</v>
      </c>
      <c r="G245" s="17">
        <v>0.45048539999999998</v>
      </c>
      <c r="H245" s="25">
        <f>$M$119*(A245/100+1)</f>
        <v>384.54033999999996</v>
      </c>
      <c r="I245" s="25">
        <f>(1-A245/100)*$M$119</f>
        <v>357.09965999999997</v>
      </c>
      <c r="J245" s="25"/>
    </row>
    <row r="246" spans="1:10" x14ac:dyDescent="0.25">
      <c r="A246">
        <v>3.8</v>
      </c>
      <c r="B246" s="17">
        <v>0.1182796</v>
      </c>
      <c r="C246" s="17">
        <v>0.10864749999999999</v>
      </c>
      <c r="D246" s="17">
        <v>0.24545449999999999</v>
      </c>
      <c r="E246" s="17">
        <v>0.30020279999999999</v>
      </c>
      <c r="F246" s="17">
        <v>0.33441559999999998</v>
      </c>
      <c r="G246" s="17">
        <v>0.44271840000000001</v>
      </c>
      <c r="H246" s="25">
        <f>$M$119*(A246/100+1)</f>
        <v>384.91116</v>
      </c>
      <c r="I246" s="25">
        <f>(1-A246/100)*$M$119</f>
        <v>356.72883999999999</v>
      </c>
      <c r="J246" s="25"/>
    </row>
    <row r="247" spans="1:10" x14ac:dyDescent="0.25">
      <c r="A247">
        <v>3.9</v>
      </c>
      <c r="B247" s="17">
        <v>0.10752689999999999</v>
      </c>
      <c r="C247" s="17">
        <v>9.534368E-2</v>
      </c>
      <c r="D247" s="17">
        <v>0.23333329999999999</v>
      </c>
      <c r="E247" s="17">
        <v>0.29614600000000002</v>
      </c>
      <c r="F247" s="17">
        <v>0.31818180000000001</v>
      </c>
      <c r="G247" s="17">
        <v>0.42330099999999998</v>
      </c>
      <c r="H247" s="25">
        <f>$M$119*(A247/100+1)</f>
        <v>385.28197999999998</v>
      </c>
      <c r="I247" s="25">
        <f>(1-A247/100)*$M$119</f>
        <v>356.35801999999995</v>
      </c>
      <c r="J247" s="25"/>
    </row>
    <row r="248" spans="1:10" x14ac:dyDescent="0.25">
      <c r="A248">
        <v>4</v>
      </c>
      <c r="B248" s="17">
        <v>9.9462369999999994E-2</v>
      </c>
      <c r="C248" s="17">
        <v>9.3126390000000003E-2</v>
      </c>
      <c r="D248" s="17">
        <v>0.22727269999999999</v>
      </c>
      <c r="E248" s="17">
        <v>0.28194730000000001</v>
      </c>
      <c r="F248" s="17">
        <v>0.30519479999999999</v>
      </c>
      <c r="G248" s="17">
        <v>0.40970869999999998</v>
      </c>
      <c r="H248" s="25">
        <f>$M$119*(A248/100+1)</f>
        <v>385.65280000000001</v>
      </c>
      <c r="I248" s="25">
        <f>(1-A248/100)*$M$119</f>
        <v>355.98719999999997</v>
      </c>
      <c r="J248" s="25"/>
    </row>
    <row r="249" spans="1:10" x14ac:dyDescent="0.25">
      <c r="A249">
        <v>4.0999999999999996</v>
      </c>
      <c r="B249" s="17">
        <v>8.3333329999999997E-2</v>
      </c>
      <c r="C249" s="17">
        <v>8.6474499999999996E-2</v>
      </c>
      <c r="D249" s="17">
        <v>0.21212120000000001</v>
      </c>
      <c r="E249" s="17">
        <v>0.26977689999999999</v>
      </c>
      <c r="F249" s="17">
        <v>0.29545450000000001</v>
      </c>
      <c r="G249" s="17">
        <v>0.39417479999999999</v>
      </c>
      <c r="H249" s="25">
        <f>$M$119*(A249/100+1)</f>
        <v>386.02361999999994</v>
      </c>
      <c r="I249" s="25">
        <f>(1-A249/100)*$M$119</f>
        <v>355.61637999999999</v>
      </c>
      <c r="J249" s="25"/>
    </row>
    <row r="250" spans="1:10" x14ac:dyDescent="0.25">
      <c r="A250">
        <v>4.2</v>
      </c>
      <c r="B250" s="17">
        <v>8.0645159999999994E-2</v>
      </c>
      <c r="C250" s="17">
        <v>8.2039909999999994E-2</v>
      </c>
      <c r="D250" s="17">
        <v>0.2</v>
      </c>
      <c r="E250" s="17">
        <v>0.2596349</v>
      </c>
      <c r="F250" s="17">
        <v>0.29220780000000002</v>
      </c>
      <c r="G250" s="17">
        <v>0.38058249999999999</v>
      </c>
      <c r="H250" s="25">
        <f>$M$119*(A250/100+1)</f>
        <v>386.39444000000003</v>
      </c>
      <c r="I250" s="25">
        <f>(1-A250/100)*$M$119</f>
        <v>355.24555999999995</v>
      </c>
      <c r="J250" s="25"/>
    </row>
    <row r="251" spans="1:10" x14ac:dyDescent="0.25">
      <c r="A251">
        <v>4.3</v>
      </c>
      <c r="B251" s="17">
        <v>7.526882E-2</v>
      </c>
      <c r="C251" s="17">
        <v>7.7605320000000005E-2</v>
      </c>
      <c r="D251" s="17">
        <v>0.1969697</v>
      </c>
      <c r="E251" s="17">
        <v>0.2474645</v>
      </c>
      <c r="F251" s="17">
        <v>0.28571429999999998</v>
      </c>
      <c r="G251" s="17">
        <v>0.37087379999999998</v>
      </c>
      <c r="H251" s="25">
        <f>$M$119*(A251/100+1)</f>
        <v>386.76525999999996</v>
      </c>
      <c r="I251" s="25">
        <f>(1-A251/100)*$M$119</f>
        <v>354.87473999999997</v>
      </c>
      <c r="J251" s="25"/>
    </row>
    <row r="252" spans="1:10" x14ac:dyDescent="0.25">
      <c r="A252">
        <v>4.4000000000000004</v>
      </c>
      <c r="B252" s="17">
        <v>6.7204299999999995E-2</v>
      </c>
      <c r="C252" s="17">
        <v>7.3170730000000003E-2</v>
      </c>
      <c r="D252" s="17">
        <v>0.19393940000000001</v>
      </c>
      <c r="E252" s="17">
        <v>0.23529410000000001</v>
      </c>
      <c r="F252" s="17">
        <v>0.275974</v>
      </c>
      <c r="G252" s="17">
        <v>0.35339809999999999</v>
      </c>
      <c r="H252" s="25">
        <f>$M$119*(A252/100+1)</f>
        <v>387.13607999999999</v>
      </c>
      <c r="I252" s="25">
        <f>(1-A252/100)*$M$119</f>
        <v>354.50391999999999</v>
      </c>
      <c r="J252" s="25"/>
    </row>
    <row r="253" spans="1:10" x14ac:dyDescent="0.25">
      <c r="A253">
        <v>4.5</v>
      </c>
      <c r="B253" s="17">
        <v>6.7204299999999995E-2</v>
      </c>
      <c r="C253" s="17">
        <v>6.4301549999999999E-2</v>
      </c>
      <c r="D253" s="17">
        <v>0.1787879</v>
      </c>
      <c r="E253" s="17">
        <v>0.22109529999999999</v>
      </c>
      <c r="F253" s="17">
        <v>0.26623380000000002</v>
      </c>
      <c r="G253" s="17">
        <v>0.33980579999999999</v>
      </c>
      <c r="H253" s="25">
        <f>$M$119*(A253/100+1)</f>
        <v>387.50689999999997</v>
      </c>
      <c r="I253" s="25">
        <f>(1-A253/100)*$M$119</f>
        <v>354.13309999999996</v>
      </c>
      <c r="J253" s="25"/>
    </row>
    <row r="254" spans="1:10" x14ac:dyDescent="0.25">
      <c r="A254">
        <v>4.5999999999999996</v>
      </c>
    </row>
    <row r="255" spans="1:10" x14ac:dyDescent="0.25">
      <c r="A255" t="s">
        <v>27</v>
      </c>
      <c r="B255">
        <v>1</v>
      </c>
      <c r="C255">
        <v>1.4</v>
      </c>
      <c r="D255" s="25">
        <v>2.2614640000000001</v>
      </c>
      <c r="E255" s="25">
        <v>3.8542360000000002</v>
      </c>
      <c r="F255">
        <v>3.4</v>
      </c>
      <c r="G255">
        <v>5</v>
      </c>
    </row>
    <row r="256" spans="1:10" x14ac:dyDescent="0.25">
      <c r="A256" t="s">
        <v>26</v>
      </c>
      <c r="B256">
        <v>1</v>
      </c>
      <c r="C256">
        <v>2</v>
      </c>
      <c r="D256">
        <v>2</v>
      </c>
      <c r="E256">
        <v>3</v>
      </c>
      <c r="F256">
        <v>2</v>
      </c>
      <c r="G256">
        <v>5</v>
      </c>
    </row>
    <row r="257" spans="1:7" x14ac:dyDescent="0.25">
      <c r="A257" t="s">
        <v>25</v>
      </c>
      <c r="B257">
        <v>1.7</v>
      </c>
      <c r="C257">
        <v>2</v>
      </c>
      <c r="D257" s="25">
        <v>2.9464290000000002</v>
      </c>
      <c r="E257" s="25">
        <v>4.4017860000000004</v>
      </c>
      <c r="F257">
        <v>3.5</v>
      </c>
      <c r="G257">
        <v>5.8</v>
      </c>
    </row>
    <row r="258" spans="1:7" x14ac:dyDescent="0.25">
      <c r="A258" s="17" t="s">
        <v>76</v>
      </c>
      <c r="B258" s="17">
        <v>0.1666667</v>
      </c>
      <c r="C258" s="17">
        <v>0.1171171</v>
      </c>
      <c r="D258" s="17">
        <v>0.11607140000000001</v>
      </c>
      <c r="E258" s="17">
        <v>0.13392860000000001</v>
      </c>
      <c r="F258" s="17">
        <v>0.1235955</v>
      </c>
      <c r="G258" s="17">
        <v>0.14606739999999999</v>
      </c>
    </row>
    <row r="259" spans="1:7" x14ac:dyDescent="0.25">
      <c r="A259" s="17" t="s">
        <v>133</v>
      </c>
      <c r="B259" s="17"/>
      <c r="C259" s="17"/>
      <c r="D259" s="17">
        <v>7.1428569999999997E-2</v>
      </c>
      <c r="E259" s="17">
        <v>0.11607140000000001</v>
      </c>
      <c r="F259" s="17"/>
      <c r="G259" s="17"/>
    </row>
    <row r="260" spans="1:7" x14ac:dyDescent="0.25">
      <c r="A260" t="s">
        <v>78</v>
      </c>
      <c r="B260" s="17">
        <v>0.1666667</v>
      </c>
      <c r="C260" s="17">
        <v>0.1171171</v>
      </c>
      <c r="D260" s="17">
        <v>0.30357139999999999</v>
      </c>
      <c r="E260" s="17">
        <v>0.29464289999999999</v>
      </c>
      <c r="F260" s="17">
        <v>0.33707870000000001</v>
      </c>
      <c r="G260" s="17">
        <v>0.33707870000000001</v>
      </c>
    </row>
    <row r="261" spans="1:7" x14ac:dyDescent="0.25">
      <c r="A261" t="s">
        <v>135</v>
      </c>
      <c r="B261" s="17"/>
      <c r="C261" s="17"/>
      <c r="D261" s="17">
        <v>0.19642860000000001</v>
      </c>
      <c r="E261" s="17">
        <v>0.24107139999999999</v>
      </c>
      <c r="F261" s="17"/>
      <c r="G261" s="17"/>
    </row>
    <row r="262" spans="1:7" x14ac:dyDescent="0.25">
      <c r="A262" t="s">
        <v>136</v>
      </c>
      <c r="D262">
        <v>12</v>
      </c>
      <c r="E262">
        <v>20</v>
      </c>
    </row>
  </sheetData>
  <conditionalFormatting sqref="R8:R31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8:V4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:W4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B2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4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4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:B9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E99 D99:E1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:F11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3:G1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:S97 S98:T9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3:T9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8:AE2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:AI4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8:AJ4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3:AF97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3:AG98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1:F18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1:G18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1:B17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1:E16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7:E170 D170:E18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1:E170 D170:E18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41:S17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41:T16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67:T17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41:T17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41:AF170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41:AG16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67:AG17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41:AG17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9:B25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9:E23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5:E25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9:E25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:U31 T31:T47 T56:T62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25 D15:D47 D56:D62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8:AH27 AG27:AH48 AG57:AH6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41:V185 X141:X18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41:AI18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3:U1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3:V1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3:W1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3:X1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3:AH1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3:AI1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3:AJ1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3:AK1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1:W18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41:AJ18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41:AK18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9:F23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5:F25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9:F25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9:G2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5:G2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9:G2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CA60-5AB9-460C-8CAB-372F3B90634F}">
  <dimension ref="A1:S151"/>
  <sheetViews>
    <sheetView topLeftCell="A97" zoomScale="55" zoomScaleNormal="55" workbookViewId="0">
      <selection activeCell="I101" sqref="I101"/>
    </sheetView>
  </sheetViews>
  <sheetFormatPr defaultRowHeight="15" x14ac:dyDescent="0.25"/>
  <cols>
    <col min="1" max="1" width="25.5703125" bestFit="1" customWidth="1"/>
    <col min="2" max="2" width="15.42578125" bestFit="1" customWidth="1"/>
    <col min="3" max="3" width="16.28515625" bestFit="1" customWidth="1"/>
    <col min="4" max="5" width="16.28515625" customWidth="1"/>
    <col min="6" max="6" width="10.140625" bestFit="1" customWidth="1"/>
    <col min="7" max="7" width="25" customWidth="1"/>
    <col min="8" max="8" width="17.85546875" bestFit="1" customWidth="1"/>
    <col min="9" max="9" width="21.7109375" bestFit="1" customWidth="1"/>
    <col min="10" max="10" width="25.28515625" bestFit="1" customWidth="1"/>
    <col min="11" max="11" width="19.140625" bestFit="1" customWidth="1"/>
    <col min="12" max="12" width="25.28515625" bestFit="1" customWidth="1"/>
    <col min="13" max="13" width="25.7109375" bestFit="1" customWidth="1"/>
    <col min="14" max="14" width="32" bestFit="1" customWidth="1"/>
  </cols>
  <sheetData>
    <row r="1" spans="1:19" x14ac:dyDescent="0.25">
      <c r="A1" t="s">
        <v>69</v>
      </c>
      <c r="B1">
        <v>13.83</v>
      </c>
      <c r="C1" t="s">
        <v>27</v>
      </c>
      <c r="D1" s="14">
        <v>1.722458E-2</v>
      </c>
      <c r="E1" t="s">
        <v>26</v>
      </c>
      <c r="F1" s="14">
        <v>1.9392920000000001E-2</v>
      </c>
      <c r="G1" t="s">
        <v>25</v>
      </c>
      <c r="H1" s="14">
        <v>1.8668089999999998E-2</v>
      </c>
      <c r="K1">
        <v>13.83</v>
      </c>
      <c r="L1" t="s">
        <v>45</v>
      </c>
      <c r="M1" s="13">
        <v>18.02</v>
      </c>
      <c r="N1" t="s">
        <v>27</v>
      </c>
      <c r="O1" s="14">
        <v>2.9000709999999999E-2</v>
      </c>
      <c r="P1" t="s">
        <v>26</v>
      </c>
      <c r="Q1" s="14">
        <v>1.144744E-2</v>
      </c>
      <c r="R1" t="s">
        <v>25</v>
      </c>
      <c r="S1" s="14">
        <v>1.389787E-2</v>
      </c>
    </row>
    <row r="2" spans="1:19" x14ac:dyDescent="0.25">
      <c r="A2" t="s">
        <v>68</v>
      </c>
      <c r="C2" t="s">
        <v>27</v>
      </c>
      <c r="D2" s="14">
        <f>D1/SQRT(21)</f>
        <v>3.7587115078010699E-3</v>
      </c>
      <c r="E2" t="s">
        <v>26</v>
      </c>
      <c r="F2" s="14">
        <f>(1+F1)^(1/21)-1</f>
        <v>9.1505048145990031E-4</v>
      </c>
      <c r="G2" t="s">
        <v>25</v>
      </c>
      <c r="H2" s="14">
        <f>(1+H1)^(1/21)-1</f>
        <v>8.8114893079760392E-4</v>
      </c>
      <c r="L2" t="s">
        <v>68</v>
      </c>
      <c r="N2" t="s">
        <v>27</v>
      </c>
      <c r="O2" s="14">
        <f>O1/SQRT(21)</f>
        <v>6.3284737515458466E-3</v>
      </c>
      <c r="P2" t="s">
        <v>26</v>
      </c>
      <c r="Q2" s="14">
        <f>(1+Q1)^(1/21)-1</f>
        <v>5.4216662605965915E-4</v>
      </c>
      <c r="R2" t="s">
        <v>25</v>
      </c>
      <c r="S2" s="14">
        <f>(1+S1)^(1/21)-1</f>
        <v>6.5746270893662917E-4</v>
      </c>
    </row>
    <row r="3" spans="1:19" x14ac:dyDescent="0.25">
      <c r="A3" t="s">
        <v>27</v>
      </c>
      <c r="B3" s="14">
        <v>1.2928200000000001E-2</v>
      </c>
      <c r="C3" s="14">
        <v>9.6061400000000009E-3</v>
      </c>
      <c r="D3" s="14">
        <f>B3/SQRT(21)</f>
        <v>2.8211645285489569E-3</v>
      </c>
      <c r="E3" s="14">
        <f>C3/SQRT(21)</f>
        <v>2.0962316041115759E-3</v>
      </c>
      <c r="F3" t="s">
        <v>68</v>
      </c>
      <c r="H3" s="14"/>
      <c r="I3" s="14"/>
      <c r="J3" s="14"/>
      <c r="L3" t="s">
        <v>27</v>
      </c>
      <c r="M3" s="14">
        <v>2.2910389999999999E-2</v>
      </c>
      <c r="N3" s="14">
        <v>8.385244E-3</v>
      </c>
      <c r="O3" s="14">
        <f>M3/SQRT(21)</f>
        <v>4.9994569702837771E-3</v>
      </c>
      <c r="P3" s="14">
        <f>N3/SQRT(21)</f>
        <v>1.8298102547940139E-3</v>
      </c>
      <c r="Q3" t="s">
        <v>68</v>
      </c>
      <c r="S3" s="14"/>
    </row>
    <row r="4" spans="1:19" x14ac:dyDescent="0.25">
      <c r="A4" t="s">
        <v>26</v>
      </c>
      <c r="B4" s="14">
        <v>2.3140129999999998E-2</v>
      </c>
      <c r="C4" s="14">
        <v>-5.3270460000000002E-3</v>
      </c>
      <c r="D4" s="14">
        <f>(1+B4)^(1/21)-1</f>
        <v>1.0899486609121656E-3</v>
      </c>
      <c r="E4" s="14">
        <f>(1+C4)^(1/21)-1</f>
        <v>-2.543145756596088E-4</v>
      </c>
      <c r="F4" s="14"/>
      <c r="G4" t="s">
        <v>79</v>
      </c>
      <c r="H4" s="14"/>
      <c r="I4" s="14" t="s">
        <v>19</v>
      </c>
      <c r="J4">
        <v>385.3</v>
      </c>
      <c r="L4" t="s">
        <v>26</v>
      </c>
      <c r="M4" s="14">
        <v>1.9763369999999999E-2</v>
      </c>
      <c r="N4" s="14">
        <v>-1.9117660000000002E-2</v>
      </c>
      <c r="O4" s="14">
        <f>(1+M4)^(1/21)-1</f>
        <v>9.3236820364106521E-4</v>
      </c>
      <c r="P4" s="14">
        <f>(1+N4)^(1/21)-1</f>
        <v>-9.1875699114973841E-4</v>
      </c>
      <c r="Q4" s="14"/>
      <c r="R4" t="s">
        <v>79</v>
      </c>
      <c r="S4" s="14"/>
    </row>
    <row r="5" spans="1:19" x14ac:dyDescent="0.25">
      <c r="A5" t="s">
        <v>25</v>
      </c>
      <c r="B5" s="14">
        <v>2.3677259999999999E-2</v>
      </c>
      <c r="C5" s="14">
        <v>-9.3832580000000002E-3</v>
      </c>
      <c r="D5" s="14">
        <f>(1+B5)^(1/21)-1</f>
        <v>1.1149687902392014E-3</v>
      </c>
      <c r="E5" s="14">
        <f>(1+C5)^(1/21)-1</f>
        <v>-4.4883058362643613E-4</v>
      </c>
      <c r="F5" s="21" t="s">
        <v>40</v>
      </c>
      <c r="G5">
        <v>84</v>
      </c>
      <c r="L5" t="s">
        <v>25</v>
      </c>
      <c r="M5" s="14">
        <v>2.681687E-2</v>
      </c>
      <c r="N5" s="14">
        <v>-2.0074310000000001E-2</v>
      </c>
      <c r="O5" s="14">
        <f>(1+M5)^(1/21)-1</f>
        <v>1.2609657574513822E-3</v>
      </c>
      <c r="P5" s="14">
        <f>(1+N5)^(1/21)-1</f>
        <v>-9.6517852114608171E-4</v>
      </c>
      <c r="Q5" s="21" t="s">
        <v>40</v>
      </c>
      <c r="R5">
        <v>71</v>
      </c>
    </row>
    <row r="6" spans="1:19" x14ac:dyDescent="0.25">
      <c r="A6" t="s">
        <v>31</v>
      </c>
      <c r="B6" t="s">
        <v>30</v>
      </c>
      <c r="C6" t="s">
        <v>33</v>
      </c>
      <c r="F6" s="21" t="s">
        <v>41</v>
      </c>
      <c r="G6">
        <v>15</v>
      </c>
      <c r="L6" t="s">
        <v>31</v>
      </c>
      <c r="M6" t="s">
        <v>30</v>
      </c>
      <c r="N6" t="s">
        <v>33</v>
      </c>
      <c r="Q6" s="21" t="s">
        <v>41</v>
      </c>
      <c r="R6">
        <v>27</v>
      </c>
    </row>
    <row r="7" spans="1:19" x14ac:dyDescent="0.25">
      <c r="A7">
        <v>0.2</v>
      </c>
      <c r="B7" s="17">
        <v>0.95238100000000003</v>
      </c>
      <c r="C7" s="17">
        <v>0.6</v>
      </c>
      <c r="D7" s="25">
        <f>$J$4*(A7/100+1)</f>
        <v>386.07060000000001</v>
      </c>
      <c r="E7" s="25">
        <f>(1-A7/100)*$J$4</f>
        <v>384.52940000000001</v>
      </c>
      <c r="F7" t="s">
        <v>42</v>
      </c>
      <c r="G7" s="13">
        <f>G5/G6</f>
        <v>5.6</v>
      </c>
      <c r="L7">
        <v>0.2</v>
      </c>
      <c r="M7" s="17">
        <v>0.95774649999999995</v>
      </c>
      <c r="N7" s="17">
        <v>0.96296300000000001</v>
      </c>
      <c r="O7" s="25">
        <f>$J$4*(L7/100+1)</f>
        <v>386.07060000000001</v>
      </c>
      <c r="P7" s="25">
        <f>(1-L7/100)*$J$4</f>
        <v>384.52940000000001</v>
      </c>
      <c r="Q7" t="s">
        <v>42</v>
      </c>
      <c r="R7" s="13">
        <f>R5/R6</f>
        <v>2.6296296296296298</v>
      </c>
    </row>
    <row r="8" spans="1:19" x14ac:dyDescent="0.25">
      <c r="A8">
        <v>0.4</v>
      </c>
      <c r="B8" s="17">
        <v>0.94047619999999998</v>
      </c>
      <c r="C8" s="17">
        <v>0.6</v>
      </c>
      <c r="D8" s="25">
        <f t="shared" ref="D8:D18" si="0">$J$4*(A8/100+1)</f>
        <v>386.84120000000001</v>
      </c>
      <c r="E8" s="25">
        <f t="shared" ref="E8:E18" si="1">(1-A8/100)*$J$4</f>
        <v>383.75880000000001</v>
      </c>
      <c r="G8" s="17">
        <f>G5/SUM(G5:G6)</f>
        <v>0.84848484848484851</v>
      </c>
      <c r="L8">
        <v>0.4</v>
      </c>
      <c r="M8" s="17">
        <v>0.88732390000000005</v>
      </c>
      <c r="N8" s="17">
        <v>0.96296300000000001</v>
      </c>
      <c r="O8" s="25">
        <f t="shared" ref="O8:O18" si="2">$J$4*(L8/100+1)</f>
        <v>386.84120000000001</v>
      </c>
      <c r="P8" s="25">
        <f t="shared" ref="P8:P18" si="3">(1-L8/100)*$J$4</f>
        <v>383.75880000000001</v>
      </c>
      <c r="R8" s="17">
        <f>R5/SUM(R5:R6)</f>
        <v>0.72448979591836737</v>
      </c>
    </row>
    <row r="9" spans="1:19" x14ac:dyDescent="0.25">
      <c r="A9">
        <v>0.6</v>
      </c>
      <c r="B9" s="17">
        <v>0.91666669999999995</v>
      </c>
      <c r="C9" s="17">
        <v>0.46666669999999999</v>
      </c>
      <c r="D9" s="25">
        <f t="shared" si="0"/>
        <v>387.61180000000002</v>
      </c>
      <c r="E9" s="25">
        <f t="shared" si="1"/>
        <v>382.98820000000001</v>
      </c>
      <c r="F9" s="25"/>
      <c r="G9" s="17">
        <f>G6/SUM(G5:G6)</f>
        <v>0.15151515151515152</v>
      </c>
      <c r="L9">
        <v>0.6</v>
      </c>
      <c r="M9" s="17">
        <v>0.8450704</v>
      </c>
      <c r="N9" s="17">
        <v>0.96296300000000001</v>
      </c>
      <c r="O9" s="25">
        <f t="shared" si="2"/>
        <v>387.61180000000002</v>
      </c>
      <c r="P9" s="25">
        <f t="shared" si="3"/>
        <v>382.98820000000001</v>
      </c>
      <c r="Q9" s="25"/>
      <c r="R9" s="17">
        <f>R6/SUM(R5:R6)</f>
        <v>0.27551020408163263</v>
      </c>
    </row>
    <row r="10" spans="1:19" x14ac:dyDescent="0.25">
      <c r="A10">
        <v>0.8</v>
      </c>
      <c r="B10" s="17">
        <v>0.88095239999999997</v>
      </c>
      <c r="C10" s="17">
        <v>0.46666669999999999</v>
      </c>
      <c r="D10" s="25">
        <f t="shared" si="0"/>
        <v>388.38240000000002</v>
      </c>
      <c r="E10" s="25">
        <f t="shared" si="1"/>
        <v>382.2176</v>
      </c>
      <c r="F10" s="17"/>
      <c r="G10" s="17"/>
      <c r="J10" s="25"/>
      <c r="L10">
        <v>0.8</v>
      </c>
      <c r="M10" s="17">
        <v>0.7887324</v>
      </c>
      <c r="N10" s="17">
        <v>0.92592589999999997</v>
      </c>
      <c r="O10" s="25">
        <f t="shared" si="2"/>
        <v>388.38240000000002</v>
      </c>
      <c r="P10" s="25">
        <f t="shared" si="3"/>
        <v>382.2176</v>
      </c>
      <c r="Q10" s="17"/>
      <c r="R10" s="17"/>
    </row>
    <row r="11" spans="1:19" x14ac:dyDescent="0.25">
      <c r="A11">
        <v>1</v>
      </c>
      <c r="B11" s="17">
        <v>0.84523809999999999</v>
      </c>
      <c r="C11" s="17">
        <v>0.4</v>
      </c>
      <c r="D11" s="25">
        <f t="shared" si="0"/>
        <v>389.15300000000002</v>
      </c>
      <c r="E11" s="25">
        <f t="shared" si="1"/>
        <v>381.447</v>
      </c>
      <c r="F11" s="17"/>
      <c r="G11" s="17"/>
      <c r="L11">
        <v>1</v>
      </c>
      <c r="M11" s="17">
        <v>0.7323944</v>
      </c>
      <c r="N11" s="17">
        <v>0.88888889999999998</v>
      </c>
      <c r="O11" s="25">
        <f t="shared" si="2"/>
        <v>389.15300000000002</v>
      </c>
      <c r="P11" s="25">
        <f t="shared" si="3"/>
        <v>381.447</v>
      </c>
      <c r="Q11" s="17"/>
      <c r="R11" s="17"/>
    </row>
    <row r="12" spans="1:19" x14ac:dyDescent="0.25">
      <c r="A12">
        <v>1.2</v>
      </c>
      <c r="B12" s="17">
        <v>0.77380950000000004</v>
      </c>
      <c r="C12" s="17">
        <v>0.3333333</v>
      </c>
      <c r="D12" s="25">
        <f t="shared" si="0"/>
        <v>389.92360000000002</v>
      </c>
      <c r="E12" s="25">
        <f t="shared" si="1"/>
        <v>380.6764</v>
      </c>
      <c r="F12" s="17"/>
      <c r="G12" s="17"/>
      <c r="L12">
        <v>1.2</v>
      </c>
      <c r="M12" s="17">
        <v>0.67605630000000005</v>
      </c>
      <c r="N12" s="17">
        <v>0.88888889999999998</v>
      </c>
      <c r="O12" s="25">
        <f t="shared" si="2"/>
        <v>389.92360000000002</v>
      </c>
      <c r="P12" s="25">
        <f t="shared" si="3"/>
        <v>380.6764</v>
      </c>
      <c r="Q12" s="17"/>
      <c r="R12" s="17"/>
    </row>
    <row r="13" spans="1:19" x14ac:dyDescent="0.25">
      <c r="A13">
        <v>1.4</v>
      </c>
      <c r="B13" s="17">
        <v>0.72619049999999996</v>
      </c>
      <c r="C13" s="17">
        <v>0.26666669999999998</v>
      </c>
      <c r="D13" s="25">
        <f t="shared" si="0"/>
        <v>390.69420000000002</v>
      </c>
      <c r="E13" s="25">
        <f t="shared" si="1"/>
        <v>379.9058</v>
      </c>
      <c r="F13" s="17"/>
      <c r="G13" s="17"/>
      <c r="L13">
        <v>1.4</v>
      </c>
      <c r="M13" s="17">
        <v>0.61971830000000006</v>
      </c>
      <c r="N13" s="17">
        <v>0.8518519</v>
      </c>
      <c r="O13" s="25">
        <f t="shared" si="2"/>
        <v>390.69420000000002</v>
      </c>
      <c r="P13" s="25">
        <f t="shared" si="3"/>
        <v>379.9058</v>
      </c>
      <c r="Q13" s="17"/>
      <c r="R13" s="17"/>
    </row>
    <row r="14" spans="1:19" x14ac:dyDescent="0.25">
      <c r="A14">
        <v>1.6</v>
      </c>
      <c r="B14" s="17">
        <v>0.71428570000000002</v>
      </c>
      <c r="C14" s="17">
        <v>0.26666669999999998</v>
      </c>
      <c r="D14" s="25">
        <f t="shared" si="0"/>
        <v>391.46480000000003</v>
      </c>
      <c r="E14" s="25">
        <f t="shared" si="1"/>
        <v>379.1352</v>
      </c>
      <c r="F14" s="17"/>
      <c r="G14" s="17"/>
      <c r="L14">
        <v>1.6</v>
      </c>
      <c r="M14" s="17">
        <v>0.59154929999999994</v>
      </c>
      <c r="N14" s="17">
        <v>0.74074070000000003</v>
      </c>
      <c r="O14" s="25">
        <f t="shared" si="2"/>
        <v>391.46480000000003</v>
      </c>
      <c r="P14" s="25">
        <f t="shared" si="3"/>
        <v>379.1352</v>
      </c>
      <c r="Q14" s="17"/>
      <c r="R14" s="17"/>
    </row>
    <row r="15" spans="1:19" x14ac:dyDescent="0.25">
      <c r="A15">
        <v>1.8</v>
      </c>
      <c r="B15" s="17">
        <v>0.66666669999999995</v>
      </c>
      <c r="C15" s="17">
        <v>0.2</v>
      </c>
      <c r="D15" s="25">
        <f t="shared" si="0"/>
        <v>392.23540000000003</v>
      </c>
      <c r="E15" s="25">
        <f t="shared" si="1"/>
        <v>378.3646</v>
      </c>
      <c r="F15" t="s">
        <v>81</v>
      </c>
      <c r="G15" t="s">
        <v>22</v>
      </c>
      <c r="L15">
        <v>1.8</v>
      </c>
      <c r="M15" s="17">
        <v>0.5492958</v>
      </c>
      <c r="N15" s="17">
        <v>0.55555560000000004</v>
      </c>
      <c r="O15" s="25">
        <f t="shared" si="2"/>
        <v>392.23540000000003</v>
      </c>
      <c r="P15" s="25">
        <f t="shared" si="3"/>
        <v>378.3646</v>
      </c>
      <c r="Q15" s="17"/>
      <c r="R15" s="17"/>
    </row>
    <row r="16" spans="1:19" x14ac:dyDescent="0.25">
      <c r="A16">
        <v>2</v>
      </c>
      <c r="B16" s="17">
        <v>0.57142859999999995</v>
      </c>
      <c r="C16" s="17">
        <v>0.2</v>
      </c>
      <c r="D16" s="25">
        <f t="shared" si="0"/>
        <v>393.00600000000003</v>
      </c>
      <c r="E16" s="25">
        <f t="shared" si="1"/>
        <v>377.59399999999999</v>
      </c>
      <c r="F16">
        <v>1</v>
      </c>
      <c r="G16">
        <v>1</v>
      </c>
      <c r="J16" s="25"/>
      <c r="L16">
        <v>2</v>
      </c>
      <c r="M16" s="17">
        <v>0.4929577</v>
      </c>
      <c r="N16" s="17">
        <v>0.37037039999999999</v>
      </c>
      <c r="O16" s="25">
        <f t="shared" si="2"/>
        <v>393.00600000000003</v>
      </c>
      <c r="P16" s="25">
        <f t="shared" si="3"/>
        <v>377.59399999999999</v>
      </c>
      <c r="Q16" t="s">
        <v>81</v>
      </c>
      <c r="R16" t="s">
        <v>22</v>
      </c>
    </row>
    <row r="17" spans="1:18" x14ac:dyDescent="0.25">
      <c r="A17">
        <v>2.2000000000000002</v>
      </c>
      <c r="B17" s="17">
        <v>0.52380950000000004</v>
      </c>
      <c r="C17" s="17">
        <v>0.2</v>
      </c>
      <c r="D17" s="25">
        <f t="shared" si="0"/>
        <v>393.77660000000003</v>
      </c>
      <c r="E17" s="25">
        <f t="shared" si="1"/>
        <v>376.82339999999999</v>
      </c>
      <c r="F17">
        <v>5</v>
      </c>
      <c r="G17">
        <v>1</v>
      </c>
      <c r="J17" s="25"/>
      <c r="L17">
        <v>2.2000000000000002</v>
      </c>
      <c r="M17" s="17">
        <v>0.4507042</v>
      </c>
      <c r="N17" s="17">
        <v>0.25925930000000003</v>
      </c>
      <c r="O17" s="25">
        <f t="shared" si="2"/>
        <v>393.77660000000003</v>
      </c>
      <c r="P17" s="25">
        <f t="shared" si="3"/>
        <v>376.82339999999999</v>
      </c>
      <c r="Q17">
        <v>1</v>
      </c>
      <c r="R17">
        <v>1</v>
      </c>
    </row>
    <row r="18" spans="1:18" x14ac:dyDescent="0.25">
      <c r="A18">
        <v>2.4</v>
      </c>
      <c r="B18" s="17">
        <v>0.48809520000000001</v>
      </c>
      <c r="C18" s="17">
        <v>0.13333329999999999</v>
      </c>
      <c r="D18" s="25">
        <f t="shared" si="0"/>
        <v>394.54720000000003</v>
      </c>
      <c r="E18" s="25">
        <f t="shared" si="1"/>
        <v>376.05279999999999</v>
      </c>
      <c r="F18">
        <v>2</v>
      </c>
      <c r="G18">
        <v>1</v>
      </c>
      <c r="J18" s="25"/>
      <c r="L18">
        <v>2.4</v>
      </c>
      <c r="M18" s="17">
        <v>0.3943662</v>
      </c>
      <c r="N18" s="17">
        <v>0.25925930000000003</v>
      </c>
      <c r="O18" s="25">
        <f t="shared" si="2"/>
        <v>394.54720000000003</v>
      </c>
      <c r="P18" s="25">
        <f t="shared" si="3"/>
        <v>376.05279999999999</v>
      </c>
      <c r="Q18">
        <v>4</v>
      </c>
      <c r="R18">
        <v>1</v>
      </c>
    </row>
    <row r="19" spans="1:18" x14ac:dyDescent="0.25">
      <c r="A19">
        <v>2.6</v>
      </c>
      <c r="B19" s="17">
        <v>0.44047619999999998</v>
      </c>
      <c r="C19" s="17">
        <v>0</v>
      </c>
      <c r="D19" s="25">
        <f t="shared" ref="D19:D48" si="4">$J$4*(A19/100+1)</f>
        <v>395.31780000000003</v>
      </c>
      <c r="E19" s="25">
        <f t="shared" ref="E19:E48" si="5">(1-A19/100)*$J$4</f>
        <v>375.28219999999999</v>
      </c>
      <c r="F19">
        <v>1</v>
      </c>
      <c r="G19">
        <v>1</v>
      </c>
      <c r="J19" s="25"/>
      <c r="L19">
        <v>2.6</v>
      </c>
      <c r="M19" s="17">
        <v>0.3802817</v>
      </c>
      <c r="N19" s="17">
        <v>0.25925930000000003</v>
      </c>
      <c r="O19" s="25">
        <f t="shared" ref="O19:O52" si="6">$J$4*(L19/100+1)</f>
        <v>395.31780000000003</v>
      </c>
      <c r="P19" s="25">
        <f t="shared" ref="P19:P52" si="7">(1-L19/100)*$J$4</f>
        <v>375.28219999999999</v>
      </c>
      <c r="Q19">
        <v>1</v>
      </c>
      <c r="R19">
        <v>1</v>
      </c>
    </row>
    <row r="20" spans="1:18" x14ac:dyDescent="0.25">
      <c r="A20">
        <v>2.8</v>
      </c>
      <c r="B20" s="17">
        <v>0.4166667</v>
      </c>
      <c r="C20" s="17"/>
      <c r="D20" s="25">
        <f t="shared" si="4"/>
        <v>396.08840000000004</v>
      </c>
      <c r="E20" s="25">
        <f t="shared" si="5"/>
        <v>374.51159999999999</v>
      </c>
      <c r="F20">
        <v>1</v>
      </c>
      <c r="G20">
        <v>1</v>
      </c>
      <c r="J20" s="25"/>
      <c r="L20">
        <v>2.8</v>
      </c>
      <c r="M20" s="17">
        <v>0.3661972</v>
      </c>
      <c r="N20" s="17">
        <v>0.18518519999999999</v>
      </c>
      <c r="O20" s="25">
        <f t="shared" si="6"/>
        <v>396.08840000000004</v>
      </c>
      <c r="P20" s="25">
        <f t="shared" si="7"/>
        <v>374.51159999999999</v>
      </c>
      <c r="Q20">
        <v>1</v>
      </c>
      <c r="R20">
        <v>1</v>
      </c>
    </row>
    <row r="21" spans="1:18" x14ac:dyDescent="0.25">
      <c r="A21">
        <v>3</v>
      </c>
      <c r="B21" s="17">
        <v>0.36904759999999998</v>
      </c>
      <c r="C21" s="17"/>
      <c r="D21" s="25">
        <f t="shared" si="4"/>
        <v>396.85900000000004</v>
      </c>
      <c r="E21" s="25">
        <f t="shared" si="5"/>
        <v>373.74099999999999</v>
      </c>
      <c r="F21">
        <v>14</v>
      </c>
      <c r="G21">
        <v>1</v>
      </c>
      <c r="J21" s="25"/>
      <c r="L21">
        <v>3</v>
      </c>
      <c r="M21" s="17">
        <v>0.3098592</v>
      </c>
      <c r="N21" s="17">
        <v>0.18518519999999999</v>
      </c>
      <c r="O21" s="25">
        <f t="shared" si="6"/>
        <v>396.85900000000004</v>
      </c>
      <c r="P21" s="25">
        <f t="shared" si="7"/>
        <v>373.74099999999999</v>
      </c>
      <c r="Q21">
        <v>4</v>
      </c>
      <c r="R21">
        <v>3</v>
      </c>
    </row>
    <row r="22" spans="1:18" x14ac:dyDescent="0.25">
      <c r="A22">
        <v>3.2</v>
      </c>
      <c r="B22" s="17">
        <v>0.30952380000000002</v>
      </c>
      <c r="C22" s="17"/>
      <c r="D22" s="25">
        <f t="shared" si="4"/>
        <v>397.62960000000004</v>
      </c>
      <c r="E22" s="25">
        <f t="shared" si="5"/>
        <v>372.97039999999998</v>
      </c>
      <c r="F22">
        <v>1</v>
      </c>
      <c r="G22">
        <v>1</v>
      </c>
      <c r="J22" s="25"/>
      <c r="L22">
        <v>3.2</v>
      </c>
      <c r="M22" s="17">
        <v>0.2957746</v>
      </c>
      <c r="N22" s="17">
        <v>7.4074070000000006E-2</v>
      </c>
      <c r="O22" s="25">
        <f t="shared" si="6"/>
        <v>397.62960000000004</v>
      </c>
      <c r="P22" s="25">
        <f t="shared" si="7"/>
        <v>372.97039999999998</v>
      </c>
      <c r="Q22">
        <v>1</v>
      </c>
      <c r="R22">
        <v>1</v>
      </c>
    </row>
    <row r="23" spans="1:18" x14ac:dyDescent="0.25">
      <c r="A23">
        <v>3.4</v>
      </c>
      <c r="B23" s="17">
        <v>0.26190479999999999</v>
      </c>
      <c r="C23" s="17"/>
      <c r="D23" s="25">
        <f t="shared" si="4"/>
        <v>398.40020000000004</v>
      </c>
      <c r="E23" s="25">
        <f t="shared" si="5"/>
        <v>372.19979999999998</v>
      </c>
      <c r="F23">
        <v>7</v>
      </c>
      <c r="G23">
        <v>1</v>
      </c>
      <c r="J23" s="25"/>
      <c r="L23">
        <v>3.4</v>
      </c>
      <c r="M23" s="17">
        <v>0.2957746</v>
      </c>
      <c r="N23" s="17">
        <v>7.4074070000000006E-2</v>
      </c>
      <c r="O23" s="25">
        <f t="shared" si="6"/>
        <v>398.40020000000004</v>
      </c>
      <c r="P23" s="25">
        <f t="shared" si="7"/>
        <v>372.19979999999998</v>
      </c>
      <c r="Q23">
        <v>12</v>
      </c>
      <c r="R23">
        <v>2</v>
      </c>
    </row>
    <row r="24" spans="1:18" x14ac:dyDescent="0.25">
      <c r="A24">
        <v>3.6</v>
      </c>
      <c r="B24" s="17">
        <v>0.17857139999999999</v>
      </c>
      <c r="C24" s="17"/>
      <c r="D24" s="25">
        <f t="shared" si="4"/>
        <v>399.17080000000004</v>
      </c>
      <c r="E24" s="25">
        <f t="shared" si="5"/>
        <v>371.42919999999998</v>
      </c>
      <c r="F24">
        <v>2</v>
      </c>
      <c r="G24">
        <v>1</v>
      </c>
      <c r="J24" s="25"/>
      <c r="L24">
        <v>3.6</v>
      </c>
      <c r="M24" s="17">
        <v>0.2816901</v>
      </c>
      <c r="N24" s="17">
        <v>3.703704E-2</v>
      </c>
      <c r="O24" s="25">
        <f t="shared" si="6"/>
        <v>399.17080000000004</v>
      </c>
      <c r="P24" s="25">
        <f t="shared" si="7"/>
        <v>371.42919999999998</v>
      </c>
      <c r="Q24">
        <v>2</v>
      </c>
      <c r="R24">
        <v>1</v>
      </c>
    </row>
    <row r="25" spans="1:18" x14ac:dyDescent="0.25">
      <c r="A25">
        <v>3.8</v>
      </c>
      <c r="B25" s="17">
        <v>0.1071429</v>
      </c>
      <c r="C25" s="17"/>
      <c r="D25" s="25">
        <f t="shared" si="4"/>
        <v>399.94140000000004</v>
      </c>
      <c r="E25" s="25">
        <f t="shared" si="5"/>
        <v>370.65859999999998</v>
      </c>
      <c r="F25">
        <v>1</v>
      </c>
      <c r="G25">
        <v>1</v>
      </c>
      <c r="J25" s="25"/>
      <c r="L25">
        <v>3.8</v>
      </c>
      <c r="M25" s="17">
        <v>0.2676056</v>
      </c>
      <c r="N25" s="17">
        <v>3.703704E-2</v>
      </c>
      <c r="O25" s="25">
        <f t="shared" si="6"/>
        <v>399.94140000000004</v>
      </c>
      <c r="P25" s="25">
        <f t="shared" si="7"/>
        <v>370.65859999999998</v>
      </c>
      <c r="Q25">
        <v>2</v>
      </c>
      <c r="R25">
        <v>4</v>
      </c>
    </row>
    <row r="26" spans="1:18" x14ac:dyDescent="0.25">
      <c r="A26">
        <v>4</v>
      </c>
      <c r="B26" s="17">
        <v>7.1428569999999997E-2</v>
      </c>
      <c r="C26" s="17"/>
      <c r="D26" s="25">
        <f t="shared" si="4"/>
        <v>400.71200000000005</v>
      </c>
      <c r="E26" s="25">
        <f t="shared" si="5"/>
        <v>369.88799999999998</v>
      </c>
      <c r="F26">
        <v>2</v>
      </c>
      <c r="G26">
        <v>1</v>
      </c>
      <c r="J26" s="25"/>
      <c r="L26">
        <v>4</v>
      </c>
      <c r="M26" s="17">
        <v>0.2394366</v>
      </c>
      <c r="N26" s="17">
        <v>0</v>
      </c>
      <c r="O26" s="25">
        <f t="shared" si="6"/>
        <v>400.71200000000005</v>
      </c>
      <c r="P26" s="25">
        <f t="shared" si="7"/>
        <v>369.88799999999998</v>
      </c>
      <c r="Q26">
        <v>1</v>
      </c>
      <c r="R26">
        <v>1</v>
      </c>
    </row>
    <row r="27" spans="1:18" x14ac:dyDescent="0.25">
      <c r="A27">
        <v>4.2</v>
      </c>
      <c r="B27" s="17">
        <v>4.7619050000000003E-2</v>
      </c>
      <c r="C27" s="17"/>
      <c r="D27" s="25">
        <f t="shared" si="4"/>
        <v>401.48260000000005</v>
      </c>
      <c r="E27" s="25">
        <f t="shared" si="5"/>
        <v>369.11739999999998</v>
      </c>
      <c r="F27">
        <v>26</v>
      </c>
      <c r="G27">
        <v>1</v>
      </c>
      <c r="J27" s="25"/>
      <c r="L27">
        <v>4.2</v>
      </c>
      <c r="M27" s="17">
        <v>0.2394366</v>
      </c>
      <c r="N27" s="17"/>
      <c r="O27" s="25">
        <f t="shared" si="6"/>
        <v>401.48260000000005</v>
      </c>
      <c r="P27" s="25">
        <f t="shared" si="7"/>
        <v>369.11739999999998</v>
      </c>
      <c r="Q27">
        <v>2</v>
      </c>
      <c r="R27">
        <v>1</v>
      </c>
    </row>
    <row r="28" spans="1:18" x14ac:dyDescent="0.25">
      <c r="A28">
        <v>4.4000000000000004</v>
      </c>
      <c r="B28" s="17">
        <v>4.7619050000000003E-2</v>
      </c>
      <c r="C28" s="17"/>
      <c r="D28" s="25">
        <f t="shared" si="4"/>
        <v>402.25320000000005</v>
      </c>
      <c r="E28" s="25">
        <f t="shared" si="5"/>
        <v>368.34679999999997</v>
      </c>
      <c r="F28">
        <v>3</v>
      </c>
      <c r="G28">
        <v>2</v>
      </c>
      <c r="J28" s="25"/>
      <c r="L28">
        <v>4.4000000000000004</v>
      </c>
      <c r="M28" s="17">
        <v>0.1971831</v>
      </c>
      <c r="N28" s="17"/>
      <c r="O28" s="25">
        <f t="shared" si="6"/>
        <v>402.25320000000005</v>
      </c>
      <c r="P28" s="25">
        <f t="shared" si="7"/>
        <v>368.34679999999997</v>
      </c>
      <c r="Q28">
        <v>4</v>
      </c>
      <c r="R28">
        <v>1</v>
      </c>
    </row>
    <row r="29" spans="1:18" x14ac:dyDescent="0.25">
      <c r="A29">
        <v>4.5999999999999996</v>
      </c>
      <c r="B29" s="17">
        <v>3.5714290000000003E-2</v>
      </c>
      <c r="C29" s="17"/>
      <c r="D29" s="25">
        <f t="shared" si="4"/>
        <v>403.02380000000005</v>
      </c>
      <c r="E29" s="25">
        <f t="shared" si="5"/>
        <v>367.57619999999997</v>
      </c>
      <c r="F29">
        <v>18</v>
      </c>
      <c r="G29">
        <v>1</v>
      </c>
      <c r="J29" s="25"/>
      <c r="L29">
        <v>4.5999999999999996</v>
      </c>
      <c r="M29" s="17">
        <v>0.1830986</v>
      </c>
      <c r="N29" s="17"/>
      <c r="O29" s="25">
        <f t="shared" si="6"/>
        <v>403.02380000000005</v>
      </c>
      <c r="P29" s="25">
        <f t="shared" si="7"/>
        <v>367.57619999999997</v>
      </c>
      <c r="Q29">
        <v>1</v>
      </c>
      <c r="R29">
        <v>2</v>
      </c>
    </row>
    <row r="30" spans="1:18" x14ac:dyDescent="0.25">
      <c r="A30">
        <v>4.8</v>
      </c>
      <c r="B30" s="17">
        <v>3.5714290000000003E-2</v>
      </c>
      <c r="C30" s="17"/>
      <c r="D30" s="25">
        <f t="shared" si="4"/>
        <v>403.79440000000005</v>
      </c>
      <c r="E30" s="25">
        <f t="shared" si="5"/>
        <v>366.80559999999997</v>
      </c>
      <c r="F30" s="17"/>
      <c r="G30" s="17"/>
      <c r="J30" s="25"/>
      <c r="L30">
        <v>4.8</v>
      </c>
      <c r="M30" s="17">
        <v>0.1830986</v>
      </c>
      <c r="N30" s="17"/>
      <c r="O30" s="25">
        <f t="shared" si="6"/>
        <v>403.79440000000005</v>
      </c>
      <c r="P30" s="25">
        <f t="shared" si="7"/>
        <v>366.80559999999997</v>
      </c>
      <c r="Q30">
        <v>1</v>
      </c>
      <c r="R30">
        <v>1</v>
      </c>
    </row>
    <row r="31" spans="1:18" x14ac:dyDescent="0.25">
      <c r="A31">
        <v>5</v>
      </c>
      <c r="B31" s="17">
        <v>2.3809520000000001E-2</v>
      </c>
      <c r="C31" s="17"/>
      <c r="D31" s="25">
        <f t="shared" si="4"/>
        <v>404.56500000000005</v>
      </c>
      <c r="E31" s="25">
        <f t="shared" si="5"/>
        <v>366.03499999999997</v>
      </c>
      <c r="F31" s="17"/>
      <c r="G31" s="17"/>
      <c r="J31" s="25"/>
      <c r="L31">
        <v>5</v>
      </c>
      <c r="M31" s="17">
        <v>0.1830986</v>
      </c>
      <c r="N31" s="17"/>
      <c r="O31" s="25">
        <f t="shared" si="6"/>
        <v>404.56500000000005</v>
      </c>
      <c r="P31" s="25">
        <f t="shared" si="7"/>
        <v>366.03499999999997</v>
      </c>
      <c r="Q31">
        <v>8</v>
      </c>
      <c r="R31">
        <v>2</v>
      </c>
    </row>
    <row r="32" spans="1:18" x14ac:dyDescent="0.25">
      <c r="A32">
        <v>5.2</v>
      </c>
      <c r="B32" s="17">
        <v>2.3809520000000001E-2</v>
      </c>
      <c r="C32" s="17"/>
      <c r="D32" s="25">
        <f t="shared" si="4"/>
        <v>405.33560000000006</v>
      </c>
      <c r="E32" s="25">
        <f t="shared" si="5"/>
        <v>365.26439999999997</v>
      </c>
      <c r="F32" s="17"/>
      <c r="G32" s="17"/>
      <c r="J32" s="25"/>
      <c r="L32">
        <v>5.2</v>
      </c>
      <c r="M32" s="17">
        <v>0.1690141</v>
      </c>
      <c r="N32" s="17"/>
      <c r="O32" s="25">
        <f t="shared" si="6"/>
        <v>405.33560000000006</v>
      </c>
      <c r="P32" s="25">
        <f t="shared" si="7"/>
        <v>365.26439999999997</v>
      </c>
      <c r="Q32">
        <v>3</v>
      </c>
      <c r="R32">
        <v>2</v>
      </c>
    </row>
    <row r="33" spans="1:18" x14ac:dyDescent="0.25">
      <c r="A33">
        <v>5.4</v>
      </c>
      <c r="B33" s="17">
        <v>2.3809520000000001E-2</v>
      </c>
      <c r="C33" s="17"/>
      <c r="D33" s="25">
        <f t="shared" si="4"/>
        <v>406.10620000000006</v>
      </c>
      <c r="E33" s="25">
        <f t="shared" si="5"/>
        <v>364.49379999999996</v>
      </c>
      <c r="F33" s="17"/>
      <c r="G33" s="17"/>
      <c r="J33" s="25"/>
      <c r="L33">
        <v>5.4</v>
      </c>
      <c r="M33" s="17">
        <v>0.1690141</v>
      </c>
      <c r="N33" s="17"/>
      <c r="O33" s="25">
        <f t="shared" si="6"/>
        <v>406.10620000000006</v>
      </c>
      <c r="P33" s="25">
        <f t="shared" si="7"/>
        <v>364.49379999999996</v>
      </c>
      <c r="Q33">
        <v>1</v>
      </c>
      <c r="R33">
        <v>1</v>
      </c>
    </row>
    <row r="34" spans="1:18" x14ac:dyDescent="0.25">
      <c r="A34">
        <v>5.6</v>
      </c>
      <c r="B34" s="17">
        <v>1.190476E-2</v>
      </c>
      <c r="C34" s="17"/>
      <c r="D34" s="25">
        <f t="shared" si="4"/>
        <v>406.8768</v>
      </c>
      <c r="E34" s="25">
        <f t="shared" si="5"/>
        <v>363.72320000000002</v>
      </c>
      <c r="F34" s="17"/>
      <c r="G34" s="17"/>
      <c r="J34" s="25"/>
      <c r="L34">
        <v>5.6</v>
      </c>
      <c r="M34" s="17">
        <v>0.1408451</v>
      </c>
      <c r="N34" s="17"/>
      <c r="O34" s="25">
        <f t="shared" si="6"/>
        <v>406.8768</v>
      </c>
      <c r="P34" s="25">
        <f t="shared" si="7"/>
        <v>363.72320000000002</v>
      </c>
      <c r="Q34">
        <v>8</v>
      </c>
      <c r="R34">
        <v>1</v>
      </c>
    </row>
    <row r="35" spans="1:18" x14ac:dyDescent="0.25">
      <c r="A35">
        <v>5.8</v>
      </c>
      <c r="B35" s="17">
        <v>0</v>
      </c>
      <c r="C35" s="17"/>
      <c r="D35" s="25">
        <f t="shared" si="4"/>
        <v>407.6474</v>
      </c>
      <c r="E35" s="25">
        <f t="shared" si="5"/>
        <v>362.95260000000002</v>
      </c>
      <c r="F35" s="17"/>
      <c r="G35" s="17"/>
      <c r="J35" s="25"/>
      <c r="L35">
        <v>5.8</v>
      </c>
      <c r="M35" s="17">
        <v>0.1408451</v>
      </c>
      <c r="N35" s="17"/>
      <c r="O35" s="25">
        <f t="shared" si="6"/>
        <v>407.6474</v>
      </c>
      <c r="P35" s="25">
        <f t="shared" si="7"/>
        <v>362.95260000000002</v>
      </c>
      <c r="Q35">
        <v>14</v>
      </c>
    </row>
    <row r="36" spans="1:18" x14ac:dyDescent="0.25">
      <c r="A36">
        <v>6</v>
      </c>
      <c r="B36" s="17"/>
      <c r="C36" s="17"/>
      <c r="D36" s="25">
        <f t="shared" si="4"/>
        <v>408.41800000000001</v>
      </c>
      <c r="E36" s="25">
        <f t="shared" si="5"/>
        <v>362.18200000000002</v>
      </c>
      <c r="F36" s="17"/>
      <c r="G36" s="17"/>
      <c r="J36" s="25"/>
      <c r="L36">
        <v>6</v>
      </c>
      <c r="M36" s="17">
        <v>0.1267606</v>
      </c>
      <c r="N36" s="17"/>
      <c r="O36" s="25">
        <f t="shared" si="6"/>
        <v>408.41800000000001</v>
      </c>
      <c r="P36" s="25">
        <f t="shared" si="7"/>
        <v>362.18200000000002</v>
      </c>
      <c r="Q36" s="17"/>
      <c r="R36" s="17"/>
    </row>
    <row r="37" spans="1:18" x14ac:dyDescent="0.25">
      <c r="A37">
        <v>6.2</v>
      </c>
      <c r="B37" s="17"/>
      <c r="C37" s="17"/>
      <c r="D37" s="25">
        <f t="shared" si="4"/>
        <v>409.18860000000001</v>
      </c>
      <c r="E37" s="25">
        <f t="shared" si="5"/>
        <v>361.41140000000001</v>
      </c>
      <c r="F37" s="17"/>
      <c r="G37" s="17"/>
      <c r="J37" s="25"/>
      <c r="L37">
        <v>6.2</v>
      </c>
      <c r="M37" s="17">
        <v>0.1126761</v>
      </c>
      <c r="N37" s="17"/>
      <c r="O37" s="25">
        <f t="shared" si="6"/>
        <v>409.18860000000001</v>
      </c>
      <c r="P37" s="25">
        <f t="shared" si="7"/>
        <v>361.41140000000001</v>
      </c>
      <c r="Q37" s="17"/>
      <c r="R37" s="17"/>
    </row>
    <row r="38" spans="1:18" x14ac:dyDescent="0.25">
      <c r="A38">
        <v>6.4</v>
      </c>
      <c r="B38" s="17"/>
      <c r="C38" s="17"/>
      <c r="D38" s="25">
        <f t="shared" si="4"/>
        <v>409.95920000000001</v>
      </c>
      <c r="E38" s="25">
        <f t="shared" si="5"/>
        <v>360.64080000000001</v>
      </c>
      <c r="F38" s="17"/>
      <c r="G38" s="17"/>
      <c r="J38" s="25"/>
      <c r="L38">
        <v>6.4</v>
      </c>
      <c r="M38" s="17">
        <v>0.1126761</v>
      </c>
      <c r="N38" s="17"/>
      <c r="O38" s="25">
        <f t="shared" si="6"/>
        <v>409.95920000000001</v>
      </c>
      <c r="P38" s="25">
        <f t="shared" si="7"/>
        <v>360.64080000000001</v>
      </c>
      <c r="Q38" s="17"/>
      <c r="R38" s="17"/>
    </row>
    <row r="39" spans="1:18" x14ac:dyDescent="0.25">
      <c r="A39">
        <v>6.6</v>
      </c>
      <c r="B39" s="17"/>
      <c r="C39" s="17"/>
      <c r="D39" s="25">
        <f t="shared" si="4"/>
        <v>410.72980000000001</v>
      </c>
      <c r="E39" s="25">
        <f t="shared" si="5"/>
        <v>359.87020000000001</v>
      </c>
      <c r="F39" s="17"/>
      <c r="G39" s="17"/>
      <c r="J39" s="25"/>
      <c r="L39">
        <v>6.6</v>
      </c>
      <c r="M39" s="17">
        <v>8.4507040000000005E-2</v>
      </c>
      <c r="N39" s="17"/>
      <c r="O39" s="25">
        <f t="shared" si="6"/>
        <v>410.72980000000001</v>
      </c>
      <c r="P39" s="25">
        <f t="shared" si="7"/>
        <v>359.87020000000001</v>
      </c>
      <c r="Q39" s="17"/>
      <c r="R39" s="17"/>
    </row>
    <row r="40" spans="1:18" x14ac:dyDescent="0.25">
      <c r="A40">
        <v>6.8</v>
      </c>
      <c r="B40" s="17"/>
      <c r="C40" s="17"/>
      <c r="D40" s="25">
        <f t="shared" si="4"/>
        <v>411.50040000000001</v>
      </c>
      <c r="E40" s="25">
        <f t="shared" si="5"/>
        <v>359.09960000000001</v>
      </c>
      <c r="F40" s="17"/>
      <c r="G40" s="17"/>
      <c r="J40" s="25"/>
      <c r="L40">
        <v>6.8</v>
      </c>
      <c r="M40" s="17">
        <v>8.4507040000000005E-2</v>
      </c>
      <c r="N40" s="17"/>
      <c r="O40" s="25">
        <f t="shared" si="6"/>
        <v>411.50040000000001</v>
      </c>
      <c r="P40" s="25">
        <f t="shared" si="7"/>
        <v>359.09960000000001</v>
      </c>
      <c r="Q40" s="17"/>
      <c r="R40" s="17"/>
    </row>
    <row r="41" spans="1:18" x14ac:dyDescent="0.25">
      <c r="A41">
        <v>7</v>
      </c>
      <c r="B41" s="17"/>
      <c r="C41" s="17"/>
      <c r="D41" s="25">
        <f t="shared" si="4"/>
        <v>412.27100000000002</v>
      </c>
      <c r="E41" s="25">
        <f t="shared" si="5"/>
        <v>358.32900000000001</v>
      </c>
      <c r="F41" s="17"/>
      <c r="G41" s="17"/>
      <c r="J41" s="25"/>
      <c r="L41">
        <v>7</v>
      </c>
      <c r="M41" s="17">
        <v>5.6338029999999997E-2</v>
      </c>
      <c r="N41" s="17"/>
      <c r="O41" s="25">
        <f t="shared" si="6"/>
        <v>412.27100000000002</v>
      </c>
      <c r="P41" s="25">
        <f t="shared" si="7"/>
        <v>358.32900000000001</v>
      </c>
      <c r="Q41" s="17"/>
      <c r="R41" s="17"/>
    </row>
    <row r="42" spans="1:18" x14ac:dyDescent="0.25">
      <c r="A42">
        <v>7.2</v>
      </c>
      <c r="B42" s="17"/>
      <c r="C42" s="17"/>
      <c r="D42" s="25">
        <f t="shared" si="4"/>
        <v>413.04160000000002</v>
      </c>
      <c r="E42" s="25">
        <f t="shared" si="5"/>
        <v>357.55840000000001</v>
      </c>
      <c r="F42" s="17"/>
      <c r="G42" s="17"/>
      <c r="J42" s="25"/>
      <c r="L42">
        <v>7.2</v>
      </c>
      <c r="M42" s="17">
        <v>5.6338029999999997E-2</v>
      </c>
      <c r="N42" s="17"/>
      <c r="O42" s="25">
        <f t="shared" si="6"/>
        <v>413.04160000000002</v>
      </c>
      <c r="P42" s="25">
        <f t="shared" si="7"/>
        <v>357.55840000000001</v>
      </c>
      <c r="Q42" s="17"/>
      <c r="R42" s="17"/>
    </row>
    <row r="43" spans="1:18" x14ac:dyDescent="0.25">
      <c r="A43">
        <v>7.4</v>
      </c>
      <c r="B43" s="17"/>
      <c r="C43" s="17"/>
      <c r="D43" s="25">
        <f t="shared" si="4"/>
        <v>413.81220000000002</v>
      </c>
      <c r="E43" s="25">
        <f t="shared" si="5"/>
        <v>356.7878</v>
      </c>
      <c r="F43" s="17"/>
      <c r="G43" s="17"/>
      <c r="J43" s="25"/>
      <c r="L43">
        <v>7.4</v>
      </c>
      <c r="M43" s="17">
        <v>4.2253520000000003E-2</v>
      </c>
      <c r="N43" s="17"/>
      <c r="O43" s="25">
        <f t="shared" si="6"/>
        <v>413.81220000000002</v>
      </c>
      <c r="P43" s="25">
        <f t="shared" si="7"/>
        <v>356.7878</v>
      </c>
      <c r="Q43" s="17"/>
      <c r="R43" s="17"/>
    </row>
    <row r="44" spans="1:18" x14ac:dyDescent="0.25">
      <c r="A44">
        <v>7.6</v>
      </c>
      <c r="B44" s="17"/>
      <c r="C44" s="17"/>
      <c r="D44" s="25">
        <f t="shared" si="4"/>
        <v>414.58280000000002</v>
      </c>
      <c r="E44" s="25">
        <f t="shared" si="5"/>
        <v>356.0172</v>
      </c>
      <c r="F44" s="17"/>
      <c r="G44" s="17"/>
      <c r="J44" s="25"/>
      <c r="L44">
        <v>7.6</v>
      </c>
      <c r="M44" s="17">
        <v>4.2253520000000003E-2</v>
      </c>
      <c r="N44" s="17"/>
      <c r="O44" s="25">
        <f t="shared" si="6"/>
        <v>414.58280000000002</v>
      </c>
      <c r="P44" s="25">
        <f t="shared" si="7"/>
        <v>356.0172</v>
      </c>
      <c r="Q44" s="17"/>
      <c r="R44" s="17"/>
    </row>
    <row r="45" spans="1:18" x14ac:dyDescent="0.25">
      <c r="A45">
        <v>7.8</v>
      </c>
      <c r="B45" s="17"/>
      <c r="C45" s="17"/>
      <c r="D45" s="25">
        <f t="shared" si="4"/>
        <v>415.35340000000002</v>
      </c>
      <c r="E45" s="25">
        <f t="shared" si="5"/>
        <v>355.2466</v>
      </c>
      <c r="F45" s="17"/>
      <c r="G45" s="17"/>
      <c r="J45" s="25"/>
      <c r="L45">
        <v>7.8</v>
      </c>
      <c r="M45" s="17">
        <v>4.2253520000000003E-2</v>
      </c>
      <c r="N45" s="17"/>
      <c r="O45" s="25">
        <f t="shared" si="6"/>
        <v>415.35340000000002</v>
      </c>
      <c r="P45" s="25">
        <f t="shared" si="7"/>
        <v>355.2466</v>
      </c>
      <c r="Q45" s="17"/>
      <c r="R45" s="17"/>
    </row>
    <row r="46" spans="1:18" x14ac:dyDescent="0.25">
      <c r="A46">
        <v>8</v>
      </c>
      <c r="B46" s="17"/>
      <c r="C46" s="17"/>
      <c r="D46" s="25">
        <f t="shared" si="4"/>
        <v>416.12400000000002</v>
      </c>
      <c r="E46" s="25">
        <f t="shared" si="5"/>
        <v>354.476</v>
      </c>
      <c r="F46" s="17"/>
      <c r="G46" s="17"/>
      <c r="J46" s="25"/>
      <c r="L46">
        <v>8</v>
      </c>
      <c r="M46" s="17">
        <v>2.8169010000000001E-2</v>
      </c>
      <c r="N46" s="17"/>
      <c r="O46" s="25">
        <f t="shared" si="6"/>
        <v>416.12400000000002</v>
      </c>
      <c r="P46" s="25">
        <f t="shared" si="7"/>
        <v>354.476</v>
      </c>
      <c r="Q46" s="17"/>
      <c r="R46" s="17"/>
    </row>
    <row r="47" spans="1:18" x14ac:dyDescent="0.25">
      <c r="A47">
        <v>8.1999999999999993</v>
      </c>
      <c r="B47" s="17"/>
      <c r="C47" s="17"/>
      <c r="D47" s="25">
        <f t="shared" si="4"/>
        <v>416.89460000000003</v>
      </c>
      <c r="E47" s="25">
        <f t="shared" si="5"/>
        <v>353.7054</v>
      </c>
      <c r="F47" s="17"/>
      <c r="G47" s="17"/>
      <c r="J47" s="25"/>
      <c r="L47">
        <v>8.1999999999999993</v>
      </c>
      <c r="M47" s="17">
        <v>2.8169010000000001E-2</v>
      </c>
      <c r="N47" s="17"/>
      <c r="O47" s="25">
        <f t="shared" si="6"/>
        <v>416.89460000000003</v>
      </c>
      <c r="P47" s="25">
        <f t="shared" si="7"/>
        <v>353.7054</v>
      </c>
      <c r="Q47" s="17"/>
      <c r="R47" s="17"/>
    </row>
    <row r="48" spans="1:18" x14ac:dyDescent="0.25">
      <c r="A48">
        <v>8.4</v>
      </c>
      <c r="B48" s="17"/>
      <c r="C48" s="17"/>
      <c r="D48" s="25">
        <f t="shared" si="4"/>
        <v>417.66520000000003</v>
      </c>
      <c r="E48" s="25">
        <f t="shared" si="5"/>
        <v>352.93480000000005</v>
      </c>
      <c r="F48" s="17"/>
      <c r="G48" s="17"/>
      <c r="J48" s="25"/>
      <c r="L48">
        <v>8.4</v>
      </c>
      <c r="M48" s="17">
        <v>1.408451E-2</v>
      </c>
      <c r="N48" s="17"/>
      <c r="O48" s="25">
        <f t="shared" si="6"/>
        <v>417.66520000000003</v>
      </c>
      <c r="P48" s="25">
        <f t="shared" si="7"/>
        <v>352.93480000000005</v>
      </c>
      <c r="Q48" s="17"/>
      <c r="R48" s="17"/>
    </row>
    <row r="49" spans="1:18" x14ac:dyDescent="0.25">
      <c r="A49" t="s">
        <v>27</v>
      </c>
      <c r="B49">
        <v>7.8</v>
      </c>
      <c r="C49">
        <v>0.3</v>
      </c>
      <c r="D49" s="25"/>
      <c r="E49" s="25"/>
      <c r="F49" s="17"/>
      <c r="G49" s="17"/>
      <c r="J49" s="25"/>
      <c r="L49">
        <v>8.6</v>
      </c>
      <c r="M49" s="17">
        <v>1.408451E-2</v>
      </c>
      <c r="N49" s="17"/>
      <c r="O49" s="25">
        <f t="shared" si="6"/>
        <v>418.43580000000003</v>
      </c>
      <c r="P49" s="25">
        <f t="shared" si="7"/>
        <v>352.16420000000005</v>
      </c>
      <c r="Q49" s="17"/>
      <c r="R49" s="17"/>
    </row>
    <row r="50" spans="1:18" x14ac:dyDescent="0.25">
      <c r="A50" t="s">
        <v>26</v>
      </c>
      <c r="B50">
        <v>2</v>
      </c>
      <c r="C50">
        <v>1</v>
      </c>
      <c r="D50" s="25"/>
      <c r="E50" s="25"/>
      <c r="F50" s="17"/>
      <c r="G50" s="17"/>
      <c r="J50" s="25"/>
      <c r="L50">
        <v>8.8000000000000007</v>
      </c>
      <c r="M50" s="17">
        <v>1.408451E-2</v>
      </c>
      <c r="N50" s="17"/>
      <c r="O50" s="25">
        <f t="shared" si="6"/>
        <v>419.20640000000003</v>
      </c>
      <c r="P50" s="25">
        <f t="shared" si="7"/>
        <v>351.39360000000005</v>
      </c>
      <c r="Q50" s="17"/>
      <c r="R50" s="17"/>
    </row>
    <row r="51" spans="1:18" x14ac:dyDescent="0.25">
      <c r="A51" t="s">
        <v>25</v>
      </c>
      <c r="B51">
        <v>6</v>
      </c>
      <c r="C51">
        <v>1.1000000000000001</v>
      </c>
      <c r="D51" s="25"/>
      <c r="E51" s="25"/>
      <c r="F51" s="17"/>
      <c r="G51" s="17"/>
      <c r="J51" s="25"/>
      <c r="L51">
        <v>9</v>
      </c>
      <c r="M51" s="17">
        <v>1.408451E-2</v>
      </c>
      <c r="N51" s="17"/>
      <c r="O51" s="25">
        <f t="shared" si="6"/>
        <v>419.97700000000003</v>
      </c>
      <c r="P51" s="25">
        <f t="shared" si="7"/>
        <v>350.62300000000005</v>
      </c>
      <c r="Q51" s="17"/>
      <c r="R51" s="17"/>
    </row>
    <row r="52" spans="1:18" x14ac:dyDescent="0.25">
      <c r="A52" s="17" t="s">
        <v>76</v>
      </c>
      <c r="B52" s="17">
        <v>0.2142857</v>
      </c>
      <c r="C52" s="17">
        <v>7.1428569999999997E-2</v>
      </c>
      <c r="D52" s="25"/>
      <c r="E52" s="25"/>
      <c r="F52" s="17"/>
      <c r="G52" s="17"/>
      <c r="J52" s="25"/>
      <c r="L52">
        <v>9.2000000000000099</v>
      </c>
      <c r="M52" s="17">
        <v>0</v>
      </c>
      <c r="N52" s="17"/>
      <c r="O52" s="25">
        <f t="shared" si="6"/>
        <v>420.74760000000003</v>
      </c>
      <c r="P52" s="25">
        <f t="shared" si="7"/>
        <v>349.85239999999999</v>
      </c>
      <c r="Q52" s="17"/>
      <c r="R52" s="17"/>
    </row>
    <row r="53" spans="1:18" x14ac:dyDescent="0.25">
      <c r="A53" t="s">
        <v>78</v>
      </c>
      <c r="B53" s="17">
        <v>0.35714289999999999</v>
      </c>
      <c r="C53" s="17">
        <v>0</v>
      </c>
      <c r="D53" s="25"/>
      <c r="E53" s="25"/>
      <c r="F53" s="17"/>
      <c r="G53" s="17"/>
      <c r="J53" s="25"/>
      <c r="L53" t="s">
        <v>27</v>
      </c>
      <c r="M53">
        <v>3.9</v>
      </c>
      <c r="N53">
        <v>0.9</v>
      </c>
      <c r="O53" s="25"/>
      <c r="P53" s="25"/>
      <c r="Q53" s="17"/>
      <c r="R53" s="17"/>
    </row>
    <row r="54" spans="1:18" x14ac:dyDescent="0.25">
      <c r="D54" s="25"/>
      <c r="E54" s="25"/>
      <c r="F54" s="17"/>
      <c r="G54" s="17"/>
      <c r="J54" s="25"/>
      <c r="L54" t="s">
        <v>26</v>
      </c>
      <c r="M54">
        <v>2</v>
      </c>
      <c r="N54">
        <v>1</v>
      </c>
      <c r="O54" s="25"/>
      <c r="P54" s="25"/>
      <c r="Q54" s="17"/>
      <c r="R54" s="17"/>
    </row>
    <row r="55" spans="1:18" x14ac:dyDescent="0.25">
      <c r="D55" s="25"/>
      <c r="E55" s="25"/>
      <c r="F55" s="17"/>
      <c r="G55" s="17"/>
      <c r="J55" s="25"/>
      <c r="L55" t="s">
        <v>25</v>
      </c>
      <c r="M55">
        <v>3.7</v>
      </c>
      <c r="N55">
        <v>1.5</v>
      </c>
      <c r="O55" s="25"/>
      <c r="P55" s="25"/>
      <c r="Q55" s="17"/>
      <c r="R55" s="17"/>
    </row>
    <row r="56" spans="1:18" x14ac:dyDescent="0.25">
      <c r="D56" s="25"/>
      <c r="E56" s="25"/>
      <c r="F56" s="17"/>
      <c r="G56" s="17"/>
      <c r="J56" s="25"/>
      <c r="L56" s="17" t="s">
        <v>76</v>
      </c>
      <c r="M56" s="17">
        <v>0.2105263</v>
      </c>
      <c r="N56" s="17">
        <v>0.1111111</v>
      </c>
      <c r="O56" s="25"/>
      <c r="P56" s="25"/>
      <c r="Q56" s="17"/>
      <c r="R56" s="17"/>
    </row>
    <row r="57" spans="1:18" x14ac:dyDescent="0.25">
      <c r="D57" s="25"/>
      <c r="E57" s="25"/>
      <c r="F57" s="17"/>
      <c r="G57" s="17"/>
      <c r="J57" s="25"/>
      <c r="L57" t="s">
        <v>78</v>
      </c>
      <c r="M57" s="17">
        <v>0.3684211</v>
      </c>
      <c r="N57" s="17">
        <v>0.1111111</v>
      </c>
      <c r="O57" s="25"/>
      <c r="P57" s="25"/>
      <c r="Q57" s="17"/>
      <c r="R57" s="17"/>
    </row>
    <row r="58" spans="1:18" x14ac:dyDescent="0.25">
      <c r="D58" s="25"/>
      <c r="E58" s="25"/>
      <c r="F58" s="17"/>
      <c r="G58" s="17"/>
      <c r="J58" s="25"/>
      <c r="O58" s="25"/>
      <c r="P58" s="25"/>
      <c r="Q58" s="17"/>
      <c r="R58" s="17"/>
    </row>
    <row r="59" spans="1:18" x14ac:dyDescent="0.25">
      <c r="D59" s="25"/>
      <c r="E59" s="25"/>
      <c r="F59" s="17"/>
      <c r="G59" s="17"/>
      <c r="J59" s="25"/>
      <c r="O59" s="25"/>
      <c r="P59" s="25"/>
      <c r="Q59" s="17"/>
      <c r="R59" s="17"/>
    </row>
    <row r="60" spans="1:18" x14ac:dyDescent="0.25">
      <c r="D60" s="25"/>
      <c r="E60" s="25"/>
      <c r="F60" s="17"/>
      <c r="G60" s="17"/>
      <c r="J60" s="25"/>
      <c r="O60" s="25"/>
      <c r="P60" s="25"/>
      <c r="Q60" s="17"/>
      <c r="R60" s="17"/>
    </row>
    <row r="61" spans="1:18" x14ac:dyDescent="0.25">
      <c r="D61" s="25"/>
      <c r="E61" s="25"/>
      <c r="F61" s="17"/>
      <c r="G61" s="17"/>
      <c r="J61" s="25"/>
      <c r="O61" s="25"/>
      <c r="P61" s="25"/>
      <c r="Q61" s="17"/>
      <c r="R61" s="17"/>
    </row>
    <row r="62" spans="1:18" x14ac:dyDescent="0.25">
      <c r="D62" s="25"/>
      <c r="E62" s="25"/>
      <c r="F62" s="17"/>
      <c r="G62" s="17"/>
      <c r="J62" s="25"/>
      <c r="O62" s="25"/>
      <c r="P62" s="25"/>
      <c r="Q62" s="17"/>
      <c r="R62" s="17"/>
    </row>
    <row r="63" spans="1:18" x14ac:dyDescent="0.25">
      <c r="D63" s="25"/>
      <c r="E63" s="25"/>
      <c r="F63" s="17"/>
      <c r="G63" s="17"/>
      <c r="J63" s="25"/>
      <c r="O63" s="25"/>
      <c r="P63" s="25"/>
      <c r="Q63" s="17"/>
      <c r="R63" s="17"/>
    </row>
    <row r="64" spans="1:18" x14ac:dyDescent="0.25">
      <c r="D64" s="25"/>
      <c r="E64" s="25"/>
      <c r="F64" s="17"/>
      <c r="G64" s="17"/>
      <c r="J64" s="25"/>
      <c r="O64" s="25"/>
      <c r="P64" s="25"/>
      <c r="Q64" s="17"/>
      <c r="R64" s="17"/>
    </row>
    <row r="65" spans="1:19" x14ac:dyDescent="0.25">
      <c r="A65" s="13">
        <v>18.02</v>
      </c>
      <c r="B65" s="25"/>
      <c r="C65" s="25"/>
      <c r="D65" s="17"/>
      <c r="E65" s="17"/>
      <c r="J65" s="25"/>
      <c r="L65">
        <v>23.8</v>
      </c>
      <c r="M65" s="25"/>
      <c r="N65" s="25"/>
      <c r="O65" s="17"/>
      <c r="P65" s="17"/>
    </row>
    <row r="66" spans="1:19" x14ac:dyDescent="0.25">
      <c r="A66" t="s">
        <v>45</v>
      </c>
      <c r="B66">
        <v>23.8</v>
      </c>
      <c r="C66" t="s">
        <v>27</v>
      </c>
      <c r="D66" s="14">
        <v>4.0370070000000001E-2</v>
      </c>
      <c r="E66" t="s">
        <v>26</v>
      </c>
      <c r="F66" s="14">
        <v>9.613323E-3</v>
      </c>
      <c r="G66" t="s">
        <v>25</v>
      </c>
      <c r="H66" s="14">
        <v>1.102499E-2</v>
      </c>
      <c r="J66" s="25"/>
      <c r="L66" t="s">
        <v>45</v>
      </c>
      <c r="M66">
        <v>59.89</v>
      </c>
      <c r="N66" t="s">
        <v>27</v>
      </c>
      <c r="O66" s="14">
        <v>6.2050559999999998E-2</v>
      </c>
      <c r="P66" t="s">
        <v>26</v>
      </c>
      <c r="Q66" s="14">
        <v>-2.3222449999999999E-2</v>
      </c>
      <c r="R66" t="s">
        <v>25</v>
      </c>
      <c r="S66" s="14">
        <v>-1.5600650000000001E-2</v>
      </c>
    </row>
    <row r="67" spans="1:19" x14ac:dyDescent="0.25">
      <c r="A67" t="s">
        <v>68</v>
      </c>
      <c r="C67" t="s">
        <v>27</v>
      </c>
      <c r="D67" s="14">
        <f>D66/SQRT(21)</f>
        <v>8.8094715040793296E-3</v>
      </c>
      <c r="E67" t="s">
        <v>26</v>
      </c>
      <c r="F67" s="14">
        <f>(1+F66)^(1/21)-1</f>
        <v>4.5569470363804321E-4</v>
      </c>
      <c r="G67" t="s">
        <v>25</v>
      </c>
      <c r="H67" s="14">
        <f>(1+H66)^(1/21)-1</f>
        <v>5.2226289531187575E-4</v>
      </c>
      <c r="J67" s="25"/>
      <c r="L67" t="s">
        <v>68</v>
      </c>
      <c r="N67" t="s">
        <v>27</v>
      </c>
      <c r="O67" s="14">
        <f>O66/SQRT(21)</f>
        <v>1.3540542291161859E-2</v>
      </c>
      <c r="P67" t="s">
        <v>26</v>
      </c>
      <c r="Q67" s="14">
        <f>(1+Q66)^(1/21)-1</f>
        <v>-1.1182476117879148E-3</v>
      </c>
      <c r="R67" t="s">
        <v>25</v>
      </c>
      <c r="S67" s="14">
        <f>(1+S66)^(1/21)-1</f>
        <v>-7.4846360728009209E-4</v>
      </c>
    </row>
    <row r="68" spans="1:19" x14ac:dyDescent="0.25">
      <c r="A68" t="s">
        <v>27</v>
      </c>
      <c r="B68" s="14">
        <v>2.6994540000000001E-2</v>
      </c>
      <c r="C68" s="14">
        <v>1.8576559999999999E-2</v>
      </c>
      <c r="D68" s="14">
        <f>B68/SQRT(21)</f>
        <v>5.8906915666911063E-3</v>
      </c>
      <c r="E68" s="14">
        <f>C68/SQRT(21)</f>
        <v>4.0537377310423265E-3</v>
      </c>
      <c r="F68" t="s">
        <v>68</v>
      </c>
      <c r="H68" s="14"/>
      <c r="J68" s="25"/>
      <c r="L68" t="s">
        <v>27</v>
      </c>
      <c r="M68" s="14">
        <v>3.2206569999999997E-2</v>
      </c>
      <c r="N68" s="14">
        <v>3.5632410000000003E-2</v>
      </c>
      <c r="O68" s="14">
        <f>M68/SQRT(21)</f>
        <v>7.0280497571378045E-3</v>
      </c>
      <c r="P68" s="14">
        <f>N68/SQRT(21)</f>
        <v>7.7756293342238787E-3</v>
      </c>
      <c r="Q68" t="s">
        <v>68</v>
      </c>
      <c r="S68" s="14"/>
    </row>
    <row r="69" spans="1:19" x14ac:dyDescent="0.25">
      <c r="A69" t="s">
        <v>26</v>
      </c>
      <c r="B69" s="14">
        <v>3.6855989999999998E-2</v>
      </c>
      <c r="C69" s="14">
        <v>-2.1505420000000001E-2</v>
      </c>
      <c r="D69" s="14">
        <f>(1+B69)^(1/21)-1</f>
        <v>1.7249645120629431E-3</v>
      </c>
      <c r="E69" s="14">
        <f>(1+C69)^(1/21)-1</f>
        <v>-1.0347039077879261E-3</v>
      </c>
      <c r="F69" s="14"/>
      <c r="G69" t="s">
        <v>79</v>
      </c>
      <c r="H69" s="14"/>
      <c r="J69" s="25"/>
      <c r="L69" t="s">
        <v>26</v>
      </c>
      <c r="M69" s="14">
        <v>5.1513580000000003E-2</v>
      </c>
      <c r="N69" s="14">
        <v>-5.533677E-2</v>
      </c>
      <c r="O69" s="14">
        <f>(1+M69)^(1/21)-1</f>
        <v>2.3947977659302122E-3</v>
      </c>
      <c r="P69" s="14">
        <f>(1+N69)^(1/21)-1</f>
        <v>-2.7071284048535427E-3</v>
      </c>
      <c r="Q69" s="14"/>
      <c r="R69" t="s">
        <v>79</v>
      </c>
      <c r="S69" s="14"/>
    </row>
    <row r="70" spans="1:19" x14ac:dyDescent="0.25">
      <c r="A70" t="s">
        <v>25</v>
      </c>
      <c r="B70" s="14">
        <v>3.8583579999999999E-2</v>
      </c>
      <c r="C70" s="14">
        <v>-2.7288179999999999E-2</v>
      </c>
      <c r="D70" s="14">
        <f>(1+B70)^(1/21)-1</f>
        <v>1.8043803462182151E-3</v>
      </c>
      <c r="E70" s="14">
        <f>(1+C70)^(1/21)-1</f>
        <v>-1.3166285515562315E-3</v>
      </c>
      <c r="F70" s="21" t="s">
        <v>40</v>
      </c>
      <c r="G70">
        <v>57</v>
      </c>
      <c r="J70" s="25"/>
      <c r="L70" t="s">
        <v>25</v>
      </c>
      <c r="M70" s="14">
        <v>4.9145469999999997E-2</v>
      </c>
      <c r="N70" s="14">
        <v>-5.6606530000000002E-2</v>
      </c>
      <c r="O70" s="14">
        <f>(1+M70)^(1/21)-1</f>
        <v>2.2871827986978843E-3</v>
      </c>
      <c r="P70" s="14">
        <f>(1+N70)^(1/21)-1</f>
        <v>-2.7710027090820377E-3</v>
      </c>
      <c r="Q70" s="21" t="s">
        <v>40</v>
      </c>
      <c r="R70">
        <v>38</v>
      </c>
    </row>
    <row r="71" spans="1:19" x14ac:dyDescent="0.25">
      <c r="A71" t="s">
        <v>31</v>
      </c>
      <c r="B71" t="s">
        <v>30</v>
      </c>
      <c r="C71" t="s">
        <v>33</v>
      </c>
      <c r="F71" s="21" t="s">
        <v>41</v>
      </c>
      <c r="G71">
        <v>41</v>
      </c>
      <c r="J71" s="25"/>
      <c r="L71" t="s">
        <v>31</v>
      </c>
      <c r="M71" t="s">
        <v>30</v>
      </c>
      <c r="N71" t="s">
        <v>33</v>
      </c>
      <c r="Q71" s="21" t="s">
        <v>41</v>
      </c>
      <c r="R71">
        <v>60</v>
      </c>
    </row>
    <row r="72" spans="1:19" x14ac:dyDescent="0.25">
      <c r="A72">
        <v>0.2</v>
      </c>
      <c r="B72" s="17">
        <v>0.98245610000000005</v>
      </c>
      <c r="C72" s="17">
        <v>0.97560979999999997</v>
      </c>
      <c r="D72" s="25">
        <f>$J$4*(A72/100+1)</f>
        <v>386.07060000000001</v>
      </c>
      <c r="E72" s="25">
        <f>(1-A72/100)*$J$4</f>
        <v>384.52940000000001</v>
      </c>
      <c r="F72" t="s">
        <v>42</v>
      </c>
      <c r="G72" s="13">
        <f>G70/G71</f>
        <v>1.3902439024390243</v>
      </c>
      <c r="J72" s="25"/>
      <c r="L72">
        <v>0.2</v>
      </c>
      <c r="M72" s="17">
        <v>0.9473684</v>
      </c>
      <c r="N72" s="17">
        <v>1</v>
      </c>
      <c r="O72" s="25">
        <f>$J$4*(L72/100+1)</f>
        <v>386.07060000000001</v>
      </c>
      <c r="P72" s="25">
        <f>(1-L72/100)*$J$4</f>
        <v>384.52940000000001</v>
      </c>
      <c r="Q72" t="s">
        <v>42</v>
      </c>
      <c r="R72" s="13">
        <f>R70/R71</f>
        <v>0.6333333333333333</v>
      </c>
    </row>
    <row r="73" spans="1:19" x14ac:dyDescent="0.25">
      <c r="A73">
        <v>0.4</v>
      </c>
      <c r="B73" s="17">
        <v>0.98245610000000005</v>
      </c>
      <c r="C73" s="17">
        <v>0.9512195</v>
      </c>
      <c r="D73" s="25">
        <f t="shared" ref="D73:D117" si="8">$J$4*(A73/100+1)</f>
        <v>386.84120000000001</v>
      </c>
      <c r="E73" s="25">
        <f t="shared" ref="E73:E117" si="9">(1-A73/100)*$J$4</f>
        <v>383.75880000000001</v>
      </c>
      <c r="G73" s="17">
        <f>G70/SUM(G70:G71)</f>
        <v>0.58163265306122447</v>
      </c>
      <c r="J73" s="25"/>
      <c r="L73">
        <v>0.4</v>
      </c>
      <c r="M73" s="17">
        <v>0.9473684</v>
      </c>
      <c r="N73" s="17">
        <v>1</v>
      </c>
      <c r="O73" s="25">
        <f t="shared" ref="O73:O127" si="10">$J$4*(L73/100+1)</f>
        <v>386.84120000000001</v>
      </c>
      <c r="P73" s="25">
        <f t="shared" ref="P73:P127" si="11">(1-L73/100)*$J$4</f>
        <v>383.75880000000001</v>
      </c>
      <c r="R73" s="17">
        <f>R70/SUM(R70:R71)</f>
        <v>0.38775510204081631</v>
      </c>
    </row>
    <row r="74" spans="1:19" x14ac:dyDescent="0.25">
      <c r="A74">
        <v>0.6</v>
      </c>
      <c r="B74" s="17">
        <v>0.9473684</v>
      </c>
      <c r="C74" s="17">
        <v>0.85365849999999999</v>
      </c>
      <c r="D74" s="25">
        <f t="shared" si="8"/>
        <v>387.61180000000002</v>
      </c>
      <c r="E74" s="25">
        <f t="shared" si="9"/>
        <v>382.98820000000001</v>
      </c>
      <c r="F74" s="25"/>
      <c r="G74" s="17">
        <f>G71/SUM(G70:G71)</f>
        <v>0.41836734693877553</v>
      </c>
      <c r="J74" s="25"/>
      <c r="L74">
        <v>0.6</v>
      </c>
      <c r="M74" s="17">
        <v>0.8947368</v>
      </c>
      <c r="N74" s="17">
        <v>0.96666669999999999</v>
      </c>
      <c r="O74" s="25">
        <f t="shared" si="10"/>
        <v>387.61180000000002</v>
      </c>
      <c r="P74" s="25">
        <f t="shared" si="11"/>
        <v>382.98820000000001</v>
      </c>
      <c r="Q74" s="25"/>
      <c r="R74" s="17">
        <f>R71/SUM(R70:R71)</f>
        <v>0.61224489795918369</v>
      </c>
    </row>
    <row r="75" spans="1:19" x14ac:dyDescent="0.25">
      <c r="A75">
        <v>0.8</v>
      </c>
      <c r="B75" s="17">
        <v>0.91228070000000006</v>
      </c>
      <c r="C75" s="17">
        <v>0.85365849999999999</v>
      </c>
      <c r="D75" s="25">
        <f t="shared" si="8"/>
        <v>388.38240000000002</v>
      </c>
      <c r="E75" s="25">
        <f t="shared" si="9"/>
        <v>382.2176</v>
      </c>
      <c r="F75" s="17"/>
      <c r="G75" s="17"/>
      <c r="L75">
        <v>0.8</v>
      </c>
      <c r="M75" s="17">
        <v>0.86842109999999995</v>
      </c>
      <c r="N75" s="17">
        <v>0.93333330000000003</v>
      </c>
      <c r="O75" s="25">
        <f t="shared" si="10"/>
        <v>388.38240000000002</v>
      </c>
      <c r="P75" s="25">
        <f t="shared" si="11"/>
        <v>382.2176</v>
      </c>
      <c r="Q75" s="17"/>
      <c r="R75" s="17"/>
    </row>
    <row r="76" spans="1:19" x14ac:dyDescent="0.25">
      <c r="A76">
        <v>1</v>
      </c>
      <c r="B76" s="17">
        <v>0.85964910000000005</v>
      </c>
      <c r="C76" s="17">
        <v>0.78048779999999995</v>
      </c>
      <c r="D76" s="25">
        <f t="shared" si="8"/>
        <v>389.15300000000002</v>
      </c>
      <c r="E76" s="25">
        <f t="shared" si="9"/>
        <v>381.447</v>
      </c>
      <c r="F76" s="17"/>
      <c r="G76" s="17"/>
      <c r="L76">
        <v>1</v>
      </c>
      <c r="M76" s="17">
        <v>0.84210529999999995</v>
      </c>
      <c r="N76" s="17">
        <v>0.91666669999999995</v>
      </c>
      <c r="O76" s="25">
        <f t="shared" si="10"/>
        <v>389.15300000000002</v>
      </c>
      <c r="P76" s="25">
        <f t="shared" si="11"/>
        <v>381.447</v>
      </c>
      <c r="Q76" s="17"/>
      <c r="R76" s="17"/>
    </row>
    <row r="77" spans="1:19" x14ac:dyDescent="0.25">
      <c r="A77">
        <v>1.2</v>
      </c>
      <c r="B77" s="17">
        <v>0.8245614</v>
      </c>
      <c r="C77" s="17">
        <v>0.73170729999999995</v>
      </c>
      <c r="D77" s="25">
        <f t="shared" si="8"/>
        <v>389.92360000000002</v>
      </c>
      <c r="E77" s="25">
        <f t="shared" si="9"/>
        <v>380.6764</v>
      </c>
      <c r="F77" s="17"/>
      <c r="G77" s="17"/>
      <c r="L77">
        <v>1.2</v>
      </c>
      <c r="M77" s="17">
        <v>0.84210529999999995</v>
      </c>
      <c r="N77" s="17">
        <v>0.88333329999999999</v>
      </c>
      <c r="O77" s="25">
        <f t="shared" si="10"/>
        <v>389.92360000000002</v>
      </c>
      <c r="P77" s="25">
        <f t="shared" si="11"/>
        <v>380.6764</v>
      </c>
      <c r="Q77" s="17"/>
      <c r="R77" s="17"/>
    </row>
    <row r="78" spans="1:19" x14ac:dyDescent="0.25">
      <c r="A78">
        <v>1.4</v>
      </c>
      <c r="B78" s="17">
        <v>0.7719298</v>
      </c>
      <c r="C78" s="17">
        <v>0.73170729999999995</v>
      </c>
      <c r="D78" s="25">
        <f t="shared" si="8"/>
        <v>390.69420000000002</v>
      </c>
      <c r="E78" s="25">
        <f t="shared" si="9"/>
        <v>379.9058</v>
      </c>
      <c r="F78" s="17"/>
      <c r="G78" s="17"/>
      <c r="L78">
        <v>1.4</v>
      </c>
      <c r="M78" s="17">
        <v>0.84210529999999995</v>
      </c>
      <c r="N78" s="17">
        <v>0.88333329999999999</v>
      </c>
      <c r="O78" s="25">
        <f t="shared" si="10"/>
        <v>390.69420000000002</v>
      </c>
      <c r="P78" s="25">
        <f t="shared" si="11"/>
        <v>379.9058</v>
      </c>
      <c r="Q78" s="17"/>
      <c r="R78" s="17"/>
    </row>
    <row r="79" spans="1:19" x14ac:dyDescent="0.25">
      <c r="A79">
        <v>1.6</v>
      </c>
      <c r="B79" s="17">
        <v>0.73684210000000006</v>
      </c>
      <c r="C79" s="17">
        <v>0.70731710000000003</v>
      </c>
      <c r="D79" s="25">
        <f t="shared" si="8"/>
        <v>391.46480000000003</v>
      </c>
      <c r="E79" s="25">
        <f t="shared" si="9"/>
        <v>379.1352</v>
      </c>
      <c r="F79" s="17"/>
      <c r="G79" s="17"/>
      <c r="L79">
        <v>1.6</v>
      </c>
      <c r="M79" s="17">
        <v>0.81578949999999995</v>
      </c>
      <c r="N79" s="17">
        <v>0.88333329999999999</v>
      </c>
      <c r="O79" s="25">
        <f t="shared" si="10"/>
        <v>391.46480000000003</v>
      </c>
      <c r="P79" s="25">
        <f t="shared" si="11"/>
        <v>379.1352</v>
      </c>
      <c r="Q79" s="17"/>
      <c r="R79" s="17"/>
    </row>
    <row r="80" spans="1:19" x14ac:dyDescent="0.25">
      <c r="A80">
        <v>1.8</v>
      </c>
      <c r="B80" s="17">
        <v>0.66666669999999995</v>
      </c>
      <c r="C80" s="17">
        <v>0.65853660000000003</v>
      </c>
      <c r="D80" s="25">
        <f t="shared" si="8"/>
        <v>392.23540000000003</v>
      </c>
      <c r="E80" s="25">
        <f t="shared" si="9"/>
        <v>378.3646</v>
      </c>
      <c r="F80" s="17"/>
      <c r="G80" s="17"/>
      <c r="L80">
        <v>1.8</v>
      </c>
      <c r="M80" s="17">
        <v>0.81578949999999995</v>
      </c>
      <c r="N80" s="17">
        <v>0.86666670000000001</v>
      </c>
      <c r="O80" s="25">
        <f t="shared" si="10"/>
        <v>392.23540000000003</v>
      </c>
      <c r="P80" s="25">
        <f t="shared" si="11"/>
        <v>378.3646</v>
      </c>
      <c r="Q80" t="s">
        <v>81</v>
      </c>
      <c r="R80" t="s">
        <v>22</v>
      </c>
    </row>
    <row r="81" spans="1:18" x14ac:dyDescent="0.25">
      <c r="A81">
        <v>2</v>
      </c>
      <c r="B81" s="17">
        <v>0.66666669999999995</v>
      </c>
      <c r="C81" s="17">
        <v>0.58536589999999999</v>
      </c>
      <c r="D81" s="25">
        <f t="shared" si="8"/>
        <v>393.00600000000003</v>
      </c>
      <c r="E81" s="25">
        <f t="shared" si="9"/>
        <v>377.59399999999999</v>
      </c>
      <c r="F81" s="17"/>
      <c r="G81" s="17"/>
      <c r="L81">
        <v>2</v>
      </c>
      <c r="M81" s="17">
        <v>0.73684210000000006</v>
      </c>
      <c r="N81" s="17">
        <v>0.85</v>
      </c>
      <c r="O81" s="25">
        <f t="shared" si="10"/>
        <v>393.00600000000003</v>
      </c>
      <c r="P81" s="25">
        <f t="shared" si="11"/>
        <v>377.59399999999999</v>
      </c>
      <c r="Q81">
        <v>1</v>
      </c>
      <c r="R81">
        <v>4</v>
      </c>
    </row>
    <row r="82" spans="1:18" x14ac:dyDescent="0.25">
      <c r="A82">
        <v>2.2000000000000002</v>
      </c>
      <c r="B82" s="17">
        <v>0.66666669999999995</v>
      </c>
      <c r="C82" s="17">
        <v>0.46341460000000001</v>
      </c>
      <c r="D82" s="25">
        <f t="shared" si="8"/>
        <v>393.77660000000003</v>
      </c>
      <c r="E82" s="25">
        <f t="shared" si="9"/>
        <v>376.82339999999999</v>
      </c>
      <c r="F82" t="s">
        <v>81</v>
      </c>
      <c r="G82" t="s">
        <v>22</v>
      </c>
      <c r="L82">
        <v>2.2000000000000002</v>
      </c>
      <c r="M82" s="17">
        <v>0.73684210000000006</v>
      </c>
      <c r="N82" s="17">
        <v>0.81666669999999997</v>
      </c>
      <c r="O82" s="25">
        <f t="shared" si="10"/>
        <v>393.77660000000003</v>
      </c>
      <c r="P82" s="25">
        <f t="shared" si="11"/>
        <v>376.82339999999999</v>
      </c>
      <c r="Q82">
        <v>3</v>
      </c>
      <c r="R82">
        <v>2</v>
      </c>
    </row>
    <row r="83" spans="1:18" x14ac:dyDescent="0.25">
      <c r="A83">
        <v>2.4</v>
      </c>
      <c r="B83" s="17">
        <v>0.61403509999999994</v>
      </c>
      <c r="C83" s="17">
        <v>0.46341460000000001</v>
      </c>
      <c r="D83" s="25">
        <f t="shared" si="8"/>
        <v>394.54720000000003</v>
      </c>
      <c r="E83" s="25">
        <f t="shared" si="9"/>
        <v>376.05279999999999</v>
      </c>
      <c r="F83">
        <v>2</v>
      </c>
      <c r="G83">
        <v>2</v>
      </c>
      <c r="L83">
        <v>2.4</v>
      </c>
      <c r="M83" s="17">
        <v>0.73684210000000006</v>
      </c>
      <c r="N83" s="17">
        <v>0.81666669999999997</v>
      </c>
      <c r="O83" s="25">
        <f t="shared" si="10"/>
        <v>394.54720000000003</v>
      </c>
      <c r="P83" s="25">
        <f t="shared" si="11"/>
        <v>376.05279999999999</v>
      </c>
      <c r="Q83">
        <v>5</v>
      </c>
      <c r="R83">
        <v>2</v>
      </c>
    </row>
    <row r="84" spans="1:18" x14ac:dyDescent="0.25">
      <c r="A84">
        <v>2.6</v>
      </c>
      <c r="B84" s="17">
        <v>0.5964912</v>
      </c>
      <c r="C84" s="17">
        <v>0.43902439999999998</v>
      </c>
      <c r="D84" s="25">
        <f t="shared" si="8"/>
        <v>395.31780000000003</v>
      </c>
      <c r="E84" s="25">
        <f t="shared" si="9"/>
        <v>375.28219999999999</v>
      </c>
      <c r="F84">
        <v>4</v>
      </c>
      <c r="G84">
        <v>2</v>
      </c>
      <c r="L84">
        <v>2.6</v>
      </c>
      <c r="M84" s="17">
        <v>0.71052630000000006</v>
      </c>
      <c r="N84" s="17">
        <v>0.8</v>
      </c>
      <c r="O84" s="25">
        <f t="shared" si="10"/>
        <v>395.31780000000003</v>
      </c>
      <c r="P84" s="25">
        <f t="shared" si="11"/>
        <v>375.28219999999999</v>
      </c>
      <c r="Q84">
        <v>1</v>
      </c>
      <c r="R84">
        <v>1</v>
      </c>
    </row>
    <row r="85" spans="1:18" x14ac:dyDescent="0.25">
      <c r="A85">
        <v>2.8</v>
      </c>
      <c r="B85" s="17">
        <v>0.5789474</v>
      </c>
      <c r="C85" s="17">
        <v>0.39024389999999998</v>
      </c>
      <c r="D85" s="25">
        <f t="shared" si="8"/>
        <v>396.08840000000004</v>
      </c>
      <c r="E85" s="25">
        <f t="shared" si="9"/>
        <v>374.51159999999999</v>
      </c>
      <c r="F85">
        <v>1</v>
      </c>
      <c r="G85">
        <v>1</v>
      </c>
      <c r="L85">
        <v>2.8</v>
      </c>
      <c r="M85" s="17">
        <v>0.68421050000000005</v>
      </c>
      <c r="N85" s="17">
        <v>0.75</v>
      </c>
      <c r="O85" s="25">
        <f t="shared" si="10"/>
        <v>396.08840000000004</v>
      </c>
      <c r="P85" s="25">
        <f t="shared" si="11"/>
        <v>374.51159999999999</v>
      </c>
      <c r="Q85">
        <v>2</v>
      </c>
      <c r="R85">
        <v>4</v>
      </c>
    </row>
    <row r="86" spans="1:18" x14ac:dyDescent="0.25">
      <c r="A86">
        <v>3</v>
      </c>
      <c r="B86" s="17">
        <v>0.56140350000000006</v>
      </c>
      <c r="C86" s="17">
        <v>0.39024389999999998</v>
      </c>
      <c r="D86" s="25">
        <f t="shared" si="8"/>
        <v>396.85900000000004</v>
      </c>
      <c r="E86" s="25">
        <f t="shared" si="9"/>
        <v>373.74099999999999</v>
      </c>
      <c r="F86">
        <v>1</v>
      </c>
      <c r="G86">
        <v>1</v>
      </c>
      <c r="L86">
        <v>3</v>
      </c>
      <c r="M86" s="17">
        <v>0.68421050000000005</v>
      </c>
      <c r="N86" s="17">
        <v>0.73333329999999997</v>
      </c>
      <c r="O86" s="25">
        <f t="shared" si="10"/>
        <v>396.85900000000004</v>
      </c>
      <c r="P86" s="25">
        <f t="shared" si="11"/>
        <v>373.74099999999999</v>
      </c>
      <c r="Q86">
        <v>1</v>
      </c>
      <c r="R86">
        <v>1</v>
      </c>
    </row>
    <row r="87" spans="1:18" x14ac:dyDescent="0.25">
      <c r="A87">
        <v>3.2</v>
      </c>
      <c r="B87" s="17">
        <v>0.5438596</v>
      </c>
      <c r="C87" s="17">
        <v>0.34146339999999997</v>
      </c>
      <c r="D87" s="25">
        <f t="shared" si="8"/>
        <v>397.62960000000004</v>
      </c>
      <c r="E87" s="25">
        <f t="shared" si="9"/>
        <v>372.97039999999998</v>
      </c>
      <c r="F87">
        <v>1</v>
      </c>
      <c r="G87">
        <v>1</v>
      </c>
      <c r="L87">
        <v>3.2</v>
      </c>
      <c r="M87" s="17">
        <v>0.68421050000000005</v>
      </c>
      <c r="N87" s="17">
        <v>0.7</v>
      </c>
      <c r="O87" s="25">
        <f t="shared" si="10"/>
        <v>397.62960000000004</v>
      </c>
      <c r="P87" s="25">
        <f t="shared" si="11"/>
        <v>372.97039999999998</v>
      </c>
      <c r="Q87">
        <v>1</v>
      </c>
      <c r="R87">
        <v>2</v>
      </c>
    </row>
    <row r="88" spans="1:18" x14ac:dyDescent="0.25">
      <c r="A88">
        <v>3.4</v>
      </c>
      <c r="B88" s="17">
        <v>0.5438596</v>
      </c>
      <c r="C88" s="17">
        <v>0.34146339999999997</v>
      </c>
      <c r="D88" s="25">
        <f t="shared" si="8"/>
        <v>398.40020000000004</v>
      </c>
      <c r="E88" s="25">
        <f t="shared" si="9"/>
        <v>372.19979999999998</v>
      </c>
      <c r="F88">
        <v>2</v>
      </c>
      <c r="G88">
        <v>1</v>
      </c>
      <c r="L88">
        <v>3.4</v>
      </c>
      <c r="M88" s="17">
        <v>0.65789470000000005</v>
      </c>
      <c r="N88" s="17">
        <v>0.66666669999999995</v>
      </c>
      <c r="O88" s="25">
        <f t="shared" si="10"/>
        <v>398.40020000000004</v>
      </c>
      <c r="P88" s="25">
        <f t="shared" si="11"/>
        <v>372.19979999999998</v>
      </c>
      <c r="Q88">
        <v>1</v>
      </c>
      <c r="R88">
        <v>2</v>
      </c>
    </row>
    <row r="89" spans="1:18" x14ac:dyDescent="0.25">
      <c r="A89">
        <v>3.6</v>
      </c>
      <c r="B89" s="17">
        <v>0.50877190000000005</v>
      </c>
      <c r="C89" s="17">
        <v>0.3170732</v>
      </c>
      <c r="D89" s="25">
        <f t="shared" si="8"/>
        <v>399.17080000000004</v>
      </c>
      <c r="E89" s="25">
        <f t="shared" si="9"/>
        <v>371.42919999999998</v>
      </c>
      <c r="F89">
        <v>8</v>
      </c>
      <c r="G89">
        <v>1</v>
      </c>
      <c r="L89">
        <v>3.6</v>
      </c>
      <c r="M89" s="17">
        <v>0.63157890000000005</v>
      </c>
      <c r="N89" s="17">
        <v>0.63333329999999999</v>
      </c>
      <c r="O89" s="25">
        <f t="shared" si="10"/>
        <v>399.17080000000004</v>
      </c>
      <c r="P89" s="25">
        <f t="shared" si="11"/>
        <v>371.42919999999998</v>
      </c>
      <c r="Q89">
        <v>2</v>
      </c>
      <c r="R89">
        <v>2</v>
      </c>
    </row>
    <row r="90" spans="1:18" x14ac:dyDescent="0.25">
      <c r="A90">
        <v>3.8</v>
      </c>
      <c r="B90" s="17">
        <v>0.4736842</v>
      </c>
      <c r="C90" s="17">
        <v>0.3170732</v>
      </c>
      <c r="D90" s="25">
        <f t="shared" si="8"/>
        <v>399.94140000000004</v>
      </c>
      <c r="E90" s="25">
        <f t="shared" si="9"/>
        <v>370.65859999999998</v>
      </c>
      <c r="F90">
        <v>4</v>
      </c>
      <c r="G90">
        <v>2</v>
      </c>
      <c r="L90">
        <v>3.8</v>
      </c>
      <c r="M90" s="17">
        <v>0.6052632</v>
      </c>
      <c r="N90" s="17">
        <v>0.61666670000000001</v>
      </c>
      <c r="O90" s="25">
        <f t="shared" si="10"/>
        <v>399.94140000000004</v>
      </c>
      <c r="P90" s="25">
        <f t="shared" si="11"/>
        <v>370.65859999999998</v>
      </c>
      <c r="Q90">
        <v>1</v>
      </c>
      <c r="R90">
        <v>2</v>
      </c>
    </row>
    <row r="91" spans="1:18" x14ac:dyDescent="0.25">
      <c r="A91">
        <v>4</v>
      </c>
      <c r="B91" s="17">
        <v>0.4385965</v>
      </c>
      <c r="C91" s="17">
        <v>0.29268290000000002</v>
      </c>
      <c r="D91" s="25">
        <f t="shared" si="8"/>
        <v>400.71200000000005</v>
      </c>
      <c r="E91" s="25">
        <f t="shared" si="9"/>
        <v>369.88799999999998</v>
      </c>
      <c r="F91">
        <v>1</v>
      </c>
      <c r="G91">
        <v>3</v>
      </c>
      <c r="L91">
        <v>4</v>
      </c>
      <c r="M91" s="17">
        <v>0.6052632</v>
      </c>
      <c r="N91" s="17">
        <v>0.6</v>
      </c>
      <c r="O91" s="25">
        <f t="shared" si="10"/>
        <v>400.71200000000005</v>
      </c>
      <c r="P91" s="25">
        <f t="shared" si="11"/>
        <v>369.88799999999998</v>
      </c>
      <c r="Q91">
        <v>2</v>
      </c>
      <c r="R91">
        <v>1</v>
      </c>
    </row>
    <row r="92" spans="1:18" x14ac:dyDescent="0.25">
      <c r="A92">
        <v>4.2</v>
      </c>
      <c r="B92" s="17">
        <v>0.4035088</v>
      </c>
      <c r="C92" s="17">
        <v>0.29268290000000002</v>
      </c>
      <c r="D92" s="25">
        <f t="shared" si="8"/>
        <v>401.48260000000005</v>
      </c>
      <c r="E92" s="25">
        <f t="shared" si="9"/>
        <v>369.11739999999998</v>
      </c>
      <c r="F92">
        <v>2</v>
      </c>
      <c r="G92">
        <v>2</v>
      </c>
      <c r="L92">
        <v>4.2</v>
      </c>
      <c r="M92" s="17">
        <v>0.5789474</v>
      </c>
      <c r="N92" s="17">
        <v>0.6</v>
      </c>
      <c r="O92" s="25">
        <f t="shared" si="10"/>
        <v>401.48260000000005</v>
      </c>
      <c r="P92" s="25">
        <f t="shared" si="11"/>
        <v>369.11739999999998</v>
      </c>
      <c r="Q92">
        <v>1</v>
      </c>
      <c r="R92">
        <v>3</v>
      </c>
    </row>
    <row r="93" spans="1:18" x14ac:dyDescent="0.25">
      <c r="A93">
        <v>4.4000000000000004</v>
      </c>
      <c r="B93" s="17">
        <v>0.3508772</v>
      </c>
      <c r="C93" s="17">
        <v>0.24390239999999999</v>
      </c>
      <c r="D93" s="25">
        <f t="shared" si="8"/>
        <v>402.25320000000005</v>
      </c>
      <c r="E93" s="25">
        <f t="shared" si="9"/>
        <v>368.34679999999997</v>
      </c>
      <c r="F93">
        <v>1</v>
      </c>
      <c r="G93">
        <v>4</v>
      </c>
      <c r="L93">
        <v>4.4000000000000004</v>
      </c>
      <c r="M93" s="17">
        <v>0.5789474</v>
      </c>
      <c r="N93" s="17">
        <v>0.58333330000000005</v>
      </c>
      <c r="O93" s="25">
        <f t="shared" si="10"/>
        <v>402.25320000000005</v>
      </c>
      <c r="P93" s="25">
        <f t="shared" si="11"/>
        <v>368.34679999999997</v>
      </c>
      <c r="Q93">
        <v>1</v>
      </c>
      <c r="R93">
        <v>7</v>
      </c>
    </row>
    <row r="94" spans="1:18" x14ac:dyDescent="0.25">
      <c r="A94">
        <v>4.5999999999999996</v>
      </c>
      <c r="B94" s="17">
        <v>0.3508772</v>
      </c>
      <c r="C94" s="17">
        <v>0.17073169999999999</v>
      </c>
      <c r="D94" s="25">
        <f t="shared" si="8"/>
        <v>403.02380000000005</v>
      </c>
      <c r="E94" s="25">
        <f t="shared" si="9"/>
        <v>367.57619999999997</v>
      </c>
      <c r="F94">
        <v>5</v>
      </c>
      <c r="G94">
        <v>1</v>
      </c>
      <c r="L94">
        <v>4.5999999999999996</v>
      </c>
      <c r="M94" s="17">
        <v>0.5263158</v>
      </c>
      <c r="N94" s="17">
        <v>0.58333330000000005</v>
      </c>
      <c r="O94" s="25">
        <f t="shared" si="10"/>
        <v>403.02380000000005</v>
      </c>
      <c r="P94" s="25">
        <f t="shared" si="11"/>
        <v>367.57619999999997</v>
      </c>
      <c r="Q94">
        <v>7</v>
      </c>
      <c r="R94">
        <v>2</v>
      </c>
    </row>
    <row r="95" spans="1:18" x14ac:dyDescent="0.25">
      <c r="A95">
        <v>4.8</v>
      </c>
      <c r="B95" s="17">
        <v>0.3333333</v>
      </c>
      <c r="C95" s="17">
        <v>0.1219512</v>
      </c>
      <c r="D95" s="25">
        <f t="shared" si="8"/>
        <v>403.79440000000005</v>
      </c>
      <c r="E95" s="25">
        <f t="shared" si="9"/>
        <v>366.80559999999997</v>
      </c>
      <c r="F95">
        <v>1</v>
      </c>
      <c r="G95">
        <v>1</v>
      </c>
      <c r="L95">
        <v>4.8</v>
      </c>
      <c r="M95" s="17">
        <v>0.5263158</v>
      </c>
      <c r="N95" s="17">
        <v>0.56666669999999997</v>
      </c>
      <c r="O95" s="25">
        <f t="shared" si="10"/>
        <v>403.79440000000005</v>
      </c>
      <c r="P95" s="25">
        <f t="shared" si="11"/>
        <v>366.80559999999997</v>
      </c>
      <c r="Q95">
        <v>1</v>
      </c>
      <c r="R95">
        <v>1</v>
      </c>
    </row>
    <row r="96" spans="1:18" x14ac:dyDescent="0.25">
      <c r="A96">
        <v>5</v>
      </c>
      <c r="B96" s="17">
        <v>0.3333333</v>
      </c>
      <c r="C96" s="17">
        <v>0.1219512</v>
      </c>
      <c r="D96" s="25">
        <f t="shared" si="8"/>
        <v>404.56500000000005</v>
      </c>
      <c r="E96" s="25">
        <f t="shared" si="9"/>
        <v>366.03499999999997</v>
      </c>
      <c r="F96">
        <v>2</v>
      </c>
      <c r="G96">
        <v>2</v>
      </c>
      <c r="L96">
        <v>5</v>
      </c>
      <c r="M96" s="17">
        <v>0.5</v>
      </c>
      <c r="N96" s="17">
        <v>0.56666669999999997</v>
      </c>
      <c r="O96" s="25">
        <f t="shared" si="10"/>
        <v>404.56500000000005</v>
      </c>
      <c r="P96" s="25">
        <f t="shared" si="11"/>
        <v>366.03499999999997</v>
      </c>
      <c r="Q96">
        <v>1</v>
      </c>
      <c r="R96">
        <v>7</v>
      </c>
    </row>
    <row r="97" spans="1:18" x14ac:dyDescent="0.25">
      <c r="A97">
        <v>5.2</v>
      </c>
      <c r="B97" s="17">
        <v>0.2982456</v>
      </c>
      <c r="C97" s="17">
        <v>9.7560980000000005E-2</v>
      </c>
      <c r="D97" s="25">
        <f t="shared" si="8"/>
        <v>405.33560000000006</v>
      </c>
      <c r="E97" s="25">
        <f t="shared" si="9"/>
        <v>365.26439999999997</v>
      </c>
      <c r="F97">
        <v>1</v>
      </c>
      <c r="G97">
        <v>1</v>
      </c>
      <c r="L97">
        <v>5.2</v>
      </c>
      <c r="M97" s="17">
        <v>0.5</v>
      </c>
      <c r="N97" s="17">
        <v>0.53333330000000001</v>
      </c>
      <c r="O97" s="25">
        <f t="shared" si="10"/>
        <v>405.33560000000006</v>
      </c>
      <c r="P97" s="25">
        <f t="shared" si="11"/>
        <v>365.26439999999997</v>
      </c>
      <c r="Q97">
        <v>5</v>
      </c>
      <c r="R97">
        <v>7</v>
      </c>
    </row>
    <row r="98" spans="1:18" x14ac:dyDescent="0.25">
      <c r="A98">
        <v>5.4</v>
      </c>
      <c r="B98" s="17">
        <v>0.2631579</v>
      </c>
      <c r="C98" s="17">
        <v>7.3170730000000003E-2</v>
      </c>
      <c r="D98" s="25">
        <f t="shared" si="8"/>
        <v>406.10620000000006</v>
      </c>
      <c r="E98" s="25">
        <f t="shared" si="9"/>
        <v>364.49379999999996</v>
      </c>
      <c r="F98">
        <v>7</v>
      </c>
      <c r="G98">
        <v>1</v>
      </c>
      <c r="L98">
        <v>5.4</v>
      </c>
      <c r="M98" s="17">
        <v>0.4736842</v>
      </c>
      <c r="N98" s="17">
        <v>0.5</v>
      </c>
      <c r="O98" s="25">
        <f t="shared" si="10"/>
        <v>406.10620000000006</v>
      </c>
      <c r="P98" s="25">
        <f t="shared" si="11"/>
        <v>364.49379999999996</v>
      </c>
      <c r="Q98">
        <v>1</v>
      </c>
      <c r="R98">
        <v>3</v>
      </c>
    </row>
    <row r="99" spans="1:18" x14ac:dyDescent="0.25">
      <c r="A99">
        <v>5.6</v>
      </c>
      <c r="B99" s="17">
        <v>0.245614</v>
      </c>
      <c r="C99" s="17">
        <v>7.3170730000000003E-2</v>
      </c>
      <c r="D99" s="25">
        <f t="shared" si="8"/>
        <v>406.8768</v>
      </c>
      <c r="E99" s="25">
        <f t="shared" si="9"/>
        <v>363.72320000000002</v>
      </c>
      <c r="F99">
        <v>6</v>
      </c>
      <c r="G99">
        <v>11</v>
      </c>
      <c r="L99">
        <v>5.6</v>
      </c>
      <c r="M99" s="17">
        <v>0.4473684</v>
      </c>
      <c r="N99" s="17">
        <v>0.5</v>
      </c>
      <c r="O99" s="25">
        <f t="shared" si="10"/>
        <v>406.8768</v>
      </c>
      <c r="P99" s="25">
        <f t="shared" si="11"/>
        <v>363.72320000000002</v>
      </c>
      <c r="Q99">
        <v>1</v>
      </c>
      <c r="R99">
        <v>4</v>
      </c>
    </row>
    <row r="100" spans="1:18" x14ac:dyDescent="0.25">
      <c r="A100">
        <v>5.8</v>
      </c>
      <c r="B100" s="17">
        <v>0.245614</v>
      </c>
      <c r="C100" s="17">
        <v>7.3170730000000003E-2</v>
      </c>
      <c r="D100" s="25">
        <f t="shared" si="8"/>
        <v>407.6474</v>
      </c>
      <c r="E100" s="25">
        <f t="shared" si="9"/>
        <v>362.95260000000002</v>
      </c>
      <c r="F100">
        <v>1</v>
      </c>
      <c r="G100">
        <v>3</v>
      </c>
      <c r="L100">
        <v>5.8</v>
      </c>
      <c r="M100" s="17">
        <v>0.3421053</v>
      </c>
      <c r="N100" s="17">
        <v>0.46666669999999999</v>
      </c>
      <c r="O100" s="25">
        <f t="shared" si="10"/>
        <v>407.6474</v>
      </c>
      <c r="P100" s="25">
        <f t="shared" si="11"/>
        <v>362.95260000000002</v>
      </c>
      <c r="Q100" s="17"/>
      <c r="R100" s="17"/>
    </row>
    <row r="101" spans="1:18" x14ac:dyDescent="0.25">
      <c r="A101">
        <v>6</v>
      </c>
      <c r="B101" s="17">
        <v>0.1929825</v>
      </c>
      <c r="C101" s="17">
        <v>7.3170730000000003E-2</v>
      </c>
      <c r="D101" s="25">
        <f t="shared" si="8"/>
        <v>408.41800000000001</v>
      </c>
      <c r="E101" s="25">
        <f t="shared" si="9"/>
        <v>362.18200000000002</v>
      </c>
      <c r="F101">
        <v>5</v>
      </c>
      <c r="G101">
        <v>1</v>
      </c>
      <c r="L101">
        <v>6</v>
      </c>
      <c r="M101" s="17">
        <v>0.3157895</v>
      </c>
      <c r="N101" s="17">
        <v>0.46666669999999999</v>
      </c>
      <c r="O101" s="25">
        <f t="shared" si="10"/>
        <v>408.41800000000001</v>
      </c>
      <c r="P101" s="25">
        <f t="shared" si="11"/>
        <v>362.18200000000002</v>
      </c>
      <c r="Q101" s="17"/>
      <c r="R101" s="17"/>
    </row>
    <row r="102" spans="1:18" x14ac:dyDescent="0.25">
      <c r="A102">
        <v>6.2</v>
      </c>
      <c r="B102" s="17">
        <v>0.1754386</v>
      </c>
      <c r="C102" s="17">
        <v>4.8780490000000003E-2</v>
      </c>
      <c r="D102" s="25">
        <f t="shared" si="8"/>
        <v>409.18860000000001</v>
      </c>
      <c r="E102" s="25">
        <f t="shared" si="9"/>
        <v>361.41140000000001</v>
      </c>
      <c r="F102">
        <v>2</v>
      </c>
      <c r="L102">
        <v>6.2</v>
      </c>
      <c r="M102" s="17">
        <v>0.3157895</v>
      </c>
      <c r="N102" s="17">
        <v>0.43333329999999998</v>
      </c>
      <c r="O102" s="25">
        <f t="shared" si="10"/>
        <v>409.18860000000001</v>
      </c>
      <c r="P102" s="25">
        <f t="shared" si="11"/>
        <v>361.41140000000001</v>
      </c>
      <c r="Q102" s="17"/>
      <c r="R102" s="17"/>
    </row>
    <row r="103" spans="1:18" x14ac:dyDescent="0.25">
      <c r="A103">
        <v>6.4</v>
      </c>
      <c r="B103" s="17">
        <v>0.1578947</v>
      </c>
      <c r="C103" s="17">
        <v>4.8780490000000003E-2</v>
      </c>
      <c r="D103" s="25">
        <f t="shared" si="8"/>
        <v>409.95920000000001</v>
      </c>
      <c r="E103" s="25">
        <f t="shared" si="9"/>
        <v>360.64080000000001</v>
      </c>
      <c r="F103" s="17"/>
      <c r="G103" s="17"/>
      <c r="L103">
        <v>6.4</v>
      </c>
      <c r="M103" s="17">
        <v>0.2894737</v>
      </c>
      <c r="N103" s="17">
        <v>0.4</v>
      </c>
      <c r="O103" s="25">
        <f t="shared" si="10"/>
        <v>409.95920000000001</v>
      </c>
      <c r="P103" s="25">
        <f t="shared" si="11"/>
        <v>360.64080000000001</v>
      </c>
      <c r="Q103" s="17"/>
      <c r="R103" s="17"/>
    </row>
    <row r="104" spans="1:18" x14ac:dyDescent="0.25">
      <c r="A104">
        <v>6.6</v>
      </c>
      <c r="B104" s="17">
        <v>0.1578947</v>
      </c>
      <c r="C104" s="17">
        <v>2.4390240000000001E-2</v>
      </c>
      <c r="D104" s="25">
        <f t="shared" si="8"/>
        <v>410.72980000000001</v>
      </c>
      <c r="E104" s="25">
        <f t="shared" si="9"/>
        <v>359.87020000000001</v>
      </c>
      <c r="F104" s="17"/>
      <c r="G104" s="17"/>
      <c r="L104">
        <v>6.6</v>
      </c>
      <c r="M104" s="17">
        <v>0.2894737</v>
      </c>
      <c r="N104" s="17">
        <v>0.36666670000000001</v>
      </c>
      <c r="O104" s="25">
        <f t="shared" si="10"/>
        <v>410.72980000000001</v>
      </c>
      <c r="P104" s="25">
        <f t="shared" si="11"/>
        <v>359.87020000000001</v>
      </c>
      <c r="Q104" s="17"/>
      <c r="R104" s="17"/>
    </row>
    <row r="105" spans="1:18" x14ac:dyDescent="0.25">
      <c r="A105">
        <v>6.8</v>
      </c>
      <c r="B105" s="17">
        <v>0.1403509</v>
      </c>
      <c r="C105" s="17">
        <v>2.4390240000000001E-2</v>
      </c>
      <c r="D105" s="25">
        <f t="shared" si="8"/>
        <v>411.50040000000001</v>
      </c>
      <c r="E105" s="25">
        <f t="shared" si="9"/>
        <v>359.09960000000001</v>
      </c>
      <c r="F105" s="17"/>
      <c r="G105" s="17"/>
      <c r="L105">
        <v>6.8</v>
      </c>
      <c r="M105" s="17">
        <v>0.2894737</v>
      </c>
      <c r="N105" s="17">
        <v>0.36666670000000001</v>
      </c>
      <c r="O105" s="25">
        <f t="shared" si="10"/>
        <v>411.50040000000001</v>
      </c>
      <c r="P105" s="25">
        <f t="shared" si="11"/>
        <v>359.09960000000001</v>
      </c>
      <c r="Q105" s="17"/>
      <c r="R105" s="17"/>
    </row>
    <row r="106" spans="1:18" x14ac:dyDescent="0.25">
      <c r="A106">
        <v>7</v>
      </c>
      <c r="B106" s="17">
        <v>0.122807</v>
      </c>
      <c r="C106" s="17">
        <v>0</v>
      </c>
      <c r="D106" s="25">
        <f t="shared" si="8"/>
        <v>412.27100000000002</v>
      </c>
      <c r="E106" s="25">
        <f t="shared" si="9"/>
        <v>358.32900000000001</v>
      </c>
      <c r="F106" s="17"/>
      <c r="G106" s="17"/>
      <c r="L106">
        <v>7</v>
      </c>
      <c r="M106" s="17">
        <v>0.2894737</v>
      </c>
      <c r="N106" s="17">
        <v>0.35</v>
      </c>
      <c r="O106" s="25">
        <f t="shared" si="10"/>
        <v>412.27100000000002</v>
      </c>
      <c r="P106" s="25">
        <f t="shared" si="11"/>
        <v>358.32900000000001</v>
      </c>
      <c r="Q106" s="17"/>
      <c r="R106" s="17"/>
    </row>
    <row r="107" spans="1:18" x14ac:dyDescent="0.25">
      <c r="A107">
        <v>7.2</v>
      </c>
      <c r="B107" s="17">
        <v>0.1052632</v>
      </c>
      <c r="C107" s="17"/>
      <c r="D107" s="25">
        <f t="shared" si="8"/>
        <v>413.04160000000002</v>
      </c>
      <c r="E107" s="25">
        <f t="shared" si="9"/>
        <v>357.55840000000001</v>
      </c>
      <c r="F107" s="17"/>
      <c r="G107" s="17"/>
      <c r="L107">
        <v>7.2</v>
      </c>
      <c r="M107" s="17">
        <v>0.2631579</v>
      </c>
      <c r="N107" s="17">
        <v>0.3333333</v>
      </c>
      <c r="O107" s="25">
        <f t="shared" si="10"/>
        <v>413.04160000000002</v>
      </c>
      <c r="P107" s="25">
        <f t="shared" si="11"/>
        <v>357.55840000000001</v>
      </c>
      <c r="Q107" s="17"/>
      <c r="R107" s="17"/>
    </row>
    <row r="108" spans="1:18" x14ac:dyDescent="0.25">
      <c r="A108">
        <v>7.4</v>
      </c>
      <c r="B108" s="17">
        <v>0.1052632</v>
      </c>
      <c r="C108" s="17"/>
      <c r="D108" s="25">
        <f t="shared" si="8"/>
        <v>413.81220000000002</v>
      </c>
      <c r="E108" s="25">
        <f t="shared" si="9"/>
        <v>356.7878</v>
      </c>
      <c r="F108" s="17"/>
      <c r="G108" s="17"/>
      <c r="L108">
        <v>7.4</v>
      </c>
      <c r="M108" s="17">
        <v>0.2631579</v>
      </c>
      <c r="N108" s="17">
        <v>0.31666670000000002</v>
      </c>
      <c r="O108" s="25">
        <f t="shared" si="10"/>
        <v>413.81220000000002</v>
      </c>
      <c r="P108" s="25">
        <f t="shared" si="11"/>
        <v>356.7878</v>
      </c>
      <c r="Q108" s="17"/>
      <c r="R108" s="17"/>
    </row>
    <row r="109" spans="1:18" x14ac:dyDescent="0.25">
      <c r="A109">
        <v>7.6</v>
      </c>
      <c r="B109" s="17">
        <v>0.1052632</v>
      </c>
      <c r="C109" s="17"/>
      <c r="D109" s="25">
        <f t="shared" si="8"/>
        <v>414.58280000000002</v>
      </c>
      <c r="E109" s="25">
        <f t="shared" si="9"/>
        <v>356.0172</v>
      </c>
      <c r="F109" s="17"/>
      <c r="G109" s="17"/>
      <c r="L109">
        <v>7.6</v>
      </c>
      <c r="M109" s="17">
        <v>0.2105263</v>
      </c>
      <c r="N109" s="17">
        <v>0.3</v>
      </c>
      <c r="O109" s="25">
        <f t="shared" si="10"/>
        <v>414.58280000000002</v>
      </c>
      <c r="P109" s="25">
        <f t="shared" si="11"/>
        <v>356.0172</v>
      </c>
      <c r="Q109" s="17"/>
      <c r="R109" s="17"/>
    </row>
    <row r="110" spans="1:18" x14ac:dyDescent="0.25">
      <c r="A110">
        <v>7.8</v>
      </c>
      <c r="B110" s="17">
        <v>0.1052632</v>
      </c>
      <c r="C110" s="17"/>
      <c r="D110" s="25">
        <f t="shared" si="8"/>
        <v>415.35340000000002</v>
      </c>
      <c r="E110" s="25">
        <f t="shared" si="9"/>
        <v>355.2466</v>
      </c>
      <c r="F110" s="17"/>
      <c r="G110" s="17"/>
      <c r="L110">
        <v>7.8</v>
      </c>
      <c r="M110" s="17">
        <v>0.1842105</v>
      </c>
      <c r="N110" s="17">
        <v>0.3</v>
      </c>
      <c r="O110" s="25">
        <f t="shared" si="10"/>
        <v>415.35340000000002</v>
      </c>
      <c r="P110" s="25">
        <f t="shared" si="11"/>
        <v>355.2466</v>
      </c>
      <c r="Q110" s="17"/>
      <c r="R110" s="17"/>
    </row>
    <row r="111" spans="1:18" x14ac:dyDescent="0.25">
      <c r="A111">
        <v>8</v>
      </c>
      <c r="B111" s="17">
        <v>8.77193E-2</v>
      </c>
      <c r="C111" s="17"/>
      <c r="D111" s="25">
        <f t="shared" si="8"/>
        <v>416.12400000000002</v>
      </c>
      <c r="E111" s="25">
        <f t="shared" si="9"/>
        <v>354.476</v>
      </c>
      <c r="F111" s="17"/>
      <c r="G111" s="17"/>
      <c r="L111">
        <v>8</v>
      </c>
      <c r="M111" s="17">
        <v>0.1842105</v>
      </c>
      <c r="N111" s="17">
        <v>0.28333330000000001</v>
      </c>
      <c r="O111" s="25">
        <f t="shared" si="10"/>
        <v>416.12400000000002</v>
      </c>
      <c r="P111" s="25">
        <f t="shared" si="11"/>
        <v>354.476</v>
      </c>
      <c r="Q111" s="17"/>
      <c r="R111" s="17"/>
    </row>
    <row r="112" spans="1:18" x14ac:dyDescent="0.25">
      <c r="A112">
        <v>8.1999999999999993</v>
      </c>
      <c r="B112" s="17">
        <v>7.0175440000000006E-2</v>
      </c>
      <c r="C112" s="17"/>
      <c r="D112" s="25">
        <f t="shared" si="8"/>
        <v>416.89460000000003</v>
      </c>
      <c r="E112" s="25">
        <f t="shared" si="9"/>
        <v>353.7054</v>
      </c>
      <c r="F112" s="17"/>
      <c r="G112" s="17"/>
      <c r="L112">
        <v>8.1999999999999993</v>
      </c>
      <c r="M112" s="17">
        <v>0.1578947</v>
      </c>
      <c r="N112" s="17">
        <v>0.23333329999999999</v>
      </c>
      <c r="O112" s="25">
        <f t="shared" si="10"/>
        <v>416.89460000000003</v>
      </c>
      <c r="P112" s="25">
        <f t="shared" si="11"/>
        <v>353.7054</v>
      </c>
      <c r="Q112" s="17"/>
      <c r="R112" s="17"/>
    </row>
    <row r="113" spans="1:18" x14ac:dyDescent="0.25">
      <c r="A113">
        <v>8.4</v>
      </c>
      <c r="B113" s="17">
        <v>7.0175440000000006E-2</v>
      </c>
      <c r="C113" s="17"/>
      <c r="D113" s="25">
        <f t="shared" si="8"/>
        <v>417.66520000000003</v>
      </c>
      <c r="E113" s="25">
        <f t="shared" si="9"/>
        <v>352.93480000000005</v>
      </c>
      <c r="F113" s="17"/>
      <c r="G113" s="17"/>
      <c r="L113">
        <v>8.4</v>
      </c>
      <c r="M113" s="17">
        <v>0.1578947</v>
      </c>
      <c r="N113" s="17">
        <v>0.21666669999999999</v>
      </c>
      <c r="O113" s="25">
        <f t="shared" si="10"/>
        <v>417.66520000000003</v>
      </c>
      <c r="P113" s="25">
        <f t="shared" si="11"/>
        <v>352.93480000000005</v>
      </c>
      <c r="Q113" s="17"/>
      <c r="R113" s="17"/>
    </row>
    <row r="114" spans="1:18" x14ac:dyDescent="0.25">
      <c r="A114">
        <v>8.6</v>
      </c>
      <c r="B114" s="17">
        <v>7.0175440000000006E-2</v>
      </c>
      <c r="C114" s="17"/>
      <c r="D114" s="25">
        <f t="shared" si="8"/>
        <v>418.43580000000003</v>
      </c>
      <c r="E114" s="25">
        <f t="shared" si="9"/>
        <v>352.16420000000005</v>
      </c>
      <c r="F114" s="17"/>
      <c r="G114" s="17"/>
      <c r="L114">
        <v>8.6</v>
      </c>
      <c r="M114" s="17">
        <v>0.1315789</v>
      </c>
      <c r="N114" s="17">
        <v>0.1666667</v>
      </c>
      <c r="O114" s="25">
        <f t="shared" si="10"/>
        <v>418.43580000000003</v>
      </c>
      <c r="P114" s="25">
        <f t="shared" si="11"/>
        <v>352.16420000000005</v>
      </c>
      <c r="Q114" s="17"/>
      <c r="R114" s="17"/>
    </row>
    <row r="115" spans="1:18" x14ac:dyDescent="0.25">
      <c r="A115">
        <v>8.8000000000000007</v>
      </c>
      <c r="B115" s="17">
        <v>5.2631579999999997E-2</v>
      </c>
      <c r="C115" s="17"/>
      <c r="D115" s="25">
        <f t="shared" si="8"/>
        <v>419.20640000000003</v>
      </c>
      <c r="E115" s="25">
        <f t="shared" si="9"/>
        <v>351.39360000000005</v>
      </c>
      <c r="F115" s="17"/>
      <c r="G115" s="17"/>
      <c r="L115">
        <v>8.8000000000000007</v>
      </c>
      <c r="M115" s="17">
        <v>0.1052632</v>
      </c>
      <c r="N115" s="17">
        <v>0.15</v>
      </c>
      <c r="O115" s="25">
        <f t="shared" si="10"/>
        <v>419.20640000000003</v>
      </c>
      <c r="P115" s="25">
        <f t="shared" si="11"/>
        <v>351.39360000000005</v>
      </c>
      <c r="Q115" s="17"/>
      <c r="R115" s="17"/>
    </row>
    <row r="116" spans="1:18" x14ac:dyDescent="0.25">
      <c r="A116">
        <v>9</v>
      </c>
      <c r="B116" s="17">
        <v>5.2631579999999997E-2</v>
      </c>
      <c r="C116" s="17"/>
      <c r="D116" s="25">
        <f t="shared" si="8"/>
        <v>419.97700000000003</v>
      </c>
      <c r="E116" s="25">
        <f t="shared" si="9"/>
        <v>350.62300000000005</v>
      </c>
      <c r="F116" s="17"/>
      <c r="G116" s="17"/>
      <c r="L116">
        <v>9</v>
      </c>
      <c r="M116" s="17">
        <v>0.1052632</v>
      </c>
      <c r="N116" s="17">
        <v>0.15</v>
      </c>
      <c r="O116" s="25">
        <f t="shared" si="10"/>
        <v>419.97700000000003</v>
      </c>
      <c r="P116" s="25">
        <f t="shared" si="11"/>
        <v>350.62300000000005</v>
      </c>
      <c r="Q116" s="17"/>
      <c r="R116" s="17"/>
    </row>
    <row r="117" spans="1:18" x14ac:dyDescent="0.25">
      <c r="A117">
        <v>9.2000000000000099</v>
      </c>
      <c r="B117" s="17">
        <v>3.5087720000000003E-2</v>
      </c>
      <c r="C117" s="17"/>
      <c r="D117" s="25">
        <f t="shared" si="8"/>
        <v>420.74760000000003</v>
      </c>
      <c r="E117" s="25">
        <f t="shared" si="9"/>
        <v>349.85239999999999</v>
      </c>
      <c r="F117" s="17"/>
      <c r="G117" s="17"/>
      <c r="L117">
        <v>9.2000000000000099</v>
      </c>
      <c r="M117" s="17">
        <v>0.1052632</v>
      </c>
      <c r="N117" s="17">
        <v>0.1166667</v>
      </c>
      <c r="O117" s="25">
        <f t="shared" si="10"/>
        <v>420.74760000000003</v>
      </c>
      <c r="P117" s="25">
        <f t="shared" si="11"/>
        <v>349.85239999999999</v>
      </c>
      <c r="Q117" s="17"/>
      <c r="R117" s="17"/>
    </row>
    <row r="118" spans="1:18" x14ac:dyDescent="0.25">
      <c r="A118">
        <v>9.4000000000000199</v>
      </c>
      <c r="B118" s="17">
        <v>3.5087720000000003E-2</v>
      </c>
      <c r="D118" s="25">
        <f t="shared" ref="D118:D127" si="12">$J$4*(A118/100+1)</f>
        <v>421.51820000000015</v>
      </c>
      <c r="E118" s="25">
        <f t="shared" ref="E118:E127" si="13">(1-A118/100)*$J$4</f>
        <v>349.08179999999993</v>
      </c>
      <c r="F118" s="17"/>
      <c r="G118" s="17"/>
      <c r="L118">
        <v>9.4000000000000199</v>
      </c>
      <c r="M118" s="17">
        <v>7.8947370000000003E-2</v>
      </c>
      <c r="N118" s="17">
        <v>0.1</v>
      </c>
      <c r="O118" s="25">
        <f t="shared" si="10"/>
        <v>421.51820000000015</v>
      </c>
      <c r="P118" s="25">
        <f t="shared" si="11"/>
        <v>349.08179999999993</v>
      </c>
      <c r="Q118" s="17"/>
      <c r="R118" s="17"/>
    </row>
    <row r="119" spans="1:18" x14ac:dyDescent="0.25">
      <c r="A119">
        <v>9.6000000000000298</v>
      </c>
      <c r="B119" s="17">
        <v>3.5087720000000003E-2</v>
      </c>
      <c r="D119" s="25">
        <f t="shared" si="12"/>
        <v>422.28880000000015</v>
      </c>
      <c r="E119" s="25">
        <f t="shared" si="13"/>
        <v>348.31119999999987</v>
      </c>
      <c r="F119" s="17"/>
      <c r="G119" s="17"/>
      <c r="L119">
        <v>9.6000000000000298</v>
      </c>
      <c r="M119" s="17">
        <v>7.8947370000000003E-2</v>
      </c>
      <c r="N119" s="17">
        <v>8.3333329999999997E-2</v>
      </c>
      <c r="O119" s="25">
        <f t="shared" si="10"/>
        <v>422.28880000000015</v>
      </c>
      <c r="P119" s="25">
        <f t="shared" si="11"/>
        <v>348.31119999999987</v>
      </c>
      <c r="Q119" s="17"/>
      <c r="R119" s="17"/>
    </row>
    <row r="120" spans="1:18" x14ac:dyDescent="0.25">
      <c r="A120">
        <v>9.8000000000000398</v>
      </c>
      <c r="B120" s="17">
        <v>3.5087720000000003E-2</v>
      </c>
      <c r="D120" s="25">
        <f t="shared" si="12"/>
        <v>423.05940000000015</v>
      </c>
      <c r="E120" s="25">
        <f t="shared" si="13"/>
        <v>347.54059999999987</v>
      </c>
      <c r="F120" s="17"/>
      <c r="G120" s="17"/>
      <c r="L120">
        <v>9.8000000000000398</v>
      </c>
      <c r="M120" s="17">
        <v>5.2631579999999997E-2</v>
      </c>
      <c r="N120" s="17">
        <v>8.3333329999999997E-2</v>
      </c>
      <c r="O120" s="25">
        <f t="shared" si="10"/>
        <v>423.05940000000015</v>
      </c>
      <c r="P120" s="25">
        <f t="shared" si="11"/>
        <v>347.54059999999987</v>
      </c>
      <c r="Q120" s="17"/>
      <c r="R120" s="17"/>
    </row>
    <row r="121" spans="1:18" x14ac:dyDescent="0.25">
      <c r="A121">
        <v>10</v>
      </c>
      <c r="B121" s="17">
        <v>3.5087720000000003E-2</v>
      </c>
      <c r="C121" s="17"/>
      <c r="D121" s="25">
        <f t="shared" si="12"/>
        <v>423.83000000000004</v>
      </c>
      <c r="E121" s="25">
        <f t="shared" si="13"/>
        <v>346.77000000000004</v>
      </c>
      <c r="F121" s="17"/>
      <c r="G121" s="17"/>
      <c r="L121">
        <v>10</v>
      </c>
      <c r="M121" s="17">
        <v>5.2631579999999997E-2</v>
      </c>
      <c r="N121" s="17">
        <v>8.3333329999999997E-2</v>
      </c>
      <c r="O121" s="25">
        <f t="shared" si="10"/>
        <v>423.83000000000004</v>
      </c>
      <c r="P121" s="25">
        <f t="shared" si="11"/>
        <v>346.77000000000004</v>
      </c>
      <c r="Q121" s="17"/>
      <c r="R121" s="17"/>
    </row>
    <row r="122" spans="1:18" x14ac:dyDescent="0.25">
      <c r="A122">
        <v>10.200000000000101</v>
      </c>
      <c r="B122" s="17">
        <v>3.5087720000000003E-2</v>
      </c>
      <c r="C122" s="17"/>
      <c r="D122" s="25">
        <f t="shared" si="12"/>
        <v>424.60060000000038</v>
      </c>
      <c r="E122" s="25">
        <f t="shared" si="13"/>
        <v>345.99939999999964</v>
      </c>
      <c r="F122" s="17"/>
      <c r="G122" s="17"/>
      <c r="L122">
        <v>10.200000000000101</v>
      </c>
      <c r="M122" s="17">
        <v>5.2631579999999997E-2</v>
      </c>
      <c r="N122" s="17">
        <v>8.3333329999999997E-2</v>
      </c>
      <c r="O122" s="25">
        <f t="shared" si="10"/>
        <v>424.60060000000038</v>
      </c>
      <c r="P122" s="25">
        <f t="shared" si="11"/>
        <v>345.99939999999964</v>
      </c>
      <c r="Q122" s="17"/>
      <c r="R122" s="17"/>
    </row>
    <row r="123" spans="1:18" x14ac:dyDescent="0.25">
      <c r="A123">
        <v>10.4000000000001</v>
      </c>
      <c r="B123" s="17">
        <v>3.5087720000000003E-2</v>
      </c>
      <c r="D123" s="25">
        <f t="shared" si="12"/>
        <v>425.37120000000039</v>
      </c>
      <c r="E123" s="25">
        <f t="shared" si="13"/>
        <v>345.22879999999964</v>
      </c>
      <c r="F123" s="17"/>
      <c r="G123" s="17"/>
      <c r="L123">
        <v>10.4000000000001</v>
      </c>
      <c r="M123" s="17">
        <v>5.2631579999999997E-2</v>
      </c>
      <c r="N123" s="17">
        <v>8.3333329999999997E-2</v>
      </c>
      <c r="O123" s="25">
        <f t="shared" si="10"/>
        <v>425.37120000000039</v>
      </c>
      <c r="P123" s="25">
        <f t="shared" si="11"/>
        <v>345.22879999999964</v>
      </c>
      <c r="Q123" s="17"/>
      <c r="R123" s="17"/>
    </row>
    <row r="124" spans="1:18" x14ac:dyDescent="0.25">
      <c r="A124">
        <v>10.600000000000099</v>
      </c>
      <c r="B124" s="17">
        <v>3.5087720000000003E-2</v>
      </c>
      <c r="D124" s="25">
        <f t="shared" si="12"/>
        <v>426.14180000000039</v>
      </c>
      <c r="E124" s="25">
        <f t="shared" si="13"/>
        <v>344.45819999999964</v>
      </c>
      <c r="F124" s="17"/>
      <c r="G124" s="17"/>
      <c r="L124">
        <v>10.600000000000099</v>
      </c>
      <c r="M124" s="17">
        <v>5.2631579999999997E-2</v>
      </c>
      <c r="N124" s="17">
        <v>8.3333329999999997E-2</v>
      </c>
      <c r="O124" s="25">
        <f t="shared" si="10"/>
        <v>426.14180000000039</v>
      </c>
      <c r="P124" s="25">
        <f t="shared" si="11"/>
        <v>344.45819999999964</v>
      </c>
      <c r="Q124" s="17"/>
      <c r="R124" s="17"/>
    </row>
    <row r="125" spans="1:18" x14ac:dyDescent="0.25">
      <c r="A125">
        <v>10.8000000000001</v>
      </c>
      <c r="B125" s="17">
        <v>1.7543860000000001E-2</v>
      </c>
      <c r="D125" s="25">
        <f t="shared" si="12"/>
        <v>426.91240000000039</v>
      </c>
      <c r="E125" s="25">
        <f t="shared" si="13"/>
        <v>343.68759999999963</v>
      </c>
      <c r="L125">
        <v>10.8000000000001</v>
      </c>
      <c r="M125" s="17">
        <v>2.6315789999999999E-2</v>
      </c>
      <c r="N125" s="17">
        <v>8.3333329999999997E-2</v>
      </c>
      <c r="O125" s="25">
        <f t="shared" si="10"/>
        <v>426.91240000000039</v>
      </c>
      <c r="P125" s="25">
        <f t="shared" si="11"/>
        <v>343.68759999999963</v>
      </c>
    </row>
    <row r="126" spans="1:18" x14ac:dyDescent="0.25">
      <c r="A126">
        <v>11.000000000000099</v>
      </c>
      <c r="B126" s="17">
        <v>1.7543860000000001E-2</v>
      </c>
      <c r="D126" s="25">
        <f t="shared" si="12"/>
        <v>427.68300000000039</v>
      </c>
      <c r="E126" s="25">
        <f t="shared" si="13"/>
        <v>342.91699999999963</v>
      </c>
      <c r="L126">
        <v>11.000000000000099</v>
      </c>
      <c r="M126" s="17">
        <v>2.6315789999999999E-2</v>
      </c>
      <c r="N126" s="17">
        <v>6.6666669999999997E-2</v>
      </c>
      <c r="O126" s="25">
        <f t="shared" si="10"/>
        <v>427.68300000000039</v>
      </c>
      <c r="P126" s="25">
        <f t="shared" si="11"/>
        <v>342.91699999999963</v>
      </c>
    </row>
    <row r="127" spans="1:18" x14ac:dyDescent="0.25">
      <c r="A127">
        <v>11.200000000000101</v>
      </c>
      <c r="B127" s="17">
        <v>0</v>
      </c>
      <c r="D127" s="25">
        <f t="shared" si="12"/>
        <v>428.45360000000039</v>
      </c>
      <c r="E127" s="25">
        <f t="shared" si="13"/>
        <v>342.14639999999963</v>
      </c>
      <c r="L127">
        <v>11.200000000000101</v>
      </c>
      <c r="M127" s="17">
        <v>2.6315789999999999E-2</v>
      </c>
      <c r="N127" s="17">
        <v>0.05</v>
      </c>
      <c r="O127" s="25">
        <f t="shared" si="10"/>
        <v>428.45360000000039</v>
      </c>
      <c r="P127" s="25">
        <f t="shared" si="11"/>
        <v>342.14639999999963</v>
      </c>
    </row>
    <row r="128" spans="1:18" x14ac:dyDescent="0.25">
      <c r="A128" t="s">
        <v>27</v>
      </c>
      <c r="B128">
        <v>2.2999999999999998</v>
      </c>
      <c r="C128">
        <v>2.2999999999999998</v>
      </c>
      <c r="L128">
        <v>11.4000000000001</v>
      </c>
      <c r="M128" s="17">
        <v>2.6315789999999999E-2</v>
      </c>
      <c r="N128" s="17">
        <v>0.05</v>
      </c>
      <c r="O128" s="25">
        <f t="shared" ref="O128:O146" si="14">$J$4*(L128/100+1)</f>
        <v>429.22420000000039</v>
      </c>
      <c r="P128" s="25">
        <f t="shared" ref="P128:P146" si="15">(1-L128/100)*$J$4</f>
        <v>341.37579999999963</v>
      </c>
    </row>
    <row r="129" spans="1:16" x14ac:dyDescent="0.25">
      <c r="A129" t="s">
        <v>26</v>
      </c>
      <c r="B129">
        <v>2</v>
      </c>
      <c r="C129">
        <v>1</v>
      </c>
      <c r="L129">
        <v>11.600000000000099</v>
      </c>
      <c r="M129" s="17">
        <v>2.6315789999999999E-2</v>
      </c>
      <c r="N129" s="17">
        <v>0.05</v>
      </c>
      <c r="O129" s="25">
        <f t="shared" si="14"/>
        <v>429.9948000000004</v>
      </c>
      <c r="P129" s="25">
        <f t="shared" si="15"/>
        <v>340.60519999999963</v>
      </c>
    </row>
    <row r="130" spans="1:16" x14ac:dyDescent="0.25">
      <c r="A130" t="s">
        <v>25</v>
      </c>
      <c r="B130">
        <v>2.9</v>
      </c>
      <c r="C130">
        <v>2.2000000000000002</v>
      </c>
      <c r="L130">
        <v>11.8000000000001</v>
      </c>
      <c r="M130" s="17">
        <v>2.6315789999999999E-2</v>
      </c>
      <c r="N130" s="17">
        <v>0.05</v>
      </c>
      <c r="O130" s="25">
        <f t="shared" si="14"/>
        <v>430.7654000000004</v>
      </c>
      <c r="P130" s="25">
        <f t="shared" si="15"/>
        <v>339.83459999999963</v>
      </c>
    </row>
    <row r="131" spans="1:16" x14ac:dyDescent="0.25">
      <c r="A131" s="17" t="s">
        <v>76</v>
      </c>
      <c r="B131">
        <v>0.15</v>
      </c>
      <c r="C131">
        <v>5.2631579999999997E-2</v>
      </c>
      <c r="L131">
        <v>12.000000000000099</v>
      </c>
      <c r="M131" s="17">
        <v>2.6315789999999999E-2</v>
      </c>
      <c r="N131" s="17">
        <v>0.05</v>
      </c>
      <c r="O131" s="25">
        <f t="shared" si="14"/>
        <v>431.5360000000004</v>
      </c>
      <c r="P131" s="25">
        <f t="shared" si="15"/>
        <v>339.06399999999962</v>
      </c>
    </row>
    <row r="132" spans="1:16" x14ac:dyDescent="0.25">
      <c r="A132" t="s">
        <v>78</v>
      </c>
      <c r="B132">
        <v>0.35</v>
      </c>
      <c r="C132">
        <v>0.2105263</v>
      </c>
      <c r="L132">
        <v>12.200000000000101</v>
      </c>
      <c r="M132" s="17">
        <v>2.6315789999999999E-2</v>
      </c>
      <c r="N132" s="17">
        <v>0.05</v>
      </c>
      <c r="O132" s="25">
        <f t="shared" si="14"/>
        <v>432.3066000000004</v>
      </c>
      <c r="P132" s="25">
        <f t="shared" si="15"/>
        <v>338.29339999999962</v>
      </c>
    </row>
    <row r="133" spans="1:16" x14ac:dyDescent="0.25">
      <c r="L133">
        <v>12.4000000000001</v>
      </c>
      <c r="M133" s="17">
        <v>2.6315789999999999E-2</v>
      </c>
      <c r="N133" s="17">
        <v>0.05</v>
      </c>
      <c r="O133" s="25">
        <f t="shared" si="14"/>
        <v>433.0772000000004</v>
      </c>
      <c r="P133" s="25">
        <f t="shared" si="15"/>
        <v>337.52279999999962</v>
      </c>
    </row>
    <row r="134" spans="1:16" x14ac:dyDescent="0.25">
      <c r="L134">
        <v>12.600000000000099</v>
      </c>
      <c r="M134" s="17">
        <v>2.6315789999999999E-2</v>
      </c>
      <c r="N134" s="17">
        <v>3.3333330000000001E-2</v>
      </c>
      <c r="O134" s="25">
        <f t="shared" si="14"/>
        <v>433.8478000000004</v>
      </c>
      <c r="P134" s="25">
        <f t="shared" si="15"/>
        <v>336.75219999999962</v>
      </c>
    </row>
    <row r="135" spans="1:16" x14ac:dyDescent="0.25">
      <c r="L135">
        <v>12.8000000000001</v>
      </c>
      <c r="M135" s="17">
        <v>0</v>
      </c>
      <c r="N135" s="17">
        <v>3.3333330000000001E-2</v>
      </c>
      <c r="O135" s="25">
        <f t="shared" si="14"/>
        <v>434.61840000000041</v>
      </c>
      <c r="P135" s="25">
        <f t="shared" si="15"/>
        <v>335.98159999999962</v>
      </c>
    </row>
    <row r="136" spans="1:16" x14ac:dyDescent="0.25">
      <c r="L136">
        <v>13.000000000000099</v>
      </c>
      <c r="M136" s="17"/>
      <c r="N136" s="17">
        <v>3.3333330000000001E-2</v>
      </c>
      <c r="O136" s="25">
        <f t="shared" si="14"/>
        <v>435.38900000000041</v>
      </c>
      <c r="P136" s="25">
        <f t="shared" si="15"/>
        <v>335.21099999999961</v>
      </c>
    </row>
    <row r="137" spans="1:16" x14ac:dyDescent="0.25">
      <c r="L137">
        <v>13.200000000000101</v>
      </c>
      <c r="M137" s="17"/>
      <c r="N137" s="17">
        <v>3.3333330000000001E-2</v>
      </c>
      <c r="O137" s="25">
        <f t="shared" si="14"/>
        <v>436.15960000000041</v>
      </c>
      <c r="P137" s="25">
        <f t="shared" si="15"/>
        <v>334.44039999999961</v>
      </c>
    </row>
    <row r="138" spans="1:16" x14ac:dyDescent="0.25">
      <c r="L138">
        <v>13.4000000000001</v>
      </c>
      <c r="M138" s="17"/>
      <c r="N138" s="17">
        <v>3.3333330000000001E-2</v>
      </c>
      <c r="O138" s="25">
        <f t="shared" si="14"/>
        <v>436.93020000000041</v>
      </c>
      <c r="P138" s="25">
        <f t="shared" si="15"/>
        <v>333.66979999999961</v>
      </c>
    </row>
    <row r="139" spans="1:16" x14ac:dyDescent="0.25">
      <c r="L139">
        <v>13.600000000000099</v>
      </c>
      <c r="M139" s="17"/>
      <c r="N139" s="17">
        <v>3.3333330000000001E-2</v>
      </c>
      <c r="O139" s="25">
        <f t="shared" si="14"/>
        <v>437.70080000000041</v>
      </c>
      <c r="P139" s="25">
        <f t="shared" si="15"/>
        <v>332.89919999999961</v>
      </c>
    </row>
    <row r="140" spans="1:16" x14ac:dyDescent="0.25">
      <c r="L140">
        <v>13.8000000000001</v>
      </c>
      <c r="M140" s="17"/>
      <c r="N140" s="17">
        <v>3.3333330000000001E-2</v>
      </c>
      <c r="O140" s="25">
        <f t="shared" si="14"/>
        <v>438.47140000000041</v>
      </c>
      <c r="P140" s="25">
        <f t="shared" si="15"/>
        <v>332.12859999999961</v>
      </c>
    </row>
    <row r="141" spans="1:16" x14ac:dyDescent="0.25">
      <c r="L141">
        <v>14.000000000000099</v>
      </c>
      <c r="M141" s="17"/>
      <c r="N141" s="17">
        <v>3.3333330000000001E-2</v>
      </c>
      <c r="O141" s="25">
        <f t="shared" si="14"/>
        <v>439.24200000000042</v>
      </c>
      <c r="P141" s="25">
        <f t="shared" si="15"/>
        <v>331.35799999999961</v>
      </c>
    </row>
    <row r="142" spans="1:16" x14ac:dyDescent="0.25">
      <c r="L142">
        <v>14.200000000000101</v>
      </c>
      <c r="M142" s="17"/>
      <c r="N142" s="17">
        <v>3.3333330000000001E-2</v>
      </c>
      <c r="O142" s="25">
        <f t="shared" si="14"/>
        <v>440.01260000000042</v>
      </c>
      <c r="P142" s="25">
        <f t="shared" si="15"/>
        <v>330.5873999999996</v>
      </c>
    </row>
    <row r="143" spans="1:16" x14ac:dyDescent="0.25">
      <c r="L143">
        <v>14.4000000000001</v>
      </c>
      <c r="M143" s="17"/>
      <c r="N143" s="17">
        <v>3.3333330000000001E-2</v>
      </c>
      <c r="O143" s="25">
        <f t="shared" si="14"/>
        <v>440.78320000000042</v>
      </c>
      <c r="P143" s="25">
        <f t="shared" si="15"/>
        <v>329.8167999999996</v>
      </c>
    </row>
    <row r="144" spans="1:16" x14ac:dyDescent="0.25">
      <c r="L144">
        <v>14.600000000000099</v>
      </c>
      <c r="M144" s="17"/>
      <c r="N144" s="17">
        <v>1.6666670000000001E-2</v>
      </c>
      <c r="O144" s="25">
        <f t="shared" si="14"/>
        <v>441.55380000000042</v>
      </c>
      <c r="P144" s="25">
        <f t="shared" si="15"/>
        <v>329.0461999999996</v>
      </c>
    </row>
    <row r="145" spans="12:16" x14ac:dyDescent="0.25">
      <c r="L145">
        <v>14.8000000000001</v>
      </c>
      <c r="M145" s="17"/>
      <c r="N145" s="17">
        <v>1.6666670000000001E-2</v>
      </c>
      <c r="O145" s="25">
        <f t="shared" si="14"/>
        <v>442.32440000000042</v>
      </c>
      <c r="P145" s="25">
        <f t="shared" si="15"/>
        <v>328.2755999999996</v>
      </c>
    </row>
    <row r="146" spans="12:16" x14ac:dyDescent="0.25">
      <c r="L146">
        <v>15.000000000000099</v>
      </c>
      <c r="M146" s="17"/>
      <c r="N146" s="17">
        <v>1.6666670000000001E-2</v>
      </c>
      <c r="O146" s="25">
        <f t="shared" si="14"/>
        <v>443.09500000000043</v>
      </c>
      <c r="P146" s="25">
        <f t="shared" si="15"/>
        <v>327.5049999999996</v>
      </c>
    </row>
    <row r="147" spans="12:16" x14ac:dyDescent="0.25">
      <c r="L147" t="s">
        <v>27</v>
      </c>
      <c r="M147">
        <v>1.8</v>
      </c>
      <c r="N147">
        <v>2</v>
      </c>
    </row>
    <row r="148" spans="12:16" x14ac:dyDescent="0.25">
      <c r="L148" t="s">
        <v>26</v>
      </c>
      <c r="M148">
        <v>1</v>
      </c>
      <c r="N148">
        <v>2</v>
      </c>
    </row>
    <row r="149" spans="12:16" x14ac:dyDescent="0.25">
      <c r="L149" t="s">
        <v>25</v>
      </c>
      <c r="M149">
        <v>2</v>
      </c>
      <c r="N149">
        <v>3</v>
      </c>
    </row>
    <row r="150" spans="12:16" x14ac:dyDescent="0.25">
      <c r="L150" s="17" t="s">
        <v>76</v>
      </c>
      <c r="M150">
        <v>0.1578947</v>
      </c>
      <c r="N150">
        <v>0.15</v>
      </c>
    </row>
    <row r="151" spans="12:16" x14ac:dyDescent="0.25">
      <c r="L151" t="s">
        <v>78</v>
      </c>
      <c r="M151">
        <v>0.2105263</v>
      </c>
      <c r="N151">
        <v>0.3</v>
      </c>
    </row>
  </sheetData>
  <conditionalFormatting sqref="F10:F14 F30:F64 D6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14 E65 G30:G6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:Q15 Q36:Q64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:R15 R36:R64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52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52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B48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:F81 F103:F1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5:G81 G103:G12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:B12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:C1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48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5:Q79 Q100:Q1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5:R79 R100:R1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2:M14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2:N14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1E2D-F933-48A9-B87B-D66E694DC9A6}">
  <dimension ref="A1:AA80"/>
  <sheetViews>
    <sheetView topLeftCell="D46" workbookViewId="0">
      <selection activeCell="O56" sqref="O56:Q59"/>
    </sheetView>
  </sheetViews>
  <sheetFormatPr defaultRowHeight="15" x14ac:dyDescent="0.25"/>
  <cols>
    <col min="15" max="16" width="14.28515625" bestFit="1" customWidth="1"/>
  </cols>
  <sheetData>
    <row r="1" spans="1:26" ht="15.75" x14ac:dyDescent="0.25">
      <c r="A1" s="46" t="s">
        <v>172</v>
      </c>
      <c r="B1" s="47" t="s">
        <v>176</v>
      </c>
      <c r="C1" s="47" t="s">
        <v>177</v>
      </c>
      <c r="D1" s="48">
        <v>1</v>
      </c>
      <c r="E1" s="47">
        <v>12.04</v>
      </c>
      <c r="F1" s="46"/>
      <c r="G1" s="45" t="s">
        <v>181</v>
      </c>
      <c r="J1" s="46" t="s">
        <v>172</v>
      </c>
      <c r="K1" s="47" t="s">
        <v>176</v>
      </c>
      <c r="L1" s="47" t="s">
        <v>177</v>
      </c>
      <c r="M1" s="48">
        <v>1</v>
      </c>
      <c r="N1" s="47">
        <v>12.04</v>
      </c>
      <c r="O1" s="46"/>
      <c r="P1" s="45" t="s">
        <v>182</v>
      </c>
      <c r="Q1" s="45"/>
      <c r="R1" s="45"/>
      <c r="T1" s="46" t="s">
        <v>172</v>
      </c>
      <c r="U1" s="47" t="s">
        <v>176</v>
      </c>
      <c r="V1" s="47" t="s">
        <v>177</v>
      </c>
      <c r="W1" s="48">
        <v>1</v>
      </c>
      <c r="X1" s="47">
        <v>12.04</v>
      </c>
      <c r="Y1" s="46"/>
      <c r="Z1" s="45" t="s">
        <v>183</v>
      </c>
    </row>
    <row r="2" spans="1:26" ht="15.75" x14ac:dyDescent="0.25">
      <c r="A2" s="46" t="s">
        <v>27</v>
      </c>
      <c r="B2" s="49">
        <v>1.473002E-2</v>
      </c>
      <c r="C2" s="49" t="s">
        <v>26</v>
      </c>
      <c r="D2" s="49">
        <v>2.0424520000000002E-2</v>
      </c>
      <c r="E2" s="49" t="s">
        <v>25</v>
      </c>
      <c r="F2" s="50">
        <v>2.0418510000000001E-2</v>
      </c>
      <c r="J2" s="46" t="s">
        <v>27</v>
      </c>
      <c r="K2" s="49">
        <v>1.061599E-2</v>
      </c>
      <c r="L2" s="49" t="s">
        <v>26</v>
      </c>
      <c r="M2" s="49">
        <v>1.0734870000000001E-2</v>
      </c>
      <c r="N2" s="49" t="s">
        <v>25</v>
      </c>
      <c r="O2" s="50">
        <v>1.164253E-2</v>
      </c>
      <c r="T2" s="46" t="s">
        <v>27</v>
      </c>
      <c r="U2" s="49">
        <v>9.2695950000000003E-3</v>
      </c>
      <c r="V2" s="49" t="s">
        <v>26</v>
      </c>
      <c r="W2" s="49">
        <v>8.4438010000000008E-3</v>
      </c>
      <c r="X2" s="49" t="s">
        <v>25</v>
      </c>
      <c r="Y2" s="50">
        <v>8.7857100000000004E-3</v>
      </c>
    </row>
    <row r="3" spans="1:26" ht="15.75" x14ac:dyDescent="0.25">
      <c r="A3" s="46" t="s">
        <v>158</v>
      </c>
      <c r="B3" s="47" t="s">
        <v>178</v>
      </c>
      <c r="C3" s="47"/>
      <c r="D3" s="47"/>
      <c r="E3" s="47"/>
      <c r="F3" s="46"/>
      <c r="J3" s="46" t="s">
        <v>158</v>
      </c>
      <c r="K3" s="47" t="s">
        <v>178</v>
      </c>
      <c r="L3" s="47"/>
      <c r="M3" s="47"/>
      <c r="N3" s="47"/>
      <c r="O3" s="46"/>
      <c r="T3" s="46" t="s">
        <v>158</v>
      </c>
      <c r="U3" s="47" t="s">
        <v>178</v>
      </c>
      <c r="V3" s="47"/>
      <c r="W3" s="47"/>
      <c r="X3" s="47"/>
      <c r="Y3" s="46"/>
    </row>
    <row r="4" spans="1:26" ht="15.75" x14ac:dyDescent="0.25">
      <c r="A4" s="46" t="s">
        <v>27</v>
      </c>
      <c r="B4" s="49">
        <v>1.2923280000000001E-2</v>
      </c>
      <c r="C4" s="49">
        <v>5.047564E-3</v>
      </c>
      <c r="D4" s="47"/>
      <c r="E4" s="47"/>
      <c r="F4" s="46"/>
      <c r="J4" s="46" t="s">
        <v>27</v>
      </c>
      <c r="K4" s="49">
        <v>9.1577259999999997E-3</v>
      </c>
      <c r="L4" s="49">
        <v>3.8358580000000001E-3</v>
      </c>
      <c r="M4" s="47"/>
      <c r="N4" s="47"/>
      <c r="O4" s="46"/>
      <c r="T4" s="46" t="s">
        <v>27</v>
      </c>
      <c r="U4" s="49">
        <v>7.5299520000000003E-3</v>
      </c>
      <c r="V4" s="49">
        <v>3.673927E-3</v>
      </c>
      <c r="W4" s="47"/>
      <c r="X4" s="47"/>
      <c r="Y4" s="46"/>
    </row>
    <row r="5" spans="1:26" ht="15.75" x14ac:dyDescent="0.25">
      <c r="A5" s="46" t="s">
        <v>56</v>
      </c>
      <c r="B5" s="49">
        <v>2.158411E-2</v>
      </c>
      <c r="C5" s="49">
        <v>-6.3781769999999996E-3</v>
      </c>
      <c r="D5" s="47"/>
      <c r="E5" s="47"/>
      <c r="F5" s="46"/>
      <c r="J5" s="46" t="s">
        <v>56</v>
      </c>
      <c r="K5" s="49">
        <v>1.2244349999999999E-2</v>
      </c>
      <c r="L5" s="49">
        <v>-3.9473700000000004E-3</v>
      </c>
      <c r="M5" s="47"/>
      <c r="N5" s="47"/>
      <c r="O5" s="46"/>
      <c r="T5" s="46" t="s">
        <v>56</v>
      </c>
      <c r="U5" s="49">
        <v>1.05503E-2</v>
      </c>
      <c r="V5" s="49">
        <v>-3.783369E-3</v>
      </c>
      <c r="W5" s="47"/>
      <c r="X5" s="47"/>
      <c r="Y5" s="46"/>
    </row>
    <row r="6" spans="1:26" ht="15.75" x14ac:dyDescent="0.25">
      <c r="A6" s="46" t="s">
        <v>57</v>
      </c>
      <c r="B6" s="49">
        <v>2.2609509999999999E-2</v>
      </c>
      <c r="C6" s="49">
        <v>-7.1305489999999999E-3</v>
      </c>
      <c r="D6" s="47"/>
      <c r="E6" s="47"/>
      <c r="F6" s="46"/>
      <c r="J6" s="46" t="s">
        <v>57</v>
      </c>
      <c r="K6" s="49">
        <v>1.387131E-2</v>
      </c>
      <c r="L6" s="49">
        <v>-4.9596299999999996E-3</v>
      </c>
      <c r="M6" s="47"/>
      <c r="N6" s="47"/>
      <c r="O6" s="46"/>
      <c r="T6" s="46" t="s">
        <v>57</v>
      </c>
      <c r="U6" s="49">
        <v>1.153876E-2</v>
      </c>
      <c r="V6" s="49">
        <v>-4.5142209999999997E-3</v>
      </c>
      <c r="W6" s="47"/>
      <c r="X6" s="47"/>
      <c r="Y6" s="46"/>
    </row>
    <row r="7" spans="1:26" ht="15.75" x14ac:dyDescent="0.25">
      <c r="A7" s="46" t="s">
        <v>179</v>
      </c>
      <c r="B7" s="47" t="s">
        <v>180</v>
      </c>
      <c r="C7" s="48">
        <v>767</v>
      </c>
      <c r="D7" s="47"/>
      <c r="E7" s="47"/>
      <c r="F7" s="46"/>
      <c r="J7" s="46" t="s">
        <v>179</v>
      </c>
      <c r="K7" s="47" t="s">
        <v>180</v>
      </c>
      <c r="L7" s="48">
        <v>730</v>
      </c>
      <c r="M7" s="47"/>
      <c r="N7" s="47"/>
      <c r="O7" s="46"/>
      <c r="T7" s="46" t="s">
        <v>179</v>
      </c>
      <c r="U7" s="47" t="s">
        <v>180</v>
      </c>
      <c r="V7" s="48">
        <v>686</v>
      </c>
      <c r="W7" s="47"/>
      <c r="X7" s="47"/>
      <c r="Y7" s="46"/>
    </row>
    <row r="8" spans="1:26" ht="15.75" x14ac:dyDescent="0.25">
      <c r="A8" s="46" t="s">
        <v>179</v>
      </c>
      <c r="B8" s="47" t="s">
        <v>180</v>
      </c>
      <c r="C8" s="48">
        <v>61</v>
      </c>
      <c r="D8" s="47"/>
      <c r="E8" s="47"/>
      <c r="F8" s="46"/>
      <c r="J8" s="46" t="s">
        <v>179</v>
      </c>
      <c r="K8" s="47" t="s">
        <v>180</v>
      </c>
      <c r="L8" s="48">
        <v>98</v>
      </c>
      <c r="M8" s="47"/>
      <c r="N8" s="47"/>
      <c r="O8" s="46"/>
      <c r="T8" s="46" t="s">
        <v>179</v>
      </c>
      <c r="U8" s="47" t="s">
        <v>180</v>
      </c>
      <c r="V8" s="48">
        <v>142</v>
      </c>
      <c r="W8" s="47"/>
      <c r="X8" s="47"/>
      <c r="Y8" s="46"/>
    </row>
    <row r="9" spans="1:26" ht="15.75" x14ac:dyDescent="0.25">
      <c r="A9" s="46" t="s">
        <v>172</v>
      </c>
      <c r="B9" s="47" t="s">
        <v>176</v>
      </c>
      <c r="C9" s="47" t="s">
        <v>177</v>
      </c>
      <c r="D9" s="48">
        <v>2</v>
      </c>
      <c r="E9" s="47">
        <v>13.21</v>
      </c>
      <c r="F9" s="46"/>
      <c r="J9" s="46" t="s">
        <v>172</v>
      </c>
      <c r="K9" s="47" t="s">
        <v>176</v>
      </c>
      <c r="L9" s="47" t="s">
        <v>177</v>
      </c>
      <c r="M9" s="48">
        <v>2</v>
      </c>
      <c r="N9" s="47">
        <v>13.21</v>
      </c>
      <c r="O9" s="46"/>
      <c r="T9" s="46" t="s">
        <v>172</v>
      </c>
      <c r="U9" s="47" t="s">
        <v>176</v>
      </c>
      <c r="V9" s="47" t="s">
        <v>177</v>
      </c>
      <c r="W9" s="48">
        <v>2</v>
      </c>
      <c r="X9" s="47">
        <v>13.21</v>
      </c>
      <c r="Y9" s="46"/>
    </row>
    <row r="10" spans="1:26" ht="15.75" x14ac:dyDescent="0.25">
      <c r="A10" s="46" t="s">
        <v>27</v>
      </c>
      <c r="B10" s="49">
        <v>1.991534E-2</v>
      </c>
      <c r="C10" s="49" t="s">
        <v>26</v>
      </c>
      <c r="D10" s="49">
        <v>2.1805290000000001E-2</v>
      </c>
      <c r="E10" s="49" t="s">
        <v>25</v>
      </c>
      <c r="F10" s="50">
        <v>2.122477E-2</v>
      </c>
      <c r="J10" s="46" t="s">
        <v>27</v>
      </c>
      <c r="K10" s="49">
        <v>1.347666E-2</v>
      </c>
      <c r="L10" s="49" t="s">
        <v>26</v>
      </c>
      <c r="M10" s="49">
        <v>1.060059E-2</v>
      </c>
      <c r="N10" s="49" t="s">
        <v>25</v>
      </c>
      <c r="O10" s="50">
        <v>1.080769E-2</v>
      </c>
      <c r="T10" s="46" t="s">
        <v>27</v>
      </c>
      <c r="U10" s="49">
        <v>1.1736760000000001E-2</v>
      </c>
      <c r="V10" s="49" t="s">
        <v>26</v>
      </c>
      <c r="W10" s="49">
        <v>7.5002549999999999E-3</v>
      </c>
      <c r="X10" s="49" t="s">
        <v>25</v>
      </c>
      <c r="Y10" s="50">
        <v>8.4470440000000008E-3</v>
      </c>
    </row>
    <row r="11" spans="1:26" ht="15.75" x14ac:dyDescent="0.25">
      <c r="A11" s="46" t="s">
        <v>158</v>
      </c>
      <c r="B11" s="47" t="s">
        <v>178</v>
      </c>
      <c r="C11" s="47"/>
      <c r="D11" s="47"/>
      <c r="E11" s="47"/>
      <c r="F11" s="46"/>
      <c r="J11" s="46" t="s">
        <v>158</v>
      </c>
      <c r="K11" s="47" t="s">
        <v>178</v>
      </c>
      <c r="L11" s="47"/>
      <c r="M11" s="47"/>
      <c r="N11" s="47"/>
      <c r="O11" s="46"/>
      <c r="T11" s="46" t="s">
        <v>158</v>
      </c>
      <c r="U11" s="47" t="s">
        <v>178</v>
      </c>
      <c r="V11" s="47"/>
      <c r="W11" s="47"/>
      <c r="X11" s="47"/>
      <c r="Y11" s="46"/>
    </row>
    <row r="12" spans="1:26" ht="15.75" x14ac:dyDescent="0.25">
      <c r="A12" s="46" t="s">
        <v>27</v>
      </c>
      <c r="B12" s="51">
        <v>1.5952290000000001E-2</v>
      </c>
      <c r="C12" s="51">
        <v>7.494952E-3</v>
      </c>
      <c r="D12" s="47"/>
      <c r="E12" s="47"/>
      <c r="F12" s="46"/>
      <c r="J12" s="46" t="s">
        <v>27</v>
      </c>
      <c r="K12" s="51">
        <v>1.038244E-2</v>
      </c>
      <c r="L12" s="51">
        <v>6.4915199999999998E-3</v>
      </c>
      <c r="M12" s="47"/>
      <c r="N12" s="47"/>
      <c r="O12" s="46"/>
      <c r="T12" s="46" t="s">
        <v>27</v>
      </c>
      <c r="U12" s="51">
        <v>9.0467829999999992E-3</v>
      </c>
      <c r="V12" s="51">
        <v>5.2867599999999997E-3</v>
      </c>
      <c r="W12" s="47"/>
      <c r="X12" s="47"/>
      <c r="Y12" s="46"/>
    </row>
    <row r="13" spans="1:26" ht="15.75" x14ac:dyDescent="0.25">
      <c r="A13" s="46" t="s">
        <v>56</v>
      </c>
      <c r="B13" s="51">
        <v>2.4617409999999999E-2</v>
      </c>
      <c r="C13" s="51">
        <v>-8.1717170000000002E-3</v>
      </c>
      <c r="D13" s="47"/>
      <c r="E13" s="47"/>
      <c r="F13" s="46"/>
      <c r="J13" s="46" t="s">
        <v>56</v>
      </c>
      <c r="K13" s="51">
        <v>1.410668E-2</v>
      </c>
      <c r="L13" s="51">
        <v>-5.5088100000000003E-3</v>
      </c>
      <c r="M13" s="47"/>
      <c r="N13" s="47"/>
      <c r="O13" s="46"/>
      <c r="T13" s="46" t="s">
        <v>56</v>
      </c>
      <c r="U13" s="51">
        <v>1.176341E-2</v>
      </c>
      <c r="V13" s="51">
        <v>-4.5505370000000003E-3</v>
      </c>
      <c r="W13" s="47"/>
      <c r="X13" s="47"/>
      <c r="Y13" s="46"/>
    </row>
    <row r="14" spans="1:26" ht="15.75" x14ac:dyDescent="0.25">
      <c r="A14" s="46" t="s">
        <v>57</v>
      </c>
      <c r="B14" s="51">
        <v>2.6724709999999999E-2</v>
      </c>
      <c r="C14" s="51">
        <v>-1.0000729999999999E-2</v>
      </c>
      <c r="D14" s="47"/>
      <c r="E14" s="47"/>
      <c r="F14" s="46"/>
      <c r="J14" s="46" t="s">
        <v>57</v>
      </c>
      <c r="K14" s="51">
        <v>1.569419E-2</v>
      </c>
      <c r="L14" s="51">
        <v>-7.1646940000000001E-3</v>
      </c>
      <c r="M14" s="47"/>
      <c r="N14" s="47"/>
      <c r="O14" s="46"/>
      <c r="T14" s="46" t="s">
        <v>57</v>
      </c>
      <c r="U14" s="51">
        <v>1.316638E-2</v>
      </c>
      <c r="V14" s="51">
        <v>-6.178238E-3</v>
      </c>
      <c r="W14" s="47"/>
      <c r="X14" s="47"/>
      <c r="Y14" s="46"/>
    </row>
    <row r="15" spans="1:26" ht="15.75" x14ac:dyDescent="0.25">
      <c r="A15" s="46" t="s">
        <v>179</v>
      </c>
      <c r="B15" s="47" t="s">
        <v>180</v>
      </c>
      <c r="C15" s="48">
        <v>704</v>
      </c>
      <c r="D15" s="47"/>
      <c r="E15" s="47"/>
      <c r="F15" s="46"/>
      <c r="J15" s="46" t="s">
        <v>179</v>
      </c>
      <c r="K15" s="47" t="s">
        <v>180</v>
      </c>
      <c r="L15" s="48">
        <v>651</v>
      </c>
      <c r="M15" s="47"/>
      <c r="N15" s="47"/>
      <c r="O15" s="46"/>
      <c r="T15" s="46" t="s">
        <v>179</v>
      </c>
      <c r="U15" s="47" t="s">
        <v>180</v>
      </c>
      <c r="V15" s="48">
        <v>626</v>
      </c>
      <c r="W15" s="47"/>
      <c r="X15" s="47"/>
      <c r="Y15" s="46"/>
    </row>
    <row r="16" spans="1:26" ht="15.75" x14ac:dyDescent="0.25">
      <c r="A16" s="46" t="s">
        <v>179</v>
      </c>
      <c r="B16" s="47" t="s">
        <v>180</v>
      </c>
      <c r="C16" s="48">
        <v>124</v>
      </c>
      <c r="D16" s="47"/>
      <c r="E16" s="47"/>
      <c r="F16" s="46"/>
      <c r="J16" s="46" t="s">
        <v>179</v>
      </c>
      <c r="K16" s="47" t="s">
        <v>180</v>
      </c>
      <c r="L16" s="48">
        <v>177</v>
      </c>
      <c r="M16" s="47"/>
      <c r="N16" s="47"/>
      <c r="O16" s="46"/>
      <c r="T16" s="46" t="s">
        <v>179</v>
      </c>
      <c r="U16" s="47" t="s">
        <v>180</v>
      </c>
      <c r="V16" s="48">
        <v>202</v>
      </c>
      <c r="W16" s="47"/>
      <c r="X16" s="47"/>
      <c r="Y16" s="46"/>
    </row>
    <row r="17" spans="1:25" ht="15.75" x14ac:dyDescent="0.25">
      <c r="A17" s="46" t="s">
        <v>172</v>
      </c>
      <c r="B17" s="47" t="s">
        <v>176</v>
      </c>
      <c r="C17" s="47" t="s">
        <v>177</v>
      </c>
      <c r="D17" s="48">
        <v>3</v>
      </c>
      <c r="E17" s="47">
        <v>14.63</v>
      </c>
      <c r="F17" s="46"/>
      <c r="J17" s="46" t="s">
        <v>172</v>
      </c>
      <c r="K17" s="47" t="s">
        <v>176</v>
      </c>
      <c r="L17" s="47" t="s">
        <v>177</v>
      </c>
      <c r="M17" s="48">
        <v>3</v>
      </c>
      <c r="N17" s="47">
        <v>14.63</v>
      </c>
      <c r="O17" s="46"/>
      <c r="T17" s="46" t="s">
        <v>172</v>
      </c>
      <c r="U17" s="47" t="s">
        <v>176</v>
      </c>
      <c r="V17" s="47" t="s">
        <v>177</v>
      </c>
      <c r="W17" s="48">
        <v>3</v>
      </c>
      <c r="X17" s="47">
        <v>14.63</v>
      </c>
      <c r="Y17" s="46"/>
    </row>
    <row r="18" spans="1:25" ht="15.75" x14ac:dyDescent="0.25">
      <c r="A18" s="46" t="s">
        <v>27</v>
      </c>
      <c r="B18" s="49">
        <v>2.3907959999999999E-2</v>
      </c>
      <c r="C18" s="49" t="s">
        <v>26</v>
      </c>
      <c r="D18" s="49">
        <v>1.315671E-2</v>
      </c>
      <c r="E18" s="49" t="s">
        <v>25</v>
      </c>
      <c r="F18" s="50">
        <v>1.4739479999999999E-2</v>
      </c>
      <c r="J18" s="46" t="s">
        <v>27</v>
      </c>
      <c r="K18" s="49">
        <v>1.7933859999999999E-2</v>
      </c>
      <c r="L18" s="49" t="s">
        <v>26</v>
      </c>
      <c r="M18" s="49">
        <v>7.1788379999999999E-3</v>
      </c>
      <c r="N18" s="49" t="s">
        <v>25</v>
      </c>
      <c r="O18" s="50">
        <v>8.1983899999999998E-3</v>
      </c>
      <c r="T18" s="46" t="s">
        <v>27</v>
      </c>
      <c r="U18" s="49">
        <v>1.51276E-2</v>
      </c>
      <c r="V18" s="49" t="s">
        <v>26</v>
      </c>
      <c r="W18" s="49">
        <v>5.0901549999999999E-3</v>
      </c>
      <c r="X18" s="49" t="s">
        <v>25</v>
      </c>
      <c r="Y18" s="50">
        <v>5.9193759999999996E-3</v>
      </c>
    </row>
    <row r="19" spans="1:25" ht="15.75" x14ac:dyDescent="0.25">
      <c r="A19" s="46" t="s">
        <v>158</v>
      </c>
      <c r="B19" s="47" t="s">
        <v>178</v>
      </c>
      <c r="C19" s="47"/>
      <c r="D19" s="47"/>
      <c r="E19" s="47"/>
      <c r="F19" s="46"/>
      <c r="J19" s="46" t="s">
        <v>158</v>
      </c>
      <c r="K19" s="47" t="s">
        <v>178</v>
      </c>
      <c r="L19" s="47"/>
      <c r="M19" s="47"/>
      <c r="N19" s="47"/>
      <c r="O19" s="46"/>
      <c r="T19" s="46" t="s">
        <v>158</v>
      </c>
      <c r="U19" s="47" t="s">
        <v>178</v>
      </c>
      <c r="V19" s="47"/>
      <c r="W19" s="47"/>
      <c r="X19" s="47"/>
      <c r="Y19" s="46"/>
    </row>
    <row r="20" spans="1:25" ht="15.75" x14ac:dyDescent="0.25">
      <c r="A20" s="46" t="s">
        <v>27</v>
      </c>
      <c r="B20" s="49">
        <v>1.8645439999999999E-2</v>
      </c>
      <c r="C20" s="49">
        <v>9.4916280000000002E-3</v>
      </c>
      <c r="D20" s="47"/>
      <c r="E20" s="47"/>
      <c r="F20" s="46"/>
      <c r="J20" s="46" t="s">
        <v>27</v>
      </c>
      <c r="K20" s="49">
        <v>1.3877509999999999E-2</v>
      </c>
      <c r="L20" s="49">
        <v>7.7758940000000002E-3</v>
      </c>
      <c r="M20" s="47"/>
      <c r="N20" s="47"/>
      <c r="O20" s="46"/>
      <c r="T20" s="46" t="s">
        <v>27</v>
      </c>
      <c r="U20" s="49">
        <v>1.113982E-2</v>
      </c>
      <c r="V20" s="49">
        <v>6.8852690000000003E-3</v>
      </c>
      <c r="W20" s="47"/>
      <c r="X20" s="47"/>
      <c r="Y20" s="46"/>
    </row>
    <row r="21" spans="1:25" ht="15.75" x14ac:dyDescent="0.25">
      <c r="A21" s="46" t="s">
        <v>56</v>
      </c>
      <c r="B21" s="49">
        <v>2.242831E-2</v>
      </c>
      <c r="C21" s="49">
        <v>-1.05997E-2</v>
      </c>
      <c r="D21" s="47"/>
      <c r="E21" s="47"/>
      <c r="F21" s="46"/>
      <c r="J21" s="46" t="s">
        <v>56</v>
      </c>
      <c r="K21" s="49">
        <v>1.386371E-2</v>
      </c>
      <c r="L21" s="49">
        <v>-8.2012300000000003E-3</v>
      </c>
      <c r="M21" s="47"/>
      <c r="N21" s="47"/>
      <c r="O21" s="46"/>
      <c r="T21" s="46" t="s">
        <v>56</v>
      </c>
      <c r="U21" s="49">
        <v>1.179084E-2</v>
      </c>
      <c r="V21" s="49">
        <v>-7.7809979999999999E-3</v>
      </c>
      <c r="W21" s="47"/>
      <c r="X21" s="47"/>
      <c r="Y21" s="46"/>
    </row>
    <row r="22" spans="1:25" ht="15.75" x14ac:dyDescent="0.25">
      <c r="A22" s="46" t="s">
        <v>57</v>
      </c>
      <c r="B22" s="49">
        <v>2.5596870000000001E-2</v>
      </c>
      <c r="C22" s="49">
        <v>-1.2611900000000001E-2</v>
      </c>
      <c r="D22" s="47"/>
      <c r="E22" s="47"/>
      <c r="F22" s="46"/>
      <c r="J22" s="46" t="s">
        <v>57</v>
      </c>
      <c r="K22" s="49">
        <v>1.7747019999999999E-2</v>
      </c>
      <c r="L22" s="49">
        <v>-1.0058320000000001E-2</v>
      </c>
      <c r="M22" s="47"/>
      <c r="N22" s="47"/>
      <c r="O22" s="46"/>
      <c r="T22" s="46" t="s">
        <v>57</v>
      </c>
      <c r="U22" s="49">
        <v>1.445042E-2</v>
      </c>
      <c r="V22" s="49">
        <v>-9.5467729999999997E-3</v>
      </c>
      <c r="W22" s="47"/>
      <c r="X22" s="47"/>
      <c r="Y22" s="46"/>
    </row>
    <row r="23" spans="1:25" ht="15.75" x14ac:dyDescent="0.25">
      <c r="A23" s="46" t="s">
        <v>179</v>
      </c>
      <c r="B23" s="47" t="s">
        <v>180</v>
      </c>
      <c r="C23" s="48">
        <v>592</v>
      </c>
      <c r="D23" s="47"/>
      <c r="E23" s="47"/>
      <c r="F23" s="46"/>
      <c r="J23" s="46" t="s">
        <v>179</v>
      </c>
      <c r="K23" s="47" t="s">
        <v>180</v>
      </c>
      <c r="L23" s="48">
        <v>543</v>
      </c>
      <c r="M23" s="47"/>
      <c r="N23" s="47"/>
      <c r="O23" s="46"/>
      <c r="T23" s="46" t="s">
        <v>179</v>
      </c>
      <c r="U23" s="47" t="s">
        <v>180</v>
      </c>
      <c r="V23" s="48">
        <v>533</v>
      </c>
      <c r="W23" s="47"/>
      <c r="X23" s="47"/>
      <c r="Y23" s="46"/>
    </row>
    <row r="24" spans="1:25" ht="15.75" x14ac:dyDescent="0.25">
      <c r="A24" s="46" t="s">
        <v>179</v>
      </c>
      <c r="B24" s="47" t="s">
        <v>180</v>
      </c>
      <c r="C24" s="48">
        <v>235</v>
      </c>
      <c r="D24" s="47"/>
      <c r="E24" s="47"/>
      <c r="F24" s="46"/>
      <c r="J24" s="46" t="s">
        <v>179</v>
      </c>
      <c r="K24" s="47" t="s">
        <v>180</v>
      </c>
      <c r="L24" s="48">
        <v>284</v>
      </c>
      <c r="M24" s="47"/>
      <c r="N24" s="47"/>
      <c r="O24" s="46"/>
      <c r="T24" s="46" t="s">
        <v>179</v>
      </c>
      <c r="U24" s="47" t="s">
        <v>180</v>
      </c>
      <c r="V24" s="48">
        <v>294</v>
      </c>
      <c r="W24" s="47"/>
      <c r="X24" s="47"/>
      <c r="Y24" s="46"/>
    </row>
    <row r="25" spans="1:25" ht="15.75" x14ac:dyDescent="0.25">
      <c r="A25" s="46" t="s">
        <v>172</v>
      </c>
      <c r="B25" s="47" t="s">
        <v>176</v>
      </c>
      <c r="C25" s="47" t="s">
        <v>177</v>
      </c>
      <c r="D25" s="48">
        <v>4</v>
      </c>
      <c r="E25" s="47">
        <v>16.164000000000001</v>
      </c>
      <c r="F25" s="46"/>
      <c r="J25" s="46" t="s">
        <v>172</v>
      </c>
      <c r="K25" s="47" t="s">
        <v>176</v>
      </c>
      <c r="L25" s="47" t="s">
        <v>177</v>
      </c>
      <c r="M25" s="48">
        <v>4</v>
      </c>
      <c r="N25" s="47">
        <v>16.164000000000001</v>
      </c>
      <c r="O25" s="46"/>
      <c r="T25" s="46" t="s">
        <v>172</v>
      </c>
      <c r="U25" s="47" t="s">
        <v>176</v>
      </c>
      <c r="V25" s="47" t="s">
        <v>177</v>
      </c>
      <c r="W25" s="48">
        <v>4</v>
      </c>
      <c r="X25" s="47">
        <v>16.164000000000001</v>
      </c>
      <c r="Y25" s="46"/>
    </row>
    <row r="26" spans="1:25" ht="15.75" x14ac:dyDescent="0.25">
      <c r="A26" s="46" t="s">
        <v>27</v>
      </c>
      <c r="B26" s="49">
        <v>2.6570420000000001E-2</v>
      </c>
      <c r="C26" s="49" t="s">
        <v>26</v>
      </c>
      <c r="D26" s="49">
        <v>9.660788E-3</v>
      </c>
      <c r="E26" s="49" t="s">
        <v>25</v>
      </c>
      <c r="F26" s="50">
        <v>1.130285E-2</v>
      </c>
      <c r="J26" s="46" t="s">
        <v>27</v>
      </c>
      <c r="K26" s="49">
        <v>2.0417870000000001E-2</v>
      </c>
      <c r="L26" s="49" t="s">
        <v>26</v>
      </c>
      <c r="M26" s="49">
        <v>5.6013749999999996E-3</v>
      </c>
      <c r="N26" s="49" t="s">
        <v>25</v>
      </c>
      <c r="O26" s="50">
        <v>6.9556440000000004E-3</v>
      </c>
      <c r="T26" s="46" t="s">
        <v>27</v>
      </c>
      <c r="U26" s="49">
        <v>1.797356E-2</v>
      </c>
      <c r="V26" s="49" t="s">
        <v>26</v>
      </c>
      <c r="W26" s="49">
        <v>4.3991789999999996E-3</v>
      </c>
      <c r="X26" s="49" t="s">
        <v>25</v>
      </c>
      <c r="Y26" s="50">
        <v>5.3014910000000002E-3</v>
      </c>
    </row>
    <row r="27" spans="1:25" ht="15.75" x14ac:dyDescent="0.25">
      <c r="A27" s="46" t="s">
        <v>158</v>
      </c>
      <c r="B27" s="47" t="s">
        <v>178</v>
      </c>
      <c r="C27" s="47"/>
      <c r="D27" s="47"/>
      <c r="E27" s="47"/>
      <c r="F27" s="46"/>
      <c r="J27" s="46" t="s">
        <v>158</v>
      </c>
      <c r="K27" s="47" t="s">
        <v>178</v>
      </c>
      <c r="L27" s="47"/>
      <c r="M27" s="47"/>
      <c r="N27" s="47"/>
      <c r="O27" s="46"/>
      <c r="T27" s="46" t="s">
        <v>158</v>
      </c>
      <c r="U27" s="47" t="s">
        <v>178</v>
      </c>
      <c r="V27" s="47"/>
      <c r="W27" s="47"/>
      <c r="X27" s="47"/>
      <c r="Y27" s="46"/>
    </row>
    <row r="28" spans="1:25" ht="15.75" x14ac:dyDescent="0.25">
      <c r="A28" s="46" t="s">
        <v>27</v>
      </c>
      <c r="B28" s="51">
        <v>1.9539649999999999E-2</v>
      </c>
      <c r="C28" s="51">
        <v>1.119146E-2</v>
      </c>
      <c r="D28" s="47"/>
      <c r="E28" s="47"/>
      <c r="F28" s="46"/>
      <c r="J28" s="46" t="s">
        <v>27</v>
      </c>
      <c r="K28" s="51">
        <v>1.462666E-2</v>
      </c>
      <c r="L28" s="51">
        <v>8.9591370000000007E-3</v>
      </c>
      <c r="M28" s="47"/>
      <c r="N28" s="47"/>
      <c r="O28" s="46"/>
      <c r="T28" s="46" t="s">
        <v>27</v>
      </c>
      <c r="U28" s="51">
        <v>1.243408E-2</v>
      </c>
      <c r="V28" s="51">
        <v>8.1793539999999998E-3</v>
      </c>
      <c r="W28" s="47"/>
      <c r="X28" s="47"/>
      <c r="Y28" s="46"/>
    </row>
    <row r="29" spans="1:25" ht="15.75" x14ac:dyDescent="0.25">
      <c r="A29" s="46" t="s">
        <v>56</v>
      </c>
      <c r="B29" s="51">
        <v>2.4063290000000001E-2</v>
      </c>
      <c r="C29" s="51">
        <v>-1.415899E-2</v>
      </c>
      <c r="D29" s="47"/>
      <c r="E29" s="47"/>
      <c r="F29" s="46"/>
      <c r="J29" s="46" t="s">
        <v>56</v>
      </c>
      <c r="K29" s="51">
        <v>1.7341619999999999E-2</v>
      </c>
      <c r="L29" s="51">
        <v>-1.074107E-2</v>
      </c>
      <c r="M29" s="47"/>
      <c r="N29" s="47"/>
      <c r="O29" s="46"/>
      <c r="T29" s="46" t="s">
        <v>56</v>
      </c>
      <c r="U29" s="51">
        <v>1.541349E-2</v>
      </c>
      <c r="V29" s="51">
        <v>-1.0149979999999999E-2</v>
      </c>
      <c r="W29" s="47"/>
      <c r="X29" s="47"/>
      <c r="Y29" s="46"/>
    </row>
    <row r="30" spans="1:25" ht="15.75" x14ac:dyDescent="0.25">
      <c r="A30" s="46" t="s">
        <v>57</v>
      </c>
      <c r="B30" s="51">
        <v>2.6618380000000001E-2</v>
      </c>
      <c r="C30" s="51">
        <v>-1.5884789999999999E-2</v>
      </c>
      <c r="D30" s="47"/>
      <c r="E30" s="47"/>
      <c r="F30" s="46"/>
      <c r="J30" s="46" t="s">
        <v>57</v>
      </c>
      <c r="K30" s="51">
        <v>2.003392E-2</v>
      </c>
      <c r="L30" s="51">
        <v>-1.264201E-2</v>
      </c>
      <c r="M30" s="47"/>
      <c r="N30" s="47"/>
      <c r="O30" s="46"/>
      <c r="T30" s="46" t="s">
        <v>57</v>
      </c>
      <c r="U30" s="51">
        <v>1.7412070000000002E-2</v>
      </c>
      <c r="V30" s="51">
        <v>-1.161822E-2</v>
      </c>
      <c r="W30" s="47"/>
      <c r="X30" s="47"/>
      <c r="Y30" s="46"/>
    </row>
    <row r="31" spans="1:25" ht="15.75" x14ac:dyDescent="0.25">
      <c r="A31" s="46" t="s">
        <v>179</v>
      </c>
      <c r="B31" s="47" t="s">
        <v>180</v>
      </c>
      <c r="C31" s="48">
        <v>529</v>
      </c>
      <c r="D31" s="47"/>
      <c r="E31" s="47"/>
      <c r="F31" s="46"/>
      <c r="J31" s="46" t="s">
        <v>179</v>
      </c>
      <c r="K31" s="47" t="s">
        <v>180</v>
      </c>
      <c r="L31" s="48">
        <v>496</v>
      </c>
      <c r="M31" s="47"/>
      <c r="N31" s="47"/>
      <c r="O31" s="46"/>
      <c r="T31" s="46" t="s">
        <v>179</v>
      </c>
      <c r="U31" s="47" t="s">
        <v>180</v>
      </c>
      <c r="V31" s="48">
        <v>482</v>
      </c>
      <c r="W31" s="47"/>
      <c r="X31" s="47"/>
      <c r="Y31" s="46"/>
    </row>
    <row r="32" spans="1:25" ht="15.75" x14ac:dyDescent="0.25">
      <c r="A32" s="46" t="s">
        <v>179</v>
      </c>
      <c r="B32" s="47" t="s">
        <v>180</v>
      </c>
      <c r="C32" s="48">
        <v>298</v>
      </c>
      <c r="D32" s="47"/>
      <c r="E32" s="47"/>
      <c r="F32" s="46"/>
      <c r="J32" s="46" t="s">
        <v>179</v>
      </c>
      <c r="K32" s="47" t="s">
        <v>180</v>
      </c>
      <c r="L32" s="48">
        <v>331</v>
      </c>
      <c r="M32" s="47"/>
      <c r="N32" s="47"/>
      <c r="O32" s="46"/>
      <c r="T32" s="46" t="s">
        <v>179</v>
      </c>
      <c r="U32" s="47" t="s">
        <v>180</v>
      </c>
      <c r="V32" s="48">
        <v>345</v>
      </c>
      <c r="W32" s="47"/>
      <c r="X32" s="47"/>
      <c r="Y32" s="46"/>
    </row>
    <row r="33" spans="1:25" x14ac:dyDescent="0.25">
      <c r="A33" t="s">
        <v>172</v>
      </c>
      <c r="B33" s="41" t="s">
        <v>176</v>
      </c>
      <c r="C33" s="41" t="s">
        <v>177</v>
      </c>
      <c r="D33" s="19">
        <v>5</v>
      </c>
      <c r="E33" s="41">
        <v>17.78</v>
      </c>
      <c r="J33" t="s">
        <v>172</v>
      </c>
      <c r="K33" s="41" t="s">
        <v>176</v>
      </c>
      <c r="L33" s="41" t="s">
        <v>177</v>
      </c>
      <c r="M33" s="19">
        <v>5</v>
      </c>
      <c r="N33" s="41">
        <v>17.78</v>
      </c>
      <c r="T33" t="s">
        <v>172</v>
      </c>
      <c r="U33" s="41" t="s">
        <v>176</v>
      </c>
      <c r="V33" s="41" t="s">
        <v>177</v>
      </c>
      <c r="W33" s="19">
        <v>5</v>
      </c>
      <c r="X33" s="41">
        <v>17.78</v>
      </c>
    </row>
    <row r="34" spans="1:25" x14ac:dyDescent="0.25">
      <c r="A34" t="s">
        <v>27</v>
      </c>
      <c r="B34" s="43">
        <v>3.1330110000000001E-2</v>
      </c>
      <c r="C34" s="43" t="s">
        <v>26</v>
      </c>
      <c r="D34" s="43">
        <v>1.2836409999999999E-2</v>
      </c>
      <c r="E34" s="43" t="s">
        <v>25</v>
      </c>
      <c r="F34" s="44">
        <v>1.3552700000000001E-2</v>
      </c>
      <c r="J34" t="s">
        <v>27</v>
      </c>
      <c r="K34" s="43">
        <v>2.1259759999999999E-2</v>
      </c>
      <c r="L34" s="43" t="s">
        <v>26</v>
      </c>
      <c r="M34" s="43">
        <v>7.4615790000000003E-3</v>
      </c>
      <c r="N34" s="43" t="s">
        <v>25</v>
      </c>
      <c r="O34" s="44">
        <v>6.107599E-3</v>
      </c>
      <c r="T34" t="s">
        <v>27</v>
      </c>
      <c r="U34" s="43">
        <v>1.846708E-2</v>
      </c>
      <c r="V34" s="43" t="s">
        <v>26</v>
      </c>
      <c r="W34" s="43">
        <v>4.4259520000000004E-3</v>
      </c>
      <c r="X34" s="43" t="s">
        <v>25</v>
      </c>
      <c r="Y34" s="44">
        <v>3.8823569999999999E-3</v>
      </c>
    </row>
    <row r="35" spans="1:25" x14ac:dyDescent="0.25">
      <c r="A35" t="s">
        <v>158</v>
      </c>
      <c r="B35" s="41" t="s">
        <v>178</v>
      </c>
      <c r="C35" s="41"/>
      <c r="D35" s="41"/>
      <c r="E35" s="41"/>
      <c r="J35" t="s">
        <v>158</v>
      </c>
      <c r="K35" s="41" t="s">
        <v>178</v>
      </c>
      <c r="L35" s="41"/>
      <c r="M35" s="41"/>
      <c r="N35" s="41"/>
      <c r="T35" t="s">
        <v>158</v>
      </c>
      <c r="U35" s="41" t="s">
        <v>178</v>
      </c>
      <c r="V35" s="41"/>
      <c r="W35" s="41"/>
      <c r="X35" s="41"/>
    </row>
    <row r="36" spans="1:25" x14ac:dyDescent="0.25">
      <c r="A36" t="s">
        <v>27</v>
      </c>
      <c r="B36" s="42">
        <v>2.2352830000000001E-2</v>
      </c>
      <c r="C36" s="42">
        <v>1.3803660000000001E-2</v>
      </c>
      <c r="D36" s="41"/>
      <c r="E36" s="41"/>
      <c r="J36" t="s">
        <v>27</v>
      </c>
      <c r="K36" s="42">
        <v>1.3746349999999999E-2</v>
      </c>
      <c r="L36" s="42">
        <v>1.07861E-2</v>
      </c>
      <c r="M36" s="41"/>
      <c r="N36" s="41"/>
      <c r="T36" t="s">
        <v>27</v>
      </c>
      <c r="U36" s="42">
        <v>1.185812E-2</v>
      </c>
      <c r="V36" s="42">
        <v>9.9315189999999998E-3</v>
      </c>
      <c r="W36" s="41"/>
      <c r="X36" s="41"/>
    </row>
    <row r="37" spans="1:25" x14ac:dyDescent="0.25">
      <c r="A37" t="s">
        <v>56</v>
      </c>
      <c r="B37" s="42">
        <v>2.8103699999999999E-2</v>
      </c>
      <c r="C37" s="42">
        <v>-1.6963539999999999E-2</v>
      </c>
      <c r="D37" s="41"/>
      <c r="E37" s="41"/>
      <c r="J37" t="s">
        <v>56</v>
      </c>
      <c r="K37" s="42">
        <v>1.7424760000000001E-2</v>
      </c>
      <c r="L37" s="42">
        <v>-1.338874E-2</v>
      </c>
      <c r="M37" s="41"/>
      <c r="N37" s="41"/>
      <c r="T37" t="s">
        <v>56</v>
      </c>
      <c r="U37" s="42">
        <v>1.368222E-2</v>
      </c>
      <c r="V37" s="42">
        <v>-1.238964E-2</v>
      </c>
      <c r="W37" s="41"/>
      <c r="X37" s="41"/>
    </row>
    <row r="38" spans="1:25" x14ac:dyDescent="0.25">
      <c r="A38" t="s">
        <v>57</v>
      </c>
      <c r="B38" s="42">
        <v>3.1561699999999998E-2</v>
      </c>
      <c r="C38" s="42">
        <v>-1.9269169999999999E-2</v>
      </c>
      <c r="D38" s="41"/>
      <c r="E38" s="41"/>
      <c r="J38" t="s">
        <v>57</v>
      </c>
      <c r="K38" s="42">
        <v>1.9916139999999999E-2</v>
      </c>
      <c r="L38" s="42">
        <v>-1.500637E-2</v>
      </c>
      <c r="M38" s="41"/>
      <c r="N38" s="41"/>
      <c r="T38" t="s">
        <v>57</v>
      </c>
      <c r="U38" s="42">
        <v>1.6174359999999999E-2</v>
      </c>
      <c r="V38" s="42">
        <v>-1.3812319999999999E-2</v>
      </c>
      <c r="W38" s="41"/>
      <c r="X38" s="41"/>
    </row>
    <row r="39" spans="1:25" x14ac:dyDescent="0.25">
      <c r="A39" t="s">
        <v>179</v>
      </c>
      <c r="B39" s="41" t="s">
        <v>180</v>
      </c>
      <c r="C39" s="19">
        <v>534</v>
      </c>
      <c r="D39" s="41"/>
      <c r="E39" s="41"/>
      <c r="J39" t="s">
        <v>179</v>
      </c>
      <c r="K39" s="41" t="s">
        <v>180</v>
      </c>
      <c r="L39" s="19">
        <v>500</v>
      </c>
      <c r="M39" s="41"/>
      <c r="N39" s="41"/>
      <c r="T39" t="s">
        <v>179</v>
      </c>
      <c r="U39" s="41" t="s">
        <v>180</v>
      </c>
      <c r="V39" s="19">
        <v>488</v>
      </c>
      <c r="W39" s="41"/>
      <c r="X39" s="41"/>
    </row>
    <row r="40" spans="1:25" x14ac:dyDescent="0.25">
      <c r="A40" t="s">
        <v>179</v>
      </c>
      <c r="B40" s="41" t="s">
        <v>180</v>
      </c>
      <c r="C40" s="19">
        <v>293</v>
      </c>
      <c r="D40" s="41"/>
      <c r="E40" s="41"/>
      <c r="J40" t="s">
        <v>179</v>
      </c>
      <c r="K40" s="41" t="s">
        <v>180</v>
      </c>
      <c r="L40" s="19">
        <v>327</v>
      </c>
      <c r="M40" s="41"/>
      <c r="N40" s="41"/>
      <c r="T40" t="s">
        <v>179</v>
      </c>
      <c r="U40" s="41" t="s">
        <v>180</v>
      </c>
      <c r="V40" s="19">
        <v>339</v>
      </c>
      <c r="W40" s="41"/>
      <c r="X40" s="41"/>
    </row>
    <row r="41" spans="1:25" x14ac:dyDescent="0.25">
      <c r="A41" t="s">
        <v>172</v>
      </c>
      <c r="B41" s="41" t="s">
        <v>176</v>
      </c>
      <c r="C41" s="41" t="s">
        <v>177</v>
      </c>
      <c r="D41" s="19">
        <v>6</v>
      </c>
      <c r="E41" s="41">
        <v>19.77</v>
      </c>
      <c r="J41" t="s">
        <v>172</v>
      </c>
      <c r="K41" s="41" t="s">
        <v>176</v>
      </c>
      <c r="L41" s="41" t="s">
        <v>177</v>
      </c>
      <c r="M41" s="19">
        <v>6</v>
      </c>
      <c r="N41" s="41">
        <v>19.77</v>
      </c>
      <c r="T41" t="s">
        <v>172</v>
      </c>
      <c r="U41" s="41" t="s">
        <v>176</v>
      </c>
      <c r="V41" s="41" t="s">
        <v>177</v>
      </c>
      <c r="W41" s="19">
        <v>6</v>
      </c>
      <c r="X41" s="41">
        <v>19.77</v>
      </c>
    </row>
    <row r="42" spans="1:25" x14ac:dyDescent="0.25">
      <c r="A42" t="s">
        <v>27</v>
      </c>
      <c r="B42" s="42">
        <v>3.7205929999999998E-2</v>
      </c>
      <c r="C42" s="42" t="s">
        <v>26</v>
      </c>
      <c r="D42" s="42">
        <v>1.067418E-2</v>
      </c>
      <c r="E42" s="42" t="s">
        <v>25</v>
      </c>
      <c r="F42" s="42">
        <v>1.2622609999999999E-2</v>
      </c>
      <c r="J42" t="s">
        <v>27</v>
      </c>
      <c r="K42" s="42">
        <v>2.4963329999999999E-2</v>
      </c>
      <c r="L42" s="42" t="s">
        <v>26</v>
      </c>
      <c r="M42" s="42">
        <v>4.2431250000000004E-3</v>
      </c>
      <c r="N42" s="42" t="s">
        <v>25</v>
      </c>
      <c r="O42" s="42">
        <v>4.841438E-3</v>
      </c>
      <c r="T42" t="s">
        <v>27</v>
      </c>
      <c r="U42" s="42">
        <v>2.1148340000000002E-2</v>
      </c>
      <c r="V42" s="42" t="s">
        <v>26</v>
      </c>
      <c r="W42" s="42">
        <v>2.7482740000000002E-3</v>
      </c>
      <c r="X42" s="42" t="s">
        <v>25</v>
      </c>
      <c r="Y42" s="42">
        <v>2.9662790000000001E-3</v>
      </c>
    </row>
    <row r="43" spans="1:25" x14ac:dyDescent="0.25">
      <c r="A43" t="s">
        <v>158</v>
      </c>
      <c r="B43" s="41" t="s">
        <v>178</v>
      </c>
      <c r="C43" s="41"/>
      <c r="D43" s="41"/>
      <c r="E43" s="41"/>
      <c r="J43" t="s">
        <v>158</v>
      </c>
      <c r="K43" s="41" t="s">
        <v>178</v>
      </c>
      <c r="L43" s="41"/>
      <c r="M43" s="41"/>
      <c r="N43" s="41"/>
      <c r="T43" t="s">
        <v>158</v>
      </c>
      <c r="U43" s="41" t="s">
        <v>178</v>
      </c>
      <c r="V43" s="41"/>
      <c r="W43" s="41"/>
      <c r="X43" s="41"/>
    </row>
    <row r="44" spans="1:25" x14ac:dyDescent="0.25">
      <c r="A44" t="s">
        <v>27</v>
      </c>
      <c r="B44" s="42">
        <v>2.710912E-2</v>
      </c>
      <c r="C44" s="42">
        <v>1.5554460000000001E-2</v>
      </c>
      <c r="D44" s="41"/>
      <c r="E44" s="41"/>
      <c r="J44" t="s">
        <v>27</v>
      </c>
      <c r="K44" s="42">
        <v>1.681241E-2</v>
      </c>
      <c r="L44" s="42">
        <v>1.2060370000000001E-2</v>
      </c>
      <c r="M44" s="41"/>
      <c r="N44" s="41"/>
      <c r="T44" t="s">
        <v>27</v>
      </c>
      <c r="U44" s="42">
        <v>1.364488E-2</v>
      </c>
      <c r="V44" s="42">
        <v>1.074373E-2</v>
      </c>
      <c r="W44" s="41"/>
      <c r="X44" s="41"/>
    </row>
    <row r="45" spans="1:25" x14ac:dyDescent="0.25">
      <c r="A45" t="s">
        <v>56</v>
      </c>
      <c r="B45" s="42">
        <v>2.9491900000000001E-2</v>
      </c>
      <c r="C45" s="42">
        <v>-2.3023720000000001E-2</v>
      </c>
      <c r="D45" s="41"/>
      <c r="E45" s="41"/>
      <c r="J45" t="s">
        <v>56</v>
      </c>
      <c r="K45" s="42">
        <v>1.9552759999999999E-2</v>
      </c>
      <c r="L45" s="42">
        <v>-1.6176800000000002E-2</v>
      </c>
      <c r="M45" s="41"/>
      <c r="N45" s="41"/>
      <c r="T45" t="s">
        <v>56</v>
      </c>
      <c r="U45" s="42">
        <v>1.606293E-2</v>
      </c>
      <c r="V45" s="42">
        <v>-1.4867719999999999E-2</v>
      </c>
      <c r="W45" s="41"/>
      <c r="X45" s="41"/>
    </row>
    <row r="46" spans="1:25" x14ac:dyDescent="0.25">
      <c r="A46" t="s">
        <v>57</v>
      </c>
      <c r="B46" s="42">
        <v>3.5443160000000001E-2</v>
      </c>
      <c r="C46" s="42">
        <v>-2.409184E-2</v>
      </c>
      <c r="D46" s="41"/>
      <c r="E46" s="41"/>
      <c r="J46" t="s">
        <v>57</v>
      </c>
      <c r="K46" s="42">
        <v>2.3018549999999999E-2</v>
      </c>
      <c r="L46" s="42">
        <v>-1.728298E-2</v>
      </c>
      <c r="M46" s="41"/>
      <c r="N46" s="41"/>
      <c r="T46" t="s">
        <v>57</v>
      </c>
      <c r="U46" s="42">
        <v>1.8396340000000001E-2</v>
      </c>
      <c r="V46" s="42">
        <v>-1.5998970000000001E-2</v>
      </c>
      <c r="W46" s="41"/>
      <c r="X46" s="41"/>
    </row>
    <row r="47" spans="1:25" x14ac:dyDescent="0.25">
      <c r="A47" t="s">
        <v>179</v>
      </c>
      <c r="B47" s="41" t="s">
        <v>180</v>
      </c>
      <c r="C47" s="19">
        <v>510</v>
      </c>
      <c r="D47" s="41"/>
      <c r="E47" s="41"/>
      <c r="J47" t="s">
        <v>179</v>
      </c>
      <c r="K47" s="41" t="s">
        <v>180</v>
      </c>
      <c r="L47" s="19">
        <v>454</v>
      </c>
      <c r="M47" s="41"/>
      <c r="N47" s="41"/>
      <c r="T47" t="s">
        <v>179</v>
      </c>
      <c r="U47" s="41" t="s">
        <v>180</v>
      </c>
      <c r="V47" s="19">
        <v>456</v>
      </c>
      <c r="W47" s="41"/>
      <c r="X47" s="41"/>
    </row>
    <row r="48" spans="1:25" x14ac:dyDescent="0.25">
      <c r="A48" t="s">
        <v>179</v>
      </c>
      <c r="B48" s="41" t="s">
        <v>180</v>
      </c>
      <c r="C48" s="19">
        <v>317</v>
      </c>
      <c r="D48" s="41"/>
      <c r="E48" s="41"/>
      <c r="J48" t="s">
        <v>179</v>
      </c>
      <c r="K48" s="41" t="s">
        <v>180</v>
      </c>
      <c r="L48" s="19">
        <v>373</v>
      </c>
      <c r="M48" s="41"/>
      <c r="N48" s="41"/>
      <c r="T48" t="s">
        <v>179</v>
      </c>
      <c r="U48" s="41" t="s">
        <v>180</v>
      </c>
      <c r="V48" s="19">
        <v>371</v>
      </c>
      <c r="W48" s="41"/>
      <c r="X48" s="41"/>
    </row>
    <row r="49" spans="1:27" x14ac:dyDescent="0.25">
      <c r="A49" t="s">
        <v>172</v>
      </c>
      <c r="B49" s="41" t="s">
        <v>176</v>
      </c>
      <c r="C49" s="41" t="s">
        <v>177</v>
      </c>
      <c r="D49" s="19">
        <v>7</v>
      </c>
      <c r="E49" s="41">
        <v>21.917000000000002</v>
      </c>
      <c r="J49" t="s">
        <v>172</v>
      </c>
      <c r="K49" s="41" t="s">
        <v>176</v>
      </c>
      <c r="L49" s="41" t="s">
        <v>177</v>
      </c>
      <c r="M49" s="19">
        <v>7</v>
      </c>
      <c r="N49" s="41">
        <v>21.917000000000002</v>
      </c>
      <c r="T49" t="s">
        <v>172</v>
      </c>
      <c r="U49" s="41" t="s">
        <v>176</v>
      </c>
      <c r="V49" s="41" t="s">
        <v>177</v>
      </c>
      <c r="W49" s="19">
        <v>7</v>
      </c>
      <c r="X49" s="41">
        <v>21.917000000000002</v>
      </c>
    </row>
    <row r="50" spans="1:27" x14ac:dyDescent="0.25">
      <c r="A50" t="s">
        <v>27</v>
      </c>
      <c r="B50" s="43">
        <v>4.1229599999999998E-2</v>
      </c>
      <c r="C50" s="43" t="s">
        <v>26</v>
      </c>
      <c r="D50" s="43">
        <v>1.150705E-2</v>
      </c>
      <c r="E50" s="43" t="s">
        <v>25</v>
      </c>
      <c r="F50" s="44">
        <v>1.310148E-2</v>
      </c>
      <c r="J50" t="s">
        <v>27</v>
      </c>
      <c r="K50" s="43">
        <v>2.9716059999999999E-2</v>
      </c>
      <c r="L50" s="43" t="s">
        <v>26</v>
      </c>
      <c r="M50" s="43">
        <v>5.2492240000000003E-3</v>
      </c>
      <c r="N50" s="43" t="s">
        <v>25</v>
      </c>
      <c r="O50" s="44">
        <v>5.907921E-3</v>
      </c>
      <c r="T50" t="s">
        <v>27</v>
      </c>
      <c r="U50" s="43">
        <v>2.532707E-2</v>
      </c>
      <c r="V50" s="43" t="s">
        <v>26</v>
      </c>
      <c r="W50" s="43">
        <v>3.7510669999999999E-3</v>
      </c>
      <c r="X50" s="43" t="s">
        <v>25</v>
      </c>
      <c r="Y50" s="44">
        <v>5.081159E-3</v>
      </c>
    </row>
    <row r="51" spans="1:27" x14ac:dyDescent="0.25">
      <c r="A51" t="s">
        <v>158</v>
      </c>
      <c r="B51" s="41" t="s">
        <v>178</v>
      </c>
      <c r="C51" s="41"/>
      <c r="D51" s="41"/>
      <c r="E51" s="41"/>
      <c r="J51" t="s">
        <v>158</v>
      </c>
      <c r="K51" s="41" t="s">
        <v>178</v>
      </c>
      <c r="L51" s="41"/>
      <c r="M51" s="41"/>
      <c r="N51" s="41"/>
      <c r="T51" t="s">
        <v>158</v>
      </c>
      <c r="U51" s="41" t="s">
        <v>178</v>
      </c>
      <c r="V51" s="41"/>
      <c r="W51" s="41"/>
      <c r="X51" s="41"/>
    </row>
    <row r="52" spans="1:27" x14ac:dyDescent="0.25">
      <c r="A52" t="s">
        <v>27</v>
      </c>
      <c r="B52" s="43">
        <v>2.8898739999999999E-2</v>
      </c>
      <c r="C52" s="43">
        <v>1.8180720000000001E-2</v>
      </c>
      <c r="D52" s="41"/>
      <c r="E52" s="41"/>
      <c r="J52" t="s">
        <v>27</v>
      </c>
      <c r="K52" s="43">
        <v>1.9478780000000001E-2</v>
      </c>
      <c r="L52" s="43">
        <v>1.49645E-2</v>
      </c>
      <c r="M52" s="41"/>
      <c r="N52" s="41"/>
      <c r="T52" t="s">
        <v>27</v>
      </c>
      <c r="U52" s="43">
        <v>1.6949970000000002E-2</v>
      </c>
      <c r="V52" s="43">
        <v>1.2793769999999999E-2</v>
      </c>
      <c r="W52" s="41"/>
      <c r="X52" s="41"/>
    </row>
    <row r="53" spans="1:27" x14ac:dyDescent="0.25">
      <c r="A53" t="s">
        <v>56</v>
      </c>
      <c r="B53" s="43">
        <v>3.4117769999999999E-2</v>
      </c>
      <c r="C53" s="43">
        <v>-2.550324E-2</v>
      </c>
      <c r="D53" s="41"/>
      <c r="E53" s="41"/>
      <c r="J53" t="s">
        <v>56</v>
      </c>
      <c r="K53" s="43">
        <v>2.3608549999999999E-2</v>
      </c>
      <c r="L53" s="43">
        <v>-2.0120200000000001E-2</v>
      </c>
      <c r="M53" s="41"/>
      <c r="N53" s="41"/>
      <c r="T53" t="s">
        <v>56</v>
      </c>
      <c r="U53" s="43">
        <v>1.886055E-2</v>
      </c>
      <c r="V53" s="43">
        <v>-1.635584E-2</v>
      </c>
      <c r="W53" s="41"/>
      <c r="X53" s="41"/>
    </row>
    <row r="54" spans="1:27" x14ac:dyDescent="0.25">
      <c r="A54" t="s">
        <v>57</v>
      </c>
      <c r="B54" s="43">
        <v>3.9401619999999998E-2</v>
      </c>
      <c r="C54" s="43">
        <v>-2.7316839999999998E-2</v>
      </c>
      <c r="D54" s="41"/>
      <c r="E54" s="41"/>
      <c r="J54" t="s">
        <v>57</v>
      </c>
      <c r="K54" s="43">
        <v>2.6504860000000002E-2</v>
      </c>
      <c r="L54" s="43">
        <v>-2.174916E-2</v>
      </c>
      <c r="M54" s="41"/>
      <c r="N54" s="41"/>
      <c r="T54" t="s">
        <v>57</v>
      </c>
      <c r="U54" s="43">
        <v>2.2392269999999999E-2</v>
      </c>
      <c r="V54" s="43">
        <v>-1.8394879999999999E-2</v>
      </c>
      <c r="W54" s="41"/>
      <c r="X54" s="41"/>
    </row>
    <row r="55" spans="1:27" x14ac:dyDescent="0.25">
      <c r="A55" t="s">
        <v>179</v>
      </c>
      <c r="B55" s="41" t="s">
        <v>180</v>
      </c>
      <c r="C55" s="19">
        <v>501</v>
      </c>
      <c r="D55" s="41"/>
      <c r="E55" s="41"/>
      <c r="J55" t="s">
        <v>179</v>
      </c>
      <c r="K55" s="41" t="s">
        <v>180</v>
      </c>
      <c r="L55" s="19">
        <v>474</v>
      </c>
      <c r="M55" s="41"/>
      <c r="N55" s="41"/>
      <c r="T55" t="s">
        <v>179</v>
      </c>
      <c r="U55" s="41" t="s">
        <v>180</v>
      </c>
      <c r="V55" s="19">
        <v>476</v>
      </c>
      <c r="W55" s="41"/>
      <c r="X55" s="41"/>
    </row>
    <row r="56" spans="1:27" x14ac:dyDescent="0.25">
      <c r="A56" t="s">
        <v>179</v>
      </c>
      <c r="B56" s="41" t="s">
        <v>180</v>
      </c>
      <c r="C56" s="19">
        <v>326</v>
      </c>
      <c r="D56" s="41"/>
      <c r="E56" s="41"/>
      <c r="J56" t="s">
        <v>179</v>
      </c>
      <c r="K56" s="41" t="s">
        <v>180</v>
      </c>
      <c r="L56" s="19">
        <v>353</v>
      </c>
      <c r="M56" s="41"/>
      <c r="N56" s="41"/>
      <c r="T56" t="s">
        <v>179</v>
      </c>
      <c r="U56" s="41" t="s">
        <v>180</v>
      </c>
      <c r="V56" s="19">
        <v>351</v>
      </c>
      <c r="W56" s="41"/>
      <c r="X56" s="41"/>
    </row>
    <row r="57" spans="1:27" x14ac:dyDescent="0.25">
      <c r="A57" t="s">
        <v>172</v>
      </c>
      <c r="B57" s="41" t="s">
        <v>176</v>
      </c>
      <c r="C57" s="41" t="s">
        <v>177</v>
      </c>
      <c r="D57" s="19">
        <v>8</v>
      </c>
      <c r="E57" s="41">
        <v>24.59</v>
      </c>
      <c r="J57" t="s">
        <v>172</v>
      </c>
      <c r="K57" s="41" t="s">
        <v>176</v>
      </c>
      <c r="L57" s="41" t="s">
        <v>177</v>
      </c>
      <c r="M57" s="19">
        <v>8</v>
      </c>
      <c r="N57" s="41">
        <v>24.59</v>
      </c>
      <c r="T57" t="s">
        <v>172</v>
      </c>
      <c r="U57" s="41" t="s">
        <v>176</v>
      </c>
      <c r="V57" s="41" t="s">
        <v>177</v>
      </c>
      <c r="W57" s="19">
        <v>8</v>
      </c>
      <c r="X57" s="41">
        <v>24.59</v>
      </c>
    </row>
    <row r="58" spans="1:27" x14ac:dyDescent="0.25">
      <c r="A58" t="s">
        <v>27</v>
      </c>
      <c r="B58" s="43">
        <v>4.4811379999999998E-2</v>
      </c>
      <c r="C58" s="43" t="s">
        <v>26</v>
      </c>
      <c r="D58" s="43">
        <v>9.3510580000000006E-3</v>
      </c>
      <c r="E58" s="43" t="s">
        <v>25</v>
      </c>
      <c r="F58" s="44">
        <v>9.4428970000000004E-3</v>
      </c>
      <c r="J58" t="s">
        <v>27</v>
      </c>
      <c r="K58" s="43">
        <v>3.3426999999999998E-2</v>
      </c>
      <c r="L58" s="43" t="s">
        <v>26</v>
      </c>
      <c r="M58" s="43">
        <v>5.5898400000000004E-3</v>
      </c>
      <c r="N58" s="43" t="s">
        <v>25</v>
      </c>
      <c r="O58" s="44">
        <v>6.0114840000000001E-3</v>
      </c>
      <c r="T58" t="s">
        <v>27</v>
      </c>
      <c r="U58" s="43">
        <v>2.9292329999999998E-2</v>
      </c>
      <c r="V58" s="43" t="s">
        <v>26</v>
      </c>
      <c r="W58" s="43">
        <v>4.2792009999999998E-3</v>
      </c>
      <c r="X58" s="43" t="s">
        <v>25</v>
      </c>
      <c r="Y58" s="44">
        <v>4.0346380000000001E-3</v>
      </c>
    </row>
    <row r="59" spans="1:27" x14ac:dyDescent="0.25">
      <c r="A59" t="s">
        <v>158</v>
      </c>
      <c r="B59" s="41" t="s">
        <v>178</v>
      </c>
      <c r="C59" s="41"/>
      <c r="D59" s="41"/>
      <c r="E59" s="41"/>
      <c r="J59" t="s">
        <v>158</v>
      </c>
      <c r="K59" s="41" t="s">
        <v>178</v>
      </c>
      <c r="L59" s="41"/>
      <c r="M59" s="41"/>
      <c r="N59" s="41"/>
      <c r="T59" t="s">
        <v>158</v>
      </c>
      <c r="U59" s="41" t="s">
        <v>178</v>
      </c>
      <c r="V59" s="41"/>
      <c r="W59" s="41"/>
      <c r="X59" s="41"/>
    </row>
    <row r="60" spans="1:27" x14ac:dyDescent="0.25">
      <c r="A60" t="s">
        <v>27</v>
      </c>
      <c r="B60" s="42">
        <v>2.9412420000000002E-2</v>
      </c>
      <c r="C60" s="42">
        <v>2.1158400000000001E-2</v>
      </c>
      <c r="D60" s="41"/>
      <c r="E60" s="41"/>
      <c r="J60" t="s">
        <v>27</v>
      </c>
      <c r="K60" s="42">
        <v>2.3348379999999998E-2</v>
      </c>
      <c r="L60" s="42">
        <v>1.6852590000000001E-2</v>
      </c>
      <c r="M60" s="41"/>
      <c r="N60" s="43">
        <f>L61-L60*2+1</f>
        <v>0.94461125999999995</v>
      </c>
      <c r="O60" s="43">
        <f>ABS(L61+1)</f>
        <v>0.97831643999999995</v>
      </c>
      <c r="P60" s="42">
        <f>K61+1</f>
        <v>1.0230185300000001</v>
      </c>
      <c r="Q60" s="42">
        <f>K60*2+K61+1</f>
        <v>1.06971529</v>
      </c>
      <c r="T60" t="s">
        <v>27</v>
      </c>
      <c r="U60" s="42">
        <v>1.8928960000000002E-2</v>
      </c>
      <c r="V60" s="42">
        <v>1.504816E-2</v>
      </c>
      <c r="W60" s="41"/>
      <c r="X60" s="43">
        <f>V61-V60*2+1</f>
        <v>0.94914520000000002</v>
      </c>
      <c r="Y60" s="43">
        <f>ABS(V61+1)</f>
        <v>0.97924151999999998</v>
      </c>
      <c r="Z60" s="42">
        <f>U61+1</f>
        <v>1.02191495</v>
      </c>
      <c r="AA60" s="42">
        <f>U60*2+U61+1</f>
        <v>1.05977287</v>
      </c>
    </row>
    <row r="61" spans="1:27" x14ac:dyDescent="0.25">
      <c r="A61" t="s">
        <v>56</v>
      </c>
      <c r="B61" s="42">
        <v>3.5036850000000001E-2</v>
      </c>
      <c r="C61" s="42">
        <v>-3.2906919999999999E-2</v>
      </c>
      <c r="D61" s="41"/>
      <c r="E61" s="41"/>
      <c r="J61" t="s">
        <v>56</v>
      </c>
      <c r="K61" s="42">
        <v>2.3018529999999999E-2</v>
      </c>
      <c r="L61" s="42">
        <v>-2.1683560000000001E-2</v>
      </c>
      <c r="M61" s="41"/>
      <c r="N61" s="41">
        <f>N60*$G$76</f>
        <v>367.47267236519997</v>
      </c>
      <c r="O61" s="41">
        <f>O60*$G$76</f>
        <v>380.58466148879995</v>
      </c>
      <c r="P61" s="13">
        <f>P60*$G$76</f>
        <v>397.97466854060002</v>
      </c>
      <c r="Q61" s="13">
        <f>Q60*$G$76</f>
        <v>416.14064211579995</v>
      </c>
      <c r="T61" t="s">
        <v>56</v>
      </c>
      <c r="U61" s="42">
        <v>2.1914949999999999E-2</v>
      </c>
      <c r="V61" s="42">
        <v>-2.0758479999999999E-2</v>
      </c>
      <c r="W61" s="41"/>
      <c r="X61" s="41">
        <f>X60*$G$76</f>
        <v>369.23646570400001</v>
      </c>
      <c r="Y61" s="41">
        <f>Y60*$G$76</f>
        <v>380.94453611039995</v>
      </c>
      <c r="Z61" s="13">
        <f>Z60*$G$76</f>
        <v>397.54535384899998</v>
      </c>
      <c r="AA61" s="13">
        <f>AA60*$G$76</f>
        <v>412.27284188739998</v>
      </c>
    </row>
    <row r="62" spans="1:27" x14ac:dyDescent="0.25">
      <c r="A62" t="s">
        <v>57</v>
      </c>
      <c r="B62" s="42">
        <v>3.997303E-2</v>
      </c>
      <c r="C62" s="42">
        <v>-3.3637519999999997E-2</v>
      </c>
      <c r="D62" s="41"/>
      <c r="E62" s="41"/>
      <c r="J62" t="s">
        <v>57</v>
      </c>
      <c r="K62" s="42">
        <v>2.8938209999999999E-2</v>
      </c>
      <c r="L62" s="42">
        <v>-2.387628E-2</v>
      </c>
      <c r="M62" s="41"/>
      <c r="N62" s="41"/>
      <c r="T62" t="s">
        <v>57</v>
      </c>
      <c r="U62" s="42">
        <v>2.5297159999999999E-2</v>
      </c>
      <c r="V62" s="42">
        <v>-2.2227449999999999E-2</v>
      </c>
      <c r="W62" s="41"/>
      <c r="X62" s="41"/>
    </row>
    <row r="63" spans="1:27" x14ac:dyDescent="0.25">
      <c r="A63" t="s">
        <v>179</v>
      </c>
      <c r="B63" s="41" t="s">
        <v>180</v>
      </c>
      <c r="C63" s="19">
        <v>484</v>
      </c>
      <c r="D63" s="41"/>
      <c r="E63" s="41"/>
      <c r="J63" t="s">
        <v>179</v>
      </c>
      <c r="K63" s="41" t="s">
        <v>180</v>
      </c>
      <c r="L63" s="19">
        <v>468</v>
      </c>
      <c r="M63" s="41"/>
      <c r="N63" s="41"/>
      <c r="T63" t="s">
        <v>179</v>
      </c>
      <c r="U63" s="41" t="s">
        <v>180</v>
      </c>
      <c r="V63" s="19">
        <v>457</v>
      </c>
      <c r="W63" s="41"/>
      <c r="X63" s="41"/>
    </row>
    <row r="64" spans="1:27" x14ac:dyDescent="0.25">
      <c r="A64" t="s">
        <v>179</v>
      </c>
      <c r="B64" s="41" t="s">
        <v>180</v>
      </c>
      <c r="C64" s="19">
        <v>343</v>
      </c>
      <c r="D64" s="41"/>
      <c r="E64" s="41"/>
      <c r="J64" t="s">
        <v>179</v>
      </c>
      <c r="K64" s="41" t="s">
        <v>180</v>
      </c>
      <c r="L64" s="19">
        <v>359</v>
      </c>
      <c r="M64" s="41"/>
      <c r="N64" s="41"/>
      <c r="T64" t="s">
        <v>179</v>
      </c>
      <c r="U64" s="41" t="s">
        <v>180</v>
      </c>
      <c r="V64" s="19">
        <v>370</v>
      </c>
      <c r="W64" s="41"/>
      <c r="X64" s="41"/>
    </row>
    <row r="65" spans="1:27" x14ac:dyDescent="0.25">
      <c r="A65" t="s">
        <v>172</v>
      </c>
      <c r="B65" s="41" t="s">
        <v>176</v>
      </c>
      <c r="C65" s="41" t="s">
        <v>177</v>
      </c>
      <c r="D65" s="19">
        <v>9</v>
      </c>
      <c r="E65" s="41">
        <v>29.05</v>
      </c>
      <c r="J65" t="s">
        <v>172</v>
      </c>
      <c r="K65" s="41" t="s">
        <v>176</v>
      </c>
      <c r="L65" s="41" t="s">
        <v>177</v>
      </c>
      <c r="M65" s="19">
        <v>9</v>
      </c>
      <c r="N65" s="41">
        <v>29.05</v>
      </c>
      <c r="T65" t="s">
        <v>172</v>
      </c>
      <c r="U65" s="41" t="s">
        <v>176</v>
      </c>
      <c r="V65" s="41" t="s">
        <v>177</v>
      </c>
      <c r="W65" s="19">
        <v>9</v>
      </c>
      <c r="X65" s="41">
        <v>29.05</v>
      </c>
    </row>
    <row r="66" spans="1:27" x14ac:dyDescent="0.25">
      <c r="A66" t="s">
        <v>27</v>
      </c>
      <c r="B66" s="43">
        <v>5.3604140000000002E-2</v>
      </c>
      <c r="C66" s="43" t="s">
        <v>26</v>
      </c>
      <c r="D66" s="43">
        <v>-1.8571959999999998E-2</v>
      </c>
      <c r="E66" s="43" t="s">
        <v>25</v>
      </c>
      <c r="F66" s="44">
        <v>-1.070688E-2</v>
      </c>
      <c r="J66" t="s">
        <v>27</v>
      </c>
      <c r="K66" s="43">
        <v>3.7205599999999998E-2</v>
      </c>
      <c r="L66" s="43" t="s">
        <v>26</v>
      </c>
      <c r="M66" s="43">
        <v>-9.9850230000000009E-3</v>
      </c>
      <c r="N66" s="43" t="s">
        <v>25</v>
      </c>
      <c r="O66" s="44">
        <v>-6.6957079999999999E-3</v>
      </c>
      <c r="T66" t="s">
        <v>27</v>
      </c>
      <c r="U66" s="43">
        <v>3.2701290000000001E-2</v>
      </c>
      <c r="V66" s="43" t="s">
        <v>26</v>
      </c>
      <c r="W66" s="43">
        <v>-8.3026060000000006E-3</v>
      </c>
      <c r="X66" s="43" t="s">
        <v>25</v>
      </c>
      <c r="Y66" s="44">
        <v>-5.4922219999999997E-3</v>
      </c>
    </row>
    <row r="67" spans="1:27" x14ac:dyDescent="0.25">
      <c r="A67" t="s">
        <v>158</v>
      </c>
      <c r="B67" s="41" t="s">
        <v>178</v>
      </c>
      <c r="C67" s="41"/>
      <c r="D67" s="41"/>
      <c r="E67" s="41"/>
      <c r="J67" t="s">
        <v>158</v>
      </c>
      <c r="K67" s="41" t="s">
        <v>178</v>
      </c>
      <c r="L67" s="41"/>
      <c r="M67" s="41"/>
      <c r="N67" s="41"/>
      <c r="T67" t="s">
        <v>158</v>
      </c>
      <c r="U67" s="41" t="s">
        <v>178</v>
      </c>
      <c r="V67" s="41"/>
      <c r="W67" s="41"/>
      <c r="X67" s="41"/>
    </row>
    <row r="68" spans="1:27" x14ac:dyDescent="0.25">
      <c r="A68" t="s">
        <v>27</v>
      </c>
      <c r="B68" s="42">
        <v>3.5564770000000002E-2</v>
      </c>
      <c r="C68" s="42">
        <v>2.6288530000000001E-2</v>
      </c>
      <c r="D68" s="41"/>
      <c r="E68" s="41"/>
      <c r="J68" t="s">
        <v>27</v>
      </c>
      <c r="K68" s="42">
        <v>2.305159E-2</v>
      </c>
      <c r="L68" s="42">
        <v>2.00095E-2</v>
      </c>
      <c r="N68" s="43">
        <f>L69-L68*2+1</f>
        <v>0.93059060999999998</v>
      </c>
      <c r="O68" s="43">
        <f>ABS(L69+1)</f>
        <v>0.97060961000000001</v>
      </c>
      <c r="P68" s="42">
        <f>K69+1</f>
        <v>1.02621395</v>
      </c>
      <c r="Q68" s="42">
        <f>K68*2+K69+1</f>
        <v>1.0723171300000001</v>
      </c>
      <c r="R68" s="42"/>
      <c r="T68" t="s">
        <v>27</v>
      </c>
      <c r="U68" s="42">
        <v>2.0306709999999999E-2</v>
      </c>
      <c r="V68" s="42">
        <v>1.7375709999999999E-2</v>
      </c>
      <c r="W68" s="41"/>
      <c r="X68" s="43">
        <f>V69-V68*1.75+1</f>
        <v>0.94323878750000001</v>
      </c>
      <c r="Y68" s="43">
        <f>ABS(V69+1)</f>
        <v>0.97364627999999998</v>
      </c>
      <c r="Z68" s="42">
        <f>U69+1</f>
        <v>1.0236515500000001</v>
      </c>
      <c r="AA68" s="42">
        <f>U68*1.75+U69+1</f>
        <v>1.0591882925</v>
      </c>
    </row>
    <row r="69" spans="1:27" x14ac:dyDescent="0.25">
      <c r="A69" t="s">
        <v>56</v>
      </c>
      <c r="B69" s="42">
        <v>3.5728389999999999E-2</v>
      </c>
      <c r="C69" s="42">
        <v>-4.4589910000000003E-2</v>
      </c>
      <c r="D69" s="41"/>
      <c r="E69" s="41"/>
      <c r="J69" t="s">
        <v>56</v>
      </c>
      <c r="K69" s="42">
        <v>2.621395E-2</v>
      </c>
      <c r="L69" s="42">
        <v>-2.9390389999999999E-2</v>
      </c>
      <c r="N69" s="41">
        <f>N68*$G$76</f>
        <v>362.01835910219995</v>
      </c>
      <c r="O69" s="41">
        <f>O68*$G$76</f>
        <v>377.58655048219998</v>
      </c>
      <c r="P69" s="13">
        <f>P68*$G$76</f>
        <v>399.21775082900001</v>
      </c>
      <c r="Q69" s="13">
        <f>Q68*$G$76</f>
        <v>417.15280991259999</v>
      </c>
      <c r="R69" s="13"/>
      <c r="T69" t="s">
        <v>56</v>
      </c>
      <c r="U69" s="42">
        <v>2.365155E-2</v>
      </c>
      <c r="V69" s="42">
        <v>-2.6353720000000001E-2</v>
      </c>
      <c r="W69" s="41"/>
      <c r="X69" s="41">
        <f>X68*$G$76</f>
        <v>366.93875311324996</v>
      </c>
      <c r="Y69" s="41">
        <f>Y68*$G$76</f>
        <v>378.76787584559997</v>
      </c>
      <c r="Z69" s="13">
        <f>Z68*$G$76</f>
        <v>398.22092598099999</v>
      </c>
      <c r="AA69" s="13">
        <f>AA68*$G$76</f>
        <v>412.04542954835</v>
      </c>
    </row>
    <row r="70" spans="1:27" x14ac:dyDescent="0.25">
      <c r="A70" t="s">
        <v>57</v>
      </c>
      <c r="B70" s="42">
        <v>4.4554530000000002E-2</v>
      </c>
      <c r="C70" s="42">
        <v>-4.6122419999999997E-2</v>
      </c>
      <c r="D70" s="41"/>
      <c r="E70" s="41"/>
      <c r="J70" t="s">
        <v>57</v>
      </c>
      <c r="K70" s="42">
        <v>3.017127E-2</v>
      </c>
      <c r="L70" s="42">
        <v>-3.1924439999999998E-2</v>
      </c>
      <c r="M70" s="41"/>
      <c r="N70" s="41"/>
      <c r="P70" s="42"/>
      <c r="T70" t="s">
        <v>57</v>
      </c>
      <c r="U70" s="42">
        <v>2.7333159999999999E-2</v>
      </c>
      <c r="V70" s="42">
        <v>-2.7508439999999999E-2</v>
      </c>
      <c r="W70" s="41"/>
      <c r="X70" s="41"/>
    </row>
    <row r="71" spans="1:27" x14ac:dyDescent="0.25">
      <c r="A71" t="s">
        <v>179</v>
      </c>
      <c r="B71" s="41" t="s">
        <v>180</v>
      </c>
      <c r="C71" s="19">
        <v>323</v>
      </c>
      <c r="D71" s="41"/>
      <c r="E71" s="41"/>
      <c r="J71" t="s">
        <v>179</v>
      </c>
      <c r="K71" s="41" t="s">
        <v>180</v>
      </c>
      <c r="L71" s="19">
        <v>336</v>
      </c>
      <c r="M71" s="41"/>
      <c r="N71" s="41"/>
      <c r="T71" t="s">
        <v>179</v>
      </c>
      <c r="U71" s="41" t="s">
        <v>180</v>
      </c>
      <c r="V71" s="19">
        <v>332</v>
      </c>
      <c r="W71" s="41"/>
      <c r="X71" s="41"/>
    </row>
    <row r="72" spans="1:27" x14ac:dyDescent="0.25">
      <c r="A72" t="s">
        <v>179</v>
      </c>
      <c r="B72" s="41" t="s">
        <v>180</v>
      </c>
      <c r="C72" s="19">
        <v>504</v>
      </c>
      <c r="D72" s="41"/>
      <c r="E72" s="41"/>
      <c r="J72" t="s">
        <v>179</v>
      </c>
      <c r="K72" s="41" t="s">
        <v>180</v>
      </c>
      <c r="L72" s="19">
        <v>491</v>
      </c>
      <c r="M72" s="41"/>
      <c r="N72" s="41"/>
      <c r="T72" t="s">
        <v>179</v>
      </c>
      <c r="U72" s="41" t="s">
        <v>180</v>
      </c>
      <c r="V72" s="19">
        <v>495</v>
      </c>
      <c r="W72" s="41"/>
      <c r="X72" s="41"/>
    </row>
    <row r="73" spans="1:27" x14ac:dyDescent="0.25">
      <c r="A73" t="s">
        <v>172</v>
      </c>
      <c r="B73" s="41" t="s">
        <v>176</v>
      </c>
      <c r="C73" s="41" t="s">
        <v>177</v>
      </c>
      <c r="D73" s="19">
        <v>10</v>
      </c>
      <c r="E73" s="41">
        <v>82.69</v>
      </c>
      <c r="J73" t="s">
        <v>172</v>
      </c>
      <c r="K73" s="41" t="s">
        <v>176</v>
      </c>
      <c r="L73" s="41" t="s">
        <v>177</v>
      </c>
      <c r="M73" s="19">
        <v>10</v>
      </c>
      <c r="N73" s="41">
        <v>82.69</v>
      </c>
      <c r="T73" t="s">
        <v>172</v>
      </c>
      <c r="U73" s="41" t="s">
        <v>176</v>
      </c>
      <c r="V73" s="41" t="s">
        <v>177</v>
      </c>
      <c r="W73" s="19">
        <v>10</v>
      </c>
      <c r="X73" s="41">
        <v>82.69</v>
      </c>
    </row>
    <row r="74" spans="1:27" x14ac:dyDescent="0.25">
      <c r="A74" t="s">
        <v>27</v>
      </c>
      <c r="B74" s="42">
        <v>8.4134710000000001E-2</v>
      </c>
      <c r="C74" s="42" t="s">
        <v>26</v>
      </c>
      <c r="D74" s="42">
        <v>-4.1864949999999998E-2</v>
      </c>
      <c r="E74" s="42" t="s">
        <v>25</v>
      </c>
      <c r="F74" s="42">
        <v>-3.4954909999999999E-2</v>
      </c>
      <c r="J74" t="s">
        <v>27</v>
      </c>
      <c r="K74" s="42">
        <v>6.1744819999999999E-2</v>
      </c>
      <c r="L74" s="42" t="s">
        <v>26</v>
      </c>
      <c r="M74" s="42">
        <v>-1.890594E-2</v>
      </c>
      <c r="N74" s="42" t="s">
        <v>25</v>
      </c>
      <c r="O74" s="42">
        <v>-1.9777289999999999E-2</v>
      </c>
      <c r="T74" t="s">
        <v>27</v>
      </c>
      <c r="U74" s="42">
        <v>5.3293180000000002E-2</v>
      </c>
      <c r="V74" s="42" t="s">
        <v>26</v>
      </c>
      <c r="W74" s="42">
        <v>-1.4702720000000001E-2</v>
      </c>
      <c r="X74" s="42" t="s">
        <v>25</v>
      </c>
      <c r="Y74" s="42">
        <v>-1.4917720000000001E-2</v>
      </c>
    </row>
    <row r="75" spans="1:27" x14ac:dyDescent="0.25">
      <c r="A75" t="s">
        <v>158</v>
      </c>
      <c r="B75" s="41" t="s">
        <v>178</v>
      </c>
      <c r="C75" s="41"/>
      <c r="D75" s="41"/>
      <c r="E75" s="41"/>
      <c r="J75" t="s">
        <v>158</v>
      </c>
      <c r="K75" s="41" t="s">
        <v>178</v>
      </c>
      <c r="L75" s="41"/>
      <c r="M75" s="41"/>
      <c r="N75" s="41"/>
      <c r="T75" t="s">
        <v>158</v>
      </c>
      <c r="U75" s="41" t="s">
        <v>178</v>
      </c>
      <c r="V75" s="41"/>
      <c r="W75" s="41"/>
      <c r="X75" s="41"/>
    </row>
    <row r="76" spans="1:27" x14ac:dyDescent="0.25">
      <c r="A76" t="s">
        <v>27</v>
      </c>
      <c r="B76" s="42">
        <v>4.9276899999999998E-2</v>
      </c>
      <c r="C76" s="42">
        <v>5.6209519999999999E-2</v>
      </c>
      <c r="D76" s="41"/>
      <c r="E76" s="41"/>
      <c r="F76" t="s">
        <v>184</v>
      </c>
      <c r="G76">
        <v>389.02</v>
      </c>
      <c r="J76" t="s">
        <v>27</v>
      </c>
      <c r="K76" s="42">
        <v>3.6593899999999999E-2</v>
      </c>
      <c r="L76" s="42">
        <v>4.3190949999999999E-2</v>
      </c>
      <c r="M76" s="41"/>
      <c r="N76" s="43">
        <f>L77-L76*2+1</f>
        <v>0.86770296000000002</v>
      </c>
      <c r="O76" s="43">
        <f>ABS(L77+1)</f>
        <v>0.95408486000000003</v>
      </c>
      <c r="P76" s="42">
        <f>K77+1</f>
        <v>1.0324387500000001</v>
      </c>
      <c r="Q76" s="42">
        <f>K76*2+K77+1</f>
        <v>1.10562655</v>
      </c>
      <c r="T76" t="s">
        <v>27</v>
      </c>
      <c r="U76" s="42">
        <v>3.2806370000000001E-2</v>
      </c>
      <c r="V76" s="42">
        <v>3.6609019999999999E-2</v>
      </c>
      <c r="W76" s="41"/>
      <c r="X76" s="43">
        <f>V77-V76*2+1</f>
        <v>0.88954609000000007</v>
      </c>
      <c r="Y76" s="43">
        <f>ABS(V77+1)</f>
        <v>0.96276413000000005</v>
      </c>
      <c r="Z76" s="42">
        <f>U77+1</f>
        <v>1.02673864</v>
      </c>
      <c r="AA76" s="42">
        <f>U76*2+U77+1</f>
        <v>1.09235138</v>
      </c>
    </row>
    <row r="77" spans="1:27" x14ac:dyDescent="0.25">
      <c r="A77" t="s">
        <v>56</v>
      </c>
      <c r="B77" s="42">
        <v>4.2943990000000001E-2</v>
      </c>
      <c r="C77" s="42">
        <v>-6.9962819999999995E-2</v>
      </c>
      <c r="D77" s="41"/>
      <c r="E77" s="41"/>
      <c r="J77" t="s">
        <v>56</v>
      </c>
      <c r="K77" s="42">
        <v>3.2438750000000002E-2</v>
      </c>
      <c r="L77" s="42">
        <v>-4.591514E-2</v>
      </c>
      <c r="M77" s="41"/>
      <c r="N77" s="41">
        <f>N76*$G$76</f>
        <v>337.5538054992</v>
      </c>
      <c r="O77" s="41">
        <f>O76*$G$76</f>
        <v>371.15809223719998</v>
      </c>
      <c r="P77" s="13">
        <f>P76*$G$76</f>
        <v>401.63932252500001</v>
      </c>
      <c r="Q77" s="13">
        <f>Q76*$G$76</f>
        <v>430.11084048099997</v>
      </c>
      <c r="T77" t="s">
        <v>56</v>
      </c>
      <c r="U77" s="42">
        <v>2.6738640000000001E-2</v>
      </c>
      <c r="V77" s="42">
        <v>-3.7235869999999997E-2</v>
      </c>
      <c r="W77" s="41"/>
      <c r="X77" s="41">
        <f>X76*$G$76</f>
        <v>346.05121993180001</v>
      </c>
      <c r="Y77" s="41">
        <f>Y76*$G$76</f>
        <v>374.53450185259999</v>
      </c>
      <c r="Z77" s="13">
        <f>Z76*$G$76</f>
        <v>399.42186573279997</v>
      </c>
      <c r="AA77" s="13">
        <f>AA76*$G$76</f>
        <v>424.94653384759999</v>
      </c>
    </row>
    <row r="78" spans="1:27" x14ac:dyDescent="0.25">
      <c r="A78" t="s">
        <v>57</v>
      </c>
      <c r="B78" s="42">
        <v>5.6911070000000001E-2</v>
      </c>
      <c r="C78" s="42">
        <v>-8.0224610000000002E-2</v>
      </c>
      <c r="D78" s="41"/>
      <c r="E78" s="41"/>
      <c r="J78" t="s">
        <v>57</v>
      </c>
      <c r="K78" s="42">
        <v>4.2104309999999999E-2</v>
      </c>
      <c r="L78" s="42">
        <v>-5.4272500000000001E-2</v>
      </c>
      <c r="M78" s="41"/>
      <c r="N78" s="41"/>
      <c r="T78" t="s">
        <v>57</v>
      </c>
      <c r="U78" s="42">
        <v>3.7358959999999997E-2</v>
      </c>
      <c r="V78" s="42">
        <v>-4.5462530000000001E-2</v>
      </c>
      <c r="W78" s="41"/>
      <c r="X78" s="41"/>
    </row>
    <row r="79" spans="1:27" x14ac:dyDescent="0.25">
      <c r="A79" t="s">
        <v>179</v>
      </c>
      <c r="B79" s="41" t="s">
        <v>180</v>
      </c>
      <c r="C79" s="19">
        <v>273</v>
      </c>
      <c r="D79" s="41"/>
      <c r="E79" s="41"/>
      <c r="J79" t="s">
        <v>179</v>
      </c>
      <c r="K79" s="41" t="s">
        <v>180</v>
      </c>
      <c r="L79" s="19">
        <v>296</v>
      </c>
      <c r="M79" s="41"/>
      <c r="N79" s="41"/>
      <c r="T79" t="s">
        <v>179</v>
      </c>
      <c r="U79" s="41" t="s">
        <v>180</v>
      </c>
      <c r="V79" s="19">
        <v>305</v>
      </c>
      <c r="W79" s="41"/>
      <c r="X79" s="41"/>
    </row>
    <row r="80" spans="1:27" x14ac:dyDescent="0.25">
      <c r="A80" t="s">
        <v>179</v>
      </c>
      <c r="B80" s="41" t="s">
        <v>180</v>
      </c>
      <c r="C80" s="19">
        <v>554</v>
      </c>
      <c r="D80" s="41"/>
      <c r="E80" s="41"/>
      <c r="J80" t="s">
        <v>179</v>
      </c>
      <c r="K80" s="41" t="s">
        <v>180</v>
      </c>
      <c r="L80" s="19">
        <v>531</v>
      </c>
      <c r="M80" s="41"/>
      <c r="N80" s="41"/>
      <c r="T80" t="s">
        <v>179</v>
      </c>
      <c r="U80" s="41" t="s">
        <v>180</v>
      </c>
      <c r="V80" s="19">
        <v>522</v>
      </c>
      <c r="W80" s="41"/>
      <c r="X80" s="4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20ED-5A9E-4F00-BB94-22631648D9A3}">
  <dimension ref="A1:P395"/>
  <sheetViews>
    <sheetView topLeftCell="A46" zoomScale="70" zoomScaleNormal="70" workbookViewId="0">
      <selection activeCell="Z30" sqref="Z30"/>
    </sheetView>
  </sheetViews>
  <sheetFormatPr defaultRowHeight="15" x14ac:dyDescent="0.25"/>
  <cols>
    <col min="1" max="1" width="15" customWidth="1"/>
    <col min="13" max="13" width="19.140625" bestFit="1" customWidth="1"/>
    <col min="14" max="14" width="21.7109375" bestFit="1" customWidth="1"/>
    <col min="15" max="16" width="18.85546875" bestFit="1" customWidth="1"/>
    <col min="17" max="17" width="17.7109375" bestFit="1" customWidth="1"/>
    <col min="18" max="18" width="18.85546875" bestFit="1" customWidth="1"/>
    <col min="19" max="20" width="17.7109375" bestFit="1" customWidth="1"/>
    <col min="21" max="21" width="18.85546875" bestFit="1" customWidth="1"/>
    <col min="22" max="23" width="17.7109375" bestFit="1" customWidth="1"/>
    <col min="24" max="24" width="18.85546875" bestFit="1" customWidth="1"/>
    <col min="25" max="26" width="17.7109375" bestFit="1" customWidth="1"/>
    <col min="27" max="27" width="18.85546875" bestFit="1" customWidth="1"/>
    <col min="28" max="28" width="17.42578125" bestFit="1" customWidth="1"/>
    <col min="29" max="29" width="17.7109375" bestFit="1" customWidth="1"/>
    <col min="30" max="30" width="18.85546875" bestFit="1" customWidth="1"/>
    <col min="31" max="32" width="17.7109375" bestFit="1" customWidth="1"/>
    <col min="33" max="37" width="18.85546875" bestFit="1" customWidth="1"/>
    <col min="38" max="39" width="17.7109375" bestFit="1" customWidth="1"/>
    <col min="40" max="41" width="18.85546875" bestFit="1" customWidth="1"/>
    <col min="42" max="45" width="17.7109375" bestFit="1" customWidth="1"/>
    <col min="46" max="46" width="18.85546875" bestFit="1" customWidth="1"/>
    <col min="47" max="54" width="17.7109375" bestFit="1" customWidth="1"/>
    <col min="55" max="56" width="18.85546875" bestFit="1" customWidth="1"/>
    <col min="57" max="59" width="17.7109375" bestFit="1" customWidth="1"/>
    <col min="60" max="61" width="18.85546875" bestFit="1" customWidth="1"/>
    <col min="62" max="63" width="16" bestFit="1" customWidth="1"/>
    <col min="64" max="74" width="17.7109375" bestFit="1" customWidth="1"/>
    <col min="75" max="76" width="16" bestFit="1" customWidth="1"/>
    <col min="77" max="77" width="13" bestFit="1" customWidth="1"/>
    <col min="78" max="78" width="13.85546875" bestFit="1" customWidth="1"/>
    <col min="79" max="92" width="17.7109375" bestFit="1" customWidth="1"/>
    <col min="93" max="94" width="18.85546875" bestFit="1" customWidth="1"/>
    <col min="95" max="98" width="17.7109375" bestFit="1" customWidth="1"/>
    <col min="99" max="100" width="18.85546875" bestFit="1" customWidth="1"/>
    <col min="101" max="105" width="17.7109375" bestFit="1" customWidth="1"/>
    <col min="106" max="107" width="17.42578125" bestFit="1" customWidth="1"/>
    <col min="108" max="114" width="18.85546875" bestFit="1" customWidth="1"/>
    <col min="115" max="116" width="17.7109375" bestFit="1" customWidth="1"/>
    <col min="117" max="118" width="18.85546875" bestFit="1" customWidth="1"/>
    <col min="119" max="120" width="17.7109375" bestFit="1" customWidth="1"/>
    <col min="121" max="121" width="18.85546875" bestFit="1" customWidth="1"/>
    <col min="122" max="127" width="17.7109375" bestFit="1" customWidth="1"/>
    <col min="128" max="129" width="18.85546875" bestFit="1" customWidth="1"/>
    <col min="130" max="130" width="17.7109375" bestFit="1" customWidth="1"/>
    <col min="131" max="132" width="18.85546875" bestFit="1" customWidth="1"/>
    <col min="133" max="140" width="17.7109375" bestFit="1" customWidth="1"/>
  </cols>
  <sheetData>
    <row r="1" spans="1:16" x14ac:dyDescent="0.25">
      <c r="A1" t="s">
        <v>84</v>
      </c>
      <c r="B1" t="s">
        <v>86</v>
      </c>
      <c r="C1" t="s">
        <v>85</v>
      </c>
      <c r="D1" t="s">
        <v>87</v>
      </c>
      <c r="E1" t="s">
        <v>88</v>
      </c>
    </row>
    <row r="2" spans="1:16" x14ac:dyDescent="0.25">
      <c r="A2" s="28">
        <v>44848</v>
      </c>
      <c r="B2" s="17">
        <v>-7.1118769999999997E-4</v>
      </c>
      <c r="C2">
        <v>32.020000000000003</v>
      </c>
      <c r="D2">
        <v>5</v>
      </c>
      <c r="E2" t="str">
        <f>IF(B2&gt;0,"Green","Red")</f>
        <v>Red</v>
      </c>
    </row>
    <row r="3" spans="1:16" x14ac:dyDescent="0.25">
      <c r="A3" s="28">
        <v>44834</v>
      </c>
      <c r="B3" s="17">
        <v>-9.339567E-2</v>
      </c>
      <c r="C3">
        <v>26.299999</v>
      </c>
      <c r="D3">
        <v>4</v>
      </c>
      <c r="E3" t="str">
        <f t="shared" ref="E3:E66" si="0">IF(B3&gt;0,"Green","Red")</f>
        <v>Red</v>
      </c>
      <c r="F3" t="s">
        <v>21</v>
      </c>
      <c r="G3" t="s">
        <v>22</v>
      </c>
      <c r="H3" t="s">
        <v>27</v>
      </c>
      <c r="I3">
        <v>2.2000000000000002</v>
      </c>
      <c r="J3">
        <v>1</v>
      </c>
    </row>
    <row r="4" spans="1:16" x14ac:dyDescent="0.25">
      <c r="A4" s="28">
        <v>44804</v>
      </c>
      <c r="B4" s="17">
        <v>-4.2440128258508597E-2</v>
      </c>
      <c r="C4">
        <v>25.870000999999998</v>
      </c>
      <c r="D4">
        <v>4</v>
      </c>
      <c r="E4" t="str">
        <f t="shared" si="0"/>
        <v>Red</v>
      </c>
      <c r="F4">
        <v>2</v>
      </c>
      <c r="G4">
        <v>1</v>
      </c>
      <c r="H4" t="s">
        <v>26</v>
      </c>
      <c r="I4">
        <v>2</v>
      </c>
      <c r="J4">
        <v>1</v>
      </c>
      <c r="M4" s="29" t="s">
        <v>109</v>
      </c>
      <c r="N4" s="29" t="s">
        <v>108</v>
      </c>
    </row>
    <row r="5" spans="1:16" x14ac:dyDescent="0.25">
      <c r="A5" s="28">
        <v>44771</v>
      </c>
      <c r="B5" s="17">
        <v>9.1116391659653406E-2</v>
      </c>
      <c r="C5">
        <v>21.33</v>
      </c>
      <c r="D5">
        <v>3</v>
      </c>
      <c r="E5" t="str">
        <f t="shared" si="0"/>
        <v>Green</v>
      </c>
      <c r="F5">
        <v>1</v>
      </c>
      <c r="G5">
        <v>1</v>
      </c>
      <c r="H5" t="s">
        <v>25</v>
      </c>
      <c r="I5">
        <v>2.7</v>
      </c>
      <c r="J5">
        <v>1.6</v>
      </c>
      <c r="M5" s="29" t="s">
        <v>91</v>
      </c>
      <c r="N5" t="s">
        <v>90</v>
      </c>
      <c r="O5" t="s">
        <v>89</v>
      </c>
      <c r="P5" t="s">
        <v>92</v>
      </c>
    </row>
    <row r="6" spans="1:16" x14ac:dyDescent="0.25">
      <c r="A6" s="28">
        <v>44742</v>
      </c>
      <c r="B6" s="17">
        <v>-8.3919999812243101E-2</v>
      </c>
      <c r="C6">
        <v>28.709999</v>
      </c>
      <c r="D6">
        <v>4</v>
      </c>
      <c r="E6" t="str">
        <f t="shared" si="0"/>
        <v>Red</v>
      </c>
      <c r="F6">
        <v>7</v>
      </c>
      <c r="G6">
        <v>5</v>
      </c>
      <c r="H6" s="17" t="s">
        <v>76</v>
      </c>
      <c r="I6" s="17">
        <v>0.19780220000000001</v>
      </c>
      <c r="J6" s="17">
        <v>0.13043479999999999</v>
      </c>
      <c r="M6" s="30" t="s">
        <v>175</v>
      </c>
      <c r="N6" s="31">
        <v>0.43725082123842118</v>
      </c>
      <c r="O6" s="31">
        <v>-0.17623826910397161</v>
      </c>
      <c r="P6" s="31">
        <v>0.26101255213444963</v>
      </c>
    </row>
    <row r="7" spans="1:16" x14ac:dyDescent="0.25">
      <c r="A7" s="28">
        <v>44712</v>
      </c>
      <c r="B7" s="17">
        <v>5.3177568506868103E-5</v>
      </c>
      <c r="C7">
        <v>26.190000999999999</v>
      </c>
      <c r="D7">
        <v>4</v>
      </c>
      <c r="E7" t="str">
        <f t="shared" si="0"/>
        <v>Green</v>
      </c>
      <c r="F7">
        <v>2</v>
      </c>
      <c r="G7">
        <v>1</v>
      </c>
      <c r="H7" t="s">
        <v>78</v>
      </c>
      <c r="I7" s="17">
        <v>0.2967033</v>
      </c>
      <c r="J7" s="17">
        <v>0.13043479999999999</v>
      </c>
      <c r="M7" s="32" t="s">
        <v>122</v>
      </c>
      <c r="N7" s="31">
        <v>1.01501767989975E-2</v>
      </c>
      <c r="O7" s="31"/>
      <c r="P7" s="31">
        <v>1.01501767989975E-2</v>
      </c>
    </row>
    <row r="8" spans="1:16" x14ac:dyDescent="0.25">
      <c r="A8" s="28">
        <v>44680</v>
      </c>
      <c r="B8" s="17">
        <v>-8.7956711705729301E-2</v>
      </c>
      <c r="C8">
        <v>33.400002000000001</v>
      </c>
      <c r="D8">
        <v>4</v>
      </c>
      <c r="E8" t="str">
        <f t="shared" si="0"/>
        <v>Red</v>
      </c>
      <c r="F8">
        <v>1</v>
      </c>
      <c r="G8">
        <v>1</v>
      </c>
      <c r="M8" s="32" t="s">
        <v>123</v>
      </c>
      <c r="N8" s="31">
        <v>7.0449193043797195E-2</v>
      </c>
      <c r="O8" s="31"/>
      <c r="P8" s="31">
        <v>7.0449193043797195E-2</v>
      </c>
    </row>
    <row r="9" spans="1:16" x14ac:dyDescent="0.25">
      <c r="A9" s="28">
        <v>44651</v>
      </c>
      <c r="B9" s="17">
        <v>3.5773288410591901E-2</v>
      </c>
      <c r="C9">
        <v>20.559999000000001</v>
      </c>
      <c r="D9">
        <v>3</v>
      </c>
      <c r="E9" t="str">
        <f t="shared" si="0"/>
        <v>Green</v>
      </c>
      <c r="F9">
        <v>1</v>
      </c>
      <c r="G9">
        <v>1</v>
      </c>
      <c r="M9" s="32" t="s">
        <v>124</v>
      </c>
      <c r="N9" s="31">
        <v>4.9945714161429497E-2</v>
      </c>
      <c r="O9" s="31"/>
      <c r="P9" s="31">
        <v>4.9945714161429497E-2</v>
      </c>
    </row>
    <row r="10" spans="1:16" x14ac:dyDescent="0.25">
      <c r="A10" s="28">
        <v>44620</v>
      </c>
      <c r="B10" s="17">
        <v>-3.1360492102910101E-2</v>
      </c>
      <c r="C10">
        <v>30.15</v>
      </c>
      <c r="D10">
        <v>4</v>
      </c>
      <c r="E10" t="str">
        <f t="shared" si="0"/>
        <v>Red</v>
      </c>
      <c r="F10">
        <v>1</v>
      </c>
      <c r="G10">
        <v>1</v>
      </c>
      <c r="M10" s="32" t="s">
        <v>125</v>
      </c>
      <c r="N10" s="31">
        <v>9.0764692534604004E-3</v>
      </c>
      <c r="O10" s="31"/>
      <c r="P10" s="31">
        <v>9.0764692534604004E-3</v>
      </c>
    </row>
    <row r="11" spans="1:16" x14ac:dyDescent="0.25">
      <c r="A11" s="28">
        <v>44592</v>
      </c>
      <c r="B11" s="17">
        <v>-5.2585165005310602E-2</v>
      </c>
      <c r="C11">
        <v>24.83</v>
      </c>
      <c r="D11">
        <v>4</v>
      </c>
      <c r="E11" t="str">
        <f t="shared" si="0"/>
        <v>Red</v>
      </c>
      <c r="F11">
        <v>2</v>
      </c>
      <c r="G11">
        <v>1</v>
      </c>
      <c r="M11" s="32" t="s">
        <v>126</v>
      </c>
      <c r="N11" s="31"/>
      <c r="O11" s="31">
        <v>-1.8826223521475099E-2</v>
      </c>
      <c r="P11" s="31">
        <v>-1.8826223521475099E-2</v>
      </c>
    </row>
    <row r="12" spans="1:16" x14ac:dyDescent="0.25">
      <c r="A12" s="28">
        <v>44561</v>
      </c>
      <c r="B12" s="17">
        <v>4.3612913509962797E-2</v>
      </c>
      <c r="C12">
        <v>17.219999000000001</v>
      </c>
      <c r="D12">
        <v>2</v>
      </c>
      <c r="E12" t="str">
        <f t="shared" si="0"/>
        <v>Green</v>
      </c>
      <c r="F12">
        <v>1</v>
      </c>
      <c r="G12">
        <v>1</v>
      </c>
      <c r="M12" s="32" t="s">
        <v>127</v>
      </c>
      <c r="N12" s="31">
        <v>3.9438241075214098E-2</v>
      </c>
      <c r="O12" s="31"/>
      <c r="P12" s="31">
        <v>3.9438241075214098E-2</v>
      </c>
    </row>
    <row r="13" spans="1:16" x14ac:dyDescent="0.25">
      <c r="A13" s="28">
        <v>44530</v>
      </c>
      <c r="B13" s="17">
        <v>-8.3337062251199693E-3</v>
      </c>
      <c r="C13">
        <v>27.190000999999999</v>
      </c>
      <c r="D13">
        <v>4</v>
      </c>
      <c r="E13" t="str">
        <f t="shared" si="0"/>
        <v>Red</v>
      </c>
      <c r="F13">
        <v>7</v>
      </c>
      <c r="G13">
        <v>1</v>
      </c>
      <c r="M13" s="32" t="s">
        <v>128</v>
      </c>
      <c r="N13" s="31"/>
      <c r="O13" s="31">
        <v>-1.1615327025789501E-2</v>
      </c>
      <c r="P13" s="31">
        <v>-1.1615327025789501E-2</v>
      </c>
    </row>
    <row r="14" spans="1:16" x14ac:dyDescent="0.25">
      <c r="A14" s="28">
        <v>44498</v>
      </c>
      <c r="B14" s="17">
        <v>6.9143836459647501E-2</v>
      </c>
      <c r="C14">
        <v>16.260000000000002</v>
      </c>
      <c r="D14">
        <v>2</v>
      </c>
      <c r="E14" t="str">
        <f t="shared" si="0"/>
        <v>Green</v>
      </c>
      <c r="F14">
        <v>2</v>
      </c>
      <c r="G14">
        <v>1</v>
      </c>
      <c r="M14" s="32" t="s">
        <v>129</v>
      </c>
      <c r="N14" s="31"/>
      <c r="O14" s="31">
        <v>-0.14579671855670701</v>
      </c>
      <c r="P14" s="31">
        <v>-0.14579671855670701</v>
      </c>
    </row>
    <row r="15" spans="1:16" x14ac:dyDescent="0.25">
      <c r="A15" s="28">
        <v>44469</v>
      </c>
      <c r="B15" s="17">
        <v>-4.75691688617867E-2</v>
      </c>
      <c r="C15">
        <v>23.139999</v>
      </c>
      <c r="D15">
        <v>3</v>
      </c>
      <c r="E15" t="str">
        <f t="shared" si="0"/>
        <v>Red</v>
      </c>
      <c r="F15">
        <v>1</v>
      </c>
      <c r="G15">
        <v>1</v>
      </c>
      <c r="M15" s="32" t="s">
        <v>107</v>
      </c>
      <c r="N15" s="31">
        <v>6.2395515617718902E-2</v>
      </c>
      <c r="O15" s="31"/>
      <c r="P15" s="31">
        <v>6.2395515617718902E-2</v>
      </c>
    </row>
    <row r="16" spans="1:16" x14ac:dyDescent="0.25">
      <c r="A16" s="28">
        <v>44439</v>
      </c>
      <c r="B16" s="17">
        <v>2.8990416217415299E-2</v>
      </c>
      <c r="C16">
        <v>16.48</v>
      </c>
      <c r="D16">
        <v>2</v>
      </c>
      <c r="E16" t="str">
        <f t="shared" si="0"/>
        <v>Green</v>
      </c>
      <c r="F16">
        <v>1</v>
      </c>
      <c r="G16">
        <v>1</v>
      </c>
      <c r="M16" s="32" t="s">
        <v>130</v>
      </c>
      <c r="N16" s="31">
        <v>8.0294228372442406E-2</v>
      </c>
      <c r="O16" s="31"/>
      <c r="P16" s="31">
        <v>8.0294228372442406E-2</v>
      </c>
    </row>
    <row r="17" spans="1:16" x14ac:dyDescent="0.25">
      <c r="A17" s="28">
        <v>44407</v>
      </c>
      <c r="B17" s="17">
        <v>2.2748054915648699E-2</v>
      </c>
      <c r="C17">
        <v>18.239999999999998</v>
      </c>
      <c r="D17">
        <v>3</v>
      </c>
      <c r="E17" t="str">
        <f t="shared" si="0"/>
        <v>Green</v>
      </c>
      <c r="F17">
        <v>2</v>
      </c>
      <c r="G17">
        <v>1</v>
      </c>
      <c r="M17" s="32" t="s">
        <v>131</v>
      </c>
      <c r="N17" s="31">
        <v>5.91259963396253E-2</v>
      </c>
      <c r="O17" s="31"/>
      <c r="P17" s="31">
        <v>5.91259963396253E-2</v>
      </c>
    </row>
    <row r="18" spans="1:16" x14ac:dyDescent="0.25">
      <c r="A18" s="28">
        <v>44377</v>
      </c>
      <c r="B18" s="17">
        <v>2.2214009634219802E-2</v>
      </c>
      <c r="C18">
        <v>15.83</v>
      </c>
      <c r="D18">
        <v>2</v>
      </c>
      <c r="E18" t="str">
        <f t="shared" si="0"/>
        <v>Green</v>
      </c>
      <c r="F18">
        <v>2</v>
      </c>
      <c r="G18">
        <v>2</v>
      </c>
      <c r="M18" s="32" t="s">
        <v>93</v>
      </c>
      <c r="N18" s="31">
        <v>5.63752865757359E-2</v>
      </c>
      <c r="O18" s="31"/>
      <c r="P18" s="31">
        <v>5.63752865757359E-2</v>
      </c>
    </row>
    <row r="19" spans="1:16" x14ac:dyDescent="0.25">
      <c r="A19" s="28">
        <v>44344</v>
      </c>
      <c r="B19" s="17">
        <v>5.4864885732810497E-3</v>
      </c>
      <c r="C19">
        <v>16.760000000000002</v>
      </c>
      <c r="D19">
        <v>2</v>
      </c>
      <c r="E19" t="str">
        <f t="shared" si="0"/>
        <v>Green</v>
      </c>
      <c r="F19">
        <v>2</v>
      </c>
      <c r="G19">
        <v>1</v>
      </c>
      <c r="M19" s="30" t="s">
        <v>94</v>
      </c>
      <c r="N19" s="31">
        <v>0.311631310953218</v>
      </c>
      <c r="O19" s="31">
        <v>-0.12410502009076675</v>
      </c>
      <c r="P19" s="31">
        <v>0.18752629086245123</v>
      </c>
    </row>
    <row r="20" spans="1:16" x14ac:dyDescent="0.25">
      <c r="A20" s="28">
        <v>44316</v>
      </c>
      <c r="B20" s="17">
        <v>5.2425321267266303E-2</v>
      </c>
      <c r="C20">
        <v>18.610001</v>
      </c>
      <c r="D20">
        <v>3</v>
      </c>
      <c r="E20" t="str">
        <f t="shared" si="0"/>
        <v>Green</v>
      </c>
      <c r="F20">
        <v>1</v>
      </c>
      <c r="G20">
        <v>1</v>
      </c>
      <c r="M20" s="32" t="s">
        <v>122</v>
      </c>
      <c r="N20" s="31">
        <v>4.1009441536725297E-2</v>
      </c>
      <c r="O20" s="31"/>
      <c r="P20" s="31">
        <v>4.1009441536725297E-2</v>
      </c>
    </row>
    <row r="21" spans="1:16" x14ac:dyDescent="0.25">
      <c r="A21" s="28">
        <v>44286</v>
      </c>
      <c r="B21" s="17">
        <v>4.24386327378838E-2</v>
      </c>
      <c r="C21">
        <v>19.399999999999999</v>
      </c>
      <c r="D21">
        <v>3</v>
      </c>
      <c r="E21" t="str">
        <f t="shared" si="0"/>
        <v>Green</v>
      </c>
      <c r="F21">
        <v>8</v>
      </c>
      <c r="G21">
        <v>1</v>
      </c>
      <c r="M21" s="32" t="s">
        <v>123</v>
      </c>
      <c r="N21" s="31"/>
      <c r="O21" s="31">
        <v>-3.2282562686194102E-2</v>
      </c>
      <c r="P21" s="31">
        <v>-3.2282562686194102E-2</v>
      </c>
    </row>
    <row r="22" spans="1:16" x14ac:dyDescent="0.25">
      <c r="A22" s="28">
        <v>44253</v>
      </c>
      <c r="B22" s="17">
        <v>2.60914513496475E-2</v>
      </c>
      <c r="C22">
        <v>27.950001</v>
      </c>
      <c r="D22">
        <v>4</v>
      </c>
      <c r="E22" t="str">
        <f t="shared" si="0"/>
        <v>Green</v>
      </c>
      <c r="F22">
        <v>1</v>
      </c>
      <c r="G22">
        <v>1</v>
      </c>
      <c r="M22" s="32" t="s">
        <v>124</v>
      </c>
      <c r="N22" s="31">
        <v>3.8794215360158799E-2</v>
      </c>
      <c r="O22" s="31"/>
      <c r="P22" s="31">
        <v>3.8794215360158799E-2</v>
      </c>
    </row>
    <row r="23" spans="1:16" x14ac:dyDescent="0.25">
      <c r="A23" s="28">
        <v>44225</v>
      </c>
      <c r="B23" s="17">
        <v>-1.11366607232312E-2</v>
      </c>
      <c r="C23">
        <v>33.090000000000003</v>
      </c>
      <c r="D23">
        <v>4</v>
      </c>
      <c r="E23" t="str">
        <f t="shared" si="0"/>
        <v>Red</v>
      </c>
      <c r="F23">
        <v>8</v>
      </c>
      <c r="G23">
        <v>1</v>
      </c>
      <c r="M23" s="32" t="s">
        <v>125</v>
      </c>
      <c r="N23" s="31">
        <v>3.7944027915545402E-2</v>
      </c>
      <c r="O23" s="31"/>
      <c r="P23" s="31">
        <v>3.7944027915545402E-2</v>
      </c>
    </row>
    <row r="24" spans="1:16" x14ac:dyDescent="0.25">
      <c r="A24" s="28">
        <v>44196</v>
      </c>
      <c r="B24" s="17">
        <v>3.7121458940645703E-2</v>
      </c>
      <c r="C24">
        <v>22.75</v>
      </c>
      <c r="D24">
        <v>3</v>
      </c>
      <c r="E24" t="str">
        <f t="shared" si="0"/>
        <v>Green</v>
      </c>
      <c r="F24">
        <v>4</v>
      </c>
      <c r="G24">
        <v>1</v>
      </c>
      <c r="M24" s="32" t="s">
        <v>126</v>
      </c>
      <c r="N24" s="31"/>
      <c r="O24" s="31">
        <v>-2.4970480872686801E-2</v>
      </c>
      <c r="P24" s="31">
        <v>-2.4970480872686801E-2</v>
      </c>
    </row>
    <row r="25" spans="1:16" x14ac:dyDescent="0.25">
      <c r="A25" s="28">
        <v>44165</v>
      </c>
      <c r="B25" s="17">
        <v>0.10754563548003</v>
      </c>
      <c r="C25">
        <v>20.57</v>
      </c>
      <c r="D25">
        <v>3</v>
      </c>
      <c r="E25" t="str">
        <f t="shared" si="0"/>
        <v>Green</v>
      </c>
      <c r="F25">
        <v>2</v>
      </c>
      <c r="G25">
        <v>1</v>
      </c>
      <c r="M25" s="32" t="s">
        <v>127</v>
      </c>
      <c r="N25" s="31">
        <v>5.4438331016794198E-2</v>
      </c>
      <c r="O25" s="31"/>
      <c r="P25" s="31">
        <v>5.4438331016794198E-2</v>
      </c>
    </row>
    <row r="26" spans="1:16" x14ac:dyDescent="0.25">
      <c r="A26" s="28">
        <v>44134</v>
      </c>
      <c r="B26" s="17">
        <v>-2.7665786202795101E-2</v>
      </c>
      <c r="C26">
        <v>38.020000000000003</v>
      </c>
      <c r="D26">
        <v>4</v>
      </c>
      <c r="E26" t="str">
        <f t="shared" si="0"/>
        <v>Red</v>
      </c>
      <c r="F26">
        <v>4</v>
      </c>
      <c r="G26">
        <v>1</v>
      </c>
      <c r="M26" s="32" t="s">
        <v>128</v>
      </c>
      <c r="N26" s="31"/>
      <c r="O26" s="31">
        <v>-3.2046092218893797E-2</v>
      </c>
      <c r="P26" s="31">
        <v>-3.2046092218893797E-2</v>
      </c>
    </row>
    <row r="27" spans="1:16" x14ac:dyDescent="0.25">
      <c r="A27" s="28">
        <v>44104</v>
      </c>
      <c r="B27" s="17">
        <v>-3.9227970289931399E-2</v>
      </c>
      <c r="C27">
        <v>26.370000999999998</v>
      </c>
      <c r="D27">
        <v>4</v>
      </c>
      <c r="E27" t="str">
        <f t="shared" si="0"/>
        <v>Red</v>
      </c>
      <c r="F27">
        <v>1</v>
      </c>
      <c r="G27">
        <v>1</v>
      </c>
      <c r="M27" s="32" t="s">
        <v>129</v>
      </c>
      <c r="N27" s="31"/>
      <c r="O27" s="31">
        <v>-6.2540920445004504E-3</v>
      </c>
      <c r="P27" s="31">
        <v>-6.2540920445004504E-3</v>
      </c>
    </row>
    <row r="28" spans="1:16" x14ac:dyDescent="0.25">
      <c r="A28" s="28">
        <v>44074</v>
      </c>
      <c r="B28" s="17">
        <v>7.0064667087246499E-2</v>
      </c>
      <c r="C28">
        <v>26.41</v>
      </c>
      <c r="D28">
        <v>4</v>
      </c>
      <c r="E28" t="str">
        <f t="shared" si="0"/>
        <v>Green</v>
      </c>
      <c r="F28">
        <v>6</v>
      </c>
      <c r="G28">
        <v>1</v>
      </c>
      <c r="M28" s="32" t="s">
        <v>107</v>
      </c>
      <c r="N28" s="31"/>
      <c r="O28" s="31">
        <v>-2.85517922684916E-2</v>
      </c>
      <c r="P28" s="31">
        <v>-2.85517922684916E-2</v>
      </c>
    </row>
    <row r="29" spans="1:16" x14ac:dyDescent="0.25">
      <c r="A29" s="28">
        <v>44043</v>
      </c>
      <c r="B29" s="17">
        <v>5.5101321441235702E-2</v>
      </c>
      <c r="C29">
        <v>24.459999</v>
      </c>
      <c r="D29">
        <v>4</v>
      </c>
      <c r="E29" t="str">
        <f t="shared" si="0"/>
        <v>Green</v>
      </c>
      <c r="F29">
        <v>1</v>
      </c>
      <c r="G29">
        <v>1</v>
      </c>
      <c r="M29" s="32" t="s">
        <v>130</v>
      </c>
      <c r="N29" s="31">
        <v>6.2539541625965298E-2</v>
      </c>
      <c r="O29" s="31"/>
      <c r="P29" s="31">
        <v>6.2539541625965298E-2</v>
      </c>
    </row>
    <row r="30" spans="1:16" x14ac:dyDescent="0.25">
      <c r="A30" s="28">
        <v>44012</v>
      </c>
      <c r="B30" s="17">
        <v>1.8388396357494698E-2</v>
      </c>
      <c r="C30">
        <v>30.43</v>
      </c>
      <c r="D30">
        <v>4</v>
      </c>
      <c r="E30" t="str">
        <f t="shared" si="0"/>
        <v>Green</v>
      </c>
      <c r="F30">
        <v>5</v>
      </c>
      <c r="G30">
        <v>2</v>
      </c>
      <c r="M30" s="32" t="s">
        <v>131</v>
      </c>
      <c r="N30" s="31">
        <v>1.9061858621249601E-2</v>
      </c>
      <c r="O30" s="31"/>
      <c r="P30" s="31">
        <v>1.9061858621249601E-2</v>
      </c>
    </row>
    <row r="31" spans="1:16" x14ac:dyDescent="0.25">
      <c r="A31" s="28">
        <v>43980</v>
      </c>
      <c r="B31" s="17">
        <v>4.52818196760656E-2</v>
      </c>
      <c r="C31">
        <v>27.51</v>
      </c>
      <c r="D31">
        <v>4</v>
      </c>
      <c r="E31" t="str">
        <f t="shared" si="0"/>
        <v>Green</v>
      </c>
      <c r="F31">
        <v>2</v>
      </c>
      <c r="G31">
        <v>1</v>
      </c>
      <c r="M31" s="32" t="s">
        <v>93</v>
      </c>
      <c r="N31" s="31">
        <v>5.7843894876779399E-2</v>
      </c>
      <c r="O31" s="31"/>
      <c r="P31" s="31">
        <v>5.7843894876779399E-2</v>
      </c>
    </row>
    <row r="32" spans="1:16" x14ac:dyDescent="0.25">
      <c r="A32" s="28">
        <v>43951</v>
      </c>
      <c r="B32" s="17">
        <v>0.12684403825663801</v>
      </c>
      <c r="C32">
        <v>34.150002000000001</v>
      </c>
      <c r="D32">
        <v>4</v>
      </c>
      <c r="E32" t="str">
        <f t="shared" si="0"/>
        <v>Green</v>
      </c>
      <c r="F32">
        <v>1</v>
      </c>
      <c r="G32">
        <v>1</v>
      </c>
      <c r="M32" s="30" t="s">
        <v>95</v>
      </c>
      <c r="N32" s="31">
        <v>0.18540592859206753</v>
      </c>
      <c r="O32" s="31">
        <v>-0.27856478487615999</v>
      </c>
      <c r="P32" s="31">
        <v>-9.3158856284092442E-2</v>
      </c>
    </row>
    <row r="33" spans="1:16" x14ac:dyDescent="0.25">
      <c r="A33" s="28">
        <v>43921</v>
      </c>
      <c r="B33" s="17">
        <v>-0.12511928245982301</v>
      </c>
      <c r="C33">
        <v>53.540000999999997</v>
      </c>
      <c r="D33">
        <v>4</v>
      </c>
      <c r="E33" t="str">
        <f t="shared" si="0"/>
        <v>Red</v>
      </c>
      <c r="F33">
        <v>3</v>
      </c>
      <c r="G33">
        <v>3</v>
      </c>
      <c r="M33" s="32" t="s">
        <v>122</v>
      </c>
      <c r="N33" s="31"/>
      <c r="O33" s="31">
        <v>-5.0903548749361899E-2</v>
      </c>
      <c r="P33" s="31">
        <v>-5.0903548749361899E-2</v>
      </c>
    </row>
    <row r="34" spans="1:16" x14ac:dyDescent="0.25">
      <c r="A34" s="28">
        <v>43889</v>
      </c>
      <c r="B34" s="17">
        <v>-8.4110483679465706E-2</v>
      </c>
      <c r="C34">
        <v>40.110000999999997</v>
      </c>
      <c r="D34">
        <v>4</v>
      </c>
      <c r="E34" t="str">
        <f t="shared" si="0"/>
        <v>Red</v>
      </c>
      <c r="F34">
        <v>1</v>
      </c>
      <c r="G34">
        <v>2</v>
      </c>
      <c r="M34" s="32" t="s">
        <v>123</v>
      </c>
      <c r="N34" s="31"/>
      <c r="O34" s="31">
        <v>-2.0108083261058299E-2</v>
      </c>
      <c r="P34" s="31">
        <v>-2.0108083261058299E-2</v>
      </c>
    </row>
    <row r="35" spans="1:16" x14ac:dyDescent="0.25">
      <c r="A35" s="28">
        <v>43861</v>
      </c>
      <c r="B35" s="17">
        <v>-1.6280925822201901E-3</v>
      </c>
      <c r="C35">
        <v>18.84</v>
      </c>
      <c r="D35">
        <v>3</v>
      </c>
      <c r="E35" t="str">
        <f t="shared" si="0"/>
        <v>Red</v>
      </c>
      <c r="F35">
        <v>1</v>
      </c>
      <c r="G35">
        <v>2</v>
      </c>
      <c r="M35" s="32" t="s">
        <v>124</v>
      </c>
      <c r="N35" s="31">
        <v>9.6719828269732397E-2</v>
      </c>
      <c r="O35" s="31"/>
      <c r="P35" s="31">
        <v>9.6719828269732397E-2</v>
      </c>
    </row>
    <row r="36" spans="1:16" x14ac:dyDescent="0.25">
      <c r="A36" s="28">
        <v>43830</v>
      </c>
      <c r="B36" s="17">
        <v>2.85898189647169E-2</v>
      </c>
      <c r="C36">
        <v>13.78</v>
      </c>
      <c r="D36">
        <v>1</v>
      </c>
      <c r="E36" t="str">
        <f t="shared" si="0"/>
        <v>Green</v>
      </c>
      <c r="F36">
        <v>1</v>
      </c>
      <c r="G36">
        <v>1</v>
      </c>
      <c r="M36" s="32" t="s">
        <v>125</v>
      </c>
      <c r="N36" s="31"/>
      <c r="O36" s="31">
        <v>-3.0795755551931401E-2</v>
      </c>
      <c r="P36" s="31">
        <v>-3.0795755551931401E-2</v>
      </c>
    </row>
    <row r="37" spans="1:16" x14ac:dyDescent="0.25">
      <c r="A37" s="28">
        <v>43798</v>
      </c>
      <c r="B37" s="17">
        <v>3.4047037421886202E-2</v>
      </c>
      <c r="C37">
        <v>12.62</v>
      </c>
      <c r="D37">
        <v>1</v>
      </c>
      <c r="E37" t="str">
        <f t="shared" si="0"/>
        <v>Green</v>
      </c>
      <c r="F37">
        <v>2</v>
      </c>
      <c r="G37">
        <v>3</v>
      </c>
      <c r="M37" s="32" t="s">
        <v>126</v>
      </c>
      <c r="N37" s="31"/>
      <c r="O37" s="31">
        <v>-2.1915050512993601E-2</v>
      </c>
      <c r="P37" s="31">
        <v>-2.1915050512993601E-2</v>
      </c>
    </row>
    <row r="38" spans="1:16" x14ac:dyDescent="0.25">
      <c r="A38" s="28">
        <v>43769</v>
      </c>
      <c r="B38" s="17">
        <v>2.0431770730503101E-2</v>
      </c>
      <c r="C38">
        <v>13.22</v>
      </c>
      <c r="D38">
        <v>1</v>
      </c>
      <c r="E38" t="str">
        <f t="shared" si="0"/>
        <v>Green</v>
      </c>
      <c r="F38">
        <v>2</v>
      </c>
      <c r="G38">
        <v>2</v>
      </c>
      <c r="M38" s="32" t="s">
        <v>127</v>
      </c>
      <c r="N38" s="31">
        <v>2.3933549608901299E-2</v>
      </c>
      <c r="O38" s="31"/>
      <c r="P38" s="31">
        <v>2.3933549608901299E-2</v>
      </c>
    </row>
    <row r="39" spans="1:16" x14ac:dyDescent="0.25">
      <c r="A39" s="28">
        <v>43738</v>
      </c>
      <c r="B39" s="17">
        <v>1.71811778292086E-2</v>
      </c>
      <c r="C39">
        <v>16.239999999999998</v>
      </c>
      <c r="D39">
        <v>2</v>
      </c>
      <c r="E39" t="str">
        <f t="shared" si="0"/>
        <v>Green</v>
      </c>
      <c r="F39">
        <v>3</v>
      </c>
      <c r="G39">
        <v>4</v>
      </c>
      <c r="M39" s="32" t="s">
        <v>128</v>
      </c>
      <c r="N39" s="31"/>
      <c r="O39" s="31">
        <v>-1.6341276221772699E-2</v>
      </c>
      <c r="P39" s="31">
        <v>-1.6341276221772699E-2</v>
      </c>
    </row>
    <row r="40" spans="1:16" x14ac:dyDescent="0.25">
      <c r="A40" s="28">
        <v>43707</v>
      </c>
      <c r="B40" s="17">
        <v>-1.8091627281326701E-2</v>
      </c>
      <c r="C40">
        <v>18.98</v>
      </c>
      <c r="D40">
        <v>3</v>
      </c>
      <c r="E40" t="str">
        <f t="shared" si="0"/>
        <v>Red</v>
      </c>
      <c r="F40">
        <v>1</v>
      </c>
      <c r="G40">
        <v>2</v>
      </c>
      <c r="M40" s="32" t="s">
        <v>129</v>
      </c>
      <c r="N40" s="31">
        <v>6.0699105184235998E-2</v>
      </c>
      <c r="O40" s="31"/>
      <c r="P40" s="31">
        <v>6.0699105184235998E-2</v>
      </c>
    </row>
    <row r="41" spans="1:16" x14ac:dyDescent="0.25">
      <c r="A41" s="28">
        <v>43677</v>
      </c>
      <c r="B41" s="17">
        <v>1.31281521499778E-2</v>
      </c>
      <c r="C41">
        <v>16.120000999999998</v>
      </c>
      <c r="D41">
        <v>2</v>
      </c>
      <c r="E41" t="str">
        <f t="shared" si="0"/>
        <v>Green</v>
      </c>
      <c r="F41">
        <v>1</v>
      </c>
      <c r="G41">
        <v>4</v>
      </c>
      <c r="M41" s="32" t="s">
        <v>107</v>
      </c>
      <c r="N41" s="31"/>
      <c r="O41" s="31">
        <v>-5.3482974745611297E-2</v>
      </c>
      <c r="P41" s="31">
        <v>-5.3482974745611297E-2</v>
      </c>
    </row>
    <row r="42" spans="1:16" x14ac:dyDescent="0.25">
      <c r="A42" s="28">
        <v>43644</v>
      </c>
      <c r="B42" s="17">
        <v>6.8930163925612103E-2</v>
      </c>
      <c r="C42">
        <v>15.08</v>
      </c>
      <c r="D42">
        <v>2</v>
      </c>
      <c r="E42" t="str">
        <f t="shared" si="0"/>
        <v>Green</v>
      </c>
      <c r="F42">
        <v>2</v>
      </c>
      <c r="G42">
        <v>1</v>
      </c>
      <c r="M42" s="32" t="s">
        <v>130</v>
      </c>
      <c r="N42" s="31"/>
      <c r="O42" s="31">
        <v>-4.9494858723608797E-3</v>
      </c>
      <c r="P42" s="31">
        <v>-4.9494858723608797E-3</v>
      </c>
    </row>
    <row r="43" spans="1:16" x14ac:dyDescent="0.25">
      <c r="A43" s="28">
        <v>43616</v>
      </c>
      <c r="B43" s="17">
        <v>-6.5777731189286898E-2</v>
      </c>
      <c r="C43">
        <v>18.709999</v>
      </c>
      <c r="D43">
        <v>3</v>
      </c>
      <c r="E43" t="str">
        <f t="shared" si="0"/>
        <v>Red</v>
      </c>
      <c r="F43">
        <v>6</v>
      </c>
      <c r="G43">
        <v>3</v>
      </c>
      <c r="M43" s="32" t="s">
        <v>131</v>
      </c>
      <c r="N43" s="31"/>
      <c r="O43" s="31">
        <v>-8.0068609961069903E-2</v>
      </c>
      <c r="P43" s="31">
        <v>-8.0068609961069903E-2</v>
      </c>
    </row>
    <row r="44" spans="1:16" x14ac:dyDescent="0.25">
      <c r="A44" s="28">
        <v>43585</v>
      </c>
      <c r="B44" s="17">
        <v>3.9313498395682697E-2</v>
      </c>
      <c r="C44">
        <v>13.12</v>
      </c>
      <c r="D44">
        <v>1</v>
      </c>
      <c r="E44" t="str">
        <f t="shared" si="0"/>
        <v>Green</v>
      </c>
      <c r="F44">
        <v>5</v>
      </c>
      <c r="G44">
        <v>1</v>
      </c>
      <c r="M44" s="32" t="s">
        <v>93</v>
      </c>
      <c r="N44" s="31">
        <v>4.0534455291978402E-3</v>
      </c>
      <c r="O44" s="31"/>
      <c r="P44" s="31">
        <v>4.0534455291978402E-3</v>
      </c>
    </row>
    <row r="45" spans="1:16" x14ac:dyDescent="0.25">
      <c r="A45" s="28">
        <v>43553</v>
      </c>
      <c r="B45" s="17">
        <v>1.7924256211817102E-2</v>
      </c>
      <c r="C45">
        <v>13.71</v>
      </c>
      <c r="D45">
        <v>1</v>
      </c>
      <c r="E45" t="str">
        <f t="shared" si="0"/>
        <v>Green</v>
      </c>
      <c r="F45">
        <v>2</v>
      </c>
      <c r="G45">
        <v>2</v>
      </c>
      <c r="M45" s="30" t="s">
        <v>96</v>
      </c>
      <c r="N45" s="31">
        <v>0.21738997586623587</v>
      </c>
      <c r="O45" s="31">
        <v>-0.33810279815609412</v>
      </c>
      <c r="P45" s="31">
        <v>-0.12071282228985825</v>
      </c>
    </row>
    <row r="46" spans="1:16" x14ac:dyDescent="0.25">
      <c r="A46" s="28">
        <v>43524</v>
      </c>
      <c r="B46" s="17">
        <v>2.9728889126352302E-2</v>
      </c>
      <c r="C46">
        <v>14.78</v>
      </c>
      <c r="D46">
        <v>2</v>
      </c>
      <c r="E46" t="str">
        <f t="shared" si="0"/>
        <v>Green</v>
      </c>
      <c r="F46">
        <v>5</v>
      </c>
      <c r="G46">
        <v>1</v>
      </c>
      <c r="M46" s="32" t="s">
        <v>122</v>
      </c>
      <c r="N46" s="31">
        <v>3.4636577086329501E-2</v>
      </c>
      <c r="O46" s="31"/>
      <c r="P46" s="31">
        <v>3.4636577086329501E-2</v>
      </c>
    </row>
    <row r="47" spans="1:16" x14ac:dyDescent="0.25">
      <c r="A47" s="28">
        <v>43496</v>
      </c>
      <c r="B47" s="17">
        <v>7.8684401655036804E-2</v>
      </c>
      <c r="C47">
        <v>16.57</v>
      </c>
      <c r="D47">
        <v>2</v>
      </c>
      <c r="E47" t="str">
        <f t="shared" si="0"/>
        <v>Green</v>
      </c>
      <c r="F47">
        <v>1</v>
      </c>
      <c r="G47">
        <v>1</v>
      </c>
      <c r="M47" s="32" t="s">
        <v>123</v>
      </c>
      <c r="N47" s="31"/>
      <c r="O47" s="31">
        <v>-9.2290735848999994E-2</v>
      </c>
      <c r="P47" s="31">
        <v>-9.2290735848999994E-2</v>
      </c>
    </row>
    <row r="48" spans="1:16" x14ac:dyDescent="0.25">
      <c r="A48" s="28">
        <v>43465</v>
      </c>
      <c r="B48" s="17">
        <v>-9.1776894596563893E-2</v>
      </c>
      <c r="C48">
        <v>25.42</v>
      </c>
      <c r="D48">
        <v>4</v>
      </c>
      <c r="E48" t="str">
        <f t="shared" si="0"/>
        <v>Red</v>
      </c>
      <c r="F48">
        <v>1</v>
      </c>
      <c r="G48">
        <v>2</v>
      </c>
      <c r="M48" s="32" t="s">
        <v>124</v>
      </c>
      <c r="N48" s="31"/>
      <c r="O48" s="31">
        <v>-6.4204710540895493E-2</v>
      </c>
      <c r="P48" s="31">
        <v>-6.4204710540895493E-2</v>
      </c>
    </row>
    <row r="49" spans="1:16" x14ac:dyDescent="0.25">
      <c r="A49" s="28">
        <v>43434</v>
      </c>
      <c r="B49" s="17">
        <v>1.7859356788849E-2</v>
      </c>
      <c r="C49">
        <v>18.07</v>
      </c>
      <c r="D49">
        <v>3</v>
      </c>
      <c r="E49" t="str">
        <f t="shared" si="0"/>
        <v>Green</v>
      </c>
      <c r="F49">
        <v>1</v>
      </c>
      <c r="G49">
        <v>1</v>
      </c>
      <c r="M49" s="32" t="s">
        <v>125</v>
      </c>
      <c r="N49" s="31">
        <v>7.6814361759009797E-2</v>
      </c>
      <c r="O49" s="31"/>
      <c r="P49" s="31">
        <v>7.6814361759009797E-2</v>
      </c>
    </row>
    <row r="50" spans="1:16" x14ac:dyDescent="0.25">
      <c r="A50" s="28">
        <v>43404</v>
      </c>
      <c r="B50" s="17">
        <v>-6.9403356024429499E-2</v>
      </c>
      <c r="C50">
        <v>21.23</v>
      </c>
      <c r="D50">
        <v>3</v>
      </c>
      <c r="E50" t="str">
        <f t="shared" si="0"/>
        <v>Red</v>
      </c>
      <c r="F50">
        <v>1</v>
      </c>
      <c r="G50">
        <v>1</v>
      </c>
      <c r="M50" s="32" t="s">
        <v>126</v>
      </c>
      <c r="N50" s="31">
        <v>5.0901871196495901E-3</v>
      </c>
      <c r="O50" s="31"/>
      <c r="P50" s="31">
        <v>5.0901871196495901E-3</v>
      </c>
    </row>
    <row r="51" spans="1:16" x14ac:dyDescent="0.25">
      <c r="A51" s="28">
        <v>43371</v>
      </c>
      <c r="B51" s="17">
        <v>4.29428710266144E-3</v>
      </c>
      <c r="C51">
        <v>12.12</v>
      </c>
      <c r="D51">
        <v>1</v>
      </c>
      <c r="E51" t="str">
        <f t="shared" si="0"/>
        <v>Green</v>
      </c>
      <c r="F51">
        <v>1</v>
      </c>
      <c r="G51">
        <v>1</v>
      </c>
      <c r="M51" s="32" t="s">
        <v>127</v>
      </c>
      <c r="N51" s="31"/>
      <c r="O51" s="31">
        <v>-2.5035389109833502E-2</v>
      </c>
      <c r="P51" s="31">
        <v>-2.5035389109833502E-2</v>
      </c>
    </row>
    <row r="52" spans="1:16" x14ac:dyDescent="0.25">
      <c r="A52" s="28">
        <v>43343</v>
      </c>
      <c r="B52" s="17">
        <v>3.0263211466054599E-2</v>
      </c>
      <c r="C52">
        <v>12.86</v>
      </c>
      <c r="D52">
        <v>1</v>
      </c>
      <c r="E52" t="str">
        <f t="shared" si="0"/>
        <v>Green</v>
      </c>
      <c r="F52">
        <v>4</v>
      </c>
      <c r="G52">
        <v>1</v>
      </c>
      <c r="M52" s="32" t="s">
        <v>128</v>
      </c>
      <c r="N52" s="31"/>
      <c r="O52" s="31">
        <v>-1.0740150072934201E-2</v>
      </c>
      <c r="P52" s="31">
        <v>-1.0740150072934201E-2</v>
      </c>
    </row>
    <row r="53" spans="1:16" x14ac:dyDescent="0.25">
      <c r="A53" s="28">
        <v>43312</v>
      </c>
      <c r="B53" s="17">
        <v>3.6021556221367303E-2</v>
      </c>
      <c r="C53">
        <v>12.83</v>
      </c>
      <c r="D53">
        <v>1</v>
      </c>
      <c r="E53" t="str">
        <f t="shared" si="0"/>
        <v>Green</v>
      </c>
      <c r="F53">
        <v>8</v>
      </c>
      <c r="G53">
        <v>1</v>
      </c>
      <c r="M53" s="32" t="s">
        <v>129</v>
      </c>
      <c r="N53" s="31"/>
      <c r="O53" s="31">
        <v>-6.4108406563714707E-2</v>
      </c>
      <c r="P53" s="31">
        <v>-6.4108406563714707E-2</v>
      </c>
    </row>
    <row r="54" spans="1:16" x14ac:dyDescent="0.25">
      <c r="A54" s="28">
        <v>43280</v>
      </c>
      <c r="B54" s="17">
        <v>4.8424360241865498E-3</v>
      </c>
      <c r="C54">
        <v>16.09</v>
      </c>
      <c r="D54">
        <v>2</v>
      </c>
      <c r="E54" t="str">
        <f t="shared" si="0"/>
        <v>Green</v>
      </c>
      <c r="F54">
        <v>3</v>
      </c>
      <c r="G54">
        <v>1</v>
      </c>
      <c r="M54" s="32" t="s">
        <v>107</v>
      </c>
      <c r="N54" s="31"/>
      <c r="O54" s="31">
        <v>-8.1723406019716199E-2</v>
      </c>
      <c r="P54" s="31">
        <v>-8.1723406019716199E-2</v>
      </c>
    </row>
    <row r="55" spans="1:16" x14ac:dyDescent="0.25">
      <c r="A55" s="28">
        <v>43251</v>
      </c>
      <c r="B55" s="17">
        <v>2.1608341965291902E-2</v>
      </c>
      <c r="C55">
        <v>15.43</v>
      </c>
      <c r="D55">
        <v>2</v>
      </c>
      <c r="E55" t="str">
        <f t="shared" si="0"/>
        <v>Green</v>
      </c>
      <c r="F55">
        <v>3</v>
      </c>
      <c r="G55">
        <v>2</v>
      </c>
      <c r="M55" s="32" t="s">
        <v>130</v>
      </c>
      <c r="N55" s="31">
        <v>1.8099111445277798E-2</v>
      </c>
      <c r="O55" s="31"/>
      <c r="P55" s="31">
        <v>1.8099111445277798E-2</v>
      </c>
    </row>
    <row r="56" spans="1:16" x14ac:dyDescent="0.25">
      <c r="A56" s="28">
        <v>43220</v>
      </c>
      <c r="B56" s="17">
        <v>2.7187751316435399E-3</v>
      </c>
      <c r="C56">
        <v>15.93</v>
      </c>
      <c r="D56">
        <v>2</v>
      </c>
      <c r="E56" t="str">
        <f t="shared" si="0"/>
        <v>Green</v>
      </c>
      <c r="F56">
        <v>2</v>
      </c>
      <c r="G56">
        <v>5</v>
      </c>
      <c r="M56" s="32" t="s">
        <v>131</v>
      </c>
      <c r="N56" s="31">
        <v>7.5175904263053497E-2</v>
      </c>
      <c r="O56" s="31"/>
      <c r="P56" s="31">
        <v>7.5175904263053497E-2</v>
      </c>
    </row>
    <row r="57" spans="1:16" x14ac:dyDescent="0.25">
      <c r="A57" s="28">
        <v>43188</v>
      </c>
      <c r="B57" s="17">
        <v>-2.6884498624825101E-2</v>
      </c>
      <c r="C57">
        <v>19.969999000000001</v>
      </c>
      <c r="D57">
        <v>3</v>
      </c>
      <c r="E57" t="str">
        <f t="shared" si="0"/>
        <v>Red</v>
      </c>
      <c r="F57">
        <v>1</v>
      </c>
      <c r="G57">
        <v>2</v>
      </c>
      <c r="M57" s="32" t="s">
        <v>93</v>
      </c>
      <c r="N57" s="31">
        <v>7.5738341929156797E-3</v>
      </c>
      <c r="O57" s="31"/>
      <c r="P57" s="31">
        <v>7.5738341929156797E-3</v>
      </c>
    </row>
    <row r="58" spans="1:16" x14ac:dyDescent="0.25">
      <c r="A58" s="28">
        <v>43159</v>
      </c>
      <c r="B58" s="17">
        <v>-3.8947372061896898E-2</v>
      </c>
      <c r="C58">
        <v>19.850000000000001</v>
      </c>
      <c r="D58">
        <v>3</v>
      </c>
      <c r="E58" t="str">
        <f t="shared" si="0"/>
        <v>Red</v>
      </c>
      <c r="F58">
        <v>1</v>
      </c>
      <c r="G58">
        <v>3</v>
      </c>
      <c r="M58" s="30" t="s">
        <v>97</v>
      </c>
      <c r="N58" s="31">
        <v>0.18513874863928623</v>
      </c>
      <c r="O58" s="31">
        <v>-0.42865567142004851</v>
      </c>
      <c r="P58" s="31">
        <v>-0.24351692278076231</v>
      </c>
    </row>
    <row r="59" spans="1:16" x14ac:dyDescent="0.25">
      <c r="A59" s="28">
        <v>43131</v>
      </c>
      <c r="B59" s="17">
        <v>5.6178704444133101E-2</v>
      </c>
      <c r="C59">
        <v>13.54</v>
      </c>
      <c r="D59">
        <v>1</v>
      </c>
      <c r="E59" t="str">
        <f t="shared" si="0"/>
        <v>Green</v>
      </c>
      <c r="F59">
        <v>7</v>
      </c>
      <c r="G59">
        <v>2</v>
      </c>
      <c r="M59" s="32" t="s">
        <v>122</v>
      </c>
      <c r="N59" s="31"/>
      <c r="O59" s="31">
        <v>-1.55738325597943E-2</v>
      </c>
      <c r="P59" s="31">
        <v>-1.55738325597943E-2</v>
      </c>
    </row>
    <row r="60" spans="1:16" x14ac:dyDescent="0.25">
      <c r="A60" s="28">
        <v>43098</v>
      </c>
      <c r="B60" s="17">
        <v>9.8316304826040497E-3</v>
      </c>
      <c r="C60">
        <v>11.04</v>
      </c>
      <c r="D60">
        <v>1</v>
      </c>
      <c r="E60" t="str">
        <f t="shared" si="0"/>
        <v>Green</v>
      </c>
      <c r="F60">
        <v>2</v>
      </c>
      <c r="G60">
        <v>1</v>
      </c>
      <c r="M60" s="32" t="s">
        <v>123</v>
      </c>
      <c r="N60" s="31"/>
      <c r="O60" s="31">
        <v>-2.0766211305560299E-2</v>
      </c>
      <c r="P60" s="31">
        <v>-2.0766211305560299E-2</v>
      </c>
    </row>
    <row r="61" spans="1:16" x14ac:dyDescent="0.25">
      <c r="A61" s="28">
        <v>43069</v>
      </c>
      <c r="B61" s="17">
        <v>2.8082627664458602E-2</v>
      </c>
      <c r="C61">
        <v>11.28</v>
      </c>
      <c r="D61">
        <v>1</v>
      </c>
      <c r="E61" t="str">
        <f t="shared" si="0"/>
        <v>Green</v>
      </c>
      <c r="F61">
        <v>3</v>
      </c>
      <c r="G61">
        <v>1</v>
      </c>
      <c r="M61" s="32" t="s">
        <v>124</v>
      </c>
      <c r="N61" s="31">
        <v>3.67388936188391E-2</v>
      </c>
      <c r="O61" s="31"/>
      <c r="P61" s="31">
        <v>3.67388936188391E-2</v>
      </c>
    </row>
    <row r="62" spans="1:16" x14ac:dyDescent="0.25">
      <c r="A62" s="28">
        <v>43039</v>
      </c>
      <c r="B62" s="17">
        <v>2.21881353303497E-2</v>
      </c>
      <c r="C62">
        <v>10.18</v>
      </c>
      <c r="D62">
        <v>1</v>
      </c>
      <c r="E62" t="str">
        <f t="shared" si="0"/>
        <v>Green</v>
      </c>
      <c r="F62">
        <v>1</v>
      </c>
      <c r="G62">
        <v>2</v>
      </c>
      <c r="M62" s="32" t="s">
        <v>125</v>
      </c>
      <c r="N62" s="31"/>
      <c r="O62" s="31">
        <v>-6.1417626159139899E-2</v>
      </c>
      <c r="P62" s="31">
        <v>-6.1417626159139899E-2</v>
      </c>
    </row>
    <row r="63" spans="1:16" x14ac:dyDescent="0.25">
      <c r="A63" s="28">
        <v>43007</v>
      </c>
      <c r="B63" s="17">
        <v>1.9302978533243701E-2</v>
      </c>
      <c r="C63">
        <v>9.51</v>
      </c>
      <c r="D63">
        <v>1</v>
      </c>
      <c r="E63" t="str">
        <f t="shared" si="0"/>
        <v>Green</v>
      </c>
      <c r="F63">
        <v>2</v>
      </c>
      <c r="G63">
        <v>1</v>
      </c>
      <c r="M63" s="32" t="s">
        <v>126</v>
      </c>
      <c r="N63" s="31"/>
      <c r="O63" s="31">
        <v>-9.0814810760454501E-3</v>
      </c>
      <c r="P63" s="31">
        <v>-9.0814810760454501E-3</v>
      </c>
    </row>
    <row r="64" spans="1:16" x14ac:dyDescent="0.25">
      <c r="A64" s="28">
        <v>42978</v>
      </c>
      <c r="B64" s="17">
        <v>5.4643281108557296E-4</v>
      </c>
      <c r="C64">
        <v>10.59</v>
      </c>
      <c r="D64">
        <v>1</v>
      </c>
      <c r="E64" t="str">
        <f t="shared" si="0"/>
        <v>Green</v>
      </c>
      <c r="F64">
        <v>3</v>
      </c>
      <c r="G64">
        <v>1</v>
      </c>
      <c r="M64" s="32" t="s">
        <v>127</v>
      </c>
      <c r="N64" s="31"/>
      <c r="O64" s="31">
        <v>-7.2455354417573697E-2</v>
      </c>
      <c r="P64" s="31">
        <v>-7.2455354417573697E-2</v>
      </c>
    </row>
    <row r="65" spans="1:16" x14ac:dyDescent="0.25">
      <c r="A65" s="28">
        <v>42947</v>
      </c>
      <c r="B65" s="17">
        <v>1.9348826118030599E-2</v>
      </c>
      <c r="C65">
        <v>10.26</v>
      </c>
      <c r="D65">
        <v>1</v>
      </c>
      <c r="E65" t="str">
        <f t="shared" si="0"/>
        <v>Green</v>
      </c>
      <c r="F65">
        <v>1</v>
      </c>
      <c r="G65">
        <v>1</v>
      </c>
      <c r="M65" s="32" t="s">
        <v>128</v>
      </c>
      <c r="N65" s="31"/>
      <c r="O65" s="31">
        <v>-7.9004274966125304E-2</v>
      </c>
      <c r="P65" s="31">
        <v>-7.9004274966125304E-2</v>
      </c>
    </row>
    <row r="66" spans="1:16" x14ac:dyDescent="0.25">
      <c r="A66" s="28">
        <v>42916</v>
      </c>
      <c r="B66" s="17">
        <v>4.8137750908554501E-3</v>
      </c>
      <c r="C66">
        <v>11.18</v>
      </c>
      <c r="D66">
        <v>1</v>
      </c>
      <c r="E66" t="str">
        <f t="shared" si="0"/>
        <v>Green</v>
      </c>
      <c r="F66">
        <v>1</v>
      </c>
      <c r="G66">
        <v>5</v>
      </c>
      <c r="M66" s="32" t="s">
        <v>129</v>
      </c>
      <c r="N66" s="31">
        <v>4.8814330800193203E-3</v>
      </c>
      <c r="O66" s="31"/>
      <c r="P66" s="31">
        <v>4.8814330800193203E-3</v>
      </c>
    </row>
    <row r="67" spans="1:16" x14ac:dyDescent="0.25">
      <c r="A67" s="28">
        <v>42886</v>
      </c>
      <c r="B67" s="17">
        <v>1.1576251391341301E-2</v>
      </c>
      <c r="C67">
        <v>10.41</v>
      </c>
      <c r="D67">
        <v>1</v>
      </c>
      <c r="E67" t="str">
        <f t="shared" ref="E67:E130" si="1">IF(B67&gt;0,"Green","Red")</f>
        <v>Green</v>
      </c>
      <c r="F67">
        <v>4</v>
      </c>
      <c r="G67">
        <v>1</v>
      </c>
      <c r="M67" s="32" t="s">
        <v>107</v>
      </c>
      <c r="N67" s="31"/>
      <c r="O67" s="31">
        <v>-0.110024318261519</v>
      </c>
      <c r="P67" s="31">
        <v>-0.110024318261519</v>
      </c>
    </row>
    <row r="68" spans="1:16" x14ac:dyDescent="0.25">
      <c r="A68" s="28">
        <v>42853</v>
      </c>
      <c r="B68" s="17">
        <v>9.0912085493182193E-3</v>
      </c>
      <c r="C68">
        <v>10.82</v>
      </c>
      <c r="D68">
        <v>1</v>
      </c>
      <c r="E68" t="str">
        <f t="shared" si="1"/>
        <v>Green</v>
      </c>
      <c r="F68">
        <v>4</v>
      </c>
      <c r="G68">
        <v>2</v>
      </c>
      <c r="M68" s="32" t="s">
        <v>130</v>
      </c>
      <c r="N68" s="31">
        <v>8.6448801016809906E-2</v>
      </c>
      <c r="O68" s="31"/>
      <c r="P68" s="31">
        <v>8.6448801016809906E-2</v>
      </c>
    </row>
    <row r="69" spans="1:16" x14ac:dyDescent="0.25">
      <c r="A69" s="28">
        <v>42825</v>
      </c>
      <c r="B69" s="17">
        <v>-3.891971880845E-4</v>
      </c>
      <c r="C69">
        <v>12.37</v>
      </c>
      <c r="D69">
        <v>1</v>
      </c>
      <c r="E69" t="str">
        <f t="shared" si="1"/>
        <v>Red</v>
      </c>
      <c r="F69">
        <v>7</v>
      </c>
      <c r="G69">
        <v>1</v>
      </c>
      <c r="M69" s="32" t="s">
        <v>131</v>
      </c>
      <c r="N69" s="31">
        <v>5.7069620923617899E-2</v>
      </c>
      <c r="O69" s="31"/>
      <c r="P69" s="31">
        <v>5.7069620923617899E-2</v>
      </c>
    </row>
    <row r="70" spans="1:16" x14ac:dyDescent="0.25">
      <c r="A70" s="28">
        <v>42794</v>
      </c>
      <c r="B70" s="17">
        <v>3.7198160337279101E-2</v>
      </c>
      <c r="C70">
        <v>12.92</v>
      </c>
      <c r="D70">
        <v>1</v>
      </c>
      <c r="E70" t="str">
        <f t="shared" si="1"/>
        <v>Green</v>
      </c>
      <c r="F70">
        <v>1</v>
      </c>
      <c r="G70">
        <v>1</v>
      </c>
      <c r="M70" s="32" t="s">
        <v>93</v>
      </c>
      <c r="N70" s="31"/>
      <c r="O70" s="31">
        <v>-6.0332572674290597E-2</v>
      </c>
      <c r="P70" s="31">
        <v>-6.0332572674290597E-2</v>
      </c>
    </row>
    <row r="71" spans="1:16" x14ac:dyDescent="0.25">
      <c r="A71" s="28">
        <v>42766</v>
      </c>
      <c r="B71" s="17">
        <v>1.7884358171464498E-2</v>
      </c>
      <c r="C71">
        <v>11.99</v>
      </c>
      <c r="D71">
        <v>1</v>
      </c>
      <c r="E71" t="str">
        <f t="shared" si="1"/>
        <v>Green</v>
      </c>
      <c r="F71">
        <v>4</v>
      </c>
      <c r="G71">
        <v>1</v>
      </c>
      <c r="M71" s="30" t="s">
        <v>98</v>
      </c>
      <c r="N71" s="31">
        <v>0.29857503664930996</v>
      </c>
      <c r="O71" s="31">
        <v>-5.6362665583626792E-2</v>
      </c>
      <c r="P71" s="31">
        <v>0.24221237106568316</v>
      </c>
    </row>
    <row r="72" spans="1:16" x14ac:dyDescent="0.25">
      <c r="A72" s="28">
        <v>42734</v>
      </c>
      <c r="B72" s="17">
        <v>1.82007621968951E-2</v>
      </c>
      <c r="C72">
        <v>14.04</v>
      </c>
      <c r="D72">
        <v>2</v>
      </c>
      <c r="E72" t="str">
        <f t="shared" si="1"/>
        <v>Green</v>
      </c>
      <c r="F72">
        <v>5</v>
      </c>
      <c r="G72">
        <v>1</v>
      </c>
      <c r="M72" s="32" t="s">
        <v>122</v>
      </c>
      <c r="N72" s="31"/>
      <c r="O72" s="31">
        <v>-2.74146925599522E-2</v>
      </c>
      <c r="P72" s="31">
        <v>-2.74146925599522E-2</v>
      </c>
    </row>
    <row r="73" spans="1:16" x14ac:dyDescent="0.25">
      <c r="A73" s="28">
        <v>42704</v>
      </c>
      <c r="B73" s="17">
        <v>3.4174522187570402E-2</v>
      </c>
      <c r="C73">
        <v>13.33</v>
      </c>
      <c r="D73">
        <v>1</v>
      </c>
      <c r="E73" t="str">
        <f t="shared" si="1"/>
        <v>Green</v>
      </c>
      <c r="F73">
        <v>1</v>
      </c>
      <c r="G73">
        <v>1</v>
      </c>
      <c r="M73" s="32" t="s">
        <v>123</v>
      </c>
      <c r="N73" s="31"/>
      <c r="O73" s="31">
        <v>-1.7003608502929399E-2</v>
      </c>
      <c r="P73" s="31">
        <v>-1.7003608502929399E-2</v>
      </c>
    </row>
    <row r="74" spans="1:16" x14ac:dyDescent="0.25">
      <c r="A74" s="28">
        <v>42674</v>
      </c>
      <c r="B74" s="17">
        <v>-1.94256792795575E-2</v>
      </c>
      <c r="C74">
        <v>17.059999000000001</v>
      </c>
      <c r="D74">
        <v>2</v>
      </c>
      <c r="E74" t="str">
        <f t="shared" si="1"/>
        <v>Red</v>
      </c>
      <c r="F74">
        <v>2</v>
      </c>
      <c r="G74">
        <v>1</v>
      </c>
      <c r="M74" s="32" t="s">
        <v>124</v>
      </c>
      <c r="N74" s="31">
        <v>8.3575685661514392E-3</v>
      </c>
      <c r="O74" s="31"/>
      <c r="P74" s="31">
        <v>8.3575685661514392E-3</v>
      </c>
    </row>
    <row r="75" spans="1:16" x14ac:dyDescent="0.25">
      <c r="A75" s="28">
        <v>42643</v>
      </c>
      <c r="B75" s="17">
        <v>-1.23445084432539E-3</v>
      </c>
      <c r="C75">
        <v>13.29</v>
      </c>
      <c r="D75">
        <v>1</v>
      </c>
      <c r="E75" t="str">
        <f t="shared" si="1"/>
        <v>Red</v>
      </c>
      <c r="F75">
        <v>1</v>
      </c>
      <c r="G75">
        <v>2</v>
      </c>
      <c r="M75" s="32" t="s">
        <v>125</v>
      </c>
      <c r="N75" s="31">
        <v>8.1044106872726104E-2</v>
      </c>
      <c r="O75" s="31"/>
      <c r="P75" s="31">
        <v>8.1044106872726104E-2</v>
      </c>
    </row>
    <row r="76" spans="1:16" x14ac:dyDescent="0.25">
      <c r="A76" s="28">
        <v>42613</v>
      </c>
      <c r="B76" s="17">
        <v>-1.2192431360480401E-3</v>
      </c>
      <c r="C76">
        <v>13.42</v>
      </c>
      <c r="D76">
        <v>1</v>
      </c>
      <c r="E76" t="str">
        <f t="shared" si="1"/>
        <v>Red</v>
      </c>
      <c r="F76">
        <v>2</v>
      </c>
      <c r="G76">
        <v>1</v>
      </c>
      <c r="M76" s="32" t="s">
        <v>126</v>
      </c>
      <c r="N76" s="31">
        <v>5.0898709664177998E-2</v>
      </c>
      <c r="O76" s="31"/>
      <c r="P76" s="31">
        <v>5.0898709664177998E-2</v>
      </c>
    </row>
    <row r="77" spans="1:16" x14ac:dyDescent="0.25">
      <c r="A77" s="28">
        <v>42580</v>
      </c>
      <c r="B77" s="17">
        <v>3.5609801125254401E-2</v>
      </c>
      <c r="C77">
        <v>11.87</v>
      </c>
      <c r="D77">
        <v>1</v>
      </c>
      <c r="E77" t="str">
        <f t="shared" si="1"/>
        <v>Green</v>
      </c>
      <c r="F77">
        <v>1</v>
      </c>
      <c r="G77">
        <v>1</v>
      </c>
      <c r="M77" s="32" t="s">
        <v>127</v>
      </c>
      <c r="N77" s="31">
        <v>1.13222145251615E-2</v>
      </c>
      <c r="O77" s="31"/>
      <c r="P77" s="31">
        <v>1.13222145251615E-2</v>
      </c>
    </row>
    <row r="78" spans="1:16" x14ac:dyDescent="0.25">
      <c r="A78" s="28">
        <v>42551</v>
      </c>
      <c r="B78" s="17">
        <v>9.1092112097812495E-4</v>
      </c>
      <c r="C78">
        <v>15.63</v>
      </c>
      <c r="D78">
        <v>2</v>
      </c>
      <c r="E78" t="str">
        <f t="shared" si="1"/>
        <v>Green</v>
      </c>
      <c r="F78">
        <v>2</v>
      </c>
      <c r="G78">
        <v>2</v>
      </c>
      <c r="M78" s="32" t="s">
        <v>128</v>
      </c>
      <c r="N78" s="31">
        <v>1.62237024114931E-2</v>
      </c>
      <c r="O78" s="31"/>
      <c r="P78" s="31">
        <v>1.62237024114931E-2</v>
      </c>
    </row>
    <row r="79" spans="1:16" x14ac:dyDescent="0.25">
      <c r="A79" s="28">
        <v>42521</v>
      </c>
      <c r="B79" s="17">
        <v>1.53246023575726E-2</v>
      </c>
      <c r="C79">
        <v>14.19</v>
      </c>
      <c r="D79">
        <v>2</v>
      </c>
      <c r="E79" t="str">
        <f t="shared" si="1"/>
        <v>Green</v>
      </c>
      <c r="F79">
        <v>5</v>
      </c>
      <c r="G79">
        <v>3</v>
      </c>
      <c r="M79" s="32" t="s">
        <v>129</v>
      </c>
      <c r="N79" s="31">
        <v>1.7873203376464399E-2</v>
      </c>
      <c r="O79" s="31"/>
      <c r="P79" s="31">
        <v>1.7873203376464399E-2</v>
      </c>
    </row>
    <row r="80" spans="1:16" x14ac:dyDescent="0.25">
      <c r="A80" s="28">
        <v>42489</v>
      </c>
      <c r="B80" s="17">
        <v>2.6993984808731902E-3</v>
      </c>
      <c r="C80">
        <v>15.7</v>
      </c>
      <c r="D80">
        <v>2</v>
      </c>
      <c r="E80" t="str">
        <f t="shared" si="1"/>
        <v>Green</v>
      </c>
      <c r="F80">
        <v>4</v>
      </c>
      <c r="G80">
        <v>3</v>
      </c>
      <c r="M80" s="32" t="s">
        <v>107</v>
      </c>
      <c r="N80" s="31"/>
      <c r="O80" s="31">
        <v>-1.1944364520745199E-2</v>
      </c>
      <c r="P80" s="31">
        <v>-1.1944364520745199E-2</v>
      </c>
    </row>
    <row r="81" spans="1:16" x14ac:dyDescent="0.25">
      <c r="A81" s="28">
        <v>42460</v>
      </c>
      <c r="B81" s="17">
        <v>6.5991114577365104E-2</v>
      </c>
      <c r="C81">
        <v>13.95</v>
      </c>
      <c r="D81">
        <v>2</v>
      </c>
      <c r="E81" t="str">
        <f t="shared" si="1"/>
        <v>Green</v>
      </c>
      <c r="F81">
        <v>10</v>
      </c>
      <c r="G81">
        <v>1</v>
      </c>
      <c r="M81" s="32" t="s">
        <v>130</v>
      </c>
      <c r="N81" s="31">
        <v>5.4961486384010702E-2</v>
      </c>
      <c r="O81" s="31"/>
      <c r="P81" s="31">
        <v>5.4961486384010702E-2</v>
      </c>
    </row>
    <row r="82" spans="1:16" x14ac:dyDescent="0.25">
      <c r="A82" s="28">
        <v>42429</v>
      </c>
      <c r="B82" s="17">
        <v>-4.12836043029907E-3</v>
      </c>
      <c r="C82">
        <v>20.549999</v>
      </c>
      <c r="D82">
        <v>3</v>
      </c>
      <c r="E82" t="str">
        <f t="shared" si="1"/>
        <v>Red</v>
      </c>
      <c r="F82">
        <v>6</v>
      </c>
      <c r="G82">
        <v>2</v>
      </c>
      <c r="M82" s="32" t="s">
        <v>131</v>
      </c>
      <c r="N82" s="31">
        <v>7.1285038478854403E-3</v>
      </c>
      <c r="O82" s="31"/>
      <c r="P82" s="31">
        <v>7.1285038478854403E-3</v>
      </c>
    </row>
    <row r="83" spans="1:16" x14ac:dyDescent="0.25">
      <c r="A83" s="28">
        <v>42398</v>
      </c>
      <c r="B83" s="17">
        <v>-5.0735321972946397E-2</v>
      </c>
      <c r="C83">
        <v>20.200001</v>
      </c>
      <c r="D83">
        <v>3</v>
      </c>
      <c r="E83" t="str">
        <f t="shared" si="1"/>
        <v>Red</v>
      </c>
      <c r="F83">
        <v>1</v>
      </c>
      <c r="G83">
        <v>1</v>
      </c>
      <c r="M83" s="32" t="s">
        <v>93</v>
      </c>
      <c r="N83" s="31">
        <v>5.0765541001239298E-2</v>
      </c>
      <c r="O83" s="31"/>
      <c r="P83" s="31">
        <v>5.0765541001239298E-2</v>
      </c>
    </row>
    <row r="84" spans="1:16" x14ac:dyDescent="0.25">
      <c r="A84" s="28">
        <v>42369</v>
      </c>
      <c r="B84" s="17">
        <v>-1.7530185176314401E-2</v>
      </c>
      <c r="C84">
        <v>18.209999</v>
      </c>
      <c r="D84">
        <v>3</v>
      </c>
      <c r="E84" t="str">
        <f t="shared" si="1"/>
        <v>Red</v>
      </c>
      <c r="F84">
        <v>4</v>
      </c>
      <c r="G84">
        <v>1</v>
      </c>
      <c r="M84" s="30" t="s">
        <v>99</v>
      </c>
      <c r="N84" s="31">
        <v>7.8232921000209982E-2</v>
      </c>
      <c r="O84" s="31">
        <v>-0.53277100444679415</v>
      </c>
      <c r="P84" s="31">
        <v>-0.4545380834465842</v>
      </c>
    </row>
    <row r="85" spans="1:16" x14ac:dyDescent="0.25">
      <c r="A85" s="28">
        <v>42338</v>
      </c>
      <c r="B85" s="17">
        <v>5.0486926072412796E-4</v>
      </c>
      <c r="C85">
        <v>16.129999000000002</v>
      </c>
      <c r="D85">
        <v>2</v>
      </c>
      <c r="E85" t="str">
        <f t="shared" si="1"/>
        <v>Green</v>
      </c>
      <c r="F85">
        <v>2</v>
      </c>
      <c r="G85">
        <v>1</v>
      </c>
      <c r="M85" s="32" t="s">
        <v>122</v>
      </c>
      <c r="N85" s="31"/>
      <c r="O85" s="31">
        <v>-6.1163431935936402E-2</v>
      </c>
      <c r="P85" s="31">
        <v>-6.1163431935936402E-2</v>
      </c>
    </row>
    <row r="86" spans="1:16" x14ac:dyDescent="0.25">
      <c r="A86" s="28">
        <v>42307</v>
      </c>
      <c r="B86" s="17">
        <v>8.2983117760394104E-2</v>
      </c>
      <c r="C86">
        <v>15.07</v>
      </c>
      <c r="D86">
        <v>2</v>
      </c>
      <c r="E86" t="str">
        <f t="shared" si="1"/>
        <v>Green</v>
      </c>
      <c r="F86">
        <v>4</v>
      </c>
      <c r="G86">
        <v>1</v>
      </c>
      <c r="M86" s="32" t="s">
        <v>123</v>
      </c>
      <c r="N86" s="31"/>
      <c r="O86" s="31">
        <v>-3.4761192772624502E-2</v>
      </c>
      <c r="P86" s="31">
        <v>-3.4761192772624502E-2</v>
      </c>
    </row>
    <row r="87" spans="1:16" x14ac:dyDescent="0.25">
      <c r="A87" s="28">
        <v>42277</v>
      </c>
      <c r="B87" s="17">
        <v>-2.6442831573227101E-2</v>
      </c>
      <c r="C87">
        <v>24.5</v>
      </c>
      <c r="D87">
        <v>4</v>
      </c>
      <c r="E87" t="str">
        <f t="shared" si="1"/>
        <v>Red</v>
      </c>
      <c r="F87">
        <v>5</v>
      </c>
      <c r="G87">
        <v>3</v>
      </c>
      <c r="M87" s="32" t="s">
        <v>124</v>
      </c>
      <c r="N87" s="31"/>
      <c r="O87" s="31">
        <v>-5.95962361452984E-3</v>
      </c>
      <c r="P87" s="31">
        <v>-5.95962361452984E-3</v>
      </c>
    </row>
    <row r="88" spans="1:16" x14ac:dyDescent="0.25">
      <c r="A88" s="28">
        <v>42247</v>
      </c>
      <c r="B88" s="17">
        <v>-6.2580818167202804E-2</v>
      </c>
      <c r="C88">
        <v>28.43</v>
      </c>
      <c r="D88">
        <v>4</v>
      </c>
      <c r="E88" t="str">
        <f t="shared" si="1"/>
        <v>Red</v>
      </c>
      <c r="F88">
        <v>2</v>
      </c>
      <c r="G88">
        <v>2</v>
      </c>
      <c r="M88" s="32" t="s">
        <v>125</v>
      </c>
      <c r="N88" s="31">
        <v>4.7546697913198897E-2</v>
      </c>
      <c r="O88" s="31"/>
      <c r="P88" s="31">
        <v>4.7546697913198897E-2</v>
      </c>
    </row>
    <row r="89" spans="1:16" x14ac:dyDescent="0.25">
      <c r="A89" s="28">
        <v>42216</v>
      </c>
      <c r="B89" s="17">
        <v>1.9742029696721501E-2</v>
      </c>
      <c r="C89">
        <v>12.12</v>
      </c>
      <c r="D89">
        <v>1</v>
      </c>
      <c r="E89" t="str">
        <f t="shared" si="1"/>
        <v>Green</v>
      </c>
      <c r="F89">
        <v>7</v>
      </c>
      <c r="G89">
        <v>1</v>
      </c>
      <c r="M89" s="32" t="s">
        <v>126</v>
      </c>
      <c r="N89" s="31">
        <v>1.06741816575771E-2</v>
      </c>
      <c r="O89" s="31"/>
      <c r="P89" s="31">
        <v>1.06741816575771E-2</v>
      </c>
    </row>
    <row r="90" spans="1:16" x14ac:dyDescent="0.25">
      <c r="A90" s="28">
        <v>42185</v>
      </c>
      <c r="B90" s="17">
        <v>-2.10116723759005E-2</v>
      </c>
      <c r="C90">
        <v>18.23</v>
      </c>
      <c r="D90">
        <v>3</v>
      </c>
      <c r="E90" t="str">
        <f t="shared" si="1"/>
        <v>Red</v>
      </c>
      <c r="F90">
        <v>1</v>
      </c>
      <c r="G90">
        <v>1</v>
      </c>
      <c r="M90" s="32" t="s">
        <v>127</v>
      </c>
      <c r="N90" s="31"/>
      <c r="O90" s="31">
        <v>-8.5962384902803599E-2</v>
      </c>
      <c r="P90" s="31">
        <v>-8.5962384902803599E-2</v>
      </c>
    </row>
    <row r="91" spans="1:16" x14ac:dyDescent="0.25">
      <c r="A91" s="28">
        <v>42153</v>
      </c>
      <c r="B91" s="17">
        <v>1.04913823933168E-2</v>
      </c>
      <c r="C91">
        <v>13.84</v>
      </c>
      <c r="D91">
        <v>2</v>
      </c>
      <c r="E91" t="str">
        <f t="shared" si="1"/>
        <v>Green</v>
      </c>
      <c r="F91">
        <v>1</v>
      </c>
      <c r="G91">
        <v>1</v>
      </c>
      <c r="M91" s="32" t="s">
        <v>128</v>
      </c>
      <c r="N91" s="31"/>
      <c r="O91" s="31">
        <v>-9.8593710937500099E-3</v>
      </c>
      <c r="P91" s="31">
        <v>-9.8593710937500099E-3</v>
      </c>
    </row>
    <row r="92" spans="1:16" x14ac:dyDescent="0.25">
      <c r="A92" s="28">
        <v>42124</v>
      </c>
      <c r="B92" s="17">
        <v>8.5208197301247495E-3</v>
      </c>
      <c r="C92">
        <v>14.55</v>
      </c>
      <c r="D92">
        <v>2</v>
      </c>
      <c r="E92" t="str">
        <f t="shared" si="1"/>
        <v>Green</v>
      </c>
      <c r="F92">
        <v>1</v>
      </c>
      <c r="G92">
        <v>2</v>
      </c>
      <c r="M92" s="32" t="s">
        <v>129</v>
      </c>
      <c r="N92" s="31">
        <v>1.2190464532379999E-2</v>
      </c>
      <c r="O92" s="31"/>
      <c r="P92" s="31">
        <v>1.2190464532379999E-2</v>
      </c>
    </row>
    <row r="93" spans="1:16" x14ac:dyDescent="0.25">
      <c r="A93" s="28">
        <v>42094</v>
      </c>
      <c r="B93" s="17">
        <v>-1.7396106913756301E-2</v>
      </c>
      <c r="C93">
        <v>15.29</v>
      </c>
      <c r="D93">
        <v>2</v>
      </c>
      <c r="E93" t="str">
        <f t="shared" si="1"/>
        <v>Red</v>
      </c>
      <c r="F93">
        <v>1</v>
      </c>
      <c r="G93">
        <v>1</v>
      </c>
      <c r="M93" s="32" t="s">
        <v>107</v>
      </c>
      <c r="N93" s="31"/>
      <c r="O93" s="31">
        <v>-9.0791433779084593E-2</v>
      </c>
      <c r="P93" s="31">
        <v>-9.0791433779084593E-2</v>
      </c>
    </row>
    <row r="94" spans="1:16" x14ac:dyDescent="0.25">
      <c r="A94" s="28">
        <v>42062</v>
      </c>
      <c r="B94" s="17">
        <v>5.4892511014553898E-2</v>
      </c>
      <c r="C94">
        <v>13.34</v>
      </c>
      <c r="D94">
        <v>1</v>
      </c>
      <c r="E94" t="str">
        <f t="shared" si="1"/>
        <v>Green</v>
      </c>
      <c r="F94">
        <v>1</v>
      </c>
      <c r="G94">
        <v>1</v>
      </c>
      <c r="M94" s="32" t="s">
        <v>130</v>
      </c>
      <c r="N94" s="31"/>
      <c r="O94" s="31">
        <v>-0.16942452376742001</v>
      </c>
      <c r="P94" s="31">
        <v>-0.16942452376742001</v>
      </c>
    </row>
    <row r="95" spans="1:16" x14ac:dyDescent="0.25">
      <c r="A95" s="28">
        <v>42034</v>
      </c>
      <c r="B95" s="17">
        <v>-3.1040805790470201E-2</v>
      </c>
      <c r="C95">
        <v>20.969999000000001</v>
      </c>
      <c r="D95">
        <v>3</v>
      </c>
      <c r="E95" t="str">
        <f t="shared" si="1"/>
        <v>Red</v>
      </c>
      <c r="M95" s="32" t="s">
        <v>131</v>
      </c>
      <c r="N95" s="31"/>
      <c r="O95" s="31">
        <v>-7.4849042580645203E-2</v>
      </c>
      <c r="P95" s="31">
        <v>-7.4849042580645203E-2</v>
      </c>
    </row>
    <row r="96" spans="1:16" x14ac:dyDescent="0.25">
      <c r="A96" s="28">
        <v>42004</v>
      </c>
      <c r="B96" s="17">
        <v>-4.1885878779204201E-3</v>
      </c>
      <c r="C96">
        <v>19.200001</v>
      </c>
      <c r="D96">
        <v>3</v>
      </c>
      <c r="E96" t="str">
        <f t="shared" si="1"/>
        <v>Red</v>
      </c>
      <c r="M96" s="32" t="s">
        <v>93</v>
      </c>
      <c r="N96" s="31">
        <v>7.8215768970539799E-3</v>
      </c>
      <c r="O96" s="31"/>
      <c r="P96" s="31">
        <v>7.8215768970539799E-3</v>
      </c>
    </row>
    <row r="97" spans="1:16" x14ac:dyDescent="0.25">
      <c r="A97" s="28">
        <v>41971</v>
      </c>
      <c r="B97" s="17">
        <v>2.4533588760364801E-2</v>
      </c>
      <c r="C97">
        <v>13.33</v>
      </c>
      <c r="D97">
        <v>1</v>
      </c>
      <c r="E97" t="str">
        <f t="shared" si="1"/>
        <v>Green</v>
      </c>
      <c r="M97" s="30" t="s">
        <v>100</v>
      </c>
      <c r="N97" s="31">
        <v>0.45116670948579218</v>
      </c>
      <c r="O97" s="31">
        <v>-0.21535054136022189</v>
      </c>
      <c r="P97" s="31">
        <v>0.23581616812557024</v>
      </c>
    </row>
    <row r="98" spans="1:16" x14ac:dyDescent="0.25">
      <c r="A98" s="28">
        <v>41943</v>
      </c>
      <c r="B98" s="17">
        <v>2.32014607867723E-2</v>
      </c>
      <c r="C98">
        <v>14.03</v>
      </c>
      <c r="D98">
        <v>2</v>
      </c>
      <c r="E98" t="str">
        <f t="shared" si="1"/>
        <v>Green</v>
      </c>
      <c r="M98" s="32" t="s">
        <v>122</v>
      </c>
      <c r="N98" s="31"/>
      <c r="O98" s="31">
        <v>-8.5657342928314395E-2</v>
      </c>
      <c r="P98" s="31">
        <v>-8.5657342928314395E-2</v>
      </c>
    </row>
    <row r="99" spans="1:16" x14ac:dyDescent="0.25">
      <c r="A99" s="28">
        <v>41912</v>
      </c>
      <c r="B99" s="17">
        <v>-1.5513837223063799E-2</v>
      </c>
      <c r="C99">
        <v>16.309999000000001</v>
      </c>
      <c r="D99">
        <v>2</v>
      </c>
      <c r="E99" t="str">
        <f t="shared" si="1"/>
        <v>Red</v>
      </c>
      <c r="M99" s="32" t="s">
        <v>123</v>
      </c>
      <c r="N99" s="31"/>
      <c r="O99" s="31">
        <v>-0.109931197571492</v>
      </c>
      <c r="P99" s="31">
        <v>-0.109931197571492</v>
      </c>
    </row>
    <row r="100" spans="1:16" x14ac:dyDescent="0.25">
      <c r="A100" s="28">
        <v>41880</v>
      </c>
      <c r="B100" s="17">
        <v>3.7655295489735098E-2</v>
      </c>
      <c r="C100">
        <v>12.09</v>
      </c>
      <c r="D100">
        <v>1</v>
      </c>
      <c r="E100" t="str">
        <f t="shared" si="1"/>
        <v>Green</v>
      </c>
      <c r="M100" s="32" t="s">
        <v>124</v>
      </c>
      <c r="N100" s="31">
        <v>8.5404461622494696E-2</v>
      </c>
      <c r="O100" s="31"/>
      <c r="P100" s="31">
        <v>8.5404461622494696E-2</v>
      </c>
    </row>
    <row r="101" spans="1:16" x14ac:dyDescent="0.25">
      <c r="A101" s="28">
        <v>41851</v>
      </c>
      <c r="B101" s="17">
        <v>-1.50798305819199E-2</v>
      </c>
      <c r="C101">
        <v>16.950001</v>
      </c>
      <c r="D101">
        <v>2</v>
      </c>
      <c r="E101" t="str">
        <f t="shared" si="1"/>
        <v>Red</v>
      </c>
      <c r="M101" s="32" t="s">
        <v>125</v>
      </c>
      <c r="N101" s="31">
        <v>9.3925079862164695E-2</v>
      </c>
      <c r="O101" s="31"/>
      <c r="P101" s="31">
        <v>9.3925079862164695E-2</v>
      </c>
    </row>
    <row r="102" spans="1:16" x14ac:dyDescent="0.25">
      <c r="A102" s="28">
        <v>41820</v>
      </c>
      <c r="B102" s="17">
        <v>1.90583316589206E-2</v>
      </c>
      <c r="C102">
        <v>11.57</v>
      </c>
      <c r="D102">
        <v>1</v>
      </c>
      <c r="E102" t="str">
        <f t="shared" si="1"/>
        <v>Green</v>
      </c>
      <c r="M102" s="32" t="s">
        <v>126</v>
      </c>
      <c r="N102" s="31">
        <v>5.3081446255385502E-2</v>
      </c>
      <c r="O102" s="31"/>
      <c r="P102" s="31">
        <v>5.3081446255385502E-2</v>
      </c>
    </row>
    <row r="103" spans="1:16" x14ac:dyDescent="0.25">
      <c r="A103" s="28">
        <v>41789</v>
      </c>
      <c r="B103" s="17">
        <v>2.1030280012995999E-2</v>
      </c>
      <c r="C103">
        <v>11.4</v>
      </c>
      <c r="D103">
        <v>1</v>
      </c>
      <c r="E103" t="str">
        <f t="shared" si="1"/>
        <v>Green</v>
      </c>
      <c r="M103" s="32" t="s">
        <v>127</v>
      </c>
      <c r="N103" s="31">
        <v>1.9582653030303401E-4</v>
      </c>
      <c r="O103" s="31"/>
      <c r="P103" s="31">
        <v>1.9582653030303401E-4</v>
      </c>
    </row>
    <row r="104" spans="1:16" x14ac:dyDescent="0.25">
      <c r="A104" s="28">
        <v>41759</v>
      </c>
      <c r="B104" s="17">
        <v>6.2007889650528298E-3</v>
      </c>
      <c r="C104">
        <v>13.41</v>
      </c>
      <c r="D104">
        <v>1</v>
      </c>
      <c r="E104" t="str">
        <f t="shared" si="1"/>
        <v>Green</v>
      </c>
      <c r="M104" s="32" t="s">
        <v>128</v>
      </c>
      <c r="N104" s="31">
        <v>7.4141727016716605E-2</v>
      </c>
      <c r="O104" s="31"/>
      <c r="P104" s="31">
        <v>7.4141727016716605E-2</v>
      </c>
    </row>
    <row r="105" spans="1:16" x14ac:dyDescent="0.25">
      <c r="A105" s="28">
        <v>41729</v>
      </c>
      <c r="B105" s="17">
        <v>6.93216560793575E-3</v>
      </c>
      <c r="C105">
        <v>13.88</v>
      </c>
      <c r="D105">
        <v>2</v>
      </c>
      <c r="E105" t="str">
        <f t="shared" si="1"/>
        <v>Green</v>
      </c>
      <c r="M105" s="32" t="s">
        <v>129</v>
      </c>
      <c r="N105" s="31">
        <v>3.3560189240494899E-2</v>
      </c>
      <c r="O105" s="31"/>
      <c r="P105" s="31">
        <v>3.3560189240494899E-2</v>
      </c>
    </row>
    <row r="106" spans="1:16" x14ac:dyDescent="0.25">
      <c r="A106" s="28">
        <v>41698</v>
      </c>
      <c r="B106" s="17">
        <v>4.3117029976595299E-2</v>
      </c>
      <c r="C106">
        <v>14</v>
      </c>
      <c r="D106">
        <v>2</v>
      </c>
      <c r="E106" t="str">
        <f t="shared" si="1"/>
        <v>Green</v>
      </c>
      <c r="M106" s="32" t="s">
        <v>107</v>
      </c>
      <c r="N106" s="31">
        <v>3.5723345788458698E-2</v>
      </c>
      <c r="O106" s="31"/>
      <c r="P106" s="31">
        <v>3.5723345788458698E-2</v>
      </c>
    </row>
    <row r="107" spans="1:16" x14ac:dyDescent="0.25">
      <c r="A107" s="28">
        <v>41670</v>
      </c>
      <c r="B107" s="17">
        <v>-3.5582905675162597E-2</v>
      </c>
      <c r="C107">
        <v>18.41</v>
      </c>
      <c r="D107">
        <v>3</v>
      </c>
      <c r="E107" t="str">
        <f t="shared" si="1"/>
        <v>Red</v>
      </c>
      <c r="M107" s="32" t="s">
        <v>130</v>
      </c>
      <c r="N107" s="31"/>
      <c r="O107" s="31">
        <v>-1.9762000860415501E-2</v>
      </c>
      <c r="P107" s="31">
        <v>-1.9762000860415501E-2</v>
      </c>
    </row>
    <row r="108" spans="1:16" x14ac:dyDescent="0.25">
      <c r="A108" s="28">
        <v>41639</v>
      </c>
      <c r="B108" s="17">
        <v>2.35627915504928E-2</v>
      </c>
      <c r="C108">
        <v>13.72</v>
      </c>
      <c r="D108">
        <v>1</v>
      </c>
      <c r="E108" t="str">
        <f t="shared" si="1"/>
        <v>Green</v>
      </c>
      <c r="M108" s="32" t="s">
        <v>131</v>
      </c>
      <c r="N108" s="31">
        <v>5.7364061981373601E-2</v>
      </c>
      <c r="O108" s="31"/>
      <c r="P108" s="31">
        <v>5.7364061981373601E-2</v>
      </c>
    </row>
    <row r="109" spans="1:16" x14ac:dyDescent="0.25">
      <c r="A109" s="28">
        <v>41607</v>
      </c>
      <c r="B109" s="17">
        <v>2.80494716351865E-2</v>
      </c>
      <c r="C109">
        <v>13.7</v>
      </c>
      <c r="D109">
        <v>1</v>
      </c>
      <c r="E109" t="str">
        <f t="shared" si="1"/>
        <v>Green</v>
      </c>
      <c r="M109" s="32" t="s">
        <v>93</v>
      </c>
      <c r="N109" s="31">
        <v>1.7770571188400398E-2</v>
      </c>
      <c r="O109" s="31"/>
      <c r="P109" s="31">
        <v>1.7770571188400398E-2</v>
      </c>
    </row>
    <row r="110" spans="1:16" x14ac:dyDescent="0.25">
      <c r="A110" s="28">
        <v>41578</v>
      </c>
      <c r="B110" s="17">
        <v>4.45957526180061E-2</v>
      </c>
      <c r="C110">
        <v>13.75</v>
      </c>
      <c r="D110">
        <v>1</v>
      </c>
      <c r="E110" t="str">
        <f t="shared" si="1"/>
        <v>Green</v>
      </c>
      <c r="M110" s="30" t="s">
        <v>174</v>
      </c>
      <c r="N110" s="31">
        <v>0.19935332096078817</v>
      </c>
      <c r="O110" s="31">
        <v>-0.18789196398934321</v>
      </c>
      <c r="P110" s="31">
        <v>1.1461356971444941E-2</v>
      </c>
    </row>
    <row r="111" spans="1:16" x14ac:dyDescent="0.25">
      <c r="A111" s="28">
        <v>41547</v>
      </c>
      <c r="B111" s="17">
        <v>2.9749523177239098E-2</v>
      </c>
      <c r="C111">
        <v>16.600000000000001</v>
      </c>
      <c r="D111">
        <v>2</v>
      </c>
      <c r="E111" t="str">
        <f t="shared" si="1"/>
        <v>Green</v>
      </c>
      <c r="M111" s="32" t="s">
        <v>122</v>
      </c>
      <c r="N111" s="31">
        <v>2.2645573980086799E-2</v>
      </c>
      <c r="O111" s="31"/>
      <c r="P111" s="31">
        <v>2.2645573980086799E-2</v>
      </c>
    </row>
    <row r="112" spans="1:16" x14ac:dyDescent="0.25">
      <c r="A112" s="28">
        <v>41516</v>
      </c>
      <c r="B112" s="17">
        <v>-3.1298019033866899E-2</v>
      </c>
      <c r="C112">
        <v>17.010000000000002</v>
      </c>
      <c r="D112">
        <v>2</v>
      </c>
      <c r="E112" t="str">
        <f t="shared" si="1"/>
        <v>Red</v>
      </c>
      <c r="M112" s="32" t="s">
        <v>123</v>
      </c>
      <c r="N112" s="31">
        <v>3.1956564052952198E-2</v>
      </c>
      <c r="O112" s="31"/>
      <c r="P112" s="31">
        <v>3.1956564052952198E-2</v>
      </c>
    </row>
    <row r="113" spans="1:16" x14ac:dyDescent="0.25">
      <c r="A113" s="28">
        <v>41486</v>
      </c>
      <c r="B113" s="17">
        <v>4.9462079815224998E-2</v>
      </c>
      <c r="C113">
        <v>13.45</v>
      </c>
      <c r="D113">
        <v>1</v>
      </c>
      <c r="E113" t="str">
        <f t="shared" si="1"/>
        <v>Green</v>
      </c>
      <c r="M113" s="32" t="s">
        <v>124</v>
      </c>
      <c r="N113" s="31"/>
      <c r="O113" s="31">
        <v>-1.0473132038185699E-3</v>
      </c>
      <c r="P113" s="31">
        <v>-1.0473132038185699E-3</v>
      </c>
    </row>
    <row r="114" spans="1:16" x14ac:dyDescent="0.25">
      <c r="A114" s="28">
        <v>41453</v>
      </c>
      <c r="B114" s="17">
        <v>-1.4999301636062799E-2</v>
      </c>
      <c r="C114">
        <v>16.860001</v>
      </c>
      <c r="D114">
        <v>2</v>
      </c>
      <c r="E114" t="str">
        <f t="shared" si="1"/>
        <v>Red</v>
      </c>
      <c r="M114" s="32" t="s">
        <v>125</v>
      </c>
      <c r="N114" s="31">
        <v>2.8495380443795099E-2</v>
      </c>
      <c r="O114" s="31"/>
      <c r="P114" s="31">
        <v>2.8495380443795099E-2</v>
      </c>
    </row>
    <row r="115" spans="1:16" x14ac:dyDescent="0.25">
      <c r="A115" s="28">
        <v>41425</v>
      </c>
      <c r="B115" s="17">
        <v>2.07628117210461E-2</v>
      </c>
      <c r="C115">
        <v>16.299999</v>
      </c>
      <c r="D115">
        <v>2</v>
      </c>
      <c r="E115" t="str">
        <f t="shared" si="1"/>
        <v>Green</v>
      </c>
      <c r="M115" s="32" t="s">
        <v>126</v>
      </c>
      <c r="N115" s="31"/>
      <c r="O115" s="31">
        <v>-1.3500952766930601E-2</v>
      </c>
      <c r="P115" s="31">
        <v>-1.3500952766930601E-2</v>
      </c>
    </row>
    <row r="116" spans="1:16" x14ac:dyDescent="0.25">
      <c r="A116" s="28">
        <v>41394</v>
      </c>
      <c r="B116" s="17">
        <v>1.80857678592523E-2</v>
      </c>
      <c r="C116">
        <v>13.52</v>
      </c>
      <c r="D116">
        <v>1</v>
      </c>
      <c r="E116" t="str">
        <f t="shared" si="1"/>
        <v>Green</v>
      </c>
      <c r="M116" s="32" t="s">
        <v>127</v>
      </c>
      <c r="N116" s="31"/>
      <c r="O116" s="31">
        <v>-1.8257461265697099E-2</v>
      </c>
      <c r="P116" s="31">
        <v>-1.8257461265697099E-2</v>
      </c>
    </row>
    <row r="117" spans="1:16" x14ac:dyDescent="0.25">
      <c r="A117" s="28">
        <v>41361</v>
      </c>
      <c r="B117" s="17">
        <v>3.5987723516956102E-2</v>
      </c>
      <c r="C117">
        <v>12.7</v>
      </c>
      <c r="D117">
        <v>1</v>
      </c>
      <c r="E117" t="str">
        <f t="shared" si="1"/>
        <v>Green</v>
      </c>
      <c r="M117" s="32" t="s">
        <v>128</v>
      </c>
      <c r="N117" s="31"/>
      <c r="O117" s="31">
        <v>-2.1474425791951999E-2</v>
      </c>
      <c r="P117" s="31">
        <v>-2.1474425791951999E-2</v>
      </c>
    </row>
    <row r="118" spans="1:16" x14ac:dyDescent="0.25">
      <c r="A118" s="28">
        <v>41333</v>
      </c>
      <c r="B118" s="17">
        <v>1.10606491952592E-2</v>
      </c>
      <c r="C118">
        <v>15.51</v>
      </c>
      <c r="D118">
        <v>2</v>
      </c>
      <c r="E118" t="str">
        <f t="shared" si="1"/>
        <v>Green</v>
      </c>
      <c r="M118" s="32" t="s">
        <v>129</v>
      </c>
      <c r="N118" s="31"/>
      <c r="O118" s="31">
        <v>-5.6791107463597598E-2</v>
      </c>
      <c r="P118" s="31">
        <v>-5.6791107463597598E-2</v>
      </c>
    </row>
    <row r="119" spans="1:16" x14ac:dyDescent="0.25">
      <c r="A119" s="28">
        <v>41305</v>
      </c>
      <c r="B119" s="17">
        <v>5.0428096519578497E-2</v>
      </c>
      <c r="C119">
        <v>14.28</v>
      </c>
      <c r="D119">
        <v>2</v>
      </c>
      <c r="E119" t="str">
        <f t="shared" si="1"/>
        <v>Green</v>
      </c>
      <c r="M119" s="32" t="s">
        <v>107</v>
      </c>
      <c r="N119" s="31"/>
      <c r="O119" s="31">
        <v>-7.1761988303760099E-2</v>
      </c>
      <c r="P119" s="31">
        <v>-7.1761988303760099E-2</v>
      </c>
    </row>
    <row r="120" spans="1:16" x14ac:dyDescent="0.25">
      <c r="A120" s="28">
        <v>41274</v>
      </c>
      <c r="B120" s="17">
        <v>7.0682304638645102E-3</v>
      </c>
      <c r="C120">
        <v>18.02</v>
      </c>
      <c r="D120">
        <v>2</v>
      </c>
      <c r="E120" t="str">
        <f t="shared" si="1"/>
        <v>Green</v>
      </c>
      <c r="M120" s="32" t="s">
        <v>130</v>
      </c>
      <c r="N120" s="31">
        <v>0.10772303853581</v>
      </c>
      <c r="O120" s="31"/>
      <c r="P120" s="31">
        <v>0.10772303853581</v>
      </c>
    </row>
    <row r="121" spans="1:16" x14ac:dyDescent="0.25">
      <c r="A121" s="28">
        <v>41243</v>
      </c>
      <c r="B121" s="17">
        <v>2.8467170173434001E-3</v>
      </c>
      <c r="C121">
        <v>15.87</v>
      </c>
      <c r="D121">
        <v>2</v>
      </c>
      <c r="E121" t="str">
        <f t="shared" si="1"/>
        <v>Green</v>
      </c>
      <c r="M121" s="32" t="s">
        <v>131</v>
      </c>
      <c r="N121" s="31"/>
      <c r="O121" s="31">
        <v>-5.0587151935872496E-3</v>
      </c>
      <c r="P121" s="31">
        <v>-5.0587151935872496E-3</v>
      </c>
    </row>
    <row r="122" spans="1:16" x14ac:dyDescent="0.25">
      <c r="A122" s="28">
        <v>41213</v>
      </c>
      <c r="B122" s="17">
        <v>-1.9789409878227401E-2</v>
      </c>
      <c r="C122">
        <v>18.600000000000001</v>
      </c>
      <c r="D122">
        <v>3</v>
      </c>
      <c r="E122" t="str">
        <f t="shared" si="1"/>
        <v>Red</v>
      </c>
      <c r="M122" s="32" t="s">
        <v>93</v>
      </c>
      <c r="N122" s="31">
        <v>8.5327639481440603E-3</v>
      </c>
      <c r="O122" s="31"/>
      <c r="P122" s="31">
        <v>8.5327639481440603E-3</v>
      </c>
    </row>
    <row r="123" spans="1:16" x14ac:dyDescent="0.25">
      <c r="A123" s="28">
        <v>41180</v>
      </c>
      <c r="B123" s="17">
        <v>2.4236153696477001E-2</v>
      </c>
      <c r="C123">
        <v>15.73</v>
      </c>
      <c r="D123">
        <v>2</v>
      </c>
      <c r="E123" t="str">
        <f t="shared" si="1"/>
        <v>Green</v>
      </c>
      <c r="M123" s="30" t="s">
        <v>101</v>
      </c>
      <c r="N123" s="31">
        <v>0.17713472985583517</v>
      </c>
      <c r="O123" s="31">
        <v>-0.17600241999687133</v>
      </c>
      <c r="P123" s="31">
        <v>1.1323098589638668E-3</v>
      </c>
    </row>
    <row r="124" spans="1:16" x14ac:dyDescent="0.25">
      <c r="A124" s="28">
        <v>41152</v>
      </c>
      <c r="B124" s="17">
        <v>1.9763369680148201E-2</v>
      </c>
      <c r="C124">
        <v>17.469999000000001</v>
      </c>
      <c r="D124">
        <v>2</v>
      </c>
      <c r="E124" t="str">
        <f t="shared" si="1"/>
        <v>Green</v>
      </c>
      <c r="M124" s="32" t="s">
        <v>122</v>
      </c>
      <c r="N124" s="31"/>
      <c r="O124" s="31">
        <v>-3.1040805790470201E-2</v>
      </c>
      <c r="P124" s="31">
        <v>-3.1040805790470201E-2</v>
      </c>
    </row>
    <row r="125" spans="1:16" x14ac:dyDescent="0.25">
      <c r="A125" s="28">
        <v>41121</v>
      </c>
      <c r="B125" s="17">
        <v>1.25975741261544E-2</v>
      </c>
      <c r="C125">
        <v>18.93</v>
      </c>
      <c r="D125">
        <v>3</v>
      </c>
      <c r="E125" t="str">
        <f t="shared" si="1"/>
        <v>Green</v>
      </c>
      <c r="M125" s="32" t="s">
        <v>123</v>
      </c>
      <c r="N125" s="31">
        <v>5.4892511014553898E-2</v>
      </c>
      <c r="O125" s="31"/>
      <c r="P125" s="31">
        <v>5.4892511014553898E-2</v>
      </c>
    </row>
    <row r="126" spans="1:16" x14ac:dyDescent="0.25">
      <c r="A126" s="28">
        <v>41089</v>
      </c>
      <c r="B126" s="17">
        <v>3.95549821345915E-2</v>
      </c>
      <c r="C126">
        <v>17.079999999999998</v>
      </c>
      <c r="D126">
        <v>2</v>
      </c>
      <c r="E126" t="str">
        <f t="shared" si="1"/>
        <v>Green</v>
      </c>
      <c r="M126" s="32" t="s">
        <v>124</v>
      </c>
      <c r="N126" s="31"/>
      <c r="O126" s="31">
        <v>-1.7396106913756301E-2</v>
      </c>
      <c r="P126" s="31">
        <v>-1.7396106913756301E-2</v>
      </c>
    </row>
    <row r="127" spans="1:16" x14ac:dyDescent="0.25">
      <c r="A127" s="28">
        <v>41060</v>
      </c>
      <c r="B127" s="17">
        <v>-6.2650725633177598E-2</v>
      </c>
      <c r="C127">
        <v>24.059999000000001</v>
      </c>
      <c r="D127">
        <v>4</v>
      </c>
      <c r="E127" t="str">
        <f t="shared" si="1"/>
        <v>Red</v>
      </c>
      <c r="M127" s="32" t="s">
        <v>125</v>
      </c>
      <c r="N127" s="31">
        <v>8.5208197301247495E-3</v>
      </c>
      <c r="O127" s="31"/>
      <c r="P127" s="31">
        <v>8.5208197301247495E-3</v>
      </c>
    </row>
    <row r="128" spans="1:16" x14ac:dyDescent="0.25">
      <c r="A128" s="28">
        <v>41029</v>
      </c>
      <c r="B128" s="17">
        <v>-7.4974527092703802E-3</v>
      </c>
      <c r="C128">
        <v>17.149999999999999</v>
      </c>
      <c r="D128">
        <v>2</v>
      </c>
      <c r="E128" t="str">
        <f t="shared" si="1"/>
        <v>Red</v>
      </c>
      <c r="M128" s="32" t="s">
        <v>126</v>
      </c>
      <c r="N128" s="31">
        <v>1.04913823933168E-2</v>
      </c>
      <c r="O128" s="31"/>
      <c r="P128" s="31">
        <v>1.04913823933168E-2</v>
      </c>
    </row>
    <row r="129" spans="1:16" x14ac:dyDescent="0.25">
      <c r="A129" s="28">
        <v>40998</v>
      </c>
      <c r="B129" s="17">
        <v>3.1332314530530599E-2</v>
      </c>
      <c r="C129">
        <v>15.5</v>
      </c>
      <c r="D129">
        <v>2</v>
      </c>
      <c r="E129" t="str">
        <f t="shared" si="1"/>
        <v>Green</v>
      </c>
      <c r="M129" s="32" t="s">
        <v>127</v>
      </c>
      <c r="N129" s="31"/>
      <c r="O129" s="31">
        <v>-2.10116723759005E-2</v>
      </c>
      <c r="P129" s="31">
        <v>-2.10116723759005E-2</v>
      </c>
    </row>
    <row r="130" spans="1:16" x14ac:dyDescent="0.25">
      <c r="A130" s="28">
        <v>40968</v>
      </c>
      <c r="B130" s="17">
        <v>4.0589464130841697E-2</v>
      </c>
      <c r="C130">
        <v>18.43</v>
      </c>
      <c r="D130">
        <v>3</v>
      </c>
      <c r="E130" t="str">
        <f t="shared" si="1"/>
        <v>Green</v>
      </c>
      <c r="M130" s="32" t="s">
        <v>128</v>
      </c>
      <c r="N130" s="31">
        <v>1.9742029696721501E-2</v>
      </c>
      <c r="O130" s="31"/>
      <c r="P130" s="31">
        <v>1.9742029696721501E-2</v>
      </c>
    </row>
    <row r="131" spans="1:16" x14ac:dyDescent="0.25">
      <c r="A131" s="28">
        <v>40939</v>
      </c>
      <c r="B131" s="17">
        <v>4.3583062218506302E-2</v>
      </c>
      <c r="C131">
        <v>19.440000999999999</v>
      </c>
      <c r="D131">
        <v>3</v>
      </c>
      <c r="E131" t="str">
        <f t="shared" ref="E131:E194" si="2">IF(B131&gt;0,"Green","Red")</f>
        <v>Green</v>
      </c>
      <c r="M131" s="32" t="s">
        <v>129</v>
      </c>
      <c r="N131" s="31"/>
      <c r="O131" s="31">
        <v>-6.2580818167202804E-2</v>
      </c>
      <c r="P131" s="31">
        <v>-6.2580818167202804E-2</v>
      </c>
    </row>
    <row r="132" spans="1:16" x14ac:dyDescent="0.25">
      <c r="A132" s="28">
        <v>40907</v>
      </c>
      <c r="B132" s="17">
        <v>8.5327639481440603E-3</v>
      </c>
      <c r="C132">
        <v>23.4</v>
      </c>
      <c r="D132">
        <v>3</v>
      </c>
      <c r="E132" t="str">
        <f t="shared" si="2"/>
        <v>Green</v>
      </c>
      <c r="M132" s="32" t="s">
        <v>107</v>
      </c>
      <c r="N132" s="31"/>
      <c r="O132" s="31">
        <v>-2.6442831573227101E-2</v>
      </c>
      <c r="P132" s="31">
        <v>-2.6442831573227101E-2</v>
      </c>
    </row>
    <row r="133" spans="1:16" x14ac:dyDescent="0.25">
      <c r="A133" s="28">
        <v>40877</v>
      </c>
      <c r="B133" s="17">
        <v>-5.0587151935872496E-3</v>
      </c>
      <c r="C133">
        <v>27.799999</v>
      </c>
      <c r="D133">
        <v>4</v>
      </c>
      <c r="E133" t="str">
        <f t="shared" si="2"/>
        <v>Red</v>
      </c>
      <c r="M133" s="32" t="s">
        <v>130</v>
      </c>
      <c r="N133" s="31">
        <v>8.2983117760394104E-2</v>
      </c>
      <c r="O133" s="31"/>
      <c r="P133" s="31">
        <v>8.2983117760394104E-2</v>
      </c>
    </row>
    <row r="134" spans="1:16" x14ac:dyDescent="0.25">
      <c r="A134" s="28">
        <v>40847</v>
      </c>
      <c r="B134" s="17">
        <v>0.10772303853581</v>
      </c>
      <c r="C134">
        <v>29.959999</v>
      </c>
      <c r="D134">
        <v>4</v>
      </c>
      <c r="E134" t="str">
        <f t="shared" si="2"/>
        <v>Green</v>
      </c>
      <c r="M134" s="32" t="s">
        <v>131</v>
      </c>
      <c r="N134" s="31">
        <v>5.0486926072412796E-4</v>
      </c>
      <c r="O134" s="31"/>
      <c r="P134" s="31">
        <v>5.0486926072412796E-4</v>
      </c>
    </row>
    <row r="135" spans="1:16" x14ac:dyDescent="0.25">
      <c r="A135" s="28">
        <v>40816</v>
      </c>
      <c r="B135" s="17">
        <v>-7.1761988303760099E-2</v>
      </c>
      <c r="C135">
        <v>42.959999000000003</v>
      </c>
      <c r="D135">
        <v>4</v>
      </c>
      <c r="E135" t="str">
        <f t="shared" si="2"/>
        <v>Red</v>
      </c>
      <c r="M135" s="32" t="s">
        <v>93</v>
      </c>
      <c r="N135" s="31"/>
      <c r="O135" s="31">
        <v>-1.7530185176314401E-2</v>
      </c>
      <c r="P135" s="31">
        <v>-1.7530185176314401E-2</v>
      </c>
    </row>
    <row r="136" spans="1:16" x14ac:dyDescent="0.25">
      <c r="A136" s="28">
        <v>40786</v>
      </c>
      <c r="B136" s="17">
        <v>-5.6791107463597598E-2</v>
      </c>
      <c r="C136">
        <v>31.620000999999998</v>
      </c>
      <c r="D136">
        <v>4</v>
      </c>
      <c r="E136" t="str">
        <f t="shared" si="2"/>
        <v>Red</v>
      </c>
      <c r="M136" s="30" t="s">
        <v>102</v>
      </c>
      <c r="N136" s="31">
        <v>0.17378666914418744</v>
      </c>
      <c r="O136" s="31">
        <v>-0.22701212130771542</v>
      </c>
      <c r="P136" s="31">
        <v>-5.3225452163527955E-2</v>
      </c>
    </row>
    <row r="137" spans="1:16" x14ac:dyDescent="0.25">
      <c r="A137" s="28">
        <v>40753</v>
      </c>
      <c r="B137" s="17">
        <v>-2.1474425791951999E-2</v>
      </c>
      <c r="C137">
        <v>25.25</v>
      </c>
      <c r="D137">
        <v>4</v>
      </c>
      <c r="E137" t="str">
        <f t="shared" si="2"/>
        <v>Red</v>
      </c>
      <c r="M137" s="32" t="s">
        <v>122</v>
      </c>
      <c r="N137" s="31">
        <v>5.6178704444133101E-2</v>
      </c>
      <c r="O137" s="31"/>
      <c r="P137" s="31">
        <v>5.6178704444133101E-2</v>
      </c>
    </row>
    <row r="138" spans="1:16" x14ac:dyDescent="0.25">
      <c r="A138" s="28">
        <v>40724</v>
      </c>
      <c r="B138" s="17">
        <v>-1.8257461265697099E-2</v>
      </c>
      <c r="C138">
        <v>16.52</v>
      </c>
      <c r="D138">
        <v>2</v>
      </c>
      <c r="E138" t="str">
        <f t="shared" si="2"/>
        <v>Red</v>
      </c>
      <c r="M138" s="32" t="s">
        <v>123</v>
      </c>
      <c r="N138" s="31"/>
      <c r="O138" s="31">
        <v>-3.8947372061896898E-2</v>
      </c>
      <c r="P138" s="31">
        <v>-3.8947372061896898E-2</v>
      </c>
    </row>
    <row r="139" spans="1:16" x14ac:dyDescent="0.25">
      <c r="A139" s="28">
        <v>40694</v>
      </c>
      <c r="B139" s="17">
        <v>-1.3500952766930601E-2</v>
      </c>
      <c r="C139">
        <v>15.45</v>
      </c>
      <c r="D139">
        <v>2</v>
      </c>
      <c r="E139" t="str">
        <f t="shared" si="2"/>
        <v>Red</v>
      </c>
      <c r="M139" s="32" t="s">
        <v>124</v>
      </c>
      <c r="N139" s="31"/>
      <c r="O139" s="31">
        <v>-2.6884498624825101E-2</v>
      </c>
      <c r="P139" s="31">
        <v>-2.6884498624825101E-2</v>
      </c>
    </row>
    <row r="140" spans="1:16" x14ac:dyDescent="0.25">
      <c r="A140" s="28">
        <v>40662</v>
      </c>
      <c r="B140" s="17">
        <v>2.8495380443795099E-2</v>
      </c>
      <c r="C140">
        <v>14.75</v>
      </c>
      <c r="D140">
        <v>2</v>
      </c>
      <c r="E140" t="str">
        <f t="shared" si="2"/>
        <v>Green</v>
      </c>
      <c r="M140" s="32" t="s">
        <v>125</v>
      </c>
      <c r="N140" s="31">
        <v>2.7187751316435399E-3</v>
      </c>
      <c r="O140" s="31"/>
      <c r="P140" s="31">
        <v>2.7187751316435399E-3</v>
      </c>
    </row>
    <row r="141" spans="1:16" x14ac:dyDescent="0.25">
      <c r="A141" s="28">
        <v>40633</v>
      </c>
      <c r="B141" s="17">
        <v>-1.0473132038185699E-3</v>
      </c>
      <c r="C141">
        <v>17.739999999999998</v>
      </c>
      <c r="D141">
        <v>2</v>
      </c>
      <c r="E141" t="str">
        <f t="shared" si="2"/>
        <v>Red</v>
      </c>
      <c r="M141" s="32" t="s">
        <v>126</v>
      </c>
      <c r="N141" s="31">
        <v>2.1608341965291902E-2</v>
      </c>
      <c r="O141" s="31"/>
      <c r="P141" s="31">
        <v>2.1608341965291902E-2</v>
      </c>
    </row>
    <row r="142" spans="1:16" x14ac:dyDescent="0.25">
      <c r="A142" s="28">
        <v>40602</v>
      </c>
      <c r="B142" s="17">
        <v>3.1956564052952198E-2</v>
      </c>
      <c r="C142">
        <v>18.350000000000001</v>
      </c>
      <c r="D142">
        <v>3</v>
      </c>
      <c r="E142" t="str">
        <f t="shared" si="2"/>
        <v>Green</v>
      </c>
      <c r="M142" s="32" t="s">
        <v>127</v>
      </c>
      <c r="N142" s="31">
        <v>4.8424360241865498E-3</v>
      </c>
      <c r="O142" s="31"/>
      <c r="P142" s="31">
        <v>4.8424360241865498E-3</v>
      </c>
    </row>
    <row r="143" spans="1:16" x14ac:dyDescent="0.25">
      <c r="A143" s="28">
        <v>40574</v>
      </c>
      <c r="B143" s="17">
        <v>2.2645573980086799E-2</v>
      </c>
      <c r="C143">
        <v>19.530000999999999</v>
      </c>
      <c r="D143">
        <v>3</v>
      </c>
      <c r="E143" t="str">
        <f t="shared" si="2"/>
        <v>Green</v>
      </c>
      <c r="M143" s="32" t="s">
        <v>128</v>
      </c>
      <c r="N143" s="31">
        <v>3.6021556221367303E-2</v>
      </c>
      <c r="O143" s="31"/>
      <c r="P143" s="31">
        <v>3.6021556221367303E-2</v>
      </c>
    </row>
    <row r="144" spans="1:16" x14ac:dyDescent="0.25">
      <c r="A144" s="28">
        <v>40543</v>
      </c>
      <c r="B144" s="17">
        <v>6.5300040489854702E-2</v>
      </c>
      <c r="C144">
        <v>17.75</v>
      </c>
      <c r="D144">
        <v>2</v>
      </c>
      <c r="E144" t="str">
        <f t="shared" si="2"/>
        <v>Green</v>
      </c>
      <c r="M144" s="32" t="s">
        <v>129</v>
      </c>
      <c r="N144" s="31">
        <v>3.0263211466054599E-2</v>
      </c>
      <c r="O144" s="31"/>
      <c r="P144" s="31">
        <v>3.0263211466054599E-2</v>
      </c>
    </row>
    <row r="145" spans="1:16" x14ac:dyDescent="0.25">
      <c r="A145" s="28">
        <v>40512</v>
      </c>
      <c r="B145" s="17">
        <v>-2.29024979894321E-3</v>
      </c>
      <c r="C145">
        <v>23.540001</v>
      </c>
      <c r="D145">
        <v>3</v>
      </c>
      <c r="E145" t="str">
        <f t="shared" si="2"/>
        <v>Red</v>
      </c>
      <c r="M145" s="32" t="s">
        <v>107</v>
      </c>
      <c r="N145" s="31">
        <v>4.29428710266144E-3</v>
      </c>
      <c r="O145" s="31"/>
      <c r="P145" s="31">
        <v>4.29428710266144E-3</v>
      </c>
    </row>
    <row r="146" spans="1:16" x14ac:dyDescent="0.25">
      <c r="A146" s="28">
        <v>40480</v>
      </c>
      <c r="B146" s="17">
        <v>3.68559943970765E-2</v>
      </c>
      <c r="C146">
        <v>21.200001</v>
      </c>
      <c r="D146">
        <v>3</v>
      </c>
      <c r="E146" t="str">
        <f t="shared" si="2"/>
        <v>Green</v>
      </c>
      <c r="M146" s="32" t="s">
        <v>130</v>
      </c>
      <c r="N146" s="31"/>
      <c r="O146" s="31">
        <v>-6.9403356024429499E-2</v>
      </c>
      <c r="P146" s="31">
        <v>-6.9403356024429499E-2</v>
      </c>
    </row>
    <row r="147" spans="1:16" x14ac:dyDescent="0.25">
      <c r="A147" s="28">
        <v>40451</v>
      </c>
      <c r="B147" s="17">
        <v>8.7551102944020104E-2</v>
      </c>
      <c r="C147">
        <v>23.700001</v>
      </c>
      <c r="D147">
        <v>3</v>
      </c>
      <c r="E147" t="str">
        <f t="shared" si="2"/>
        <v>Green</v>
      </c>
      <c r="M147" s="32" t="s">
        <v>131</v>
      </c>
      <c r="N147" s="31">
        <v>1.7859356788849E-2</v>
      </c>
      <c r="O147" s="31"/>
      <c r="P147" s="31">
        <v>1.7859356788849E-2</v>
      </c>
    </row>
    <row r="148" spans="1:16" x14ac:dyDescent="0.25">
      <c r="A148" s="28">
        <v>40421</v>
      </c>
      <c r="B148" s="17">
        <v>-4.7449184040287203E-2</v>
      </c>
      <c r="C148">
        <v>26.049999</v>
      </c>
      <c r="D148">
        <v>4</v>
      </c>
      <c r="E148" t="str">
        <f t="shared" si="2"/>
        <v>Red</v>
      </c>
      <c r="M148" s="32" t="s">
        <v>93</v>
      </c>
      <c r="N148" s="31"/>
      <c r="O148" s="31">
        <v>-9.1776894596563893E-2</v>
      </c>
      <c r="P148" s="31">
        <v>-9.1776894596563893E-2</v>
      </c>
    </row>
    <row r="149" spans="1:16" x14ac:dyDescent="0.25">
      <c r="A149" s="28">
        <v>40389</v>
      </c>
      <c r="B149" s="17">
        <v>6.8777849911552294E-2</v>
      </c>
      <c r="C149">
        <v>23.5</v>
      </c>
      <c r="D149">
        <v>3</v>
      </c>
      <c r="E149" t="str">
        <f t="shared" si="2"/>
        <v>Green</v>
      </c>
      <c r="M149" s="30" t="s">
        <v>106</v>
      </c>
      <c r="N149" s="31">
        <v>0.12694285763875218</v>
      </c>
      <c r="O149" s="31">
        <v>-0.39236935458470173</v>
      </c>
      <c r="P149" s="31">
        <v>-0.26542649694594955</v>
      </c>
    </row>
    <row r="150" spans="1:16" x14ac:dyDescent="0.25">
      <c r="A150" s="28">
        <v>40359</v>
      </c>
      <c r="B150" s="17">
        <v>-5.3882442026415102E-2</v>
      </c>
      <c r="C150">
        <v>34.540000999999997</v>
      </c>
      <c r="D150">
        <v>4</v>
      </c>
      <c r="E150" t="str">
        <f t="shared" si="2"/>
        <v>Red</v>
      </c>
      <c r="M150" s="32" t="s">
        <v>122</v>
      </c>
      <c r="N150" s="31"/>
      <c r="O150" s="31">
        <v>-5.2585165005310602E-2</v>
      </c>
      <c r="P150" s="31">
        <v>-5.2585165005310602E-2</v>
      </c>
    </row>
    <row r="151" spans="1:16" x14ac:dyDescent="0.25">
      <c r="A151" s="28">
        <v>40326</v>
      </c>
      <c r="B151" s="17">
        <v>-8.1975841910334496E-2</v>
      </c>
      <c r="C151">
        <v>32.07</v>
      </c>
      <c r="D151">
        <v>4</v>
      </c>
      <c r="E151" t="str">
        <f t="shared" si="2"/>
        <v>Red</v>
      </c>
      <c r="M151" s="32" t="s">
        <v>123</v>
      </c>
      <c r="N151" s="31"/>
      <c r="O151" s="31">
        <v>-3.1360492102910101E-2</v>
      </c>
      <c r="P151" s="31">
        <v>-3.1360492102910101E-2</v>
      </c>
    </row>
    <row r="152" spans="1:16" x14ac:dyDescent="0.25">
      <c r="A152" s="28">
        <v>40298</v>
      </c>
      <c r="B152" s="17">
        <v>1.47592298837911E-2</v>
      </c>
      <c r="C152">
        <v>22.049999</v>
      </c>
      <c r="D152">
        <v>3</v>
      </c>
      <c r="E152" t="str">
        <f t="shared" si="2"/>
        <v>Green</v>
      </c>
      <c r="M152" s="32" t="s">
        <v>124</v>
      </c>
      <c r="N152" s="31">
        <v>3.5773288410591901E-2</v>
      </c>
      <c r="O152" s="31"/>
      <c r="P152" s="31">
        <v>3.5773288410591901E-2</v>
      </c>
    </row>
    <row r="153" spans="1:16" x14ac:dyDescent="0.25">
      <c r="A153" s="28">
        <v>40268</v>
      </c>
      <c r="B153" s="17">
        <v>5.8796426031891801E-2</v>
      </c>
      <c r="C153">
        <v>17.59</v>
      </c>
      <c r="D153">
        <v>2</v>
      </c>
      <c r="E153" t="str">
        <f t="shared" si="2"/>
        <v>Green</v>
      </c>
      <c r="M153" s="32" t="s">
        <v>125</v>
      </c>
      <c r="N153" s="31"/>
      <c r="O153" s="31">
        <v>-8.7956711705729301E-2</v>
      </c>
      <c r="P153" s="31">
        <v>-8.7956711705729301E-2</v>
      </c>
    </row>
    <row r="154" spans="1:16" x14ac:dyDescent="0.25">
      <c r="A154" s="28">
        <v>40235</v>
      </c>
      <c r="B154" s="17">
        <v>2.8513688940531301E-2</v>
      </c>
      <c r="C154">
        <v>19.5</v>
      </c>
      <c r="D154">
        <v>3</v>
      </c>
      <c r="E154" t="str">
        <f t="shared" si="2"/>
        <v>Green</v>
      </c>
      <c r="M154" s="32" t="s">
        <v>126</v>
      </c>
      <c r="N154" s="31">
        <v>5.3177568506868103E-5</v>
      </c>
      <c r="O154" s="31"/>
      <c r="P154" s="31">
        <v>5.3177568506868103E-5</v>
      </c>
    </row>
    <row r="155" spans="1:16" x14ac:dyDescent="0.25">
      <c r="A155" s="28">
        <v>40207</v>
      </c>
      <c r="B155" s="17">
        <v>-3.6974246154947397E-2</v>
      </c>
      <c r="C155">
        <v>24.620000999999998</v>
      </c>
      <c r="D155">
        <v>4</v>
      </c>
      <c r="E155" t="str">
        <f t="shared" si="2"/>
        <v>Red</v>
      </c>
      <c r="M155" s="32" t="s">
        <v>127</v>
      </c>
      <c r="N155" s="31"/>
      <c r="O155" s="31">
        <v>-8.3919999812243101E-2</v>
      </c>
      <c r="P155" s="31">
        <v>-8.3919999812243101E-2</v>
      </c>
    </row>
    <row r="156" spans="1:16" x14ac:dyDescent="0.25">
      <c r="A156" s="28">
        <v>40178</v>
      </c>
      <c r="B156" s="17">
        <v>1.7770571188400398E-2</v>
      </c>
      <c r="C156">
        <v>21.68</v>
      </c>
      <c r="D156">
        <v>3</v>
      </c>
      <c r="E156" t="str">
        <f t="shared" si="2"/>
        <v>Green</v>
      </c>
      <c r="M156" s="32" t="s">
        <v>128</v>
      </c>
      <c r="N156" s="31">
        <v>9.1116391659653406E-2</v>
      </c>
      <c r="O156" s="31"/>
      <c r="P156" s="31">
        <v>9.1116391659653406E-2</v>
      </c>
    </row>
    <row r="157" spans="1:16" x14ac:dyDescent="0.25">
      <c r="A157" s="28">
        <v>40147</v>
      </c>
      <c r="B157" s="17">
        <v>5.7364061981373601E-2</v>
      </c>
      <c r="C157">
        <v>24.51</v>
      </c>
      <c r="D157">
        <v>4</v>
      </c>
      <c r="E157" t="str">
        <f t="shared" si="2"/>
        <v>Green</v>
      </c>
      <c r="M157" s="32" t="s">
        <v>129</v>
      </c>
      <c r="N157" s="31"/>
      <c r="O157" s="31">
        <v>-4.2440128258508597E-2</v>
      </c>
      <c r="P157" s="31">
        <v>-4.2440128258508597E-2</v>
      </c>
    </row>
    <row r="158" spans="1:16" x14ac:dyDescent="0.25">
      <c r="A158" s="28">
        <v>40116</v>
      </c>
      <c r="B158" s="17">
        <v>-1.9762000860415501E-2</v>
      </c>
      <c r="C158">
        <v>30.690000999999999</v>
      </c>
      <c r="D158">
        <v>4</v>
      </c>
      <c r="E158" t="str">
        <f t="shared" si="2"/>
        <v>Red</v>
      </c>
      <c r="M158" s="32" t="s">
        <v>107</v>
      </c>
      <c r="N158" s="31"/>
      <c r="O158" s="31">
        <v>-9.339567E-2</v>
      </c>
      <c r="P158" s="31">
        <v>-9.339567E-2</v>
      </c>
    </row>
    <row r="159" spans="1:16" x14ac:dyDescent="0.25">
      <c r="A159" s="28">
        <v>40086</v>
      </c>
      <c r="B159" s="17">
        <v>3.5723345788458698E-2</v>
      </c>
      <c r="C159">
        <v>25.610001</v>
      </c>
      <c r="D159">
        <v>4</v>
      </c>
      <c r="E159" t="str">
        <f t="shared" si="2"/>
        <v>Green</v>
      </c>
      <c r="M159" s="32" t="s">
        <v>130</v>
      </c>
      <c r="N159" s="31"/>
      <c r="O159" s="31">
        <v>-7.1118769999999997E-4</v>
      </c>
      <c r="P159" s="31">
        <v>-7.1118769999999997E-4</v>
      </c>
    </row>
    <row r="160" spans="1:16" x14ac:dyDescent="0.25">
      <c r="A160" s="28">
        <v>40056</v>
      </c>
      <c r="B160" s="17">
        <v>3.3560189240494899E-2</v>
      </c>
      <c r="C160">
        <v>26.01</v>
      </c>
      <c r="D160">
        <v>4</v>
      </c>
      <c r="E160" t="str">
        <f t="shared" si="2"/>
        <v>Green</v>
      </c>
      <c r="M160" s="30" t="s">
        <v>92</v>
      </c>
      <c r="N160" s="31">
        <v>2.8420090300241028</v>
      </c>
      <c r="O160" s="31">
        <v>-3.1334266149163148</v>
      </c>
      <c r="P160" s="31">
        <v>-0.29141758489221153</v>
      </c>
    </row>
    <row r="161" spans="1:5" x14ac:dyDescent="0.25">
      <c r="A161" s="28">
        <v>40025</v>
      </c>
      <c r="B161" s="17">
        <v>7.4141727016716605E-2</v>
      </c>
      <c r="C161">
        <v>25.92</v>
      </c>
      <c r="D161">
        <v>4</v>
      </c>
      <c r="E161" t="str">
        <f t="shared" si="2"/>
        <v>Green</v>
      </c>
    </row>
    <row r="162" spans="1:5" x14ac:dyDescent="0.25">
      <c r="A162" s="28">
        <v>39994</v>
      </c>
      <c r="B162" s="17">
        <v>1.9582653030303401E-4</v>
      </c>
      <c r="C162">
        <v>26.35</v>
      </c>
      <c r="D162">
        <v>4</v>
      </c>
      <c r="E162" t="str">
        <f t="shared" si="2"/>
        <v>Green</v>
      </c>
    </row>
    <row r="163" spans="1:5" x14ac:dyDescent="0.25">
      <c r="A163" s="28">
        <v>39962</v>
      </c>
      <c r="B163" s="17">
        <v>5.3081446255385502E-2</v>
      </c>
      <c r="C163">
        <v>28.92</v>
      </c>
      <c r="D163">
        <v>4</v>
      </c>
      <c r="E163" t="str">
        <f t="shared" si="2"/>
        <v>Green</v>
      </c>
    </row>
    <row r="164" spans="1:5" x14ac:dyDescent="0.25">
      <c r="A164" s="28">
        <v>39933</v>
      </c>
      <c r="B164" s="17">
        <v>9.3925079862164695E-2</v>
      </c>
      <c r="C164">
        <v>36.5</v>
      </c>
      <c r="D164">
        <v>4</v>
      </c>
      <c r="E164" t="str">
        <f t="shared" si="2"/>
        <v>Green</v>
      </c>
    </row>
    <row r="165" spans="1:5" x14ac:dyDescent="0.25">
      <c r="A165" s="28">
        <v>39903</v>
      </c>
      <c r="B165" s="17">
        <v>8.5404461622494696E-2</v>
      </c>
      <c r="C165">
        <v>44.139999000000003</v>
      </c>
      <c r="D165">
        <v>4</v>
      </c>
      <c r="E165" t="str">
        <f t="shared" si="2"/>
        <v>Green</v>
      </c>
    </row>
    <row r="166" spans="1:5" x14ac:dyDescent="0.25">
      <c r="A166" s="28">
        <v>39871</v>
      </c>
      <c r="B166" s="17">
        <v>-0.109931197571492</v>
      </c>
      <c r="C166">
        <v>46.349997999999999</v>
      </c>
      <c r="D166">
        <v>4</v>
      </c>
      <c r="E166" t="str">
        <f t="shared" si="2"/>
        <v>Red</v>
      </c>
    </row>
    <row r="167" spans="1:5" x14ac:dyDescent="0.25">
      <c r="A167" s="28">
        <v>39843</v>
      </c>
      <c r="B167" s="17">
        <v>-8.5657342928314395E-2</v>
      </c>
      <c r="C167">
        <v>44.84</v>
      </c>
      <c r="D167">
        <v>4</v>
      </c>
      <c r="E167" t="str">
        <f t="shared" si="2"/>
        <v>Red</v>
      </c>
    </row>
    <row r="168" spans="1:5" x14ac:dyDescent="0.25">
      <c r="A168" s="28">
        <v>39813</v>
      </c>
      <c r="B168" s="17">
        <v>7.8215768970539799E-3</v>
      </c>
      <c r="C168">
        <v>40</v>
      </c>
      <c r="D168">
        <v>4</v>
      </c>
      <c r="E168" t="str">
        <f t="shared" si="2"/>
        <v>Green</v>
      </c>
    </row>
    <row r="169" spans="1:5" x14ac:dyDescent="0.25">
      <c r="A169" s="28">
        <v>39780</v>
      </c>
      <c r="B169" s="17">
        <v>-7.4849042580645203E-2</v>
      </c>
      <c r="C169">
        <v>55.279998999999997</v>
      </c>
      <c r="D169">
        <v>4</v>
      </c>
      <c r="E169" t="str">
        <f t="shared" si="2"/>
        <v>Red</v>
      </c>
    </row>
    <row r="170" spans="1:5" x14ac:dyDescent="0.25">
      <c r="A170" s="28">
        <v>39752</v>
      </c>
      <c r="B170" s="17">
        <v>-0.16942452376742001</v>
      </c>
      <c r="C170">
        <v>59.889999000000003</v>
      </c>
      <c r="D170">
        <v>4</v>
      </c>
      <c r="E170" t="str">
        <f t="shared" si="2"/>
        <v>Red</v>
      </c>
    </row>
    <row r="171" spans="1:5" x14ac:dyDescent="0.25">
      <c r="A171" s="28">
        <v>39721</v>
      </c>
      <c r="B171" s="17">
        <v>-9.0791433779084593E-2</v>
      </c>
      <c r="C171">
        <v>39.389999000000003</v>
      </c>
      <c r="D171">
        <v>4</v>
      </c>
      <c r="E171" t="str">
        <f t="shared" si="2"/>
        <v>Red</v>
      </c>
    </row>
    <row r="172" spans="1:5" x14ac:dyDescent="0.25">
      <c r="A172" s="28">
        <v>39689</v>
      </c>
      <c r="B172" s="17">
        <v>1.2190464532379999E-2</v>
      </c>
      <c r="C172">
        <v>20.65</v>
      </c>
      <c r="D172">
        <v>3</v>
      </c>
      <c r="E172" t="str">
        <f t="shared" si="2"/>
        <v>Green</v>
      </c>
    </row>
    <row r="173" spans="1:5" x14ac:dyDescent="0.25">
      <c r="A173" s="28">
        <v>39660</v>
      </c>
      <c r="B173" s="17">
        <v>-9.8593710937500099E-3</v>
      </c>
      <c r="C173">
        <v>22.940000999999999</v>
      </c>
      <c r="D173">
        <v>3</v>
      </c>
      <c r="E173" t="str">
        <f t="shared" si="2"/>
        <v>Red</v>
      </c>
    </row>
    <row r="174" spans="1:5" x14ac:dyDescent="0.25">
      <c r="A174" s="28">
        <v>39629</v>
      </c>
      <c r="B174" s="17">
        <v>-8.5962384902803599E-2</v>
      </c>
      <c r="C174">
        <v>23.950001</v>
      </c>
      <c r="D174">
        <v>4</v>
      </c>
      <c r="E174" t="str">
        <f t="shared" si="2"/>
        <v>Red</v>
      </c>
    </row>
    <row r="175" spans="1:5" x14ac:dyDescent="0.25">
      <c r="A175" s="28">
        <v>39598</v>
      </c>
      <c r="B175" s="17">
        <v>1.06741816575771E-2</v>
      </c>
      <c r="C175">
        <v>17.829999999999998</v>
      </c>
      <c r="D175">
        <v>2</v>
      </c>
      <c r="E175" t="str">
        <f t="shared" si="2"/>
        <v>Green</v>
      </c>
    </row>
    <row r="176" spans="1:5" x14ac:dyDescent="0.25">
      <c r="A176" s="28">
        <v>39568</v>
      </c>
      <c r="B176" s="17">
        <v>4.7546697913198897E-2</v>
      </c>
      <c r="C176">
        <v>20.790001</v>
      </c>
      <c r="D176">
        <v>3</v>
      </c>
      <c r="E176" t="str">
        <f t="shared" si="2"/>
        <v>Green</v>
      </c>
    </row>
    <row r="177" spans="1:5" x14ac:dyDescent="0.25">
      <c r="A177" s="28">
        <v>39538</v>
      </c>
      <c r="B177" s="17">
        <v>-5.95962361452984E-3</v>
      </c>
      <c r="C177">
        <v>25.610001</v>
      </c>
      <c r="D177">
        <v>4</v>
      </c>
      <c r="E177" t="str">
        <f t="shared" si="2"/>
        <v>Red</v>
      </c>
    </row>
    <row r="178" spans="1:5" x14ac:dyDescent="0.25">
      <c r="A178" s="28">
        <v>39507</v>
      </c>
      <c r="B178" s="17">
        <v>-3.4761192772624502E-2</v>
      </c>
      <c r="C178">
        <v>26.540001</v>
      </c>
      <c r="D178">
        <v>4</v>
      </c>
      <c r="E178" t="str">
        <f t="shared" si="2"/>
        <v>Red</v>
      </c>
    </row>
    <row r="179" spans="1:5" x14ac:dyDescent="0.25">
      <c r="A179" s="28">
        <v>39478</v>
      </c>
      <c r="B179" s="17">
        <v>-6.1163431935936402E-2</v>
      </c>
      <c r="C179">
        <v>26.200001</v>
      </c>
      <c r="D179">
        <v>4</v>
      </c>
      <c r="E179" t="str">
        <f t="shared" si="2"/>
        <v>Red</v>
      </c>
    </row>
    <row r="180" spans="1:5" x14ac:dyDescent="0.25">
      <c r="A180" s="28">
        <v>39447</v>
      </c>
      <c r="B180" s="17">
        <v>-8.6285090339686104E-3</v>
      </c>
      <c r="C180">
        <v>22.5</v>
      </c>
      <c r="D180">
        <v>3</v>
      </c>
      <c r="E180" t="str">
        <f t="shared" si="2"/>
        <v>Red</v>
      </c>
    </row>
    <row r="181" spans="1:5" x14ac:dyDescent="0.25">
      <c r="A181" s="28">
        <v>39416</v>
      </c>
      <c r="B181" s="17">
        <v>-4.4043417224814398E-2</v>
      </c>
      <c r="C181">
        <v>22.870000999999998</v>
      </c>
      <c r="D181">
        <v>3</v>
      </c>
      <c r="E181" t="str">
        <f t="shared" si="2"/>
        <v>Red</v>
      </c>
    </row>
    <row r="182" spans="1:5" x14ac:dyDescent="0.25">
      <c r="A182" s="28">
        <v>39386</v>
      </c>
      <c r="B182" s="17">
        <v>1.48223383003112E-2</v>
      </c>
      <c r="C182">
        <v>18.530000999999999</v>
      </c>
      <c r="D182">
        <v>3</v>
      </c>
      <c r="E182" t="str">
        <f t="shared" si="2"/>
        <v>Green</v>
      </c>
    </row>
    <row r="183" spans="1:5" x14ac:dyDescent="0.25">
      <c r="A183" s="28">
        <v>39353</v>
      </c>
      <c r="B183" s="17">
        <v>3.5794008343299502E-2</v>
      </c>
      <c r="C183">
        <v>18</v>
      </c>
      <c r="D183">
        <v>2</v>
      </c>
      <c r="E183" t="str">
        <f t="shared" si="2"/>
        <v>Green</v>
      </c>
    </row>
    <row r="184" spans="1:5" x14ac:dyDescent="0.25">
      <c r="A184" s="28">
        <v>39325</v>
      </c>
      <c r="B184" s="17">
        <v>1.2863571531556799E-2</v>
      </c>
      <c r="C184">
        <v>23.379999000000002</v>
      </c>
      <c r="D184">
        <v>3</v>
      </c>
      <c r="E184" t="str">
        <f t="shared" si="2"/>
        <v>Green</v>
      </c>
    </row>
    <row r="185" spans="1:5" x14ac:dyDescent="0.25">
      <c r="A185" s="28">
        <v>39294</v>
      </c>
      <c r="B185" s="17">
        <v>-3.1981878316802499E-2</v>
      </c>
      <c r="C185">
        <v>23.52</v>
      </c>
      <c r="D185">
        <v>3</v>
      </c>
      <c r="E185" t="str">
        <f t="shared" si="2"/>
        <v>Red</v>
      </c>
    </row>
    <row r="186" spans="1:5" x14ac:dyDescent="0.25">
      <c r="A186" s="28">
        <v>39262</v>
      </c>
      <c r="B186" s="17">
        <v>-1.7816322202167601E-2</v>
      </c>
      <c r="C186">
        <v>16.23</v>
      </c>
      <c r="D186">
        <v>2</v>
      </c>
      <c r="E186" t="str">
        <f t="shared" si="2"/>
        <v>Red</v>
      </c>
    </row>
    <row r="187" spans="1:5" x14ac:dyDescent="0.25">
      <c r="A187" s="28">
        <v>39233</v>
      </c>
      <c r="B187" s="17">
        <v>3.2549228709934902E-2</v>
      </c>
      <c r="C187">
        <v>13.05</v>
      </c>
      <c r="D187">
        <v>1</v>
      </c>
      <c r="E187" t="str">
        <f t="shared" si="2"/>
        <v>Green</v>
      </c>
    </row>
    <row r="188" spans="1:5" x14ac:dyDescent="0.25">
      <c r="A188" s="28">
        <v>39202</v>
      </c>
      <c r="B188" s="17">
        <v>4.3290690602424201E-2</v>
      </c>
      <c r="C188">
        <v>14.22</v>
      </c>
      <c r="D188">
        <v>2</v>
      </c>
      <c r="E188" t="str">
        <f t="shared" si="2"/>
        <v>Green</v>
      </c>
    </row>
    <row r="189" spans="1:5" x14ac:dyDescent="0.25">
      <c r="A189" s="28">
        <v>39171</v>
      </c>
      <c r="B189" s="17">
        <v>9.9799828968305491E-3</v>
      </c>
      <c r="C189">
        <v>14.64</v>
      </c>
      <c r="D189">
        <v>2</v>
      </c>
      <c r="E189" t="str">
        <f t="shared" si="2"/>
        <v>Green</v>
      </c>
    </row>
    <row r="190" spans="1:5" x14ac:dyDescent="0.25">
      <c r="A190" s="28">
        <v>39141</v>
      </c>
      <c r="B190" s="17">
        <v>-2.1846176033528199E-2</v>
      </c>
      <c r="C190">
        <v>15.42</v>
      </c>
      <c r="D190">
        <v>2</v>
      </c>
      <c r="E190" t="str">
        <f t="shared" si="2"/>
        <v>Red</v>
      </c>
    </row>
    <row r="191" spans="1:5" x14ac:dyDescent="0.25">
      <c r="A191" s="28">
        <v>39113</v>
      </c>
      <c r="B191" s="17">
        <v>1.4059042735039801E-2</v>
      </c>
      <c r="C191">
        <v>10.42</v>
      </c>
      <c r="D191">
        <v>1</v>
      </c>
      <c r="E191" t="str">
        <f t="shared" si="2"/>
        <v>Green</v>
      </c>
    </row>
    <row r="192" spans="1:5" x14ac:dyDescent="0.25">
      <c r="A192" s="28">
        <v>39080</v>
      </c>
      <c r="B192" s="17">
        <v>1.26157828526599E-2</v>
      </c>
      <c r="C192">
        <v>11.56</v>
      </c>
      <c r="D192">
        <v>1</v>
      </c>
      <c r="E192" t="str">
        <f t="shared" si="2"/>
        <v>Green</v>
      </c>
    </row>
    <row r="193" spans="1:8" x14ac:dyDescent="0.25">
      <c r="A193" s="28">
        <v>39051</v>
      </c>
      <c r="B193" s="17">
        <v>1.64666567278202E-2</v>
      </c>
      <c r="C193">
        <v>10.91</v>
      </c>
      <c r="D193">
        <v>1</v>
      </c>
      <c r="E193" t="str">
        <f t="shared" si="2"/>
        <v>Green</v>
      </c>
    </row>
    <row r="194" spans="1:8" x14ac:dyDescent="0.25">
      <c r="A194" s="28">
        <v>39021</v>
      </c>
      <c r="B194" s="17">
        <v>3.1508002961554198E-2</v>
      </c>
      <c r="C194">
        <v>11.1</v>
      </c>
      <c r="D194">
        <v>1</v>
      </c>
      <c r="E194" t="str">
        <f t="shared" si="2"/>
        <v>Green</v>
      </c>
    </row>
    <row r="195" spans="1:8" x14ac:dyDescent="0.25">
      <c r="A195" s="28">
        <v>38989</v>
      </c>
      <c r="B195" s="17">
        <v>2.45662985125095E-2</v>
      </c>
      <c r="C195">
        <v>11.98</v>
      </c>
      <c r="D195">
        <v>1</v>
      </c>
      <c r="E195" t="str">
        <f t="shared" ref="E195:E258" si="3">IF(B195&gt;0,"Green","Red")</f>
        <v>Green</v>
      </c>
    </row>
    <row r="196" spans="1:8" x14ac:dyDescent="0.25">
      <c r="A196" s="28">
        <v>38960</v>
      </c>
      <c r="B196" s="17">
        <v>2.12741930323481E-2</v>
      </c>
      <c r="C196">
        <v>12.31</v>
      </c>
      <c r="D196">
        <v>1</v>
      </c>
      <c r="E196" t="str">
        <f t="shared" si="3"/>
        <v>Green</v>
      </c>
    </row>
    <row r="197" spans="1:8" x14ac:dyDescent="0.25">
      <c r="A197" s="28">
        <v>38929</v>
      </c>
      <c r="B197" s="17">
        <v>5.0858787979908299E-3</v>
      </c>
      <c r="C197">
        <v>14.95</v>
      </c>
      <c r="D197">
        <v>2</v>
      </c>
      <c r="E197" t="str">
        <f t="shared" si="3"/>
        <v>Green</v>
      </c>
    </row>
    <row r="198" spans="1:8" x14ac:dyDescent="0.25">
      <c r="A198" s="28">
        <v>38898</v>
      </c>
      <c r="B198" s="17">
        <v>8.6596227782509403E-5</v>
      </c>
      <c r="C198">
        <v>13.08</v>
      </c>
      <c r="D198">
        <v>1</v>
      </c>
      <c r="E198" t="str">
        <f t="shared" si="3"/>
        <v>Green</v>
      </c>
    </row>
    <row r="199" spans="1:8" x14ac:dyDescent="0.25">
      <c r="A199" s="28">
        <v>38868</v>
      </c>
      <c r="B199" s="17">
        <v>-3.0916916141150899E-2</v>
      </c>
      <c r="C199">
        <v>16.440000999999999</v>
      </c>
      <c r="D199">
        <v>2</v>
      </c>
      <c r="E199" t="str">
        <f t="shared" si="3"/>
        <v>Red</v>
      </c>
    </row>
    <row r="200" spans="1:8" x14ac:dyDescent="0.25">
      <c r="A200" s="28">
        <v>38835</v>
      </c>
      <c r="B200" s="17">
        <v>1.21556527379414E-2</v>
      </c>
      <c r="C200">
        <v>11.59</v>
      </c>
      <c r="D200">
        <v>1</v>
      </c>
      <c r="E200" t="str">
        <f t="shared" si="3"/>
        <v>Green</v>
      </c>
      <c r="H200" s="22"/>
    </row>
    <row r="201" spans="1:8" x14ac:dyDescent="0.25">
      <c r="A201" s="28">
        <v>38807</v>
      </c>
      <c r="B201" s="17">
        <v>1.10958104592496E-2</v>
      </c>
      <c r="C201">
        <v>11.39</v>
      </c>
      <c r="D201">
        <v>1</v>
      </c>
      <c r="E201" t="str">
        <f t="shared" si="3"/>
        <v>Green</v>
      </c>
    </row>
    <row r="202" spans="1:8" x14ac:dyDescent="0.25">
      <c r="A202" s="28">
        <v>38776</v>
      </c>
      <c r="B202" s="17">
        <v>4.53157630725398E-4</v>
      </c>
      <c r="C202">
        <v>12.34</v>
      </c>
      <c r="D202">
        <v>1</v>
      </c>
      <c r="E202" t="str">
        <f t="shared" si="3"/>
        <v>Green</v>
      </c>
    </row>
    <row r="203" spans="1:8" x14ac:dyDescent="0.25">
      <c r="A203" s="28">
        <v>38748</v>
      </c>
      <c r="B203" s="17">
        <v>2.5466771348641601E-2</v>
      </c>
      <c r="C203">
        <v>12.95</v>
      </c>
      <c r="D203">
        <v>1</v>
      </c>
      <c r="E203" t="str">
        <f t="shared" si="3"/>
        <v>Green</v>
      </c>
    </row>
    <row r="204" spans="1:8" x14ac:dyDescent="0.25">
      <c r="A204" s="28">
        <v>38716</v>
      </c>
      <c r="B204" s="17">
        <v>-9.5234899241847205E-4</v>
      </c>
      <c r="C204">
        <v>12.07</v>
      </c>
      <c r="D204">
        <v>1</v>
      </c>
      <c r="E204" t="str">
        <f t="shared" si="3"/>
        <v>Red</v>
      </c>
    </row>
    <row r="205" spans="1:8" x14ac:dyDescent="0.25">
      <c r="A205" s="28">
        <v>38686</v>
      </c>
      <c r="B205" s="17">
        <v>3.5186095929726498E-2</v>
      </c>
      <c r="C205">
        <v>12.06</v>
      </c>
      <c r="D205">
        <v>1</v>
      </c>
      <c r="E205" t="str">
        <f t="shared" si="3"/>
        <v>Green</v>
      </c>
    </row>
    <row r="206" spans="1:8" x14ac:dyDescent="0.25">
      <c r="A206" s="28">
        <v>38656</v>
      </c>
      <c r="B206" s="17">
        <v>-1.7740780066319399E-2</v>
      </c>
      <c r="C206">
        <v>15.32</v>
      </c>
      <c r="D206">
        <v>2</v>
      </c>
      <c r="E206" t="str">
        <f t="shared" si="3"/>
        <v>Red</v>
      </c>
    </row>
    <row r="207" spans="1:8" x14ac:dyDescent="0.25">
      <c r="A207" s="28">
        <v>38625</v>
      </c>
      <c r="B207" s="17">
        <v>6.9490246947603298E-3</v>
      </c>
      <c r="C207">
        <v>11.92</v>
      </c>
      <c r="D207">
        <v>1</v>
      </c>
      <c r="E207" t="str">
        <f t="shared" si="3"/>
        <v>Green</v>
      </c>
    </row>
    <row r="208" spans="1:8" x14ac:dyDescent="0.25">
      <c r="A208" s="28">
        <v>38595</v>
      </c>
      <c r="B208" s="17">
        <v>-1.12221048744966E-2</v>
      </c>
      <c r="C208">
        <v>12.6</v>
      </c>
      <c r="D208">
        <v>1</v>
      </c>
      <c r="E208" t="str">
        <f t="shared" si="3"/>
        <v>Red</v>
      </c>
    </row>
    <row r="209" spans="1:5" x14ac:dyDescent="0.25">
      <c r="A209" s="28">
        <v>38562</v>
      </c>
      <c r="B209" s="17">
        <v>3.5968287193812301E-2</v>
      </c>
      <c r="C209">
        <v>11.57</v>
      </c>
      <c r="D209">
        <v>1</v>
      </c>
      <c r="E209" t="str">
        <f t="shared" si="3"/>
        <v>Green</v>
      </c>
    </row>
    <row r="210" spans="1:5" x14ac:dyDescent="0.25">
      <c r="A210" s="28">
        <v>38533</v>
      </c>
      <c r="B210" s="17">
        <v>-1.42714225765839E-4</v>
      </c>
      <c r="C210">
        <v>12.04</v>
      </c>
      <c r="D210">
        <v>1</v>
      </c>
      <c r="E210" t="str">
        <f t="shared" si="3"/>
        <v>Red</v>
      </c>
    </row>
    <row r="211" spans="1:5" x14ac:dyDescent="0.25">
      <c r="A211" s="28">
        <v>38503</v>
      </c>
      <c r="B211" s="17">
        <v>2.9952046262565798E-2</v>
      </c>
      <c r="C211">
        <v>13.29</v>
      </c>
      <c r="D211">
        <v>1</v>
      </c>
      <c r="E211" t="str">
        <f t="shared" si="3"/>
        <v>Green</v>
      </c>
    </row>
    <row r="212" spans="1:5" x14ac:dyDescent="0.25">
      <c r="A212" s="28">
        <v>38471</v>
      </c>
      <c r="B212" s="17">
        <v>-2.0108581881679299E-2</v>
      </c>
      <c r="C212">
        <v>15.31</v>
      </c>
      <c r="D212">
        <v>2</v>
      </c>
      <c r="E212" t="str">
        <f t="shared" si="3"/>
        <v>Red</v>
      </c>
    </row>
    <row r="213" spans="1:5" x14ac:dyDescent="0.25">
      <c r="A213" s="28">
        <v>38442</v>
      </c>
      <c r="B213" s="17">
        <v>-1.9117655748441001E-2</v>
      </c>
      <c r="C213">
        <v>14.02</v>
      </c>
      <c r="D213">
        <v>2</v>
      </c>
      <c r="E213" t="str">
        <f t="shared" si="3"/>
        <v>Red</v>
      </c>
    </row>
    <row r="214" spans="1:5" x14ac:dyDescent="0.25">
      <c r="A214" s="28">
        <v>38411</v>
      </c>
      <c r="B214" s="17">
        <v>1.8903346078316601E-2</v>
      </c>
      <c r="C214">
        <v>12.08</v>
      </c>
      <c r="D214">
        <v>1</v>
      </c>
      <c r="E214" t="str">
        <f t="shared" si="3"/>
        <v>Green</v>
      </c>
    </row>
    <row r="215" spans="1:5" x14ac:dyDescent="0.25">
      <c r="A215" s="28">
        <v>38383</v>
      </c>
      <c r="B215" s="17">
        <v>-2.5290467099494601E-2</v>
      </c>
      <c r="C215">
        <v>12.82</v>
      </c>
      <c r="D215">
        <v>1</v>
      </c>
      <c r="E215" t="str">
        <f t="shared" si="3"/>
        <v>Red</v>
      </c>
    </row>
    <row r="216" spans="1:5" x14ac:dyDescent="0.25">
      <c r="A216" s="28">
        <v>38352</v>
      </c>
      <c r="B216" s="17">
        <v>3.24582131440454E-2</v>
      </c>
      <c r="C216">
        <v>13.29</v>
      </c>
      <c r="D216">
        <v>1</v>
      </c>
      <c r="E216" t="str">
        <f t="shared" si="3"/>
        <v>Green</v>
      </c>
    </row>
    <row r="217" spans="1:5" x14ac:dyDescent="0.25">
      <c r="A217" s="28">
        <v>38321</v>
      </c>
      <c r="B217" s="17">
        <v>3.8594936198152401E-2</v>
      </c>
      <c r="C217">
        <v>13.24</v>
      </c>
      <c r="D217">
        <v>1</v>
      </c>
      <c r="E217" t="str">
        <f t="shared" si="3"/>
        <v>Green</v>
      </c>
    </row>
    <row r="218" spans="1:5" x14ac:dyDescent="0.25">
      <c r="A218" s="28">
        <v>38289</v>
      </c>
      <c r="B218" s="17">
        <v>1.4014243586487E-2</v>
      </c>
      <c r="C218">
        <v>16.27</v>
      </c>
      <c r="D218">
        <v>2</v>
      </c>
      <c r="E218" t="str">
        <f t="shared" si="3"/>
        <v>Green</v>
      </c>
    </row>
    <row r="219" spans="1:5" x14ac:dyDescent="0.25">
      <c r="A219" s="28">
        <v>38260</v>
      </c>
      <c r="B219" s="17">
        <v>9.3638756915515008E-3</v>
      </c>
      <c r="C219">
        <v>13.34</v>
      </c>
      <c r="D219">
        <v>1</v>
      </c>
      <c r="E219" t="str">
        <f t="shared" si="3"/>
        <v>Green</v>
      </c>
    </row>
    <row r="220" spans="1:5" x14ac:dyDescent="0.25">
      <c r="A220" s="28">
        <v>38230</v>
      </c>
      <c r="B220" s="17">
        <v>2.28734984055223E-3</v>
      </c>
      <c r="C220">
        <v>15.29</v>
      </c>
      <c r="D220">
        <v>2</v>
      </c>
      <c r="E220" t="str">
        <f t="shared" si="3"/>
        <v>Green</v>
      </c>
    </row>
    <row r="221" spans="1:5" x14ac:dyDescent="0.25">
      <c r="A221" s="28">
        <v>38198</v>
      </c>
      <c r="B221" s="17">
        <v>-3.4290519411905002E-2</v>
      </c>
      <c r="C221">
        <v>15.32</v>
      </c>
      <c r="D221">
        <v>2</v>
      </c>
      <c r="E221" t="str">
        <f t="shared" si="3"/>
        <v>Red</v>
      </c>
    </row>
    <row r="222" spans="1:5" x14ac:dyDescent="0.25">
      <c r="A222" s="28">
        <v>38168</v>
      </c>
      <c r="B222" s="17">
        <v>1.7988998669195701E-2</v>
      </c>
      <c r="C222">
        <v>14.34</v>
      </c>
      <c r="D222">
        <v>2</v>
      </c>
      <c r="E222" t="str">
        <f t="shared" si="3"/>
        <v>Green</v>
      </c>
    </row>
    <row r="223" spans="1:5" x14ac:dyDescent="0.25">
      <c r="A223" s="28">
        <v>38135</v>
      </c>
      <c r="B223" s="17">
        <v>1.2083450201310301E-2</v>
      </c>
      <c r="C223">
        <v>15.5</v>
      </c>
      <c r="D223">
        <v>2</v>
      </c>
      <c r="E223" t="str">
        <f t="shared" si="3"/>
        <v>Green</v>
      </c>
    </row>
    <row r="224" spans="1:5" x14ac:dyDescent="0.25">
      <c r="A224" s="28">
        <v>38107</v>
      </c>
      <c r="B224" s="17">
        <v>-1.6790751862298701E-2</v>
      </c>
      <c r="C224">
        <v>17.190000999999999</v>
      </c>
      <c r="D224">
        <v>2</v>
      </c>
      <c r="E224" t="str">
        <f t="shared" si="3"/>
        <v>Red</v>
      </c>
    </row>
    <row r="225" spans="1:5" x14ac:dyDescent="0.25">
      <c r="A225" s="28">
        <v>38077</v>
      </c>
      <c r="B225" s="17">
        <v>-1.6358919214261199E-2</v>
      </c>
      <c r="C225">
        <v>16.739999999999998</v>
      </c>
      <c r="D225">
        <v>2</v>
      </c>
      <c r="E225" t="str">
        <f t="shared" si="3"/>
        <v>Red</v>
      </c>
    </row>
    <row r="226" spans="1:5" x14ac:dyDescent="0.25">
      <c r="A226" s="28">
        <v>38044</v>
      </c>
      <c r="B226" s="17">
        <v>1.22089732735895E-2</v>
      </c>
      <c r="C226">
        <v>14.55</v>
      </c>
      <c r="D226">
        <v>2</v>
      </c>
      <c r="E226" t="str">
        <f t="shared" si="3"/>
        <v>Green</v>
      </c>
    </row>
    <row r="227" spans="1:5" x14ac:dyDescent="0.25">
      <c r="A227" s="28">
        <v>38016</v>
      </c>
      <c r="B227" s="17">
        <v>1.7276387006114599E-2</v>
      </c>
      <c r="C227">
        <v>16.629999000000002</v>
      </c>
      <c r="D227">
        <v>2</v>
      </c>
      <c r="E227" t="str">
        <f t="shared" si="3"/>
        <v>Green</v>
      </c>
    </row>
    <row r="228" spans="1:5" x14ac:dyDescent="0.25">
      <c r="A228" s="28">
        <v>37986</v>
      </c>
      <c r="B228" s="17">
        <v>5.0765541001239298E-2</v>
      </c>
      <c r="C228">
        <v>18.309999000000001</v>
      </c>
      <c r="D228">
        <v>3</v>
      </c>
      <c r="E228" t="str">
        <f t="shared" si="3"/>
        <v>Green</v>
      </c>
    </row>
    <row r="229" spans="1:5" x14ac:dyDescent="0.25">
      <c r="A229" s="28">
        <v>37953</v>
      </c>
      <c r="B229" s="17">
        <v>7.1285038478854403E-3</v>
      </c>
      <c r="C229">
        <v>16.32</v>
      </c>
      <c r="D229">
        <v>2</v>
      </c>
      <c r="E229" t="str">
        <f t="shared" si="3"/>
        <v>Green</v>
      </c>
    </row>
    <row r="230" spans="1:5" x14ac:dyDescent="0.25">
      <c r="A230" s="28">
        <v>37925</v>
      </c>
      <c r="B230" s="17">
        <v>5.4961486384010702E-2</v>
      </c>
      <c r="C230">
        <v>16.100000000000001</v>
      </c>
      <c r="D230">
        <v>2</v>
      </c>
      <c r="E230" t="str">
        <f t="shared" si="3"/>
        <v>Green</v>
      </c>
    </row>
    <row r="231" spans="1:5" x14ac:dyDescent="0.25">
      <c r="A231" s="28">
        <v>37894</v>
      </c>
      <c r="B231" s="17">
        <v>-1.1944364520745199E-2</v>
      </c>
      <c r="C231">
        <v>22.719999000000001</v>
      </c>
      <c r="D231">
        <v>3</v>
      </c>
      <c r="E231" t="str">
        <f t="shared" si="3"/>
        <v>Red</v>
      </c>
    </row>
    <row r="232" spans="1:5" x14ac:dyDescent="0.25">
      <c r="A232" s="28">
        <v>37862</v>
      </c>
      <c r="B232" s="17">
        <v>1.7873203376464399E-2</v>
      </c>
      <c r="C232">
        <v>18.629999000000002</v>
      </c>
      <c r="D232">
        <v>3</v>
      </c>
      <c r="E232" t="str">
        <f t="shared" si="3"/>
        <v>Green</v>
      </c>
    </row>
    <row r="233" spans="1:5" x14ac:dyDescent="0.25">
      <c r="A233" s="28">
        <v>37833</v>
      </c>
      <c r="B233" s="17">
        <v>1.62237024114931E-2</v>
      </c>
      <c r="C233">
        <v>19.489999999999998</v>
      </c>
      <c r="D233">
        <v>3</v>
      </c>
      <c r="E233" t="str">
        <f t="shared" si="3"/>
        <v>Green</v>
      </c>
    </row>
    <row r="234" spans="1:5" x14ac:dyDescent="0.25">
      <c r="A234" s="28">
        <v>37802</v>
      </c>
      <c r="B234" s="17">
        <v>1.13222145251615E-2</v>
      </c>
      <c r="C234">
        <v>19.52</v>
      </c>
      <c r="D234">
        <v>3</v>
      </c>
      <c r="E234" t="str">
        <f t="shared" si="3"/>
        <v>Green</v>
      </c>
    </row>
    <row r="235" spans="1:5" x14ac:dyDescent="0.25">
      <c r="A235" s="28">
        <v>37771</v>
      </c>
      <c r="B235" s="17">
        <v>5.0898709664177998E-2</v>
      </c>
      <c r="C235">
        <v>19.469999000000001</v>
      </c>
      <c r="D235">
        <v>3</v>
      </c>
      <c r="E235" t="str">
        <f t="shared" si="3"/>
        <v>Green</v>
      </c>
    </row>
    <row r="236" spans="1:5" x14ac:dyDescent="0.25">
      <c r="A236" s="28">
        <v>37741</v>
      </c>
      <c r="B236" s="17">
        <v>8.1044106872726104E-2</v>
      </c>
      <c r="C236">
        <v>21.209999</v>
      </c>
      <c r="D236">
        <v>3</v>
      </c>
      <c r="E236" t="str">
        <f t="shared" si="3"/>
        <v>Green</v>
      </c>
    </row>
    <row r="237" spans="1:5" x14ac:dyDescent="0.25">
      <c r="A237" s="28">
        <v>37711</v>
      </c>
      <c r="B237" s="17">
        <v>8.3575685661514392E-3</v>
      </c>
      <c r="C237">
        <v>29.15</v>
      </c>
      <c r="D237">
        <v>4</v>
      </c>
      <c r="E237" t="str">
        <f t="shared" si="3"/>
        <v>Green</v>
      </c>
    </row>
    <row r="238" spans="1:5" x14ac:dyDescent="0.25">
      <c r="A238" s="28">
        <v>37680</v>
      </c>
      <c r="B238" s="17">
        <v>-1.7003608502929399E-2</v>
      </c>
      <c r="C238">
        <v>29.629999000000002</v>
      </c>
      <c r="D238">
        <v>4</v>
      </c>
      <c r="E238" t="str">
        <f t="shared" si="3"/>
        <v>Red</v>
      </c>
    </row>
    <row r="239" spans="1:5" x14ac:dyDescent="0.25">
      <c r="A239" s="28">
        <v>37652</v>
      </c>
      <c r="B239" s="17">
        <v>-2.74146925599522E-2</v>
      </c>
      <c r="C239">
        <v>31.17</v>
      </c>
      <c r="D239">
        <v>4</v>
      </c>
      <c r="E239" t="str">
        <f t="shared" si="3"/>
        <v>Red</v>
      </c>
    </row>
    <row r="240" spans="1:5" x14ac:dyDescent="0.25">
      <c r="A240" s="28">
        <v>37621</v>
      </c>
      <c r="B240" s="17">
        <v>-6.0332572674290597E-2</v>
      </c>
      <c r="C240">
        <v>28.620000999999998</v>
      </c>
      <c r="D240">
        <v>4</v>
      </c>
      <c r="E240" t="str">
        <f t="shared" si="3"/>
        <v>Red</v>
      </c>
    </row>
    <row r="241" spans="1:5" x14ac:dyDescent="0.25">
      <c r="A241" s="28">
        <v>37589</v>
      </c>
      <c r="B241" s="17">
        <v>5.7069620923617899E-2</v>
      </c>
      <c r="C241">
        <v>27.5</v>
      </c>
      <c r="D241">
        <v>4</v>
      </c>
      <c r="E241" t="str">
        <f t="shared" si="3"/>
        <v>Green</v>
      </c>
    </row>
    <row r="242" spans="1:5" x14ac:dyDescent="0.25">
      <c r="A242" s="28">
        <v>37560</v>
      </c>
      <c r="B242" s="17">
        <v>8.6448801016809906E-2</v>
      </c>
      <c r="C242">
        <v>31.139999</v>
      </c>
      <c r="D242">
        <v>4</v>
      </c>
      <c r="E242" t="str">
        <f t="shared" si="3"/>
        <v>Green</v>
      </c>
    </row>
    <row r="243" spans="1:5" x14ac:dyDescent="0.25">
      <c r="A243" s="28">
        <v>37529</v>
      </c>
      <c r="B243" s="17">
        <v>-0.110024318261519</v>
      </c>
      <c r="C243">
        <v>39.689999</v>
      </c>
      <c r="D243">
        <v>4</v>
      </c>
      <c r="E243" t="str">
        <f t="shared" si="3"/>
        <v>Red</v>
      </c>
    </row>
    <row r="244" spans="1:5" x14ac:dyDescent="0.25">
      <c r="A244" s="28">
        <v>37498</v>
      </c>
      <c r="B244" s="17">
        <v>4.8814330800193203E-3</v>
      </c>
      <c r="C244">
        <v>32.639999000000003</v>
      </c>
      <c r="D244">
        <v>4</v>
      </c>
      <c r="E244" t="str">
        <f t="shared" si="3"/>
        <v>Green</v>
      </c>
    </row>
    <row r="245" spans="1:5" x14ac:dyDescent="0.25">
      <c r="A245" s="28">
        <v>37468</v>
      </c>
      <c r="B245" s="17">
        <v>-7.9004274966125304E-2</v>
      </c>
      <c r="C245">
        <v>32.029998999999997</v>
      </c>
      <c r="D245">
        <v>4</v>
      </c>
      <c r="E245" t="str">
        <f t="shared" si="3"/>
        <v>Red</v>
      </c>
    </row>
    <row r="246" spans="1:5" x14ac:dyDescent="0.25">
      <c r="A246" s="28">
        <v>37435</v>
      </c>
      <c r="B246" s="17">
        <v>-7.2455354417573697E-2</v>
      </c>
      <c r="C246">
        <v>25.4</v>
      </c>
      <c r="D246">
        <v>4</v>
      </c>
      <c r="E246" t="str">
        <f t="shared" si="3"/>
        <v>Red</v>
      </c>
    </row>
    <row r="247" spans="1:5" x14ac:dyDescent="0.25">
      <c r="A247" s="28">
        <v>37407</v>
      </c>
      <c r="B247" s="17">
        <v>-9.0814810760454501E-3</v>
      </c>
      <c r="C247">
        <v>19.98</v>
      </c>
      <c r="D247">
        <v>3</v>
      </c>
      <c r="E247" t="str">
        <f t="shared" si="3"/>
        <v>Red</v>
      </c>
    </row>
    <row r="248" spans="1:5" x14ac:dyDescent="0.25">
      <c r="A248" s="28">
        <v>37376</v>
      </c>
      <c r="B248" s="17">
        <v>-6.1417626159139899E-2</v>
      </c>
      <c r="C248">
        <v>21.91</v>
      </c>
      <c r="D248">
        <v>3</v>
      </c>
      <c r="E248" t="str">
        <f t="shared" si="3"/>
        <v>Red</v>
      </c>
    </row>
    <row r="249" spans="1:5" x14ac:dyDescent="0.25">
      <c r="A249" s="28">
        <v>37343</v>
      </c>
      <c r="B249" s="17">
        <v>3.67388936188391E-2</v>
      </c>
      <c r="C249">
        <v>17.399999999999999</v>
      </c>
      <c r="D249">
        <v>2</v>
      </c>
      <c r="E249" t="str">
        <f t="shared" si="3"/>
        <v>Green</v>
      </c>
    </row>
    <row r="250" spans="1:5" x14ac:dyDescent="0.25">
      <c r="A250" s="28">
        <v>37315</v>
      </c>
      <c r="B250" s="17">
        <v>-2.0766211305560299E-2</v>
      </c>
      <c r="C250">
        <v>21.59</v>
      </c>
      <c r="D250">
        <v>3</v>
      </c>
      <c r="E250" t="str">
        <f t="shared" si="3"/>
        <v>Red</v>
      </c>
    </row>
    <row r="251" spans="1:5" x14ac:dyDescent="0.25">
      <c r="A251" s="28">
        <v>37287</v>
      </c>
      <c r="B251" s="17">
        <v>-1.55738325597943E-2</v>
      </c>
      <c r="C251">
        <v>21.09</v>
      </c>
      <c r="D251">
        <v>3</v>
      </c>
      <c r="E251" t="str">
        <f t="shared" si="3"/>
        <v>Red</v>
      </c>
    </row>
    <row r="252" spans="1:5" x14ac:dyDescent="0.25">
      <c r="A252" s="28">
        <v>37256</v>
      </c>
      <c r="B252" s="17">
        <v>7.5738341929156797E-3</v>
      </c>
      <c r="C252">
        <v>23.799999</v>
      </c>
      <c r="D252">
        <v>3</v>
      </c>
      <c r="E252" t="str">
        <f t="shared" si="3"/>
        <v>Green</v>
      </c>
    </row>
    <row r="253" spans="1:5" x14ac:dyDescent="0.25">
      <c r="A253" s="28">
        <v>37225</v>
      </c>
      <c r="B253" s="17">
        <v>7.5175904263053497E-2</v>
      </c>
      <c r="C253">
        <v>23.84</v>
      </c>
      <c r="D253">
        <v>4</v>
      </c>
      <c r="E253" t="str">
        <f t="shared" si="3"/>
        <v>Green</v>
      </c>
    </row>
    <row r="254" spans="1:5" x14ac:dyDescent="0.25">
      <c r="A254" s="28">
        <v>37195</v>
      </c>
      <c r="B254" s="17">
        <v>1.8099111445277798E-2</v>
      </c>
      <c r="C254">
        <v>33.560001</v>
      </c>
      <c r="D254">
        <v>4</v>
      </c>
      <c r="E254" t="str">
        <f t="shared" si="3"/>
        <v>Green</v>
      </c>
    </row>
    <row r="255" spans="1:5" x14ac:dyDescent="0.25">
      <c r="A255" s="28">
        <v>37162</v>
      </c>
      <c r="B255" s="17">
        <v>-8.1723406019716199E-2</v>
      </c>
      <c r="C255">
        <v>31.93</v>
      </c>
      <c r="D255">
        <v>4</v>
      </c>
      <c r="E255" t="str">
        <f t="shared" si="3"/>
        <v>Red</v>
      </c>
    </row>
    <row r="256" spans="1:5" x14ac:dyDescent="0.25">
      <c r="A256" s="28">
        <v>37134</v>
      </c>
      <c r="B256" s="17">
        <v>-6.4108406563714707E-2</v>
      </c>
      <c r="C256">
        <v>24.92</v>
      </c>
      <c r="D256">
        <v>4</v>
      </c>
      <c r="E256" t="str">
        <f t="shared" si="3"/>
        <v>Red</v>
      </c>
    </row>
    <row r="257" spans="1:5" x14ac:dyDescent="0.25">
      <c r="A257" s="28">
        <v>37103</v>
      </c>
      <c r="B257" s="17">
        <v>-1.0740150072934201E-2</v>
      </c>
      <c r="C257">
        <v>21.620000999999998</v>
      </c>
      <c r="D257">
        <v>3</v>
      </c>
      <c r="E257" t="str">
        <f t="shared" si="3"/>
        <v>Red</v>
      </c>
    </row>
    <row r="258" spans="1:5" x14ac:dyDescent="0.25">
      <c r="A258" s="28">
        <v>37071</v>
      </c>
      <c r="B258" s="17">
        <v>-2.5035389109833502E-2</v>
      </c>
      <c r="C258">
        <v>19.059999000000001</v>
      </c>
      <c r="D258">
        <v>3</v>
      </c>
      <c r="E258" t="str">
        <f t="shared" si="3"/>
        <v>Red</v>
      </c>
    </row>
    <row r="259" spans="1:5" x14ac:dyDescent="0.25">
      <c r="A259" s="28">
        <v>37042</v>
      </c>
      <c r="B259" s="17">
        <v>5.0901871196495901E-3</v>
      </c>
      <c r="C259">
        <v>22.639999</v>
      </c>
      <c r="D259">
        <v>3</v>
      </c>
      <c r="E259" t="str">
        <f t="shared" ref="E259:E322" si="4">IF(B259&gt;0,"Green","Red")</f>
        <v>Green</v>
      </c>
    </row>
    <row r="260" spans="1:5" x14ac:dyDescent="0.25">
      <c r="A260" s="28">
        <v>37011</v>
      </c>
      <c r="B260" s="17">
        <v>7.6814361759009797E-2</v>
      </c>
      <c r="C260">
        <v>25.48</v>
      </c>
      <c r="D260">
        <v>4</v>
      </c>
      <c r="E260" t="str">
        <f t="shared" si="4"/>
        <v>Green</v>
      </c>
    </row>
    <row r="261" spans="1:5" x14ac:dyDescent="0.25">
      <c r="A261" s="28">
        <v>36980</v>
      </c>
      <c r="B261" s="17">
        <v>-6.4204710540895493E-2</v>
      </c>
      <c r="C261">
        <v>28.639999</v>
      </c>
      <c r="D261">
        <v>4</v>
      </c>
      <c r="E261" t="str">
        <f t="shared" si="4"/>
        <v>Red</v>
      </c>
    </row>
    <row r="262" spans="1:5" x14ac:dyDescent="0.25">
      <c r="A262" s="28">
        <v>36950</v>
      </c>
      <c r="B262" s="17">
        <v>-9.2290735848999994E-2</v>
      </c>
      <c r="C262">
        <v>28.35</v>
      </c>
      <c r="D262">
        <v>4</v>
      </c>
      <c r="E262" t="str">
        <f t="shared" si="4"/>
        <v>Red</v>
      </c>
    </row>
    <row r="263" spans="1:5" x14ac:dyDescent="0.25">
      <c r="A263" s="28">
        <v>36922</v>
      </c>
      <c r="B263" s="17">
        <v>3.4636577086329501E-2</v>
      </c>
      <c r="C263">
        <v>22.02</v>
      </c>
      <c r="D263">
        <v>3</v>
      </c>
      <c r="E263" t="str">
        <f t="shared" si="4"/>
        <v>Green</v>
      </c>
    </row>
    <row r="264" spans="1:5" x14ac:dyDescent="0.25">
      <c r="A264" s="28">
        <v>36889</v>
      </c>
      <c r="B264" s="17">
        <v>4.0534455291978402E-3</v>
      </c>
      <c r="C264">
        <v>26.85</v>
      </c>
      <c r="D264">
        <v>4</v>
      </c>
      <c r="E264" t="str">
        <f t="shared" si="4"/>
        <v>Green</v>
      </c>
    </row>
    <row r="265" spans="1:5" x14ac:dyDescent="0.25">
      <c r="A265" s="28">
        <v>36860</v>
      </c>
      <c r="B265" s="17">
        <v>-8.0068609961069903E-2</v>
      </c>
      <c r="C265">
        <v>29.65</v>
      </c>
      <c r="D265">
        <v>4</v>
      </c>
      <c r="E265" t="str">
        <f t="shared" si="4"/>
        <v>Red</v>
      </c>
    </row>
    <row r="266" spans="1:5" x14ac:dyDescent="0.25">
      <c r="A266" s="28">
        <v>36830</v>
      </c>
      <c r="B266" s="17">
        <v>-4.9494858723608797E-3</v>
      </c>
      <c r="C266">
        <v>23.629999000000002</v>
      </c>
      <c r="D266">
        <v>3</v>
      </c>
      <c r="E266" t="str">
        <f t="shared" si="4"/>
        <v>Red</v>
      </c>
    </row>
    <row r="267" spans="1:5" x14ac:dyDescent="0.25">
      <c r="A267" s="28">
        <v>36798</v>
      </c>
      <c r="B267" s="17">
        <v>-5.3482974745611297E-2</v>
      </c>
      <c r="C267">
        <v>20.57</v>
      </c>
      <c r="D267">
        <v>3</v>
      </c>
      <c r="E267" t="str">
        <f t="shared" si="4"/>
        <v>Red</v>
      </c>
    </row>
    <row r="268" spans="1:5" x14ac:dyDescent="0.25">
      <c r="A268" s="28">
        <v>36769</v>
      </c>
      <c r="B268" s="17">
        <v>6.0699105184235998E-2</v>
      </c>
      <c r="C268">
        <v>16.84</v>
      </c>
      <c r="D268">
        <v>2</v>
      </c>
      <c r="E268" t="str">
        <f t="shared" si="4"/>
        <v>Green</v>
      </c>
    </row>
    <row r="269" spans="1:5" x14ac:dyDescent="0.25">
      <c r="A269" s="28">
        <v>36738</v>
      </c>
      <c r="B269" s="17">
        <v>-1.6341276221772699E-2</v>
      </c>
      <c r="C269">
        <v>20.74</v>
      </c>
      <c r="D269">
        <v>3</v>
      </c>
      <c r="E269" t="str">
        <f t="shared" si="4"/>
        <v>Red</v>
      </c>
    </row>
    <row r="270" spans="1:5" x14ac:dyDescent="0.25">
      <c r="A270" s="28">
        <v>36707</v>
      </c>
      <c r="B270" s="17">
        <v>2.3933549608901299E-2</v>
      </c>
      <c r="C270">
        <v>19.540001</v>
      </c>
      <c r="D270">
        <v>3</v>
      </c>
      <c r="E270" t="str">
        <f t="shared" si="4"/>
        <v>Green</v>
      </c>
    </row>
    <row r="271" spans="1:5" x14ac:dyDescent="0.25">
      <c r="A271" s="28">
        <v>36677</v>
      </c>
      <c r="B271" s="17">
        <v>-2.1915050512993601E-2</v>
      </c>
      <c r="C271">
        <v>23.65</v>
      </c>
      <c r="D271">
        <v>3</v>
      </c>
      <c r="E271" t="str">
        <f t="shared" si="4"/>
        <v>Red</v>
      </c>
    </row>
    <row r="272" spans="1:5" x14ac:dyDescent="0.25">
      <c r="A272" s="28">
        <v>36644</v>
      </c>
      <c r="B272" s="17">
        <v>-3.0795755551931401E-2</v>
      </c>
      <c r="C272">
        <v>26.200001</v>
      </c>
      <c r="D272">
        <v>4</v>
      </c>
      <c r="E272" t="str">
        <f t="shared" si="4"/>
        <v>Red</v>
      </c>
    </row>
    <row r="273" spans="1:5" x14ac:dyDescent="0.25">
      <c r="A273" s="28">
        <v>36616</v>
      </c>
      <c r="B273" s="17">
        <v>9.6719828269732397E-2</v>
      </c>
      <c r="C273">
        <v>24.110001</v>
      </c>
      <c r="D273">
        <v>4</v>
      </c>
      <c r="E273" t="str">
        <f t="shared" si="4"/>
        <v>Green</v>
      </c>
    </row>
    <row r="274" spans="1:5" x14ac:dyDescent="0.25">
      <c r="A274" s="28">
        <v>36585</v>
      </c>
      <c r="B274" s="17">
        <v>-2.0108083261058299E-2</v>
      </c>
      <c r="C274">
        <v>23.370000999999998</v>
      </c>
      <c r="D274">
        <v>3</v>
      </c>
      <c r="E274" t="str">
        <f t="shared" si="4"/>
        <v>Red</v>
      </c>
    </row>
    <row r="275" spans="1:5" x14ac:dyDescent="0.25">
      <c r="A275" s="28">
        <v>36556</v>
      </c>
      <c r="B275" s="17">
        <v>-5.0903548749361899E-2</v>
      </c>
      <c r="C275">
        <v>24.950001</v>
      </c>
      <c r="D275">
        <v>4</v>
      </c>
      <c r="E275" t="str">
        <f t="shared" si="4"/>
        <v>Red</v>
      </c>
    </row>
    <row r="276" spans="1:5" x14ac:dyDescent="0.25">
      <c r="A276" s="28">
        <v>36525</v>
      </c>
      <c r="B276" s="17">
        <v>5.7843894876779399E-2</v>
      </c>
      <c r="C276">
        <v>24.639999</v>
      </c>
      <c r="D276">
        <v>4</v>
      </c>
      <c r="E276" t="str">
        <f t="shared" si="4"/>
        <v>Green</v>
      </c>
    </row>
    <row r="277" spans="1:5" x14ac:dyDescent="0.25">
      <c r="A277" s="28">
        <v>36494</v>
      </c>
      <c r="B277" s="17">
        <v>1.9061858621249601E-2</v>
      </c>
      <c r="C277">
        <v>24.18</v>
      </c>
      <c r="D277">
        <v>4</v>
      </c>
      <c r="E277" t="str">
        <f t="shared" si="4"/>
        <v>Green</v>
      </c>
    </row>
    <row r="278" spans="1:5" x14ac:dyDescent="0.25">
      <c r="A278" s="28">
        <v>36462</v>
      </c>
      <c r="B278" s="17">
        <v>6.2539541625965298E-2</v>
      </c>
      <c r="C278">
        <v>22.200001</v>
      </c>
      <c r="D278">
        <v>3</v>
      </c>
      <c r="E278" t="str">
        <f t="shared" si="4"/>
        <v>Green</v>
      </c>
    </row>
    <row r="279" spans="1:5" x14ac:dyDescent="0.25">
      <c r="A279" s="28">
        <v>36433</v>
      </c>
      <c r="B279" s="17">
        <v>-2.85517922684916E-2</v>
      </c>
      <c r="C279">
        <v>25.41</v>
      </c>
      <c r="D279">
        <v>4</v>
      </c>
      <c r="E279" t="str">
        <f t="shared" si="4"/>
        <v>Red</v>
      </c>
    </row>
    <row r="280" spans="1:5" x14ac:dyDescent="0.25">
      <c r="A280" s="28">
        <v>36403</v>
      </c>
      <c r="B280" s="17">
        <v>-6.2540920445004504E-3</v>
      </c>
      <c r="C280">
        <v>24.450001</v>
      </c>
      <c r="D280">
        <v>4</v>
      </c>
      <c r="E280" t="str">
        <f t="shared" si="4"/>
        <v>Red</v>
      </c>
    </row>
    <row r="281" spans="1:5" x14ac:dyDescent="0.25">
      <c r="A281" s="28">
        <v>36371</v>
      </c>
      <c r="B281" s="17">
        <v>-3.2046092218893797E-2</v>
      </c>
      <c r="C281">
        <v>24.639999</v>
      </c>
      <c r="D281">
        <v>4</v>
      </c>
      <c r="E281" t="str">
        <f t="shared" si="4"/>
        <v>Red</v>
      </c>
    </row>
    <row r="282" spans="1:5" x14ac:dyDescent="0.25">
      <c r="A282" s="28">
        <v>36341</v>
      </c>
      <c r="B282" s="17">
        <v>5.4438331016794198E-2</v>
      </c>
      <c r="C282">
        <v>21.09</v>
      </c>
      <c r="D282">
        <v>3</v>
      </c>
      <c r="E282" t="str">
        <f t="shared" si="4"/>
        <v>Green</v>
      </c>
    </row>
    <row r="283" spans="1:5" x14ac:dyDescent="0.25">
      <c r="A283" s="28">
        <v>36308</v>
      </c>
      <c r="B283" s="17">
        <v>-2.4970480872686801E-2</v>
      </c>
      <c r="C283">
        <v>25.389999</v>
      </c>
      <c r="D283">
        <v>4</v>
      </c>
      <c r="E283" t="str">
        <f t="shared" si="4"/>
        <v>Red</v>
      </c>
    </row>
    <row r="284" spans="1:5" x14ac:dyDescent="0.25">
      <c r="A284" s="28">
        <v>36280</v>
      </c>
      <c r="B284" s="17">
        <v>3.7944027915545402E-2</v>
      </c>
      <c r="C284">
        <v>25.07</v>
      </c>
      <c r="D284">
        <v>4</v>
      </c>
      <c r="E284" t="str">
        <f t="shared" si="4"/>
        <v>Green</v>
      </c>
    </row>
    <row r="285" spans="1:5" x14ac:dyDescent="0.25">
      <c r="A285" s="28">
        <v>36250</v>
      </c>
      <c r="B285" s="17">
        <v>3.8794215360158799E-2</v>
      </c>
      <c r="C285">
        <v>23.26</v>
      </c>
      <c r="D285">
        <v>3</v>
      </c>
      <c r="E285" t="str">
        <f t="shared" si="4"/>
        <v>Green</v>
      </c>
    </row>
    <row r="286" spans="1:5" x14ac:dyDescent="0.25">
      <c r="A286" s="28">
        <v>36217</v>
      </c>
      <c r="B286" s="17">
        <v>-3.2282562686194102E-2</v>
      </c>
      <c r="C286">
        <v>27.879999000000002</v>
      </c>
      <c r="D286">
        <v>4</v>
      </c>
      <c r="E286" t="str">
        <f t="shared" si="4"/>
        <v>Red</v>
      </c>
    </row>
    <row r="287" spans="1:5" x14ac:dyDescent="0.25">
      <c r="A287" s="28">
        <v>36189</v>
      </c>
      <c r="B287" s="17">
        <v>4.1009441536725297E-2</v>
      </c>
      <c r="C287">
        <v>26.25</v>
      </c>
      <c r="D287">
        <v>4</v>
      </c>
      <c r="E287" t="str">
        <f t="shared" si="4"/>
        <v>Green</v>
      </c>
    </row>
    <row r="288" spans="1:5" x14ac:dyDescent="0.25">
      <c r="A288" s="28">
        <v>36160</v>
      </c>
      <c r="B288" s="17">
        <v>5.63752865757359E-2</v>
      </c>
      <c r="C288">
        <v>24.42</v>
      </c>
      <c r="D288">
        <v>4</v>
      </c>
      <c r="E288" t="str">
        <f t="shared" si="4"/>
        <v>Green</v>
      </c>
    </row>
    <row r="289" spans="1:5" x14ac:dyDescent="0.25">
      <c r="A289" s="28">
        <v>36129</v>
      </c>
      <c r="B289" s="17">
        <v>5.91259963396253E-2</v>
      </c>
      <c r="C289">
        <v>26.01</v>
      </c>
      <c r="D289">
        <v>4</v>
      </c>
      <c r="E289" t="str">
        <f t="shared" si="4"/>
        <v>Green</v>
      </c>
    </row>
    <row r="290" spans="1:5" x14ac:dyDescent="0.25">
      <c r="A290" s="28">
        <v>36098</v>
      </c>
      <c r="B290" s="17">
        <v>8.0294228372442406E-2</v>
      </c>
      <c r="C290">
        <v>28.049999</v>
      </c>
      <c r="D290">
        <v>4</v>
      </c>
      <c r="E290" t="str">
        <f t="shared" si="4"/>
        <v>Green</v>
      </c>
    </row>
    <row r="291" spans="1:5" x14ac:dyDescent="0.25">
      <c r="A291" s="28">
        <v>36068</v>
      </c>
      <c r="B291" s="17">
        <v>6.2395515617718902E-2</v>
      </c>
      <c r="C291">
        <v>40.950001</v>
      </c>
      <c r="D291">
        <v>4</v>
      </c>
      <c r="E291" t="str">
        <f t="shared" si="4"/>
        <v>Green</v>
      </c>
    </row>
    <row r="292" spans="1:5" x14ac:dyDescent="0.25">
      <c r="A292" s="28">
        <v>36038</v>
      </c>
      <c r="B292" s="17">
        <v>-0.14579671855670701</v>
      </c>
      <c r="C292">
        <v>44.279998999999997</v>
      </c>
      <c r="D292">
        <v>4</v>
      </c>
      <c r="E292" t="str">
        <f t="shared" si="4"/>
        <v>Red</v>
      </c>
    </row>
    <row r="293" spans="1:5" x14ac:dyDescent="0.25">
      <c r="A293" s="28">
        <v>36007</v>
      </c>
      <c r="B293" s="17">
        <v>-1.1615327025789501E-2</v>
      </c>
      <c r="C293">
        <v>24.799999</v>
      </c>
      <c r="D293">
        <v>4</v>
      </c>
      <c r="E293" t="str">
        <f t="shared" si="4"/>
        <v>Red</v>
      </c>
    </row>
    <row r="294" spans="1:5" x14ac:dyDescent="0.25">
      <c r="A294" s="28">
        <v>35976</v>
      </c>
      <c r="B294" s="17">
        <v>3.9438241075214098E-2</v>
      </c>
      <c r="C294">
        <v>19.709999</v>
      </c>
      <c r="D294">
        <v>3</v>
      </c>
      <c r="E294" t="str">
        <f t="shared" si="4"/>
        <v>Green</v>
      </c>
    </row>
    <row r="295" spans="1:5" x14ac:dyDescent="0.25">
      <c r="A295" s="28">
        <v>35944</v>
      </c>
      <c r="B295" s="17">
        <v>-1.8826223521475099E-2</v>
      </c>
      <c r="C295">
        <v>21.32</v>
      </c>
      <c r="D295">
        <v>3</v>
      </c>
      <c r="E295" t="str">
        <f t="shared" si="4"/>
        <v>Red</v>
      </c>
    </row>
    <row r="296" spans="1:5" x14ac:dyDescent="0.25">
      <c r="A296" s="28">
        <v>35915</v>
      </c>
      <c r="B296" s="17">
        <v>9.0764692534604004E-3</v>
      </c>
      <c r="C296">
        <v>21.18</v>
      </c>
      <c r="D296">
        <v>3</v>
      </c>
      <c r="E296" t="str">
        <f t="shared" si="4"/>
        <v>Green</v>
      </c>
    </row>
    <row r="297" spans="1:5" x14ac:dyDescent="0.25">
      <c r="A297" s="28">
        <v>35885</v>
      </c>
      <c r="B297" s="17">
        <v>4.9945714161429497E-2</v>
      </c>
      <c r="C297">
        <v>24.219999000000001</v>
      </c>
      <c r="D297">
        <v>4</v>
      </c>
      <c r="E297" t="str">
        <f t="shared" si="4"/>
        <v>Green</v>
      </c>
    </row>
    <row r="298" spans="1:5" x14ac:dyDescent="0.25">
      <c r="A298" s="28">
        <v>35853</v>
      </c>
      <c r="B298" s="17">
        <v>7.0449193043797195E-2</v>
      </c>
      <c r="C298">
        <v>18.549999</v>
      </c>
      <c r="D298">
        <v>3</v>
      </c>
      <c r="E298" t="str">
        <f t="shared" si="4"/>
        <v>Green</v>
      </c>
    </row>
    <row r="299" spans="1:5" x14ac:dyDescent="0.25">
      <c r="A299" s="28">
        <v>35825</v>
      </c>
      <c r="B299" s="17">
        <v>1.01501767989975E-2</v>
      </c>
      <c r="C299">
        <v>21.469999000000001</v>
      </c>
      <c r="D299">
        <v>3</v>
      </c>
      <c r="E299" t="str">
        <f t="shared" si="4"/>
        <v>Green</v>
      </c>
    </row>
    <row r="300" spans="1:5" x14ac:dyDescent="0.25">
      <c r="A300" s="28">
        <v>35795</v>
      </c>
      <c r="B300" s="17">
        <v>1.5731597888257998E-2</v>
      </c>
      <c r="C300">
        <v>24.01</v>
      </c>
      <c r="D300">
        <v>4</v>
      </c>
      <c r="E300" t="str">
        <f t="shared" si="4"/>
        <v>Green</v>
      </c>
    </row>
    <row r="301" spans="1:5" x14ac:dyDescent="0.25">
      <c r="A301" s="28">
        <v>35762</v>
      </c>
      <c r="B301" s="17">
        <v>4.4586854893763801E-2</v>
      </c>
      <c r="C301">
        <v>27.43</v>
      </c>
      <c r="D301">
        <v>4</v>
      </c>
      <c r="E301" t="str">
        <f t="shared" si="4"/>
        <v>Green</v>
      </c>
    </row>
    <row r="302" spans="1:5" x14ac:dyDescent="0.25">
      <c r="A302" s="28">
        <v>35734</v>
      </c>
      <c r="B302" s="17">
        <v>-3.4477697196337802E-2</v>
      </c>
      <c r="C302">
        <v>35.090000000000003</v>
      </c>
      <c r="D302">
        <v>4</v>
      </c>
      <c r="E302" t="str">
        <f t="shared" si="4"/>
        <v>Red</v>
      </c>
    </row>
    <row r="303" spans="1:5" x14ac:dyDescent="0.25">
      <c r="A303" s="28">
        <v>35703</v>
      </c>
      <c r="B303" s="17">
        <v>5.3153589937912499E-2</v>
      </c>
      <c r="C303">
        <v>22.91</v>
      </c>
      <c r="D303">
        <v>3</v>
      </c>
      <c r="E303" t="str">
        <f t="shared" si="4"/>
        <v>Green</v>
      </c>
    </row>
    <row r="304" spans="1:5" x14ac:dyDescent="0.25">
      <c r="A304" s="28">
        <v>35671</v>
      </c>
      <c r="B304" s="17">
        <v>-5.7465631833399297E-2</v>
      </c>
      <c r="C304">
        <v>24.76</v>
      </c>
      <c r="D304">
        <v>4</v>
      </c>
      <c r="E304" t="str">
        <f t="shared" si="4"/>
        <v>Red</v>
      </c>
    </row>
    <row r="305" spans="1:5" x14ac:dyDescent="0.25">
      <c r="A305" s="28">
        <v>35642</v>
      </c>
      <c r="B305" s="17">
        <v>7.8145809507889102E-2</v>
      </c>
      <c r="C305">
        <v>21.48</v>
      </c>
      <c r="D305">
        <v>3</v>
      </c>
      <c r="E305" t="str">
        <f t="shared" si="4"/>
        <v>Green</v>
      </c>
    </row>
    <row r="306" spans="1:5" x14ac:dyDescent="0.25">
      <c r="A306" s="28">
        <v>35611</v>
      </c>
      <c r="B306" s="17">
        <v>4.3452615574897498E-2</v>
      </c>
      <c r="C306">
        <v>21.530000999999999</v>
      </c>
      <c r="D306">
        <v>3</v>
      </c>
      <c r="E306" t="str">
        <f t="shared" si="4"/>
        <v>Green</v>
      </c>
    </row>
    <row r="307" spans="1:5" x14ac:dyDescent="0.25">
      <c r="A307" s="28">
        <v>35580</v>
      </c>
      <c r="B307" s="17">
        <v>5.8576884241924997E-2</v>
      </c>
      <c r="C307">
        <v>19.190000999999999</v>
      </c>
      <c r="D307">
        <v>3</v>
      </c>
      <c r="E307" t="str">
        <f t="shared" si="4"/>
        <v>Green</v>
      </c>
    </row>
    <row r="308" spans="1:5" x14ac:dyDescent="0.25">
      <c r="A308" s="28">
        <v>35550</v>
      </c>
      <c r="B308" s="17">
        <v>5.8405579422057E-2</v>
      </c>
      <c r="C308">
        <v>20.059999000000001</v>
      </c>
      <c r="D308">
        <v>3</v>
      </c>
      <c r="E308" t="str">
        <f t="shared" si="4"/>
        <v>Green</v>
      </c>
    </row>
    <row r="309" spans="1:5" x14ac:dyDescent="0.25">
      <c r="A309" s="28">
        <v>35520</v>
      </c>
      <c r="B309" s="17">
        <v>-4.2614010396426399E-2</v>
      </c>
      <c r="C309">
        <v>22.139999</v>
      </c>
      <c r="D309">
        <v>3</v>
      </c>
      <c r="E309" t="str">
        <f t="shared" si="4"/>
        <v>Red</v>
      </c>
    </row>
    <row r="310" spans="1:5" x14ac:dyDescent="0.25">
      <c r="A310" s="28">
        <v>35489</v>
      </c>
      <c r="B310" s="17">
        <v>5.9275900071804602E-3</v>
      </c>
      <c r="C310">
        <v>21.1</v>
      </c>
      <c r="D310">
        <v>3</v>
      </c>
      <c r="E310" t="str">
        <f t="shared" si="4"/>
        <v>Green</v>
      </c>
    </row>
    <row r="311" spans="1:5" x14ac:dyDescent="0.25">
      <c r="A311" s="28">
        <v>35461</v>
      </c>
      <c r="B311" s="17">
        <v>6.1317039194819199E-2</v>
      </c>
      <c r="C311">
        <v>19.469999000000001</v>
      </c>
      <c r="D311">
        <v>3</v>
      </c>
      <c r="E311" t="str">
        <f t="shared" si="4"/>
        <v>Green</v>
      </c>
    </row>
    <row r="312" spans="1:5" x14ac:dyDescent="0.25">
      <c r="A312" s="28">
        <v>35430</v>
      </c>
      <c r="B312" s="17">
        <v>-2.1505415404998202E-2</v>
      </c>
      <c r="C312">
        <v>20.92</v>
      </c>
      <c r="D312">
        <v>3</v>
      </c>
      <c r="E312" t="str">
        <f t="shared" si="4"/>
        <v>Red</v>
      </c>
    </row>
    <row r="313" spans="1:5" x14ac:dyDescent="0.25">
      <c r="A313" s="28">
        <v>35398</v>
      </c>
      <c r="B313" s="17">
        <v>7.3376151732636993E-2</v>
      </c>
      <c r="C313">
        <v>17.139999</v>
      </c>
      <c r="D313">
        <v>2</v>
      </c>
      <c r="E313" t="str">
        <f t="shared" si="4"/>
        <v>Green</v>
      </c>
    </row>
    <row r="314" spans="1:5" x14ac:dyDescent="0.25">
      <c r="A314" s="28">
        <v>35369</v>
      </c>
      <c r="B314" s="17">
        <v>2.61010032390308E-2</v>
      </c>
      <c r="C314">
        <v>18.110001</v>
      </c>
      <c r="D314">
        <v>3</v>
      </c>
      <c r="E314" t="str">
        <f t="shared" si="4"/>
        <v>Green</v>
      </c>
    </row>
    <row r="315" spans="1:5" x14ac:dyDescent="0.25">
      <c r="A315" s="28">
        <v>35338</v>
      </c>
      <c r="B315" s="17">
        <v>5.4203327569492199E-2</v>
      </c>
      <c r="C315">
        <v>16.950001</v>
      </c>
      <c r="D315">
        <v>2</v>
      </c>
      <c r="E315" t="str">
        <f t="shared" si="4"/>
        <v>Green</v>
      </c>
    </row>
    <row r="316" spans="1:5" x14ac:dyDescent="0.25">
      <c r="A316" s="28">
        <v>35307</v>
      </c>
      <c r="B316" s="17">
        <v>1.8813935110919298E-2</v>
      </c>
      <c r="C316">
        <v>17.010000000000002</v>
      </c>
      <c r="D316">
        <v>2</v>
      </c>
      <c r="E316" t="str">
        <f t="shared" si="4"/>
        <v>Green</v>
      </c>
    </row>
    <row r="317" spans="1:5" x14ac:dyDescent="0.25">
      <c r="A317" s="28">
        <v>35277</v>
      </c>
      <c r="B317" s="17">
        <v>-4.5748017194667499E-2</v>
      </c>
      <c r="C317">
        <v>19.459999</v>
      </c>
      <c r="D317">
        <v>3</v>
      </c>
      <c r="E317" t="str">
        <f t="shared" si="4"/>
        <v>Red</v>
      </c>
    </row>
    <row r="318" spans="1:5" x14ac:dyDescent="0.25">
      <c r="A318" s="28">
        <v>35244</v>
      </c>
      <c r="B318" s="17">
        <v>2.2567103229369501E-3</v>
      </c>
      <c r="C318">
        <v>13.68</v>
      </c>
      <c r="D318">
        <v>1</v>
      </c>
      <c r="E318" t="str">
        <f t="shared" si="4"/>
        <v>Green</v>
      </c>
    </row>
    <row r="319" spans="1:5" x14ac:dyDescent="0.25">
      <c r="A319" s="28">
        <v>35216</v>
      </c>
      <c r="B319" s="17">
        <v>2.2853405672084999E-2</v>
      </c>
      <c r="C319">
        <v>16.07</v>
      </c>
      <c r="D319">
        <v>2</v>
      </c>
      <c r="E319" t="str">
        <f t="shared" si="4"/>
        <v>Green</v>
      </c>
    </row>
    <row r="320" spans="1:5" x14ac:dyDescent="0.25">
      <c r="A320" s="28">
        <v>35185</v>
      </c>
      <c r="B320" s="17">
        <v>1.34314221533696E-2</v>
      </c>
      <c r="C320">
        <v>15.83</v>
      </c>
      <c r="D320">
        <v>2</v>
      </c>
      <c r="E320" t="str">
        <f t="shared" si="4"/>
        <v>Green</v>
      </c>
    </row>
    <row r="321" spans="1:5" x14ac:dyDescent="0.25">
      <c r="A321" s="28">
        <v>35153</v>
      </c>
      <c r="B321" s="17">
        <v>7.9165670805803091E-3</v>
      </c>
      <c r="C321">
        <v>18.879999000000002</v>
      </c>
      <c r="D321">
        <v>3</v>
      </c>
      <c r="E321" t="str">
        <f t="shared" si="4"/>
        <v>Green</v>
      </c>
    </row>
    <row r="322" spans="1:5" x14ac:dyDescent="0.25">
      <c r="A322" s="28">
        <v>35124</v>
      </c>
      <c r="B322" s="17">
        <v>6.9337015523502901E-3</v>
      </c>
      <c r="C322">
        <v>17.040001</v>
      </c>
      <c r="D322">
        <v>2</v>
      </c>
      <c r="E322" t="str">
        <f t="shared" si="4"/>
        <v>Green</v>
      </c>
    </row>
    <row r="323" spans="1:5" x14ac:dyDescent="0.25">
      <c r="A323" s="28">
        <v>35095</v>
      </c>
      <c r="B323" s="17">
        <v>3.2617387086717201E-2</v>
      </c>
      <c r="C323">
        <v>12.53</v>
      </c>
      <c r="D323">
        <v>1</v>
      </c>
      <c r="E323" t="str">
        <f t="shared" ref="E323:E386" si="5">IF(B323&gt;0,"Green","Red")</f>
        <v>Green</v>
      </c>
    </row>
    <row r="324" spans="1:5" x14ac:dyDescent="0.25">
      <c r="A324" s="28">
        <v>35062</v>
      </c>
      <c r="B324" s="17">
        <v>1.7443874138492799E-2</v>
      </c>
      <c r="C324">
        <v>12.52</v>
      </c>
      <c r="D324">
        <v>1</v>
      </c>
      <c r="E324" t="str">
        <f t="shared" si="5"/>
        <v>Green</v>
      </c>
    </row>
    <row r="325" spans="1:5" x14ac:dyDescent="0.25">
      <c r="A325" s="28">
        <v>35033</v>
      </c>
      <c r="B325" s="17">
        <v>4.1049002579535802E-2</v>
      </c>
      <c r="C325">
        <v>11.58</v>
      </c>
      <c r="D325">
        <v>1</v>
      </c>
      <c r="E325" t="str">
        <f t="shared" si="5"/>
        <v>Green</v>
      </c>
    </row>
    <row r="326" spans="1:5" x14ac:dyDescent="0.25">
      <c r="A326" s="28">
        <v>35003</v>
      </c>
      <c r="B326" s="17">
        <v>-4.9793349436904099E-3</v>
      </c>
      <c r="C326">
        <v>13.83</v>
      </c>
      <c r="D326">
        <v>1</v>
      </c>
      <c r="E326" t="str">
        <f t="shared" si="5"/>
        <v>Red</v>
      </c>
    </row>
    <row r="327" spans="1:5" x14ac:dyDescent="0.25">
      <c r="A327" s="28">
        <v>34971</v>
      </c>
      <c r="B327" s="17">
        <v>4.0097472413171298E-2</v>
      </c>
      <c r="C327">
        <v>12.74</v>
      </c>
      <c r="D327">
        <v>1</v>
      </c>
      <c r="E327" t="str">
        <f t="shared" si="5"/>
        <v>Green</v>
      </c>
    </row>
    <row r="328" spans="1:5" x14ac:dyDescent="0.25">
      <c r="A328" s="28">
        <v>34942</v>
      </c>
      <c r="B328" s="17">
        <v>-3.2023805401637501E-4</v>
      </c>
      <c r="C328">
        <v>11.52</v>
      </c>
      <c r="D328">
        <v>1</v>
      </c>
      <c r="E328" t="str">
        <f t="shared" si="5"/>
        <v>Red</v>
      </c>
    </row>
    <row r="329" spans="1:5" x14ac:dyDescent="0.25">
      <c r="A329" s="28">
        <v>34911</v>
      </c>
      <c r="B329" s="17">
        <v>3.1776040385497903E-2</v>
      </c>
      <c r="C329">
        <v>13.49</v>
      </c>
      <c r="D329">
        <v>1</v>
      </c>
      <c r="E329" t="str">
        <f t="shared" si="5"/>
        <v>Green</v>
      </c>
    </row>
    <row r="330" spans="1:5" x14ac:dyDescent="0.25">
      <c r="A330" s="28">
        <v>34880</v>
      </c>
      <c r="B330" s="17">
        <v>2.1278544224437399E-2</v>
      </c>
      <c r="C330">
        <v>11.38</v>
      </c>
      <c r="D330">
        <v>1</v>
      </c>
      <c r="E330" t="str">
        <f t="shared" si="5"/>
        <v>Green</v>
      </c>
    </row>
    <row r="331" spans="1:5" x14ac:dyDescent="0.25">
      <c r="A331" s="28">
        <v>34850</v>
      </c>
      <c r="B331" s="17">
        <v>3.6311711839953402E-2</v>
      </c>
      <c r="C331">
        <v>12.85</v>
      </c>
      <c r="D331">
        <v>1</v>
      </c>
      <c r="E331" t="str">
        <f t="shared" si="5"/>
        <v>Green</v>
      </c>
    </row>
    <row r="332" spans="1:5" x14ac:dyDescent="0.25">
      <c r="A332" s="28">
        <v>34817</v>
      </c>
      <c r="B332" s="17">
        <v>2.7960358793799302E-2</v>
      </c>
      <c r="C332">
        <v>11.75</v>
      </c>
      <c r="D332">
        <v>1</v>
      </c>
      <c r="E332" t="str">
        <f t="shared" si="5"/>
        <v>Green</v>
      </c>
    </row>
    <row r="333" spans="1:5" x14ac:dyDescent="0.25">
      <c r="A333" s="28">
        <v>34789</v>
      </c>
      <c r="B333" s="17">
        <v>2.7329193438646801E-2</v>
      </c>
      <c r="C333">
        <v>13.37</v>
      </c>
      <c r="D333">
        <v>1</v>
      </c>
      <c r="E333" t="str">
        <f t="shared" si="5"/>
        <v>Green</v>
      </c>
    </row>
    <row r="334" spans="1:5" x14ac:dyDescent="0.25">
      <c r="A334" s="28">
        <v>34758</v>
      </c>
      <c r="B334" s="17">
        <v>3.6074149761991602E-2</v>
      </c>
      <c r="C334">
        <v>11.75</v>
      </c>
      <c r="D334">
        <v>1</v>
      </c>
      <c r="E334" t="str">
        <f t="shared" si="5"/>
        <v>Green</v>
      </c>
    </row>
    <row r="335" spans="1:5" x14ac:dyDescent="0.25">
      <c r="A335" s="28">
        <v>34730</v>
      </c>
      <c r="B335" s="17">
        <v>2.4277710860833E-2</v>
      </c>
      <c r="C335">
        <v>11.96</v>
      </c>
      <c r="D335">
        <v>1</v>
      </c>
      <c r="E335" t="str">
        <f t="shared" si="5"/>
        <v>Green</v>
      </c>
    </row>
    <row r="336" spans="1:5" x14ac:dyDescent="0.25">
      <c r="A336" s="28">
        <v>34698</v>
      </c>
      <c r="B336" s="17">
        <v>1.22991182864991E-2</v>
      </c>
      <c r="C336">
        <v>13.2</v>
      </c>
      <c r="D336">
        <v>1</v>
      </c>
      <c r="E336" t="str">
        <f t="shared" si="5"/>
        <v>Green</v>
      </c>
    </row>
    <row r="337" spans="1:5" x14ac:dyDescent="0.25">
      <c r="A337" s="28">
        <v>34668</v>
      </c>
      <c r="B337" s="17">
        <v>-3.9504612602884202E-2</v>
      </c>
      <c r="C337">
        <v>15.95</v>
      </c>
      <c r="D337">
        <v>2</v>
      </c>
      <c r="E337" t="str">
        <f t="shared" si="5"/>
        <v>Red</v>
      </c>
    </row>
    <row r="338" spans="1:5" x14ac:dyDescent="0.25">
      <c r="A338" s="28">
        <v>34638</v>
      </c>
      <c r="B338" s="17">
        <v>2.0833816402291601E-2</v>
      </c>
      <c r="C338">
        <v>14.56</v>
      </c>
      <c r="D338">
        <v>2</v>
      </c>
      <c r="E338" t="str">
        <f t="shared" si="5"/>
        <v>Green</v>
      </c>
    </row>
    <row r="339" spans="1:5" x14ac:dyDescent="0.25">
      <c r="A339" s="28">
        <v>34607</v>
      </c>
      <c r="B339" s="17">
        <v>-2.68775353188823E-2</v>
      </c>
      <c r="C339">
        <v>14.28</v>
      </c>
      <c r="D339">
        <v>2</v>
      </c>
      <c r="E339" t="str">
        <f t="shared" si="5"/>
        <v>Red</v>
      </c>
    </row>
    <row r="340" spans="1:5" x14ac:dyDescent="0.25">
      <c r="A340" s="28">
        <v>34577</v>
      </c>
      <c r="B340" s="17">
        <v>3.7598698607805597E-2</v>
      </c>
      <c r="C340">
        <v>11.97</v>
      </c>
      <c r="D340">
        <v>1</v>
      </c>
      <c r="E340" t="str">
        <f t="shared" si="5"/>
        <v>Green</v>
      </c>
    </row>
    <row r="341" spans="1:5" x14ac:dyDescent="0.25">
      <c r="A341" s="28">
        <v>34544</v>
      </c>
      <c r="B341" s="17">
        <v>3.1489907818193802E-2</v>
      </c>
      <c r="C341">
        <v>11.13</v>
      </c>
      <c r="D341">
        <v>1</v>
      </c>
      <c r="E341" t="str">
        <f t="shared" si="5"/>
        <v>Green</v>
      </c>
    </row>
    <row r="342" spans="1:5" x14ac:dyDescent="0.25">
      <c r="A342" s="28">
        <v>34515</v>
      </c>
      <c r="B342" s="17">
        <v>-2.67908236582695E-2</v>
      </c>
      <c r="C342">
        <v>14.97</v>
      </c>
      <c r="D342">
        <v>2</v>
      </c>
      <c r="E342" t="str">
        <f t="shared" si="5"/>
        <v>Red</v>
      </c>
    </row>
    <row r="343" spans="1:5" x14ac:dyDescent="0.25">
      <c r="A343" s="28">
        <v>34485</v>
      </c>
      <c r="B343" s="17">
        <v>1.23971434441716E-2</v>
      </c>
      <c r="C343">
        <v>13.03</v>
      </c>
      <c r="D343">
        <v>1</v>
      </c>
      <c r="E343" t="str">
        <f t="shared" si="5"/>
        <v>Green</v>
      </c>
    </row>
    <row r="344" spans="1:5" x14ac:dyDescent="0.25">
      <c r="A344" s="28">
        <v>34453</v>
      </c>
      <c r="B344" s="17">
        <v>1.1530643889981601E-2</v>
      </c>
      <c r="C344">
        <v>13.77</v>
      </c>
      <c r="D344">
        <v>1</v>
      </c>
      <c r="E344" t="str">
        <f t="shared" si="5"/>
        <v>Green</v>
      </c>
    </row>
    <row r="345" spans="1:5" x14ac:dyDescent="0.25">
      <c r="A345" s="28">
        <v>34424</v>
      </c>
      <c r="B345" s="17">
        <v>-4.5746511353774701E-2</v>
      </c>
      <c r="C345">
        <v>20.450001</v>
      </c>
      <c r="D345">
        <v>3</v>
      </c>
      <c r="E345" t="str">
        <f t="shared" si="5"/>
        <v>Red</v>
      </c>
    </row>
    <row r="346" spans="1:5" x14ac:dyDescent="0.25">
      <c r="A346" s="28">
        <v>34393</v>
      </c>
      <c r="B346" s="17">
        <v>-3.00449958486637E-2</v>
      </c>
      <c r="C346">
        <v>14.87</v>
      </c>
      <c r="D346">
        <v>2</v>
      </c>
      <c r="E346" t="str">
        <f t="shared" si="5"/>
        <v>Red</v>
      </c>
    </row>
    <row r="347" spans="1:5" x14ac:dyDescent="0.25">
      <c r="A347" s="28">
        <v>34365</v>
      </c>
      <c r="B347" s="17">
        <v>3.2500745224549397E-2</v>
      </c>
      <c r="C347">
        <v>10.63</v>
      </c>
      <c r="D347">
        <v>1</v>
      </c>
      <c r="E347" t="str">
        <f t="shared" si="5"/>
        <v>Green</v>
      </c>
    </row>
    <row r="348" spans="1:5" x14ac:dyDescent="0.25">
      <c r="A348" s="28">
        <v>34334</v>
      </c>
      <c r="B348" s="17">
        <v>1.0091173280450901E-2</v>
      </c>
      <c r="C348">
        <v>11.66</v>
      </c>
      <c r="D348">
        <v>1</v>
      </c>
      <c r="E348" t="str">
        <f t="shared" si="5"/>
        <v>Green</v>
      </c>
    </row>
    <row r="349" spans="1:5" x14ac:dyDescent="0.25">
      <c r="A349" s="28">
        <v>34303</v>
      </c>
      <c r="B349" s="17">
        <v>-1.2910626013377001E-2</v>
      </c>
      <c r="C349">
        <v>13.76</v>
      </c>
      <c r="D349">
        <v>1</v>
      </c>
      <c r="E349" t="str">
        <f t="shared" si="5"/>
        <v>Red</v>
      </c>
    </row>
    <row r="350" spans="1:5" x14ac:dyDescent="0.25">
      <c r="A350" s="28">
        <v>34271</v>
      </c>
      <c r="B350" s="17">
        <v>1.9392922963742801E-2</v>
      </c>
      <c r="C350">
        <v>11.46</v>
      </c>
      <c r="D350">
        <v>1</v>
      </c>
      <c r="E350" t="str">
        <f t="shared" si="5"/>
        <v>Green</v>
      </c>
    </row>
    <row r="351" spans="1:5" x14ac:dyDescent="0.25">
      <c r="A351" s="28">
        <v>34242</v>
      </c>
      <c r="B351" s="17">
        <v>-9.9879304080935406E-3</v>
      </c>
      <c r="C351">
        <v>12.99</v>
      </c>
      <c r="D351">
        <v>1</v>
      </c>
      <c r="E351" t="str">
        <f t="shared" si="5"/>
        <v>Red</v>
      </c>
    </row>
    <row r="352" spans="1:5" x14ac:dyDescent="0.25">
      <c r="A352" s="28">
        <v>34212</v>
      </c>
      <c r="B352" s="17">
        <v>3.4431956860375902E-2</v>
      </c>
      <c r="C352">
        <v>11.85</v>
      </c>
      <c r="D352">
        <v>1</v>
      </c>
      <c r="E352" t="str">
        <f t="shared" si="5"/>
        <v>Green</v>
      </c>
    </row>
    <row r="353" spans="1:5" x14ac:dyDescent="0.25">
      <c r="A353" s="28">
        <v>34180</v>
      </c>
      <c r="B353" s="17">
        <v>-5.3270459355138104E-3</v>
      </c>
      <c r="C353">
        <v>11.73</v>
      </c>
      <c r="D353">
        <v>1</v>
      </c>
      <c r="E353" t="str">
        <f t="shared" si="5"/>
        <v>Red</v>
      </c>
    </row>
    <row r="354" spans="1:5" x14ac:dyDescent="0.25">
      <c r="A354" s="28">
        <v>34150</v>
      </c>
      <c r="B354" s="17">
        <v>7.55230010638819E-4</v>
      </c>
      <c r="C354">
        <v>11.26</v>
      </c>
      <c r="D354">
        <v>1</v>
      </c>
      <c r="E354" t="str">
        <f t="shared" si="5"/>
        <v>Green</v>
      </c>
    </row>
    <row r="355" spans="1:5" x14ac:dyDescent="0.25">
      <c r="A355" s="28">
        <v>34117</v>
      </c>
      <c r="B355" s="17">
        <v>2.2717462810525099E-2</v>
      </c>
      <c r="C355">
        <v>13.47</v>
      </c>
      <c r="D355">
        <v>1</v>
      </c>
      <c r="E355" t="str">
        <f t="shared" si="5"/>
        <v>Green</v>
      </c>
    </row>
    <row r="356" spans="1:5" x14ac:dyDescent="0.25">
      <c r="A356" s="28">
        <v>34089</v>
      </c>
      <c r="B356" s="17">
        <v>-2.54168102144962E-2</v>
      </c>
      <c r="C356">
        <v>12.42</v>
      </c>
      <c r="D356">
        <v>1</v>
      </c>
      <c r="E356" t="str">
        <f t="shared" si="5"/>
        <v>Red</v>
      </c>
    </row>
    <row r="357" spans="1:5" x14ac:dyDescent="0.25">
      <c r="A357" s="28">
        <v>34059</v>
      </c>
      <c r="B357" s="17">
        <v>1.8697297817929399E-2</v>
      </c>
      <c r="C357">
        <v>12.53</v>
      </c>
      <c r="D357">
        <v>1</v>
      </c>
      <c r="E357" t="str">
        <f t="shared" si="5"/>
        <v>Green</v>
      </c>
    </row>
    <row r="358" spans="1:5" x14ac:dyDescent="0.25">
      <c r="A358" s="28">
        <v>34026</v>
      </c>
      <c r="B358" s="17">
        <v>1.0483627354217699E-2</v>
      </c>
      <c r="C358">
        <v>13.16</v>
      </c>
      <c r="D358">
        <v>1</v>
      </c>
      <c r="E358" t="str">
        <f t="shared" si="5"/>
        <v>Green</v>
      </c>
    </row>
    <row r="359" spans="1:5" x14ac:dyDescent="0.25">
      <c r="A359" s="28">
        <v>33998</v>
      </c>
      <c r="B359" s="17">
        <v>7.0459894503542798E-3</v>
      </c>
      <c r="C359">
        <v>12.42</v>
      </c>
      <c r="D359">
        <v>1</v>
      </c>
      <c r="E359" t="str">
        <f t="shared" si="5"/>
        <v>Green</v>
      </c>
    </row>
    <row r="360" spans="1:5" x14ac:dyDescent="0.25">
      <c r="A360" s="28">
        <v>33969</v>
      </c>
      <c r="B360" s="17">
        <v>1.01077661744602E-2</v>
      </c>
      <c r="C360">
        <v>12.57</v>
      </c>
      <c r="D360">
        <v>1</v>
      </c>
      <c r="E360" t="str">
        <f t="shared" si="5"/>
        <v>Green</v>
      </c>
    </row>
    <row r="361" spans="1:5" x14ac:dyDescent="0.25">
      <c r="A361" s="28">
        <v>33938</v>
      </c>
      <c r="B361" s="17">
        <v>3.02618066586238E-2</v>
      </c>
      <c r="C361">
        <v>13.01</v>
      </c>
      <c r="D361">
        <v>1</v>
      </c>
      <c r="E361" t="str">
        <f t="shared" si="5"/>
        <v>Green</v>
      </c>
    </row>
    <row r="362" spans="1:5" x14ac:dyDescent="0.25">
      <c r="A362" s="28">
        <v>33907</v>
      </c>
      <c r="B362" s="17">
        <v>2.1062829709799199E-3</v>
      </c>
      <c r="C362">
        <v>16.149999999999999</v>
      </c>
      <c r="D362">
        <v>2</v>
      </c>
      <c r="E362" t="str">
        <f t="shared" si="5"/>
        <v>Green</v>
      </c>
    </row>
    <row r="363" spans="1:5" x14ac:dyDescent="0.25">
      <c r="A363" s="28">
        <v>33877</v>
      </c>
      <c r="B363" s="17">
        <v>9.1055938195434595E-3</v>
      </c>
      <c r="C363">
        <v>14.28</v>
      </c>
      <c r="D363">
        <v>2</v>
      </c>
      <c r="E363" t="str">
        <f t="shared" si="5"/>
        <v>Green</v>
      </c>
    </row>
    <row r="364" spans="1:5" x14ac:dyDescent="0.25">
      <c r="A364" s="28">
        <v>33847</v>
      </c>
      <c r="B364" s="17">
        <v>-2.3997530034600301E-2</v>
      </c>
      <c r="C364">
        <v>13.58</v>
      </c>
      <c r="D364">
        <v>1</v>
      </c>
      <c r="E364" t="str">
        <f t="shared" si="5"/>
        <v>Red</v>
      </c>
    </row>
    <row r="365" spans="1:5" x14ac:dyDescent="0.25">
      <c r="A365" s="28">
        <v>33816</v>
      </c>
      <c r="B365" s="17">
        <v>3.9373684053008097E-2</v>
      </c>
      <c r="C365">
        <v>13.17</v>
      </c>
      <c r="D365">
        <v>1</v>
      </c>
      <c r="E365" t="str">
        <f t="shared" si="5"/>
        <v>Green</v>
      </c>
    </row>
    <row r="366" spans="1:5" x14ac:dyDescent="0.25">
      <c r="A366" s="28">
        <v>33785</v>
      </c>
      <c r="B366" s="17">
        <v>-1.7358832059340301E-2</v>
      </c>
      <c r="C366">
        <v>13.35</v>
      </c>
      <c r="D366">
        <v>1</v>
      </c>
      <c r="E366" t="str">
        <f t="shared" si="5"/>
        <v>Red</v>
      </c>
    </row>
    <row r="367" spans="1:5" x14ac:dyDescent="0.25">
      <c r="A367" s="28">
        <v>33753</v>
      </c>
      <c r="B367" s="17">
        <v>9.6395707538854403E-4</v>
      </c>
      <c r="C367">
        <v>13.86</v>
      </c>
      <c r="D367">
        <v>2</v>
      </c>
      <c r="E367" t="str">
        <f t="shared" si="5"/>
        <v>Green</v>
      </c>
    </row>
    <row r="368" spans="1:5" x14ac:dyDescent="0.25">
      <c r="A368" s="28">
        <v>33724</v>
      </c>
      <c r="B368" s="17">
        <v>2.78927145686407E-2</v>
      </c>
      <c r="C368">
        <v>15.53</v>
      </c>
      <c r="D368">
        <v>2</v>
      </c>
      <c r="E368" t="str">
        <f t="shared" si="5"/>
        <v>Green</v>
      </c>
    </row>
    <row r="369" spans="1:5" x14ac:dyDescent="0.25">
      <c r="A369" s="28">
        <v>33694</v>
      </c>
      <c r="B369" s="17">
        <v>-2.1831862704186199E-2</v>
      </c>
      <c r="C369">
        <v>16.18</v>
      </c>
      <c r="D369">
        <v>2</v>
      </c>
      <c r="E369" t="str">
        <f t="shared" si="5"/>
        <v>Red</v>
      </c>
    </row>
    <row r="370" spans="1:5" x14ac:dyDescent="0.25">
      <c r="A370" s="28">
        <v>33662</v>
      </c>
      <c r="B370" s="17">
        <v>9.5895420754186205E-3</v>
      </c>
      <c r="C370">
        <v>16.68</v>
      </c>
      <c r="D370">
        <v>2</v>
      </c>
      <c r="E370" t="str">
        <f t="shared" si="5"/>
        <v>Green</v>
      </c>
    </row>
    <row r="371" spans="1:5" x14ac:dyDescent="0.25">
      <c r="A371" s="28">
        <v>33634</v>
      </c>
      <c r="B371" s="17">
        <v>-1.9923750460799899E-2</v>
      </c>
      <c r="C371">
        <v>17.399999999999999</v>
      </c>
      <c r="D371">
        <v>2</v>
      </c>
      <c r="E371" t="str">
        <f t="shared" si="5"/>
        <v>Red</v>
      </c>
    </row>
    <row r="372" spans="1:5" x14ac:dyDescent="0.25">
      <c r="A372" s="28">
        <v>33603</v>
      </c>
      <c r="B372" s="17">
        <v>0.1115878548276</v>
      </c>
      <c r="C372">
        <v>19.309999000000001</v>
      </c>
      <c r="D372">
        <v>3</v>
      </c>
      <c r="E372" t="str">
        <f t="shared" si="5"/>
        <v>Green</v>
      </c>
    </row>
    <row r="373" spans="1:5" x14ac:dyDescent="0.25">
      <c r="A373" s="28">
        <v>33571</v>
      </c>
      <c r="B373" s="17">
        <v>-4.3903708684304897E-2</v>
      </c>
      <c r="C373">
        <v>20.260000000000002</v>
      </c>
      <c r="D373">
        <v>3</v>
      </c>
      <c r="E373" t="str">
        <f t="shared" si="5"/>
        <v>Red</v>
      </c>
    </row>
    <row r="374" spans="1:5" x14ac:dyDescent="0.25">
      <c r="A374" s="28">
        <v>33542</v>
      </c>
      <c r="B374" s="17">
        <v>1.1834237037883701E-2</v>
      </c>
      <c r="C374">
        <v>15.48</v>
      </c>
      <c r="D374">
        <v>2</v>
      </c>
      <c r="E374" t="str">
        <f t="shared" si="5"/>
        <v>Green</v>
      </c>
    </row>
    <row r="375" spans="1:5" x14ac:dyDescent="0.25">
      <c r="A375" s="28">
        <v>33511</v>
      </c>
      <c r="B375" s="17">
        <v>-1.9143737536368399E-2</v>
      </c>
      <c r="C375">
        <v>15.85</v>
      </c>
      <c r="D375">
        <v>2</v>
      </c>
      <c r="E375" t="str">
        <f t="shared" si="5"/>
        <v>Red</v>
      </c>
    </row>
    <row r="376" spans="1:5" x14ac:dyDescent="0.25">
      <c r="A376" s="28">
        <v>33480</v>
      </c>
      <c r="B376" s="17">
        <v>1.96487842997797E-2</v>
      </c>
      <c r="C376">
        <v>14.46</v>
      </c>
      <c r="D376">
        <v>2</v>
      </c>
      <c r="E376" t="str">
        <f t="shared" si="5"/>
        <v>Green</v>
      </c>
    </row>
    <row r="377" spans="1:5" x14ac:dyDescent="0.25">
      <c r="A377" s="28">
        <v>33450</v>
      </c>
      <c r="B377" s="17">
        <v>4.4859343195825498E-2</v>
      </c>
      <c r="C377">
        <v>15.18</v>
      </c>
      <c r="D377">
        <v>2</v>
      </c>
      <c r="E377" t="str">
        <f t="shared" si="5"/>
        <v>Green</v>
      </c>
    </row>
    <row r="378" spans="1:5" x14ac:dyDescent="0.25">
      <c r="A378" s="28">
        <v>33417</v>
      </c>
      <c r="B378" s="17">
        <v>-4.7892629152718302E-2</v>
      </c>
      <c r="C378">
        <v>19.549999</v>
      </c>
      <c r="D378">
        <v>3</v>
      </c>
      <c r="E378" t="str">
        <f t="shared" si="5"/>
        <v>Red</v>
      </c>
    </row>
    <row r="379" spans="1:5" x14ac:dyDescent="0.25">
      <c r="A379" s="28">
        <v>33389</v>
      </c>
      <c r="B379" s="17">
        <v>3.8604974568177998E-2</v>
      </c>
      <c r="C379">
        <v>15.93</v>
      </c>
      <c r="D379">
        <v>2</v>
      </c>
      <c r="E379" t="str">
        <f t="shared" si="5"/>
        <v>Green</v>
      </c>
    </row>
    <row r="380" spans="1:5" x14ac:dyDescent="0.25">
      <c r="A380" s="28">
        <v>33358</v>
      </c>
      <c r="B380" s="17">
        <v>3.1979905037093898E-4</v>
      </c>
      <c r="C380">
        <v>18.239999999999998</v>
      </c>
      <c r="D380">
        <v>3</v>
      </c>
      <c r="E380" t="str">
        <f t="shared" si="5"/>
        <v>Green</v>
      </c>
    </row>
    <row r="381" spans="1:5" x14ac:dyDescent="0.25">
      <c r="A381" s="28">
        <v>33325</v>
      </c>
      <c r="B381" s="17">
        <v>2.22028328236583E-2</v>
      </c>
      <c r="C381">
        <v>16.879999000000002</v>
      </c>
      <c r="D381">
        <v>2</v>
      </c>
      <c r="E381" t="str">
        <f t="shared" si="5"/>
        <v>Green</v>
      </c>
    </row>
    <row r="382" spans="1:5" x14ac:dyDescent="0.25">
      <c r="A382" s="28">
        <v>33297</v>
      </c>
      <c r="B382" s="17">
        <v>6.7281174863978596E-2</v>
      </c>
      <c r="C382">
        <v>21.23</v>
      </c>
      <c r="D382">
        <v>3</v>
      </c>
      <c r="E382" t="str">
        <f t="shared" si="5"/>
        <v>Green</v>
      </c>
    </row>
    <row r="383" spans="1:5" x14ac:dyDescent="0.25">
      <c r="A383" s="28">
        <v>33269</v>
      </c>
      <c r="B383" s="17">
        <v>4.1517751676101597E-2</v>
      </c>
      <c r="C383">
        <v>20.91</v>
      </c>
      <c r="D383">
        <v>3</v>
      </c>
      <c r="E383" t="str">
        <f t="shared" si="5"/>
        <v>Green</v>
      </c>
    </row>
    <row r="384" spans="1:5" x14ac:dyDescent="0.25">
      <c r="A384" s="28">
        <v>33238</v>
      </c>
      <c r="B384" s="17">
        <v>2.4827757355757599E-2</v>
      </c>
      <c r="C384">
        <v>26.379999000000002</v>
      </c>
      <c r="D384">
        <v>4</v>
      </c>
      <c r="E384" t="str">
        <f t="shared" si="5"/>
        <v>Green</v>
      </c>
    </row>
    <row r="385" spans="1:8" x14ac:dyDescent="0.25">
      <c r="A385" s="28">
        <v>33207</v>
      </c>
      <c r="B385" s="17">
        <v>5.9934213815789401E-2</v>
      </c>
      <c r="C385">
        <v>22.16</v>
      </c>
      <c r="D385">
        <v>3</v>
      </c>
      <c r="E385" t="str">
        <f t="shared" si="5"/>
        <v>Green</v>
      </c>
    </row>
    <row r="386" spans="1:8" x14ac:dyDescent="0.25">
      <c r="A386" s="28">
        <v>33177</v>
      </c>
      <c r="B386" s="17">
        <v>-6.6982129729734599E-3</v>
      </c>
      <c r="C386">
        <v>30.040001</v>
      </c>
      <c r="D386">
        <v>4</v>
      </c>
      <c r="E386" t="str">
        <f t="shared" si="5"/>
        <v>Red</v>
      </c>
    </row>
    <row r="387" spans="1:8" x14ac:dyDescent="0.25">
      <c r="A387" s="28">
        <v>33144</v>
      </c>
      <c r="B387" s="17">
        <v>-5.1184307112997998E-2</v>
      </c>
      <c r="C387">
        <v>29.110001</v>
      </c>
      <c r="D387">
        <v>4</v>
      </c>
      <c r="E387" t="str">
        <f t="shared" ref="E387:E395" si="6">IF(B387&gt;0,"Green","Red")</f>
        <v>Red</v>
      </c>
    </row>
    <row r="388" spans="1:8" x14ac:dyDescent="0.25">
      <c r="A388" s="28">
        <v>33116</v>
      </c>
      <c r="B388" s="17">
        <v>-9.43141838154853E-2</v>
      </c>
      <c r="C388">
        <v>29.9</v>
      </c>
      <c r="D388">
        <v>4</v>
      </c>
      <c r="E388" t="str">
        <f t="shared" si="6"/>
        <v>Red</v>
      </c>
    </row>
    <row r="389" spans="1:8" x14ac:dyDescent="0.25">
      <c r="A389" s="28">
        <v>33085</v>
      </c>
      <c r="B389" s="17">
        <v>-5.2231580846174904E-3</v>
      </c>
      <c r="C389">
        <v>21.110001</v>
      </c>
      <c r="D389">
        <v>3</v>
      </c>
      <c r="E389" t="str">
        <f t="shared" si="6"/>
        <v>Red</v>
      </c>
    </row>
    <row r="390" spans="1:8" x14ac:dyDescent="0.25">
      <c r="A390" s="28">
        <v>33053</v>
      </c>
      <c r="B390" s="17">
        <v>-8.8863657565815303E-3</v>
      </c>
      <c r="C390">
        <v>15.5</v>
      </c>
      <c r="D390">
        <v>2</v>
      </c>
      <c r="E390" t="str">
        <f t="shared" si="6"/>
        <v>Red</v>
      </c>
    </row>
    <row r="391" spans="1:8" x14ac:dyDescent="0.25">
      <c r="A391" s="28">
        <v>33024</v>
      </c>
      <c r="B391" s="17">
        <v>9.1989190156802597E-2</v>
      </c>
      <c r="C391">
        <v>17.370000999999998</v>
      </c>
      <c r="D391">
        <v>2</v>
      </c>
      <c r="E391" t="str">
        <f t="shared" si="6"/>
        <v>Green</v>
      </c>
      <c r="H391" s="22"/>
    </row>
    <row r="392" spans="1:8" x14ac:dyDescent="0.25">
      <c r="A392" s="28">
        <v>32993</v>
      </c>
      <c r="B392" s="17">
        <v>-2.6887138748678398E-2</v>
      </c>
      <c r="C392">
        <v>19.52</v>
      </c>
      <c r="D392">
        <v>3</v>
      </c>
      <c r="E392" t="str">
        <f t="shared" si="6"/>
        <v>Red</v>
      </c>
    </row>
    <row r="393" spans="1:8" x14ac:dyDescent="0.25">
      <c r="A393" s="28">
        <v>32962</v>
      </c>
      <c r="B393" s="17">
        <v>2.4254983989199001E-2</v>
      </c>
      <c r="C393">
        <v>19.73</v>
      </c>
      <c r="D393">
        <v>3</v>
      </c>
      <c r="E393" t="str">
        <f t="shared" si="6"/>
        <v>Green</v>
      </c>
    </row>
    <row r="394" spans="1:8" x14ac:dyDescent="0.25">
      <c r="A394" s="28">
        <v>32932</v>
      </c>
      <c r="B394" s="17">
        <v>8.5390425155207304E-3</v>
      </c>
      <c r="C394">
        <v>21.99</v>
      </c>
      <c r="D394">
        <v>3</v>
      </c>
      <c r="E394" t="str">
        <f t="shared" si="6"/>
        <v>Green</v>
      </c>
    </row>
    <row r="395" spans="1:8" x14ac:dyDescent="0.25">
      <c r="A395" s="28">
        <v>32904</v>
      </c>
      <c r="B395" s="17">
        <v>-6.8817225277032601E-2</v>
      </c>
      <c r="C395">
        <v>25.360001</v>
      </c>
      <c r="D395">
        <v>4</v>
      </c>
      <c r="E395" t="str">
        <f t="shared" si="6"/>
        <v>Red</v>
      </c>
    </row>
  </sheetData>
  <autoFilter ref="A1:E1" xr:uid="{0701DF74-ED24-49C1-9B46-F65140EDD9BE}">
    <sortState xmlns:xlrd2="http://schemas.microsoft.com/office/spreadsheetml/2017/richdata2" ref="A2:E394">
      <sortCondition descending="1" ref="A1"/>
    </sortState>
  </autoFilter>
  <conditionalFormatting sqref="B3:B39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{72F3F391-D87B-4391-BC28-183851F5777B}</x14:id>
        </ext>
      </extLst>
    </cfRule>
  </conditionalFormatting>
  <conditionalFormatting sqref="B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{99661508-B200-4517-8AAE-8D326702E7A2}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F3F391-D87B-4391-BC28-183851F577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B3:B395</xm:sqref>
        </x14:conditionalFormatting>
        <x14:conditionalFormatting xmlns:xm="http://schemas.microsoft.com/office/excel/2006/main">
          <x14:cfRule type="dataBar" id="{99661508-B200-4517-8AAE-8D326702E7A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3E3C-4684-4B94-9E4D-CFD1E41590C8}">
  <dimension ref="A1:Y1816"/>
  <sheetViews>
    <sheetView topLeftCell="A106" zoomScale="85" zoomScaleNormal="85" workbookViewId="0">
      <selection activeCell="L124" sqref="L124"/>
    </sheetView>
  </sheetViews>
  <sheetFormatPr defaultRowHeight="15" x14ac:dyDescent="0.25"/>
  <cols>
    <col min="1" max="1" width="15" customWidth="1"/>
    <col min="9" max="9" width="15.42578125" customWidth="1"/>
    <col min="14" max="14" width="19.140625" bestFit="1" customWidth="1"/>
    <col min="15" max="15" width="21.7109375" style="14" bestFit="1" customWidth="1"/>
    <col min="16" max="16" width="13" style="14" bestFit="1" customWidth="1"/>
    <col min="17" max="17" width="15" style="14" bestFit="1" customWidth="1"/>
    <col min="18" max="18" width="17.7109375" bestFit="1" customWidth="1"/>
    <col min="19" max="19" width="17.85546875" bestFit="1" customWidth="1"/>
    <col min="20" max="20" width="23.85546875" bestFit="1" customWidth="1"/>
    <col min="21" max="21" width="22.5703125" bestFit="1" customWidth="1"/>
    <col min="22" max="22" width="24" bestFit="1" customWidth="1"/>
    <col min="23" max="23" width="24" customWidth="1"/>
    <col min="24" max="24" width="22.85546875" bestFit="1" customWidth="1"/>
    <col min="25" max="25" width="17.7109375" bestFit="1" customWidth="1"/>
    <col min="26" max="26" width="18.85546875" bestFit="1" customWidth="1"/>
    <col min="27" max="28" width="17.7109375" bestFit="1" customWidth="1"/>
    <col min="29" max="29" width="18.85546875" bestFit="1" customWidth="1"/>
    <col min="30" max="30" width="17.42578125" bestFit="1" customWidth="1"/>
    <col min="31" max="31" width="17.7109375" bestFit="1" customWidth="1"/>
    <col min="32" max="32" width="18.85546875" bestFit="1" customWidth="1"/>
    <col min="33" max="34" width="17.7109375" bestFit="1" customWidth="1"/>
    <col min="35" max="39" width="18.85546875" bestFit="1" customWidth="1"/>
    <col min="40" max="41" width="17.7109375" bestFit="1" customWidth="1"/>
    <col min="42" max="43" width="18.85546875" bestFit="1" customWidth="1"/>
    <col min="44" max="47" width="17.7109375" bestFit="1" customWidth="1"/>
    <col min="48" max="48" width="18.85546875" bestFit="1" customWidth="1"/>
    <col min="49" max="56" width="17.7109375" bestFit="1" customWidth="1"/>
    <col min="57" max="58" width="18.85546875" bestFit="1" customWidth="1"/>
    <col min="59" max="61" width="17.7109375" bestFit="1" customWidth="1"/>
    <col min="62" max="63" width="18.85546875" bestFit="1" customWidth="1"/>
    <col min="64" max="65" width="16" bestFit="1" customWidth="1"/>
    <col min="66" max="76" width="17.7109375" bestFit="1" customWidth="1"/>
    <col min="77" max="78" width="16" bestFit="1" customWidth="1"/>
    <col min="79" max="79" width="13" bestFit="1" customWidth="1"/>
    <col min="80" max="80" width="13.85546875" bestFit="1" customWidth="1"/>
    <col min="81" max="94" width="17.7109375" bestFit="1" customWidth="1"/>
    <col min="95" max="96" width="18.85546875" bestFit="1" customWidth="1"/>
    <col min="97" max="100" width="17.7109375" bestFit="1" customWidth="1"/>
    <col min="101" max="102" width="18.85546875" bestFit="1" customWidth="1"/>
    <col min="103" max="107" width="17.7109375" bestFit="1" customWidth="1"/>
    <col min="108" max="109" width="17.42578125" bestFit="1" customWidth="1"/>
    <col min="110" max="116" width="18.85546875" bestFit="1" customWidth="1"/>
    <col min="117" max="118" width="17.7109375" bestFit="1" customWidth="1"/>
    <col min="119" max="120" width="18.85546875" bestFit="1" customWidth="1"/>
    <col min="121" max="122" width="17.7109375" bestFit="1" customWidth="1"/>
    <col min="123" max="123" width="18.85546875" bestFit="1" customWidth="1"/>
    <col min="124" max="129" width="17.7109375" bestFit="1" customWidth="1"/>
    <col min="130" max="131" width="18.85546875" bestFit="1" customWidth="1"/>
    <col min="132" max="132" width="17.7109375" bestFit="1" customWidth="1"/>
    <col min="133" max="134" width="18.85546875" bestFit="1" customWidth="1"/>
    <col min="135" max="142" width="17.7109375" bestFit="1" customWidth="1"/>
  </cols>
  <sheetData>
    <row r="1" spans="1:17" x14ac:dyDescent="0.25">
      <c r="A1" t="s">
        <v>84</v>
      </c>
      <c r="B1" t="s">
        <v>86</v>
      </c>
      <c r="C1" t="s">
        <v>88</v>
      </c>
      <c r="D1" t="s">
        <v>172</v>
      </c>
      <c r="E1" t="s">
        <v>173</v>
      </c>
      <c r="F1" t="s">
        <v>21</v>
      </c>
      <c r="G1" t="s">
        <v>164</v>
      </c>
      <c r="J1" t="s">
        <v>90</v>
      </c>
      <c r="K1" t="s">
        <v>89</v>
      </c>
    </row>
    <row r="2" spans="1:17" x14ac:dyDescent="0.25">
      <c r="A2" s="28">
        <v>44848</v>
      </c>
      <c r="B2" s="17">
        <v>-7.1118769999999997E-4</v>
      </c>
      <c r="C2" t="str">
        <f t="shared" ref="C2" si="0">IF(B2&gt;0,"Green","Red")</f>
        <v>Red</v>
      </c>
      <c r="D2">
        <f>VLOOKUP(A2,Recession!$A$1:$C$395,3,FALSE)</f>
        <v>32.020000000000003</v>
      </c>
      <c r="E2">
        <f>IF(D2&gt;24.46,5,IF(D2&gt;19.71,4,IF(D2&gt;16.13,3,IF(D2&gt;13.19,2,1))))</f>
        <v>5</v>
      </c>
      <c r="F2">
        <f>IF(B2&gt;0,1,0)</f>
        <v>0</v>
      </c>
      <c r="G2">
        <f>MONTH(A2)</f>
        <v>10</v>
      </c>
      <c r="H2" s="23"/>
    </row>
    <row r="3" spans="1:17" x14ac:dyDescent="0.25">
      <c r="A3" s="28">
        <v>44834</v>
      </c>
      <c r="B3" s="17">
        <v>-9.339567E-2</v>
      </c>
      <c r="C3" t="str">
        <f t="shared" ref="C3:C66" si="1">IF(B3&gt;0,"Green","Red")</f>
        <v>Red</v>
      </c>
      <c r="D3">
        <f>VLOOKUP(A3,Recession!$A$1:$C$395,3,FALSE)</f>
        <v>26.299999</v>
      </c>
      <c r="E3">
        <f>IF(D3&gt;24.46,5,IF(D3&gt;19.71,4,IF(D3&gt;16.13,3,IF(D3&gt;13.19,2,1))))</f>
        <v>5</v>
      </c>
      <c r="F3">
        <f>IF(B3&gt;0,1,0)</f>
        <v>0</v>
      </c>
      <c r="G3">
        <f>MONTH(A3)</f>
        <v>9</v>
      </c>
      <c r="I3" t="s">
        <v>27</v>
      </c>
      <c r="J3">
        <v>2.2000000000000002</v>
      </c>
      <c r="K3">
        <v>1.2</v>
      </c>
    </row>
    <row r="4" spans="1:17" x14ac:dyDescent="0.25">
      <c r="A4" s="28">
        <v>44804</v>
      </c>
      <c r="B4" s="17">
        <v>-4.2440128258508597E-2</v>
      </c>
      <c r="C4" t="str">
        <f t="shared" si="1"/>
        <v>Red</v>
      </c>
      <c r="D4">
        <f>VLOOKUP(A4,Recession!$A$1:$C$395,3,FALSE)</f>
        <v>25.870000999999998</v>
      </c>
      <c r="E4">
        <f t="shared" ref="E4:E67" si="2">IF(D4&gt;24.46,5,IF(D4&gt;19.71,4,IF(D4&gt;16.13,3,IF(D4&gt;13.19,2,1))))</f>
        <v>5</v>
      </c>
      <c r="F4">
        <f t="shared" ref="F4:F67" si="3">IF(B4&gt;0,1,0)</f>
        <v>0</v>
      </c>
      <c r="G4">
        <f t="shared" ref="G4:G67" si="4">MONTH(A4)</f>
        <v>8</v>
      </c>
      <c r="I4" t="s">
        <v>26</v>
      </c>
      <c r="J4">
        <v>2</v>
      </c>
      <c r="K4">
        <v>1</v>
      </c>
      <c r="N4" s="29" t="s">
        <v>109</v>
      </c>
      <c r="O4" s="36" t="s">
        <v>108</v>
      </c>
      <c r="P4" s="21"/>
      <c r="Q4" s="21"/>
    </row>
    <row r="5" spans="1:17" x14ac:dyDescent="0.25">
      <c r="A5" s="28">
        <v>44771</v>
      </c>
      <c r="B5" s="17">
        <v>9.1116391659653406E-2</v>
      </c>
      <c r="C5" t="str">
        <f t="shared" si="1"/>
        <v>Green</v>
      </c>
      <c r="D5">
        <f>VLOOKUP(A5,Recession!$A$1:$C$395,3,FALSE)</f>
        <v>21.33</v>
      </c>
      <c r="E5">
        <f t="shared" si="2"/>
        <v>4</v>
      </c>
      <c r="F5">
        <f t="shared" si="3"/>
        <v>1</v>
      </c>
      <c r="G5">
        <f t="shared" si="4"/>
        <v>7</v>
      </c>
      <c r="I5" t="s">
        <v>25</v>
      </c>
      <c r="J5">
        <v>2.6</v>
      </c>
      <c r="K5">
        <v>1.8</v>
      </c>
      <c r="N5" s="29" t="s">
        <v>91</v>
      </c>
      <c r="O5" s="21" t="s">
        <v>90</v>
      </c>
      <c r="P5" s="21" t="s">
        <v>89</v>
      </c>
      <c r="Q5" s="21" t="s">
        <v>92</v>
      </c>
    </row>
    <row r="6" spans="1:17" x14ac:dyDescent="0.25">
      <c r="A6" s="28">
        <v>44742</v>
      </c>
      <c r="B6" s="17">
        <v>-8.3919999812243101E-2</v>
      </c>
      <c r="C6" t="str">
        <f t="shared" si="1"/>
        <v>Red</v>
      </c>
      <c r="D6">
        <f>VLOOKUP(A6,Recession!$A$1:$C$395,3,FALSE)</f>
        <v>28.709999</v>
      </c>
      <c r="E6">
        <f t="shared" si="2"/>
        <v>5</v>
      </c>
      <c r="F6">
        <f t="shared" si="3"/>
        <v>0</v>
      </c>
      <c r="G6">
        <f t="shared" si="4"/>
        <v>6</v>
      </c>
      <c r="I6" s="17" t="s">
        <v>76</v>
      </c>
      <c r="J6" s="17">
        <v>0.1455939</v>
      </c>
      <c r="K6" s="17">
        <v>0.19465650000000001</v>
      </c>
      <c r="N6" s="30" t="s">
        <v>138</v>
      </c>
      <c r="O6" s="21">
        <v>0.29352482880987218</v>
      </c>
      <c r="P6" s="21">
        <v>-0.2808958250957071</v>
      </c>
      <c r="Q6" s="21">
        <v>1.2629003714165109E-2</v>
      </c>
    </row>
    <row r="7" spans="1:17" x14ac:dyDescent="0.25">
      <c r="A7" s="28">
        <v>44712</v>
      </c>
      <c r="B7" s="17">
        <v>5.3177568506868103E-5</v>
      </c>
      <c r="C7" t="str">
        <f t="shared" si="1"/>
        <v>Green</v>
      </c>
      <c r="D7">
        <f>VLOOKUP(A7,Recession!$A$1:$C$395,3,FALSE)</f>
        <v>26.190000999999999</v>
      </c>
      <c r="E7">
        <f t="shared" si="2"/>
        <v>5</v>
      </c>
      <c r="F7">
        <f t="shared" si="3"/>
        <v>1</v>
      </c>
      <c r="G7">
        <f t="shared" si="4"/>
        <v>5</v>
      </c>
      <c r="I7" s="17" t="s">
        <v>133</v>
      </c>
      <c r="J7" s="17">
        <v>7.6628349999999998E-2</v>
      </c>
      <c r="K7" s="17">
        <v>4.1984729999999998E-2</v>
      </c>
      <c r="N7" s="32" t="s">
        <v>122</v>
      </c>
      <c r="O7" s="21"/>
      <c r="P7" s="21">
        <v>-4.05228758169935E-2</v>
      </c>
      <c r="Q7" s="21">
        <v>-4.05228758169935E-2</v>
      </c>
    </row>
    <row r="8" spans="1:17" x14ac:dyDescent="0.25">
      <c r="A8" s="28">
        <v>44680</v>
      </c>
      <c r="B8" s="17">
        <v>-8.7956711705729301E-2</v>
      </c>
      <c r="C8" t="str">
        <f t="shared" si="1"/>
        <v>Red</v>
      </c>
      <c r="D8">
        <f>VLOOKUP(A8,Recession!$A$1:$C$395,3,FALSE)</f>
        <v>33.400002000000001</v>
      </c>
      <c r="E8">
        <f t="shared" si="2"/>
        <v>5</v>
      </c>
      <c r="F8">
        <f t="shared" si="3"/>
        <v>0</v>
      </c>
      <c r="G8">
        <f t="shared" si="4"/>
        <v>4</v>
      </c>
      <c r="I8" t="s">
        <v>78</v>
      </c>
      <c r="J8" s="17">
        <v>0.2183908</v>
      </c>
      <c r="K8" s="17">
        <v>0.19465650000000001</v>
      </c>
      <c r="N8" s="32" t="s">
        <v>123</v>
      </c>
      <c r="O8" s="21"/>
      <c r="P8" s="21">
        <v>-5.1089918256130698E-2</v>
      </c>
      <c r="Q8" s="21">
        <v>-5.1089918256130698E-2</v>
      </c>
    </row>
    <row r="9" spans="1:17" x14ac:dyDescent="0.25">
      <c r="A9" s="28">
        <v>44651</v>
      </c>
      <c r="B9" s="17">
        <v>3.5773288410591901E-2</v>
      </c>
      <c r="C9" t="str">
        <f t="shared" si="1"/>
        <v>Green</v>
      </c>
      <c r="D9">
        <f>VLOOKUP(A9,Recession!$A$1:$C$395,3,FALSE)</f>
        <v>20.559999000000001</v>
      </c>
      <c r="E9">
        <f t="shared" si="2"/>
        <v>4</v>
      </c>
      <c r="F9">
        <f t="shared" si="3"/>
        <v>1</v>
      </c>
      <c r="G9">
        <f t="shared" si="4"/>
        <v>3</v>
      </c>
      <c r="I9" t="s">
        <v>152</v>
      </c>
      <c r="J9" s="17">
        <v>0.1455939</v>
      </c>
      <c r="K9" s="17">
        <v>8.3969470000000004E-2</v>
      </c>
      <c r="N9" s="32" t="s">
        <v>124</v>
      </c>
      <c r="O9" s="21">
        <v>8.2555635319454507E-2</v>
      </c>
      <c r="P9" s="21"/>
      <c r="Q9" s="21">
        <v>8.2555635319454507E-2</v>
      </c>
    </row>
    <row r="10" spans="1:17" x14ac:dyDescent="0.25">
      <c r="A10" s="28">
        <v>44620</v>
      </c>
      <c r="B10" s="17">
        <v>-3.1360492102910101E-2</v>
      </c>
      <c r="C10" t="str">
        <f t="shared" si="1"/>
        <v>Red</v>
      </c>
      <c r="D10">
        <f>VLOOKUP(A10,Recession!$A$1:$C$395,3,FALSE)</f>
        <v>30.15</v>
      </c>
      <c r="E10">
        <f t="shared" si="2"/>
        <v>5</v>
      </c>
      <c r="F10">
        <f t="shared" si="3"/>
        <v>0</v>
      </c>
      <c r="G10">
        <f t="shared" si="4"/>
        <v>2</v>
      </c>
      <c r="I10" t="s">
        <v>157</v>
      </c>
      <c r="J10" s="17">
        <v>3.7219364891055741E-2</v>
      </c>
      <c r="K10" s="23">
        <v>-3.9228379945631275E-2</v>
      </c>
      <c r="N10" s="32" t="s">
        <v>125</v>
      </c>
      <c r="O10" s="21">
        <v>2.6525198938992099E-2</v>
      </c>
      <c r="P10" s="21"/>
      <c r="Q10" s="21">
        <v>2.6525198938992099E-2</v>
      </c>
    </row>
    <row r="11" spans="1:17" x14ac:dyDescent="0.25">
      <c r="A11" s="28">
        <v>44592</v>
      </c>
      <c r="B11" s="17">
        <v>-5.2585165005310602E-2</v>
      </c>
      <c r="C11" t="str">
        <f t="shared" si="1"/>
        <v>Red</v>
      </c>
      <c r="D11">
        <f>VLOOKUP(A11,Recession!$A$1:$C$395,3,FALSE)</f>
        <v>24.83</v>
      </c>
      <c r="E11">
        <f t="shared" si="2"/>
        <v>5</v>
      </c>
      <c r="F11">
        <f t="shared" si="3"/>
        <v>0</v>
      </c>
      <c r="G11">
        <f t="shared" si="4"/>
        <v>1</v>
      </c>
      <c r="I11" t="s">
        <v>26</v>
      </c>
      <c r="J11" s="17">
        <v>3.0688978344087799E-2</v>
      </c>
      <c r="K11" s="23">
        <v>-2.7150915654315301E-2</v>
      </c>
      <c r="N11" s="32" t="s">
        <v>126</v>
      </c>
      <c r="O11" s="21">
        <v>7.8165439276485699E-2</v>
      </c>
      <c r="P11" s="21"/>
      <c r="Q11" s="21">
        <v>7.8165439276485699E-2</v>
      </c>
    </row>
    <row r="12" spans="1:17" x14ac:dyDescent="0.25">
      <c r="A12" s="28">
        <v>44561</v>
      </c>
      <c r="B12" s="17">
        <v>4.3612913509962797E-2</v>
      </c>
      <c r="C12" t="str">
        <f t="shared" si="1"/>
        <v>Green</v>
      </c>
      <c r="D12">
        <f>VLOOKUP(A12,Recession!$A$1:$C$395,3,FALSE)</f>
        <v>17.219999000000001</v>
      </c>
      <c r="E12">
        <f t="shared" si="2"/>
        <v>3</v>
      </c>
      <c r="F12">
        <f t="shared" si="3"/>
        <v>1</v>
      </c>
      <c r="G12">
        <f t="shared" si="4"/>
        <v>12</v>
      </c>
      <c r="I12" t="s">
        <v>27</v>
      </c>
      <c r="J12" s="17">
        <v>3.6934777772802192E-2</v>
      </c>
      <c r="K12" s="23">
        <v>4.0609143290987325E-2</v>
      </c>
      <c r="N12" s="32" t="s">
        <v>127</v>
      </c>
      <c r="O12" s="21">
        <v>2.9957457761686799E-3</v>
      </c>
      <c r="P12" s="21"/>
      <c r="Q12" s="21">
        <v>2.9957457761686799E-3</v>
      </c>
    </row>
    <row r="13" spans="1:17" x14ac:dyDescent="0.25">
      <c r="A13" s="28">
        <v>44530</v>
      </c>
      <c r="B13" s="17">
        <v>-8.3337062251199693E-3</v>
      </c>
      <c r="C13" t="str">
        <f t="shared" si="1"/>
        <v>Red</v>
      </c>
      <c r="D13">
        <f>VLOOKUP(A13,Recession!$A$1:$C$395,3,FALSE)</f>
        <v>27.190000999999999</v>
      </c>
      <c r="E13">
        <f t="shared" si="2"/>
        <v>5</v>
      </c>
      <c r="F13">
        <f t="shared" si="3"/>
        <v>0</v>
      </c>
      <c r="G13">
        <f t="shared" si="4"/>
        <v>11</v>
      </c>
      <c r="N13" s="32" t="s">
        <v>128</v>
      </c>
      <c r="O13" s="21"/>
      <c r="P13" s="21">
        <v>-5.3166069295101502E-2</v>
      </c>
      <c r="Q13" s="21">
        <v>-5.3166069295101502E-2</v>
      </c>
    </row>
    <row r="14" spans="1:17" x14ac:dyDescent="0.25">
      <c r="A14" s="28">
        <v>44498</v>
      </c>
      <c r="B14" s="17">
        <v>6.9143836459647501E-2</v>
      </c>
      <c r="C14" t="str">
        <f t="shared" si="1"/>
        <v>Green</v>
      </c>
      <c r="D14">
        <f>VLOOKUP(A14,Recession!$A$1:$C$395,3,FALSE)</f>
        <v>16.260000000000002</v>
      </c>
      <c r="E14">
        <f t="shared" si="2"/>
        <v>3</v>
      </c>
      <c r="F14">
        <f t="shared" si="3"/>
        <v>1</v>
      </c>
      <c r="G14">
        <f t="shared" si="4"/>
        <v>10</v>
      </c>
      <c r="N14" s="32" t="s">
        <v>129</v>
      </c>
      <c r="O14" s="21">
        <v>7.57097791798111E-3</v>
      </c>
      <c r="P14" s="21"/>
      <c r="Q14" s="21">
        <v>7.57097791798111E-3</v>
      </c>
    </row>
    <row r="15" spans="1:17" x14ac:dyDescent="0.25">
      <c r="A15" s="28">
        <v>44469</v>
      </c>
      <c r="B15" s="17">
        <v>-4.75691688617867E-2</v>
      </c>
      <c r="C15" t="str">
        <f t="shared" si="1"/>
        <v>Red</v>
      </c>
      <c r="D15">
        <f>VLOOKUP(A15,Recession!$A$1:$C$395,3,FALSE)</f>
        <v>23.139999</v>
      </c>
      <c r="E15">
        <f t="shared" si="2"/>
        <v>4</v>
      </c>
      <c r="F15">
        <f t="shared" si="3"/>
        <v>0</v>
      </c>
      <c r="G15">
        <f t="shared" si="4"/>
        <v>9</v>
      </c>
      <c r="N15" s="32" t="s">
        <v>107</v>
      </c>
      <c r="O15" s="21"/>
      <c r="P15" s="21">
        <v>-3.0056355666875399E-2</v>
      </c>
      <c r="Q15" s="21">
        <v>-3.0056355666875399E-2</v>
      </c>
    </row>
    <row r="16" spans="1:17" x14ac:dyDescent="0.25">
      <c r="A16" s="28">
        <v>44439</v>
      </c>
      <c r="B16" s="17">
        <v>2.8990416217415299E-2</v>
      </c>
      <c r="C16" t="str">
        <f t="shared" si="1"/>
        <v>Green</v>
      </c>
      <c r="D16">
        <f>VLOOKUP(A16,Recession!$A$1:$C$395,3,FALSE)</f>
        <v>16.48</v>
      </c>
      <c r="E16">
        <f t="shared" si="2"/>
        <v>3</v>
      </c>
      <c r="F16">
        <f t="shared" si="3"/>
        <v>1</v>
      </c>
      <c r="G16">
        <f t="shared" si="4"/>
        <v>8</v>
      </c>
      <c r="N16" s="32" t="s">
        <v>130</v>
      </c>
      <c r="O16" s="21">
        <v>6.5203357004519E-2</v>
      </c>
      <c r="P16" s="21"/>
      <c r="Q16" s="21">
        <v>6.5203357004519E-2</v>
      </c>
    </row>
    <row r="17" spans="1:17" x14ac:dyDescent="0.25">
      <c r="A17" s="28">
        <v>44407</v>
      </c>
      <c r="B17" s="17">
        <v>2.2748054915648699E-2</v>
      </c>
      <c r="C17" t="str">
        <f t="shared" si="1"/>
        <v>Green</v>
      </c>
      <c r="D17">
        <f>VLOOKUP(A17,Recession!$A$1:$C$395,3,FALSE)</f>
        <v>18.239999999999998</v>
      </c>
      <c r="E17">
        <f t="shared" si="2"/>
        <v>3</v>
      </c>
      <c r="F17">
        <f t="shared" si="3"/>
        <v>1</v>
      </c>
      <c r="G17">
        <f t="shared" si="4"/>
        <v>7</v>
      </c>
      <c r="N17" s="32" t="s">
        <v>131</v>
      </c>
      <c r="O17" s="21"/>
      <c r="P17" s="21">
        <v>-0.10606060606060599</v>
      </c>
      <c r="Q17" s="21">
        <v>-0.10606060606060599</v>
      </c>
    </row>
    <row r="18" spans="1:17" x14ac:dyDescent="0.25">
      <c r="A18" s="28">
        <v>44377</v>
      </c>
      <c r="B18" s="17">
        <v>2.2214009634219802E-2</v>
      </c>
      <c r="C18" t="str">
        <f t="shared" si="1"/>
        <v>Green</v>
      </c>
      <c r="D18">
        <f>VLOOKUP(A18,Recession!$A$1:$C$395,3,FALSE)</f>
        <v>15.83</v>
      </c>
      <c r="E18">
        <f t="shared" si="2"/>
        <v>2</v>
      </c>
      <c r="F18">
        <f t="shared" si="3"/>
        <v>1</v>
      </c>
      <c r="G18">
        <f t="shared" si="4"/>
        <v>6</v>
      </c>
      <c r="N18" s="32" t="s">
        <v>93</v>
      </c>
      <c r="O18" s="21">
        <v>3.0508474576271101E-2</v>
      </c>
      <c r="P18" s="21"/>
      <c r="Q18" s="21">
        <v>3.0508474576271101E-2</v>
      </c>
    </row>
    <row r="19" spans="1:17" x14ac:dyDescent="0.25">
      <c r="A19" s="28">
        <v>44344</v>
      </c>
      <c r="B19" s="17">
        <v>5.4864885732810497E-3</v>
      </c>
      <c r="C19" t="str">
        <f t="shared" si="1"/>
        <v>Green</v>
      </c>
      <c r="D19">
        <f>VLOOKUP(A19,Recession!$A$1:$C$395,3,FALSE)</f>
        <v>16.760000000000002</v>
      </c>
      <c r="E19">
        <f t="shared" si="2"/>
        <v>3</v>
      </c>
      <c r="F19">
        <f t="shared" si="3"/>
        <v>1</v>
      </c>
      <c r="G19">
        <f t="shared" si="4"/>
        <v>5</v>
      </c>
      <c r="N19" s="30" t="s">
        <v>139</v>
      </c>
      <c r="O19" s="21">
        <v>0.20540614163354931</v>
      </c>
      <c r="P19" s="21">
        <v>-0.10012645212567679</v>
      </c>
      <c r="Q19" s="21">
        <v>0.10527968950787252</v>
      </c>
    </row>
    <row r="20" spans="1:17" x14ac:dyDescent="0.25">
      <c r="A20" s="28">
        <v>44316</v>
      </c>
      <c r="B20" s="17">
        <v>5.2425321267266303E-2</v>
      </c>
      <c r="C20" t="str">
        <f t="shared" si="1"/>
        <v>Green</v>
      </c>
      <c r="D20">
        <f>VLOOKUP(A20,Recession!$A$1:$C$395,3,FALSE)</f>
        <v>18.610001</v>
      </c>
      <c r="E20">
        <f t="shared" si="2"/>
        <v>3</v>
      </c>
      <c r="F20">
        <f t="shared" si="3"/>
        <v>1</v>
      </c>
      <c r="G20">
        <f t="shared" si="4"/>
        <v>4</v>
      </c>
      <c r="N20" s="32" t="s">
        <v>122</v>
      </c>
      <c r="O20" s="21">
        <v>1.3157894736843801E-3</v>
      </c>
      <c r="P20" s="21"/>
      <c r="Q20" s="21">
        <v>1.3157894736843801E-3</v>
      </c>
    </row>
    <row r="21" spans="1:17" x14ac:dyDescent="0.25">
      <c r="A21" s="28">
        <v>44286</v>
      </c>
      <c r="B21" s="17">
        <v>4.24386327378838E-2</v>
      </c>
      <c r="C21" t="str">
        <f t="shared" si="1"/>
        <v>Green</v>
      </c>
      <c r="D21">
        <f>VLOOKUP(A21,Recession!$A$1:$C$395,3,FALSE)</f>
        <v>19.399999999999999</v>
      </c>
      <c r="E21">
        <f t="shared" si="2"/>
        <v>3</v>
      </c>
      <c r="F21">
        <f t="shared" si="3"/>
        <v>1</v>
      </c>
      <c r="G21">
        <f t="shared" si="4"/>
        <v>3</v>
      </c>
      <c r="N21" s="32" t="s">
        <v>123</v>
      </c>
      <c r="O21" s="21"/>
      <c r="P21" s="21">
        <v>-3.9421813403416703E-2</v>
      </c>
      <c r="Q21" s="21">
        <v>-3.9421813403416703E-2</v>
      </c>
    </row>
    <row r="22" spans="1:17" x14ac:dyDescent="0.25">
      <c r="A22" s="28">
        <v>44253</v>
      </c>
      <c r="B22" s="17">
        <v>2.60914513496475E-2</v>
      </c>
      <c r="C22" t="str">
        <f t="shared" si="1"/>
        <v>Green</v>
      </c>
      <c r="D22">
        <f>VLOOKUP(A22,Recession!$A$1:$C$395,3,FALSE)</f>
        <v>27.950001</v>
      </c>
      <c r="E22">
        <f t="shared" si="2"/>
        <v>5</v>
      </c>
      <c r="F22">
        <f t="shared" si="3"/>
        <v>1</v>
      </c>
      <c r="G22">
        <f t="shared" si="4"/>
        <v>2</v>
      </c>
      <c r="N22" s="32" t="s">
        <v>124</v>
      </c>
      <c r="O22" s="21">
        <v>3.0095759233926201E-2</v>
      </c>
      <c r="P22" s="21"/>
      <c r="Q22" s="21">
        <v>3.0095759233926201E-2</v>
      </c>
    </row>
    <row r="23" spans="1:17" x14ac:dyDescent="0.25">
      <c r="A23" s="28">
        <v>44225</v>
      </c>
      <c r="B23" s="17">
        <v>-1.11366607232312E-2</v>
      </c>
      <c r="C23" t="str">
        <f t="shared" si="1"/>
        <v>Red</v>
      </c>
      <c r="D23">
        <f>VLOOKUP(A23,Recession!$A$1:$C$395,3,FALSE)</f>
        <v>33.090000000000003</v>
      </c>
      <c r="E23">
        <f t="shared" si="2"/>
        <v>5</v>
      </c>
      <c r="F23">
        <f t="shared" si="3"/>
        <v>0</v>
      </c>
      <c r="G23">
        <f t="shared" si="4"/>
        <v>1</v>
      </c>
      <c r="N23" s="32" t="s">
        <v>125</v>
      </c>
      <c r="O23" s="21"/>
      <c r="P23" s="21">
        <v>-2.3240371845949501E-2</v>
      </c>
      <c r="Q23" s="21">
        <v>-2.3240371845949501E-2</v>
      </c>
    </row>
    <row r="24" spans="1:17" x14ac:dyDescent="0.25">
      <c r="A24" s="28">
        <v>44196</v>
      </c>
      <c r="B24" s="17">
        <v>3.7121458940645703E-2</v>
      </c>
      <c r="C24" t="str">
        <f t="shared" si="1"/>
        <v>Green</v>
      </c>
      <c r="D24">
        <f>VLOOKUP(A24,Recession!$A$1:$C$395,3,FALSE)</f>
        <v>22.75</v>
      </c>
      <c r="E24">
        <f t="shared" si="2"/>
        <v>4</v>
      </c>
      <c r="F24">
        <f t="shared" si="3"/>
        <v>1</v>
      </c>
      <c r="G24">
        <f t="shared" si="4"/>
        <v>12</v>
      </c>
      <c r="N24" s="32" t="s">
        <v>126</v>
      </c>
      <c r="O24" s="21"/>
      <c r="P24" s="21">
        <v>-3.5350101971448097E-2</v>
      </c>
      <c r="Q24" s="21">
        <v>-3.5350101971448097E-2</v>
      </c>
    </row>
    <row r="25" spans="1:17" x14ac:dyDescent="0.25">
      <c r="A25" s="28">
        <v>44165</v>
      </c>
      <c r="B25" s="17">
        <v>0.10754563548003</v>
      </c>
      <c r="C25" t="str">
        <f t="shared" si="1"/>
        <v>Green</v>
      </c>
      <c r="D25">
        <f>VLOOKUP(A25,Recession!$A$1:$C$395,3,FALSE)</f>
        <v>20.57</v>
      </c>
      <c r="E25">
        <f t="shared" si="2"/>
        <v>4</v>
      </c>
      <c r="F25">
        <f t="shared" si="3"/>
        <v>1</v>
      </c>
      <c r="G25">
        <f t="shared" si="4"/>
        <v>11</v>
      </c>
      <c r="N25" s="32" t="s">
        <v>127</v>
      </c>
      <c r="O25" s="21"/>
      <c r="P25" s="21">
        <v>-2.11416490486249E-3</v>
      </c>
      <c r="Q25" s="21">
        <v>-2.11416490486249E-3</v>
      </c>
    </row>
    <row r="26" spans="1:17" x14ac:dyDescent="0.25">
      <c r="A26" s="28">
        <v>44134</v>
      </c>
      <c r="B26" s="17">
        <v>-2.7665786202795101E-2</v>
      </c>
      <c r="C26" t="str">
        <f t="shared" si="1"/>
        <v>Red</v>
      </c>
      <c r="D26">
        <f>VLOOKUP(A26,Recession!$A$1:$C$395,3,FALSE)</f>
        <v>38.020000000000003</v>
      </c>
      <c r="E26">
        <f t="shared" si="2"/>
        <v>5</v>
      </c>
      <c r="F26">
        <f t="shared" si="3"/>
        <v>0</v>
      </c>
      <c r="G26">
        <f t="shared" si="4"/>
        <v>10</v>
      </c>
      <c r="N26" s="32" t="s">
        <v>128</v>
      </c>
      <c r="O26" s="21">
        <v>6.21468926553672E-2</v>
      </c>
      <c r="P26" s="21"/>
      <c r="Q26" s="21">
        <v>6.21468926553672E-2</v>
      </c>
    </row>
    <row r="27" spans="1:17" x14ac:dyDescent="0.25">
      <c r="A27" s="28">
        <v>44104</v>
      </c>
      <c r="B27" s="17">
        <v>-3.9227970289931399E-2</v>
      </c>
      <c r="C27" t="str">
        <f t="shared" si="1"/>
        <v>Red</v>
      </c>
      <c r="D27">
        <f>VLOOKUP(A27,Recession!$A$1:$C$395,3,FALSE)</f>
        <v>26.370000999999998</v>
      </c>
      <c r="E27">
        <f t="shared" si="2"/>
        <v>5</v>
      </c>
      <c r="F27">
        <f t="shared" si="3"/>
        <v>0</v>
      </c>
      <c r="G27">
        <f t="shared" si="4"/>
        <v>9</v>
      </c>
      <c r="N27" s="32" t="s">
        <v>129</v>
      </c>
      <c r="O27" s="21">
        <v>1.1968085106382999E-2</v>
      </c>
      <c r="P27" s="21"/>
      <c r="Q27" s="21">
        <v>1.1968085106382999E-2</v>
      </c>
    </row>
    <row r="28" spans="1:17" x14ac:dyDescent="0.25">
      <c r="A28" s="28">
        <v>44074</v>
      </c>
      <c r="B28" s="17">
        <v>7.0064667087246499E-2</v>
      </c>
      <c r="C28" t="str">
        <f t="shared" si="1"/>
        <v>Green</v>
      </c>
      <c r="D28">
        <f>VLOOKUP(A28,Recession!$A$1:$C$395,3,FALSE)</f>
        <v>26.41</v>
      </c>
      <c r="E28">
        <f t="shared" si="2"/>
        <v>5</v>
      </c>
      <c r="F28">
        <f t="shared" si="3"/>
        <v>1</v>
      </c>
      <c r="G28">
        <f t="shared" si="4"/>
        <v>8</v>
      </c>
      <c r="N28" s="32" t="s">
        <v>107</v>
      </c>
      <c r="O28" s="21">
        <v>2.36530880420498E-2</v>
      </c>
      <c r="P28" s="21"/>
      <c r="Q28" s="21">
        <v>2.36530880420498E-2</v>
      </c>
    </row>
    <row r="29" spans="1:17" x14ac:dyDescent="0.25">
      <c r="A29" s="28">
        <v>44043</v>
      </c>
      <c r="B29" s="17">
        <v>5.5101321441235702E-2</v>
      </c>
      <c r="C29" t="str">
        <f t="shared" si="1"/>
        <v>Green</v>
      </c>
      <c r="D29">
        <f>VLOOKUP(A29,Recession!$A$1:$C$395,3,FALSE)</f>
        <v>24.459999</v>
      </c>
      <c r="E29">
        <f t="shared" si="2"/>
        <v>4</v>
      </c>
      <c r="F29">
        <f t="shared" si="3"/>
        <v>1</v>
      </c>
      <c r="G29">
        <f t="shared" si="4"/>
        <v>7</v>
      </c>
      <c r="I29">
        <v>-0.16942452376742001</v>
      </c>
      <c r="N29" s="32" t="s">
        <v>130</v>
      </c>
      <c r="O29" s="21">
        <v>2.95250962772786E-2</v>
      </c>
      <c r="P29" s="21"/>
      <c r="Q29" s="21">
        <v>2.95250962772786E-2</v>
      </c>
    </row>
    <row r="30" spans="1:17" x14ac:dyDescent="0.25">
      <c r="A30" s="28">
        <v>44012</v>
      </c>
      <c r="B30" s="17">
        <v>1.8388396357494698E-2</v>
      </c>
      <c r="C30" t="str">
        <f t="shared" si="1"/>
        <v>Green</v>
      </c>
      <c r="D30">
        <f>VLOOKUP(A30,Recession!$A$1:$C$395,3,FALSE)</f>
        <v>30.43</v>
      </c>
      <c r="E30">
        <f t="shared" si="2"/>
        <v>5</v>
      </c>
      <c r="F30">
        <f t="shared" si="3"/>
        <v>1</v>
      </c>
      <c r="G30">
        <f t="shared" si="4"/>
        <v>6</v>
      </c>
      <c r="N30" s="32" t="s">
        <v>131</v>
      </c>
      <c r="O30" s="21">
        <v>1.24675802701013E-3</v>
      </c>
      <c r="P30" s="21"/>
      <c r="Q30" s="21">
        <v>1.24675802701013E-3</v>
      </c>
    </row>
    <row r="31" spans="1:17" x14ac:dyDescent="0.25">
      <c r="A31" s="28">
        <v>43980</v>
      </c>
      <c r="B31" s="17">
        <v>4.52818196760656E-2</v>
      </c>
      <c r="C31" t="str">
        <f t="shared" si="1"/>
        <v>Green</v>
      </c>
      <c r="D31">
        <f>VLOOKUP(A31,Recession!$A$1:$C$395,3,FALSE)</f>
        <v>27.51</v>
      </c>
      <c r="E31">
        <f t="shared" si="2"/>
        <v>5</v>
      </c>
      <c r="F31">
        <f t="shared" si="3"/>
        <v>1</v>
      </c>
      <c r="G31">
        <f t="shared" si="4"/>
        <v>5</v>
      </c>
      <c r="N31" s="32" t="s">
        <v>93</v>
      </c>
      <c r="O31" s="21">
        <v>4.5454672817849998E-2</v>
      </c>
      <c r="P31" s="21"/>
      <c r="Q31" s="21">
        <v>4.5454672817849998E-2</v>
      </c>
    </row>
    <row r="32" spans="1:17" x14ac:dyDescent="0.25">
      <c r="A32" s="28">
        <v>43951</v>
      </c>
      <c r="B32" s="17">
        <v>0.12684403825663801</v>
      </c>
      <c r="C32" t="str">
        <f t="shared" si="1"/>
        <v>Green</v>
      </c>
      <c r="D32">
        <f>VLOOKUP(A32,Recession!$A$1:$C$395,3,FALSE)</f>
        <v>34.150002000000001</v>
      </c>
      <c r="E32">
        <f t="shared" si="2"/>
        <v>5</v>
      </c>
      <c r="F32">
        <f t="shared" si="3"/>
        <v>1</v>
      </c>
      <c r="G32">
        <f t="shared" si="4"/>
        <v>4</v>
      </c>
      <c r="N32" s="30" t="s">
        <v>153</v>
      </c>
      <c r="O32" s="21">
        <v>0.25778299598002907</v>
      </c>
      <c r="P32" s="21">
        <v>-9.8504105389968094E-2</v>
      </c>
      <c r="Q32" s="21">
        <v>0.15927889059006095</v>
      </c>
    </row>
    <row r="33" spans="1:17" x14ac:dyDescent="0.25">
      <c r="A33" s="28">
        <v>43921</v>
      </c>
      <c r="B33" s="17">
        <v>-0.12511928245982301</v>
      </c>
      <c r="C33" t="str">
        <f t="shared" si="1"/>
        <v>Red</v>
      </c>
      <c r="D33">
        <f>VLOOKUP(A33,Recession!$A$1:$C$395,3,FALSE)</f>
        <v>53.540000999999997</v>
      </c>
      <c r="E33">
        <f t="shared" si="2"/>
        <v>5</v>
      </c>
      <c r="F33">
        <f t="shared" si="3"/>
        <v>0</v>
      </c>
      <c r="G33">
        <f t="shared" si="4"/>
        <v>3</v>
      </c>
      <c r="N33" s="32" t="s">
        <v>122</v>
      </c>
      <c r="O33" s="21">
        <v>6.0205580029368599E-2</v>
      </c>
      <c r="P33" s="21"/>
      <c r="Q33" s="21">
        <v>6.0205580029368599E-2</v>
      </c>
    </row>
    <row r="34" spans="1:17" x14ac:dyDescent="0.25">
      <c r="A34" s="28">
        <v>43889</v>
      </c>
      <c r="B34" s="17">
        <v>-8.4110483679465706E-2</v>
      </c>
      <c r="C34" t="str">
        <f t="shared" si="1"/>
        <v>Red</v>
      </c>
      <c r="D34">
        <f>VLOOKUP(A34,Recession!$A$1:$C$395,3,FALSE)</f>
        <v>40.110000999999997</v>
      </c>
      <c r="E34">
        <f t="shared" si="2"/>
        <v>5</v>
      </c>
      <c r="F34">
        <f t="shared" si="3"/>
        <v>0</v>
      </c>
      <c r="G34">
        <f t="shared" si="4"/>
        <v>2</v>
      </c>
      <c r="N34" s="32" t="s">
        <v>123</v>
      </c>
      <c r="O34" s="21">
        <v>6.4634810710988396E-3</v>
      </c>
      <c r="P34" s="21"/>
      <c r="Q34" s="21">
        <v>6.4634810710988396E-3</v>
      </c>
    </row>
    <row r="35" spans="1:17" x14ac:dyDescent="0.25">
      <c r="A35" s="28">
        <v>43861</v>
      </c>
      <c r="B35" s="17">
        <v>-1.6280925822201901E-3</v>
      </c>
      <c r="C35" t="str">
        <f t="shared" si="1"/>
        <v>Red</v>
      </c>
      <c r="D35">
        <f>VLOOKUP(A35,Recession!$A$1:$C$395,3,FALSE)</f>
        <v>18.84</v>
      </c>
      <c r="E35">
        <f t="shared" si="2"/>
        <v>3</v>
      </c>
      <c r="F35">
        <f t="shared" si="3"/>
        <v>0</v>
      </c>
      <c r="G35">
        <f t="shared" si="4"/>
        <v>1</v>
      </c>
      <c r="N35" s="32" t="s">
        <v>124</v>
      </c>
      <c r="O35" s="21"/>
      <c r="P35" s="21">
        <v>-1.46788538843511E-2</v>
      </c>
      <c r="Q35" s="21">
        <v>-1.46788538843511E-2</v>
      </c>
    </row>
    <row r="36" spans="1:17" x14ac:dyDescent="0.25">
      <c r="A36" s="28">
        <v>43830</v>
      </c>
      <c r="B36" s="17">
        <v>2.85898189647169E-2</v>
      </c>
      <c r="C36" t="str">
        <f t="shared" si="1"/>
        <v>Green</v>
      </c>
      <c r="D36">
        <f>VLOOKUP(A36,Recession!$A$1:$C$395,3,FALSE)</f>
        <v>13.78</v>
      </c>
      <c r="E36">
        <f t="shared" si="2"/>
        <v>2</v>
      </c>
      <c r="F36">
        <f t="shared" si="3"/>
        <v>1</v>
      </c>
      <c r="G36">
        <f t="shared" si="4"/>
        <v>12</v>
      </c>
      <c r="N36" s="32" t="s">
        <v>125</v>
      </c>
      <c r="O36" s="21">
        <v>4.4227188081936701E-2</v>
      </c>
      <c r="P36" s="21"/>
      <c r="Q36" s="21">
        <v>4.4227188081936701E-2</v>
      </c>
    </row>
    <row r="37" spans="1:17" x14ac:dyDescent="0.25">
      <c r="A37" s="28">
        <v>43798</v>
      </c>
      <c r="B37" s="17">
        <v>3.4047037421886202E-2</v>
      </c>
      <c r="C37" t="str">
        <f t="shared" si="1"/>
        <v>Green</v>
      </c>
      <c r="D37">
        <f>VLOOKUP(A37,Recession!$A$1:$C$395,3,FALSE)</f>
        <v>12.62</v>
      </c>
      <c r="E37">
        <f t="shared" si="2"/>
        <v>1</v>
      </c>
      <c r="F37">
        <f t="shared" si="3"/>
        <v>1</v>
      </c>
      <c r="G37">
        <f t="shared" si="4"/>
        <v>11</v>
      </c>
      <c r="N37" s="32" t="s">
        <v>126</v>
      </c>
      <c r="O37" s="21"/>
      <c r="P37" s="21">
        <v>-4.05706642888988E-2</v>
      </c>
      <c r="Q37" s="21">
        <v>-4.05706642888988E-2</v>
      </c>
    </row>
    <row r="38" spans="1:17" x14ac:dyDescent="0.25">
      <c r="A38" s="28">
        <v>43769</v>
      </c>
      <c r="B38" s="17">
        <v>2.0431770730503101E-2</v>
      </c>
      <c r="C38" t="str">
        <f t="shared" si="1"/>
        <v>Green</v>
      </c>
      <c r="D38">
        <f>VLOOKUP(A38,Recession!$A$1:$C$395,3,FALSE)</f>
        <v>13.22</v>
      </c>
      <c r="E38">
        <f t="shared" si="2"/>
        <v>2</v>
      </c>
      <c r="F38">
        <f t="shared" si="3"/>
        <v>1</v>
      </c>
      <c r="G38">
        <f t="shared" si="4"/>
        <v>10</v>
      </c>
      <c r="N38" s="32" t="s">
        <v>127</v>
      </c>
      <c r="O38" s="21"/>
      <c r="P38" s="21">
        <v>-2.6022351301115201E-2</v>
      </c>
      <c r="Q38" s="21">
        <v>-2.6022351301115201E-2</v>
      </c>
    </row>
    <row r="39" spans="1:17" x14ac:dyDescent="0.25">
      <c r="A39" s="28">
        <v>43738</v>
      </c>
      <c r="B39" s="17">
        <v>1.71811778292086E-2</v>
      </c>
      <c r="C39" t="str">
        <f t="shared" si="1"/>
        <v>Green</v>
      </c>
      <c r="D39">
        <f>VLOOKUP(A39,Recession!$A$1:$C$395,3,FALSE)</f>
        <v>16.239999999999998</v>
      </c>
      <c r="E39">
        <f t="shared" si="2"/>
        <v>3</v>
      </c>
      <c r="F39">
        <f t="shared" si="3"/>
        <v>1</v>
      </c>
      <c r="G39">
        <f t="shared" si="4"/>
        <v>9</v>
      </c>
      <c r="N39" s="32" t="s">
        <v>128</v>
      </c>
      <c r="O39" s="21">
        <v>6.8702341064042799E-2</v>
      </c>
      <c r="P39" s="21"/>
      <c r="Q39" s="21">
        <v>6.8702341064042799E-2</v>
      </c>
    </row>
    <row r="40" spans="1:17" x14ac:dyDescent="0.25">
      <c r="A40" s="28">
        <v>43707</v>
      </c>
      <c r="B40" s="17">
        <v>-1.8091627281326701E-2</v>
      </c>
      <c r="C40" t="str">
        <f t="shared" si="1"/>
        <v>Red</v>
      </c>
      <c r="D40">
        <f>VLOOKUP(A40,Recession!$A$1:$C$395,3,FALSE)</f>
        <v>18.98</v>
      </c>
      <c r="E40">
        <f t="shared" si="2"/>
        <v>3</v>
      </c>
      <c r="F40">
        <f t="shared" si="3"/>
        <v>0</v>
      </c>
      <c r="G40">
        <f t="shared" si="4"/>
        <v>8</v>
      </c>
      <c r="N40" s="32" t="s">
        <v>129</v>
      </c>
      <c r="O40" s="21">
        <v>3.92857589285713E-2</v>
      </c>
      <c r="P40" s="21"/>
      <c r="Q40" s="21">
        <v>3.92857589285713E-2</v>
      </c>
    </row>
    <row r="41" spans="1:17" x14ac:dyDescent="0.25">
      <c r="A41" s="28">
        <v>43677</v>
      </c>
      <c r="B41" s="17">
        <v>1.31281521499778E-2</v>
      </c>
      <c r="C41" t="str">
        <f t="shared" si="1"/>
        <v>Green</v>
      </c>
      <c r="D41">
        <f>VLOOKUP(A41,Recession!$A$1:$C$395,3,FALSE)</f>
        <v>16.120000999999998</v>
      </c>
      <c r="E41">
        <f t="shared" si="2"/>
        <v>2</v>
      </c>
      <c r="F41">
        <f t="shared" si="3"/>
        <v>1</v>
      </c>
      <c r="G41">
        <f t="shared" si="4"/>
        <v>7</v>
      </c>
      <c r="N41" s="32" t="s">
        <v>107</v>
      </c>
      <c r="O41" s="21"/>
      <c r="P41" s="21">
        <v>-8.5914944763087998E-4</v>
      </c>
      <c r="Q41" s="21">
        <v>-8.5914944763087998E-4</v>
      </c>
    </row>
    <row r="42" spans="1:17" x14ac:dyDescent="0.25">
      <c r="A42" s="28">
        <v>43644</v>
      </c>
      <c r="B42" s="17">
        <v>6.8930163925612103E-2</v>
      </c>
      <c r="C42" t="str">
        <f t="shared" si="1"/>
        <v>Green</v>
      </c>
      <c r="D42">
        <f>VLOOKUP(A42,Recession!$A$1:$C$395,3,FALSE)</f>
        <v>15.08</v>
      </c>
      <c r="E42">
        <f t="shared" si="2"/>
        <v>2</v>
      </c>
      <c r="F42">
        <f t="shared" si="3"/>
        <v>1</v>
      </c>
      <c r="G42">
        <f t="shared" si="4"/>
        <v>6</v>
      </c>
      <c r="N42" s="32" t="s">
        <v>130</v>
      </c>
      <c r="O42" s="21"/>
      <c r="P42" s="21">
        <v>-1.37574806534825E-2</v>
      </c>
      <c r="Q42" s="21">
        <v>-1.37574806534825E-2</v>
      </c>
    </row>
    <row r="43" spans="1:17" x14ac:dyDescent="0.25">
      <c r="A43" s="28">
        <v>43616</v>
      </c>
      <c r="B43" s="17">
        <v>-6.5777731189286898E-2</v>
      </c>
      <c r="C43" t="str">
        <f t="shared" si="1"/>
        <v>Red</v>
      </c>
      <c r="D43">
        <f>VLOOKUP(A43,Recession!$A$1:$C$395,3,FALSE)</f>
        <v>18.709999</v>
      </c>
      <c r="E43">
        <f t="shared" si="2"/>
        <v>3</v>
      </c>
      <c r="F43">
        <f t="shared" si="3"/>
        <v>0</v>
      </c>
      <c r="G43">
        <f t="shared" si="4"/>
        <v>5</v>
      </c>
      <c r="N43" s="32" t="s">
        <v>131</v>
      </c>
      <c r="O43" s="21"/>
      <c r="P43" s="21">
        <v>-2.6156058144896099E-3</v>
      </c>
      <c r="Q43" s="21">
        <v>-2.6156058144896099E-3</v>
      </c>
    </row>
    <row r="44" spans="1:17" x14ac:dyDescent="0.25">
      <c r="A44" s="28">
        <v>43585</v>
      </c>
      <c r="B44" s="17">
        <v>3.9313498395682697E-2</v>
      </c>
      <c r="C44" t="str">
        <f t="shared" si="1"/>
        <v>Green</v>
      </c>
      <c r="D44">
        <f>VLOOKUP(A44,Recession!$A$1:$C$395,3,FALSE)</f>
        <v>13.12</v>
      </c>
      <c r="E44">
        <f t="shared" si="2"/>
        <v>1</v>
      </c>
      <c r="F44">
        <f t="shared" si="3"/>
        <v>1</v>
      </c>
      <c r="G44">
        <f t="shared" si="4"/>
        <v>4</v>
      </c>
      <c r="N44" s="32" t="s">
        <v>93</v>
      </c>
      <c r="O44" s="21">
        <v>3.8898646805010803E-2</v>
      </c>
      <c r="P44" s="21"/>
      <c r="Q44" s="21">
        <v>3.8898646805010803E-2</v>
      </c>
    </row>
    <row r="45" spans="1:17" x14ac:dyDescent="0.25">
      <c r="A45" s="28">
        <v>43553</v>
      </c>
      <c r="B45" s="17">
        <v>1.7924256211817102E-2</v>
      </c>
      <c r="C45" t="str">
        <f t="shared" si="1"/>
        <v>Green</v>
      </c>
      <c r="D45">
        <f>VLOOKUP(A45,Recession!$A$1:$C$395,3,FALSE)</f>
        <v>13.71</v>
      </c>
      <c r="E45">
        <f t="shared" si="2"/>
        <v>2</v>
      </c>
      <c r="F45">
        <f t="shared" si="3"/>
        <v>1</v>
      </c>
      <c r="G45">
        <f t="shared" si="4"/>
        <v>3</v>
      </c>
      <c r="N45" s="30" t="s">
        <v>154</v>
      </c>
      <c r="O45" s="21">
        <v>0.2321302216571717</v>
      </c>
      <c r="P45" s="21">
        <v>-0.11449821257338239</v>
      </c>
      <c r="Q45" s="21">
        <v>0.1176320090837893</v>
      </c>
    </row>
    <row r="46" spans="1:17" x14ac:dyDescent="0.25">
      <c r="A46" s="28">
        <v>43524</v>
      </c>
      <c r="B46" s="17">
        <v>2.9728889126352302E-2</v>
      </c>
      <c r="C46" t="str">
        <f t="shared" si="1"/>
        <v>Green</v>
      </c>
      <c r="D46">
        <f>VLOOKUP(A46,Recession!$A$1:$C$395,3,FALSE)</f>
        <v>14.78</v>
      </c>
      <c r="E46">
        <f t="shared" si="2"/>
        <v>2</v>
      </c>
      <c r="F46">
        <f t="shared" si="3"/>
        <v>1</v>
      </c>
      <c r="G46">
        <f t="shared" si="4"/>
        <v>2</v>
      </c>
      <c r="N46" s="32" t="s">
        <v>122</v>
      </c>
      <c r="O46" s="21">
        <v>1.5565797223390901E-2</v>
      </c>
      <c r="P46" s="21"/>
      <c r="Q46" s="21">
        <v>1.5565797223390901E-2</v>
      </c>
    </row>
    <row r="47" spans="1:17" x14ac:dyDescent="0.25">
      <c r="A47" s="28">
        <v>43496</v>
      </c>
      <c r="B47" s="17">
        <v>7.8684401655036804E-2</v>
      </c>
      <c r="C47" t="str">
        <f t="shared" si="1"/>
        <v>Green</v>
      </c>
      <c r="D47">
        <f>VLOOKUP(A47,Recession!$A$1:$C$395,3,FALSE)</f>
        <v>16.57</v>
      </c>
      <c r="E47">
        <f t="shared" si="2"/>
        <v>3</v>
      </c>
      <c r="F47">
        <f t="shared" si="3"/>
        <v>1</v>
      </c>
      <c r="G47">
        <f t="shared" si="4"/>
        <v>1</v>
      </c>
      <c r="N47" s="32" t="s">
        <v>123</v>
      </c>
      <c r="O47" s="21"/>
      <c r="P47" s="21">
        <v>-3.6453978312095098E-2</v>
      </c>
      <c r="Q47" s="21">
        <v>-3.6453978312095098E-2</v>
      </c>
    </row>
    <row r="48" spans="1:17" x14ac:dyDescent="0.25">
      <c r="A48" s="28">
        <v>43465</v>
      </c>
      <c r="B48" s="17">
        <v>-9.1776894596563893E-2</v>
      </c>
      <c r="C48" t="str">
        <f t="shared" si="1"/>
        <v>Red</v>
      </c>
      <c r="D48">
        <f>VLOOKUP(A48,Recession!$A$1:$C$395,3,FALSE)</f>
        <v>25.42</v>
      </c>
      <c r="E48">
        <f t="shared" si="2"/>
        <v>5</v>
      </c>
      <c r="F48">
        <f t="shared" si="3"/>
        <v>0</v>
      </c>
      <c r="G48">
        <f t="shared" si="4"/>
        <v>12</v>
      </c>
      <c r="N48" s="32" t="s">
        <v>124</v>
      </c>
      <c r="O48" s="21">
        <v>4.7721453138434899E-2</v>
      </c>
      <c r="P48" s="21"/>
      <c r="Q48" s="21">
        <v>4.7721453138434899E-2</v>
      </c>
    </row>
    <row r="49" spans="1:17" x14ac:dyDescent="0.25">
      <c r="A49" s="28">
        <v>43434</v>
      </c>
      <c r="B49" s="17">
        <v>1.7859356788849E-2</v>
      </c>
      <c r="C49" t="str">
        <f t="shared" si="1"/>
        <v>Green</v>
      </c>
      <c r="D49">
        <f>VLOOKUP(A49,Recession!$A$1:$C$395,3,FALSE)</f>
        <v>18.07</v>
      </c>
      <c r="E49">
        <f t="shared" si="2"/>
        <v>3</v>
      </c>
      <c r="F49">
        <f t="shared" si="3"/>
        <v>1</v>
      </c>
      <c r="G49">
        <f t="shared" si="4"/>
        <v>11</v>
      </c>
      <c r="N49" s="32" t="s">
        <v>125</v>
      </c>
      <c r="O49" s="21"/>
      <c r="P49" s="21">
        <v>-4.3085800447853803E-2</v>
      </c>
      <c r="Q49" s="21">
        <v>-4.3085800447853803E-2</v>
      </c>
    </row>
    <row r="50" spans="1:17" x14ac:dyDescent="0.25">
      <c r="A50" s="28">
        <v>43404</v>
      </c>
      <c r="B50" s="17">
        <v>-6.9403356024429499E-2</v>
      </c>
      <c r="C50" t="str">
        <f t="shared" si="1"/>
        <v>Red</v>
      </c>
      <c r="D50">
        <f>VLOOKUP(A50,Recession!$A$1:$C$395,3,FALSE)</f>
        <v>21.23</v>
      </c>
      <c r="E50">
        <f t="shared" si="2"/>
        <v>4</v>
      </c>
      <c r="F50">
        <f t="shared" si="3"/>
        <v>0</v>
      </c>
      <c r="G50">
        <f t="shared" si="4"/>
        <v>10</v>
      </c>
      <c r="N50" s="32" t="s">
        <v>126</v>
      </c>
      <c r="O50" s="21">
        <v>2.3156132075471601E-2</v>
      </c>
      <c r="P50" s="21"/>
      <c r="Q50" s="21">
        <v>2.3156132075471601E-2</v>
      </c>
    </row>
    <row r="51" spans="1:17" x14ac:dyDescent="0.25">
      <c r="A51" s="28">
        <v>43371</v>
      </c>
      <c r="B51" s="17">
        <v>4.29428710266144E-3</v>
      </c>
      <c r="C51" t="str">
        <f t="shared" si="1"/>
        <v>Green</v>
      </c>
      <c r="D51">
        <f>VLOOKUP(A51,Recession!$A$1:$C$395,3,FALSE)</f>
        <v>12.12</v>
      </c>
      <c r="E51">
        <f t="shared" si="2"/>
        <v>1</v>
      </c>
      <c r="F51">
        <f t="shared" si="3"/>
        <v>1</v>
      </c>
      <c r="G51">
        <f t="shared" si="4"/>
        <v>9</v>
      </c>
      <c r="N51" s="32" t="s">
        <v>127</v>
      </c>
      <c r="O51" s="21">
        <v>4.6102177447519897E-2</v>
      </c>
      <c r="P51" s="21"/>
      <c r="Q51" s="21">
        <v>4.6102177447519897E-2</v>
      </c>
    </row>
    <row r="52" spans="1:17" x14ac:dyDescent="0.25">
      <c r="A52" s="28">
        <v>43343</v>
      </c>
      <c r="B52" s="17">
        <v>3.0263211466054599E-2</v>
      </c>
      <c r="C52" t="str">
        <f t="shared" si="1"/>
        <v>Green</v>
      </c>
      <c r="D52">
        <f>VLOOKUP(A52,Recession!$A$1:$C$395,3,FALSE)</f>
        <v>12.86</v>
      </c>
      <c r="E52">
        <f t="shared" si="2"/>
        <v>1</v>
      </c>
      <c r="F52">
        <f t="shared" si="3"/>
        <v>1</v>
      </c>
      <c r="G52">
        <f t="shared" si="4"/>
        <v>8</v>
      </c>
      <c r="N52" s="32" t="s">
        <v>128</v>
      </c>
      <c r="O52" s="21">
        <v>1.7628245898567499E-2</v>
      </c>
      <c r="P52" s="21"/>
      <c r="Q52" s="21">
        <v>1.7628245898567499E-2</v>
      </c>
    </row>
    <row r="53" spans="1:17" x14ac:dyDescent="0.25">
      <c r="A53" s="28">
        <v>43312</v>
      </c>
      <c r="B53" s="17">
        <v>3.6021556221367303E-2</v>
      </c>
      <c r="C53" t="str">
        <f t="shared" si="1"/>
        <v>Green</v>
      </c>
      <c r="D53">
        <f>VLOOKUP(A53,Recession!$A$1:$C$395,3,FALSE)</f>
        <v>12.83</v>
      </c>
      <c r="E53">
        <f t="shared" si="2"/>
        <v>1</v>
      </c>
      <c r="F53">
        <f t="shared" si="3"/>
        <v>1</v>
      </c>
      <c r="G53">
        <f t="shared" si="4"/>
        <v>7</v>
      </c>
      <c r="N53" s="32" t="s">
        <v>129</v>
      </c>
      <c r="O53" s="21"/>
      <c r="P53" s="21">
        <v>-1.4566889763779499E-2</v>
      </c>
      <c r="Q53" s="21">
        <v>-1.4566889763779499E-2</v>
      </c>
    </row>
    <row r="54" spans="1:17" x14ac:dyDescent="0.25">
      <c r="A54" s="28">
        <v>43280</v>
      </c>
      <c r="B54" s="17">
        <v>4.8424360241865498E-3</v>
      </c>
      <c r="C54" t="str">
        <f t="shared" si="1"/>
        <v>Green</v>
      </c>
      <c r="D54">
        <f>VLOOKUP(A54,Recession!$A$1:$C$395,3,FALSE)</f>
        <v>16.09</v>
      </c>
      <c r="E54">
        <f t="shared" si="2"/>
        <v>2</v>
      </c>
      <c r="F54">
        <f t="shared" si="3"/>
        <v>1</v>
      </c>
      <c r="G54">
        <f t="shared" si="4"/>
        <v>6</v>
      </c>
      <c r="N54" s="32" t="s">
        <v>107</v>
      </c>
      <c r="O54" s="21"/>
      <c r="P54" s="21">
        <v>-1.9576507408049899E-2</v>
      </c>
      <c r="Q54" s="21">
        <v>-1.9576507408049899E-2</v>
      </c>
    </row>
    <row r="55" spans="1:17" x14ac:dyDescent="0.25">
      <c r="A55" s="28">
        <v>43251</v>
      </c>
      <c r="B55" s="17">
        <v>2.1608341965291902E-2</v>
      </c>
      <c r="C55" t="str">
        <f t="shared" si="1"/>
        <v>Green</v>
      </c>
      <c r="D55">
        <f>VLOOKUP(A55,Recession!$A$1:$C$395,3,FALSE)</f>
        <v>15.43</v>
      </c>
      <c r="E55">
        <f t="shared" si="2"/>
        <v>2</v>
      </c>
      <c r="F55">
        <f t="shared" si="3"/>
        <v>1</v>
      </c>
      <c r="G55">
        <f t="shared" si="4"/>
        <v>5</v>
      </c>
      <c r="N55" s="32" t="s">
        <v>130</v>
      </c>
      <c r="O55" s="21"/>
      <c r="P55" s="21">
        <v>-8.1503664160409396E-4</v>
      </c>
      <c r="Q55" s="21">
        <v>-8.1503664160409396E-4</v>
      </c>
    </row>
    <row r="56" spans="1:17" x14ac:dyDescent="0.25">
      <c r="A56" s="28">
        <v>43220</v>
      </c>
      <c r="B56" s="17">
        <v>2.7187751316435399E-3</v>
      </c>
      <c r="C56" t="str">
        <f t="shared" si="1"/>
        <v>Green</v>
      </c>
      <c r="D56">
        <f>VLOOKUP(A56,Recession!$A$1:$C$395,3,FALSE)</f>
        <v>15.93</v>
      </c>
      <c r="E56">
        <f t="shared" si="2"/>
        <v>2</v>
      </c>
      <c r="F56">
        <f t="shared" si="3"/>
        <v>1</v>
      </c>
      <c r="G56">
        <f t="shared" si="4"/>
        <v>4</v>
      </c>
      <c r="N56" s="32" t="s">
        <v>131</v>
      </c>
      <c r="O56" s="21">
        <v>4.64926590538337E-2</v>
      </c>
      <c r="P56" s="21"/>
      <c r="Q56" s="21">
        <v>4.64926590538337E-2</v>
      </c>
    </row>
    <row r="57" spans="1:17" x14ac:dyDescent="0.25">
      <c r="A57" s="28">
        <v>43188</v>
      </c>
      <c r="B57" s="17">
        <v>-2.6884498624825101E-2</v>
      </c>
      <c r="C57" t="str">
        <f t="shared" si="1"/>
        <v>Red</v>
      </c>
      <c r="D57">
        <f>VLOOKUP(A57,Recession!$A$1:$C$395,3,FALSE)</f>
        <v>19.969999000000001</v>
      </c>
      <c r="E57">
        <f t="shared" si="2"/>
        <v>4</v>
      </c>
      <c r="F57">
        <f t="shared" si="3"/>
        <v>0</v>
      </c>
      <c r="G57">
        <f t="shared" si="4"/>
        <v>3</v>
      </c>
      <c r="N57" s="32" t="s">
        <v>93</v>
      </c>
      <c r="O57" s="21">
        <v>3.5463756819953202E-2</v>
      </c>
      <c r="P57" s="21"/>
      <c r="Q57" s="21">
        <v>3.5463756819953202E-2</v>
      </c>
    </row>
    <row r="58" spans="1:17" x14ac:dyDescent="0.25">
      <c r="A58" s="28">
        <v>43159</v>
      </c>
      <c r="B58" s="17">
        <v>-3.8947372061896898E-2</v>
      </c>
      <c r="C58" t="str">
        <f t="shared" si="1"/>
        <v>Red</v>
      </c>
      <c r="D58">
        <f>VLOOKUP(A58,Recession!$A$1:$C$395,3,FALSE)</f>
        <v>19.850000000000001</v>
      </c>
      <c r="E58">
        <f t="shared" si="2"/>
        <v>4</v>
      </c>
      <c r="F58">
        <f t="shared" si="3"/>
        <v>0</v>
      </c>
      <c r="G58">
        <f t="shared" si="4"/>
        <v>2</v>
      </c>
      <c r="N58" s="30" t="s">
        <v>140</v>
      </c>
      <c r="O58" s="21">
        <v>9.4647326872920393E-2</v>
      </c>
      <c r="P58" s="21">
        <v>-0.27412921769001924</v>
      </c>
      <c r="Q58" s="21">
        <v>-0.17948189081709881</v>
      </c>
    </row>
    <row r="59" spans="1:17" x14ac:dyDescent="0.25">
      <c r="A59" s="28">
        <v>43131</v>
      </c>
      <c r="B59" s="17">
        <v>5.6178704444133101E-2</v>
      </c>
      <c r="C59" t="str">
        <f t="shared" si="1"/>
        <v>Green</v>
      </c>
      <c r="D59">
        <f>VLOOKUP(A59,Recession!$A$1:$C$395,3,FALSE)</f>
        <v>13.54</v>
      </c>
      <c r="E59">
        <f t="shared" si="2"/>
        <v>2</v>
      </c>
      <c r="F59">
        <f t="shared" si="3"/>
        <v>1</v>
      </c>
      <c r="G59">
        <f t="shared" si="4"/>
        <v>1</v>
      </c>
      <c r="N59" s="32" t="s">
        <v>122</v>
      </c>
      <c r="O59" s="21"/>
      <c r="P59" s="21">
        <v>-1.71114269264355E-2</v>
      </c>
      <c r="Q59" s="21">
        <v>-1.71114269264355E-2</v>
      </c>
    </row>
    <row r="60" spans="1:17" x14ac:dyDescent="0.25">
      <c r="A60" s="28">
        <v>43098</v>
      </c>
      <c r="B60" s="17">
        <v>9.8316304826040497E-3</v>
      </c>
      <c r="C60" t="str">
        <f t="shared" si="1"/>
        <v>Green</v>
      </c>
      <c r="D60">
        <f>VLOOKUP(A60,Recession!$A$1:$C$395,3,FALSE)</f>
        <v>11.04</v>
      </c>
      <c r="E60">
        <f t="shared" si="2"/>
        <v>1</v>
      </c>
      <c r="F60">
        <f t="shared" si="3"/>
        <v>1</v>
      </c>
      <c r="G60">
        <f t="shared" si="4"/>
        <v>12</v>
      </c>
      <c r="N60" s="32" t="s">
        <v>123</v>
      </c>
      <c r="O60" s="21"/>
      <c r="P60" s="21">
        <v>-3.7490295936312097E-2</v>
      </c>
      <c r="Q60" s="21">
        <v>-3.7490295936312097E-2</v>
      </c>
    </row>
    <row r="61" spans="1:17" x14ac:dyDescent="0.25">
      <c r="A61" s="28">
        <v>43069</v>
      </c>
      <c r="B61" s="17">
        <v>2.8082627664458602E-2</v>
      </c>
      <c r="C61" t="str">
        <f t="shared" si="1"/>
        <v>Green</v>
      </c>
      <c r="D61">
        <f>VLOOKUP(A61,Recession!$A$1:$C$395,3,FALSE)</f>
        <v>11.28</v>
      </c>
      <c r="E61">
        <f t="shared" si="2"/>
        <v>1</v>
      </c>
      <c r="F61">
        <f t="shared" si="3"/>
        <v>1</v>
      </c>
      <c r="G61">
        <f t="shared" si="4"/>
        <v>11</v>
      </c>
      <c r="N61" s="32" t="s">
        <v>124</v>
      </c>
      <c r="O61" s="21"/>
      <c r="P61" s="21">
        <v>-1.43269161891124E-3</v>
      </c>
      <c r="Q61" s="21">
        <v>-1.43269161891124E-3</v>
      </c>
    </row>
    <row r="62" spans="1:17" x14ac:dyDescent="0.25">
      <c r="A62" s="28">
        <v>43039</v>
      </c>
      <c r="B62" s="17">
        <v>2.21881353303497E-2</v>
      </c>
      <c r="C62" t="str">
        <f t="shared" si="1"/>
        <v>Green</v>
      </c>
      <c r="D62">
        <f>VLOOKUP(A62,Recession!$A$1:$C$395,3,FALSE)</f>
        <v>10.18</v>
      </c>
      <c r="E62">
        <f t="shared" si="2"/>
        <v>1</v>
      </c>
      <c r="F62">
        <f t="shared" si="3"/>
        <v>1</v>
      </c>
      <c r="G62">
        <f t="shared" si="4"/>
        <v>10</v>
      </c>
      <c r="N62" s="32" t="s">
        <v>125</v>
      </c>
      <c r="O62" s="21"/>
      <c r="P62" s="21">
        <v>-4.0799821757527499E-2</v>
      </c>
      <c r="Q62" s="21">
        <v>-4.0799821757527499E-2</v>
      </c>
    </row>
    <row r="63" spans="1:17" x14ac:dyDescent="0.25">
      <c r="A63" s="28">
        <v>43007</v>
      </c>
      <c r="B63" s="17">
        <v>1.9302978533243701E-2</v>
      </c>
      <c r="C63" t="str">
        <f t="shared" si="1"/>
        <v>Green</v>
      </c>
      <c r="D63">
        <f>VLOOKUP(A63,Recession!$A$1:$C$395,3,FALSE)</f>
        <v>9.51</v>
      </c>
      <c r="E63">
        <f t="shared" si="2"/>
        <v>1</v>
      </c>
      <c r="F63">
        <f t="shared" si="3"/>
        <v>1</v>
      </c>
      <c r="G63">
        <f t="shared" si="4"/>
        <v>9</v>
      </c>
      <c r="N63" s="32" t="s">
        <v>126</v>
      </c>
      <c r="O63" s="21"/>
      <c r="P63" s="21">
        <v>-1.8883836413164001E-2</v>
      </c>
      <c r="Q63" s="21">
        <v>-1.8883836413164001E-2</v>
      </c>
    </row>
    <row r="64" spans="1:17" x14ac:dyDescent="0.25">
      <c r="A64" s="28">
        <v>42978</v>
      </c>
      <c r="B64" s="17">
        <v>5.4643281108557296E-4</v>
      </c>
      <c r="C64" t="str">
        <f t="shared" si="1"/>
        <v>Green</v>
      </c>
      <c r="D64">
        <f>VLOOKUP(A64,Recession!$A$1:$C$395,3,FALSE)</f>
        <v>10.59</v>
      </c>
      <c r="E64">
        <f t="shared" si="2"/>
        <v>1</v>
      </c>
      <c r="F64">
        <f t="shared" si="3"/>
        <v>1</v>
      </c>
      <c r="G64">
        <f t="shared" si="4"/>
        <v>8</v>
      </c>
      <c r="N64" s="32" t="s">
        <v>127</v>
      </c>
      <c r="O64" s="21"/>
      <c r="P64" s="21">
        <v>-6.5745118601575597E-3</v>
      </c>
      <c r="Q64" s="21">
        <v>-6.5745118601575597E-3</v>
      </c>
    </row>
    <row r="65" spans="1:17" x14ac:dyDescent="0.25">
      <c r="A65" s="28">
        <v>42947</v>
      </c>
      <c r="B65" s="17">
        <v>1.9348826118030599E-2</v>
      </c>
      <c r="C65" t="str">
        <f t="shared" si="1"/>
        <v>Green</v>
      </c>
      <c r="D65">
        <f>VLOOKUP(A65,Recession!$A$1:$C$395,3,FALSE)</f>
        <v>10.26</v>
      </c>
      <c r="E65">
        <f t="shared" si="2"/>
        <v>1</v>
      </c>
      <c r="F65">
        <f t="shared" si="3"/>
        <v>1</v>
      </c>
      <c r="G65">
        <f t="shared" si="4"/>
        <v>7</v>
      </c>
      <c r="N65" s="32" t="s">
        <v>128</v>
      </c>
      <c r="O65" s="21">
        <v>3.7981957836524798E-2</v>
      </c>
      <c r="P65" s="21"/>
      <c r="Q65" s="21">
        <v>3.7981957836524798E-2</v>
      </c>
    </row>
    <row r="66" spans="1:17" x14ac:dyDescent="0.25">
      <c r="A66" s="28">
        <v>42916</v>
      </c>
      <c r="B66" s="17">
        <v>4.8137750908554501E-3</v>
      </c>
      <c r="C66" t="str">
        <f t="shared" si="1"/>
        <v>Green</v>
      </c>
      <c r="D66">
        <f>VLOOKUP(A66,Recession!$A$1:$C$395,3,FALSE)</f>
        <v>11.18</v>
      </c>
      <c r="E66">
        <f t="shared" si="2"/>
        <v>1</v>
      </c>
      <c r="F66">
        <f t="shared" si="3"/>
        <v>1</v>
      </c>
      <c r="G66">
        <f t="shared" si="4"/>
        <v>6</v>
      </c>
      <c r="N66" s="32" t="s">
        <v>129</v>
      </c>
      <c r="O66" s="21"/>
      <c r="P66" s="21">
        <v>-3.6684540411342302E-2</v>
      </c>
      <c r="Q66" s="21">
        <v>-3.6684540411342302E-2</v>
      </c>
    </row>
    <row r="67" spans="1:17" x14ac:dyDescent="0.25">
      <c r="A67" s="28">
        <v>42886</v>
      </c>
      <c r="B67" s="17">
        <v>1.1576251391341301E-2</v>
      </c>
      <c r="C67" t="str">
        <f t="shared" ref="C67:C130" si="5">IF(B67&gt;0,"Green","Red")</f>
        <v>Green</v>
      </c>
      <c r="D67">
        <f>VLOOKUP(A67,Recession!$A$1:$C$395,3,FALSE)</f>
        <v>10.41</v>
      </c>
      <c r="E67">
        <f t="shared" si="2"/>
        <v>1</v>
      </c>
      <c r="F67">
        <f t="shared" si="3"/>
        <v>1</v>
      </c>
      <c r="G67">
        <f t="shared" si="4"/>
        <v>5</v>
      </c>
      <c r="N67" s="32" t="s">
        <v>107</v>
      </c>
      <c r="O67" s="21">
        <v>4.0095923261390901E-2</v>
      </c>
      <c r="P67" s="21"/>
      <c r="Q67" s="21">
        <v>4.0095923261390901E-2</v>
      </c>
    </row>
    <row r="68" spans="1:17" x14ac:dyDescent="0.25">
      <c r="A68" s="28">
        <v>42853</v>
      </c>
      <c r="B68" s="17">
        <v>9.0912085493182193E-3</v>
      </c>
      <c r="C68" t="str">
        <f t="shared" si="5"/>
        <v>Green</v>
      </c>
      <c r="D68">
        <f>VLOOKUP(A68,Recession!$A$1:$C$395,3,FALSE)</f>
        <v>10.82</v>
      </c>
      <c r="E68">
        <f t="shared" ref="E68:E131" si="6">IF(D68&gt;24.46,5,IF(D68&gt;19.71,4,IF(D68&gt;16.13,3,IF(D68&gt;13.19,2,1))))</f>
        <v>1</v>
      </c>
      <c r="F68">
        <f t="shared" ref="F68:F131" si="7">IF(B68&gt;0,1,0)</f>
        <v>1</v>
      </c>
      <c r="G68">
        <f t="shared" ref="G68:G131" si="8">MONTH(A68)</f>
        <v>4</v>
      </c>
      <c r="N68" s="32" t="s">
        <v>130</v>
      </c>
      <c r="O68" s="21"/>
      <c r="P68" s="21">
        <v>-1.29114636170802E-3</v>
      </c>
      <c r="Q68" s="21">
        <v>-1.29114636170802E-3</v>
      </c>
    </row>
    <row r="69" spans="1:17" x14ac:dyDescent="0.25">
      <c r="A69" s="28">
        <v>42825</v>
      </c>
      <c r="B69" s="17">
        <v>-3.891971880845E-4</v>
      </c>
      <c r="C69" t="str">
        <f t="shared" si="5"/>
        <v>Red</v>
      </c>
      <c r="D69">
        <f>VLOOKUP(A69,Recession!$A$1:$C$395,3,FALSE)</f>
        <v>12.37</v>
      </c>
      <c r="E69">
        <f t="shared" si="6"/>
        <v>1</v>
      </c>
      <c r="F69">
        <f t="shared" si="7"/>
        <v>0</v>
      </c>
      <c r="G69">
        <f t="shared" si="8"/>
        <v>3</v>
      </c>
      <c r="N69" s="32" t="s">
        <v>131</v>
      </c>
      <c r="O69" s="21"/>
      <c r="P69" s="21">
        <v>-0.113860946404461</v>
      </c>
      <c r="Q69" s="21">
        <v>-0.113860946404461</v>
      </c>
    </row>
    <row r="70" spans="1:17" x14ac:dyDescent="0.25">
      <c r="A70" s="28">
        <v>42794</v>
      </c>
      <c r="B70" s="17">
        <v>3.7198160337279101E-2</v>
      </c>
      <c r="C70" t="str">
        <f t="shared" si="5"/>
        <v>Green</v>
      </c>
      <c r="D70">
        <f>VLOOKUP(A70,Recession!$A$1:$C$395,3,FALSE)</f>
        <v>12.92</v>
      </c>
      <c r="E70">
        <f t="shared" si="6"/>
        <v>1</v>
      </c>
      <c r="F70">
        <f t="shared" si="7"/>
        <v>1</v>
      </c>
      <c r="G70">
        <f t="shared" si="8"/>
        <v>2</v>
      </c>
      <c r="N70" s="32" t="s">
        <v>93</v>
      </c>
      <c r="O70" s="21">
        <v>1.6569445775004701E-2</v>
      </c>
      <c r="P70" s="21"/>
      <c r="Q70" s="21">
        <v>1.6569445775004701E-2</v>
      </c>
    </row>
    <row r="71" spans="1:17" x14ac:dyDescent="0.25">
      <c r="A71" s="28">
        <v>42766</v>
      </c>
      <c r="B71" s="17">
        <v>1.7884358171464498E-2</v>
      </c>
      <c r="C71" t="str">
        <f t="shared" si="5"/>
        <v>Green</v>
      </c>
      <c r="D71">
        <f>VLOOKUP(A71,Recession!$A$1:$C$395,3,FALSE)</f>
        <v>11.99</v>
      </c>
      <c r="E71">
        <f t="shared" si="6"/>
        <v>1</v>
      </c>
      <c r="F71">
        <f t="shared" si="7"/>
        <v>1</v>
      </c>
      <c r="G71">
        <f t="shared" si="8"/>
        <v>1</v>
      </c>
      <c r="N71" s="30" t="s">
        <v>141</v>
      </c>
      <c r="O71" s="21">
        <v>0.163046912762875</v>
      </c>
      <c r="P71" s="21">
        <v>-0.48495344227897991</v>
      </c>
      <c r="Q71" s="21">
        <v>-0.32190652951610493</v>
      </c>
    </row>
    <row r="72" spans="1:17" x14ac:dyDescent="0.25">
      <c r="A72" s="28">
        <v>42734</v>
      </c>
      <c r="B72" s="17">
        <v>1.82007621968951E-2</v>
      </c>
      <c r="C72" t="str">
        <f t="shared" si="5"/>
        <v>Green</v>
      </c>
      <c r="D72">
        <f>VLOOKUP(A72,Recession!$A$1:$C$395,3,FALSE)</f>
        <v>14.04</v>
      </c>
      <c r="E72">
        <f t="shared" si="6"/>
        <v>2</v>
      </c>
      <c r="F72">
        <f t="shared" si="7"/>
        <v>1</v>
      </c>
      <c r="G72">
        <f t="shared" si="8"/>
        <v>12</v>
      </c>
      <c r="N72" s="32" t="s">
        <v>122</v>
      </c>
      <c r="O72" s="21"/>
      <c r="P72" s="21">
        <v>-1.0046160634152E-2</v>
      </c>
      <c r="Q72" s="21">
        <v>-1.0046160634152E-2</v>
      </c>
    </row>
    <row r="73" spans="1:17" x14ac:dyDescent="0.25">
      <c r="A73" s="28">
        <v>42704</v>
      </c>
      <c r="B73" s="17">
        <v>3.4174522187570402E-2</v>
      </c>
      <c r="C73" t="str">
        <f t="shared" si="5"/>
        <v>Green</v>
      </c>
      <c r="D73">
        <f>VLOOKUP(A73,Recession!$A$1:$C$395,3,FALSE)</f>
        <v>13.33</v>
      </c>
      <c r="E73">
        <f t="shared" si="6"/>
        <v>2</v>
      </c>
      <c r="F73">
        <f t="shared" si="7"/>
        <v>1</v>
      </c>
      <c r="G73">
        <f t="shared" si="8"/>
        <v>11</v>
      </c>
      <c r="N73" s="32" t="s">
        <v>123</v>
      </c>
      <c r="O73" s="21"/>
      <c r="P73" s="21">
        <v>-3.62430361395871E-3</v>
      </c>
      <c r="Q73" s="21">
        <v>-3.62430361395871E-3</v>
      </c>
    </row>
    <row r="74" spans="1:17" x14ac:dyDescent="0.25">
      <c r="A74" s="28">
        <v>42674</v>
      </c>
      <c r="B74" s="17">
        <v>-1.94256792795575E-2</v>
      </c>
      <c r="C74" t="str">
        <f t="shared" si="5"/>
        <v>Red</v>
      </c>
      <c r="D74">
        <f>VLOOKUP(A74,Recession!$A$1:$C$395,3,FALSE)</f>
        <v>17.059999000000001</v>
      </c>
      <c r="E74">
        <f t="shared" si="6"/>
        <v>3</v>
      </c>
      <c r="F74">
        <f t="shared" si="7"/>
        <v>0</v>
      </c>
      <c r="G74">
        <f t="shared" si="8"/>
        <v>10</v>
      </c>
      <c r="N74" s="32" t="s">
        <v>124</v>
      </c>
      <c r="O74" s="21"/>
      <c r="P74" s="21">
        <v>-2.3279962343795799E-2</v>
      </c>
      <c r="Q74" s="21">
        <v>-2.3279962343795799E-2</v>
      </c>
    </row>
    <row r="75" spans="1:17" x14ac:dyDescent="0.25">
      <c r="A75" s="28">
        <v>42643</v>
      </c>
      <c r="B75" s="17">
        <v>-1.23445084432539E-3</v>
      </c>
      <c r="C75" t="str">
        <f t="shared" si="5"/>
        <v>Red</v>
      </c>
      <c r="D75">
        <f>VLOOKUP(A75,Recession!$A$1:$C$395,3,FALSE)</f>
        <v>13.29</v>
      </c>
      <c r="E75">
        <f t="shared" si="6"/>
        <v>2</v>
      </c>
      <c r="F75">
        <f t="shared" si="7"/>
        <v>0</v>
      </c>
      <c r="G75">
        <f t="shared" si="8"/>
        <v>9</v>
      </c>
      <c r="N75" s="32" t="s">
        <v>125</v>
      </c>
      <c r="O75" s="21"/>
      <c r="P75" s="21">
        <v>-3.9050913841745701E-2</v>
      </c>
      <c r="Q75" s="21">
        <v>-3.9050913841745701E-2</v>
      </c>
    </row>
    <row r="76" spans="1:17" x14ac:dyDescent="0.25">
      <c r="A76" s="28">
        <v>42613</v>
      </c>
      <c r="B76" s="17">
        <v>-1.2192431360480401E-3</v>
      </c>
      <c r="C76" t="str">
        <f t="shared" si="5"/>
        <v>Red</v>
      </c>
      <c r="D76">
        <f>VLOOKUP(A76,Recession!$A$1:$C$395,3,FALSE)</f>
        <v>13.42</v>
      </c>
      <c r="E76">
        <f t="shared" si="6"/>
        <v>2</v>
      </c>
      <c r="F76">
        <f t="shared" si="7"/>
        <v>0</v>
      </c>
      <c r="G76">
        <f t="shared" si="8"/>
        <v>8</v>
      </c>
      <c r="N76" s="32" t="s">
        <v>126</v>
      </c>
      <c r="O76" s="21"/>
      <c r="P76" s="21">
        <v>-3.3551091430651901E-2</v>
      </c>
      <c r="Q76" s="21">
        <v>-3.3551091430651901E-2</v>
      </c>
    </row>
    <row r="77" spans="1:17" x14ac:dyDescent="0.25">
      <c r="A77" s="28">
        <v>42580</v>
      </c>
      <c r="B77" s="17">
        <v>3.5609801125254401E-2</v>
      </c>
      <c r="C77" t="str">
        <f t="shared" si="5"/>
        <v>Green</v>
      </c>
      <c r="D77">
        <f>VLOOKUP(A77,Recession!$A$1:$C$395,3,FALSE)</f>
        <v>11.87</v>
      </c>
      <c r="E77">
        <f t="shared" si="6"/>
        <v>1</v>
      </c>
      <c r="F77">
        <f t="shared" si="7"/>
        <v>1</v>
      </c>
      <c r="G77">
        <f t="shared" si="8"/>
        <v>7</v>
      </c>
      <c r="N77" s="32" t="s">
        <v>127</v>
      </c>
      <c r="O77" s="21"/>
      <c r="P77" s="21">
        <v>-1.46654332569367E-2</v>
      </c>
      <c r="Q77" s="21">
        <v>-1.46654332569367E-2</v>
      </c>
    </row>
    <row r="78" spans="1:17" x14ac:dyDescent="0.25">
      <c r="A78" s="28">
        <v>42551</v>
      </c>
      <c r="B78" s="17">
        <v>9.1092112097812495E-4</v>
      </c>
      <c r="C78" t="str">
        <f t="shared" si="5"/>
        <v>Green</v>
      </c>
      <c r="D78">
        <f>VLOOKUP(A78,Recession!$A$1:$C$395,3,FALSE)</f>
        <v>15.63</v>
      </c>
      <c r="E78">
        <f t="shared" si="6"/>
        <v>2</v>
      </c>
      <c r="F78">
        <f t="shared" si="7"/>
        <v>1</v>
      </c>
      <c r="G78">
        <f t="shared" si="8"/>
        <v>6</v>
      </c>
      <c r="N78" s="32" t="s">
        <v>128</v>
      </c>
      <c r="O78" s="21"/>
      <c r="P78" s="21">
        <v>-7.7790720930232607E-2</v>
      </c>
      <c r="Q78" s="21">
        <v>-7.7790720930232607E-2</v>
      </c>
    </row>
    <row r="79" spans="1:17" x14ac:dyDescent="0.25">
      <c r="A79" s="28">
        <v>42521</v>
      </c>
      <c r="B79" s="17">
        <v>1.53246023575726E-2</v>
      </c>
      <c r="C79" t="str">
        <f t="shared" si="5"/>
        <v>Green</v>
      </c>
      <c r="D79">
        <f>VLOOKUP(A79,Recession!$A$1:$C$395,3,FALSE)</f>
        <v>14.19</v>
      </c>
      <c r="E79">
        <f t="shared" si="6"/>
        <v>2</v>
      </c>
      <c r="F79">
        <f t="shared" si="7"/>
        <v>1</v>
      </c>
      <c r="G79">
        <f t="shared" si="8"/>
        <v>5</v>
      </c>
      <c r="N79" s="32" t="s">
        <v>129</v>
      </c>
      <c r="O79" s="21"/>
      <c r="P79" s="21">
        <v>-9.0278605227048295E-2</v>
      </c>
      <c r="Q79" s="21">
        <v>-9.0278605227048295E-2</v>
      </c>
    </row>
    <row r="80" spans="1:17" x14ac:dyDescent="0.25">
      <c r="A80" s="28">
        <v>42489</v>
      </c>
      <c r="B80" s="17">
        <v>2.6993984808731902E-3</v>
      </c>
      <c r="C80" t="str">
        <f t="shared" si="5"/>
        <v>Green</v>
      </c>
      <c r="D80">
        <f>VLOOKUP(A80,Recession!$A$1:$C$395,3,FALSE)</f>
        <v>15.7</v>
      </c>
      <c r="E80">
        <f t="shared" si="6"/>
        <v>2</v>
      </c>
      <c r="F80">
        <f t="shared" si="7"/>
        <v>1</v>
      </c>
      <c r="G80">
        <f t="shared" si="8"/>
        <v>4</v>
      </c>
      <c r="N80" s="32" t="s">
        <v>107</v>
      </c>
      <c r="O80" s="21"/>
      <c r="P80" s="21">
        <v>-0.119334729886771</v>
      </c>
      <c r="Q80" s="21">
        <v>-0.119334729886771</v>
      </c>
    </row>
    <row r="81" spans="1:24" x14ac:dyDescent="0.25">
      <c r="A81" s="28">
        <v>42460</v>
      </c>
      <c r="B81" s="17">
        <v>6.5991114577365104E-2</v>
      </c>
      <c r="C81" t="str">
        <f t="shared" si="5"/>
        <v>Green</v>
      </c>
      <c r="D81">
        <f>VLOOKUP(A81,Recession!$A$1:$C$395,3,FALSE)</f>
        <v>13.95</v>
      </c>
      <c r="E81">
        <f t="shared" si="6"/>
        <v>2</v>
      </c>
      <c r="F81">
        <f t="shared" si="7"/>
        <v>1</v>
      </c>
      <c r="G81">
        <f t="shared" si="8"/>
        <v>3</v>
      </c>
      <c r="N81" s="32" t="s">
        <v>130</v>
      </c>
      <c r="O81" s="21">
        <v>0.163046912762875</v>
      </c>
      <c r="P81" s="21"/>
      <c r="Q81" s="21">
        <v>0.163046912762875</v>
      </c>
    </row>
    <row r="82" spans="1:24" x14ac:dyDescent="0.25">
      <c r="A82" s="28">
        <v>42429</v>
      </c>
      <c r="B82" s="17">
        <v>-4.12836043029907E-3</v>
      </c>
      <c r="C82" t="str">
        <f t="shared" si="5"/>
        <v>Red</v>
      </c>
      <c r="D82">
        <f>VLOOKUP(A82,Recession!$A$1:$C$395,3,FALSE)</f>
        <v>20.549999</v>
      </c>
      <c r="E82">
        <f t="shared" si="6"/>
        <v>4</v>
      </c>
      <c r="F82">
        <f t="shared" si="7"/>
        <v>0</v>
      </c>
      <c r="G82">
        <f t="shared" si="8"/>
        <v>2</v>
      </c>
      <c r="N82" s="32" t="s">
        <v>131</v>
      </c>
      <c r="O82" s="21"/>
      <c r="P82" s="21">
        <v>-5.3179985028958501E-2</v>
      </c>
      <c r="Q82" s="21">
        <v>-5.3179985028958501E-2</v>
      </c>
    </row>
    <row r="83" spans="1:24" x14ac:dyDescent="0.25">
      <c r="A83" s="28">
        <v>42398</v>
      </c>
      <c r="B83" s="17">
        <v>-5.0735321972946397E-2</v>
      </c>
      <c r="C83" t="str">
        <f t="shared" si="5"/>
        <v>Red</v>
      </c>
      <c r="D83">
        <f>VLOOKUP(A83,Recession!$A$1:$C$395,3,FALSE)</f>
        <v>20.200001</v>
      </c>
      <c r="E83">
        <f t="shared" si="6"/>
        <v>4</v>
      </c>
      <c r="F83">
        <f t="shared" si="7"/>
        <v>0</v>
      </c>
      <c r="G83">
        <f t="shared" si="8"/>
        <v>1</v>
      </c>
      <c r="N83" s="32" t="s">
        <v>93</v>
      </c>
      <c r="O83" s="21"/>
      <c r="P83" s="21">
        <v>-2.0151536084728701E-2</v>
      </c>
      <c r="Q83" s="21">
        <v>-2.0151536084728701E-2</v>
      </c>
    </row>
    <row r="84" spans="1:24" x14ac:dyDescent="0.25">
      <c r="A84" s="28">
        <v>42369</v>
      </c>
      <c r="B84" s="17">
        <v>-1.7530185176314401E-2</v>
      </c>
      <c r="C84" t="str">
        <f t="shared" si="5"/>
        <v>Red</v>
      </c>
      <c r="D84">
        <f>VLOOKUP(A84,Recession!$A$1:$C$395,3,FALSE)</f>
        <v>18.209999</v>
      </c>
      <c r="E84">
        <f t="shared" si="6"/>
        <v>3</v>
      </c>
      <c r="F84">
        <f t="shared" si="7"/>
        <v>0</v>
      </c>
      <c r="G84">
        <f t="shared" si="8"/>
        <v>12</v>
      </c>
      <c r="N84" s="30" t="s">
        <v>142</v>
      </c>
      <c r="O84" s="21">
        <v>0.42643088772134108</v>
      </c>
      <c r="P84" s="21">
        <v>-0.13487812833539761</v>
      </c>
      <c r="Q84" s="21">
        <v>0.29155275938594349</v>
      </c>
    </row>
    <row r="85" spans="1:24" x14ac:dyDescent="0.25">
      <c r="A85" s="28">
        <v>42338</v>
      </c>
      <c r="B85" s="17">
        <v>5.0486926072412796E-4</v>
      </c>
      <c r="C85" t="str">
        <f t="shared" si="5"/>
        <v>Green</v>
      </c>
      <c r="D85">
        <f>VLOOKUP(A85,Recession!$A$1:$C$395,3,FALSE)</f>
        <v>16.129999000000002</v>
      </c>
      <c r="E85">
        <f t="shared" si="6"/>
        <v>2</v>
      </c>
      <c r="F85">
        <f t="shared" si="7"/>
        <v>1</v>
      </c>
      <c r="G85">
        <f t="shared" si="8"/>
        <v>11</v>
      </c>
      <c r="N85" s="32" t="s">
        <v>122</v>
      </c>
      <c r="O85" s="21">
        <v>0.122812211867334</v>
      </c>
      <c r="P85" s="21"/>
      <c r="Q85" s="21">
        <v>0.122812211867334</v>
      </c>
    </row>
    <row r="86" spans="1:24" x14ac:dyDescent="0.25">
      <c r="A86" s="28">
        <v>42307</v>
      </c>
      <c r="B86" s="17">
        <v>8.2983117760394104E-2</v>
      </c>
      <c r="C86" t="str">
        <f t="shared" si="5"/>
        <v>Green</v>
      </c>
      <c r="D86">
        <f>VLOOKUP(A86,Recession!$A$1:$C$395,3,FALSE)</f>
        <v>15.07</v>
      </c>
      <c r="E86">
        <f t="shared" si="6"/>
        <v>2</v>
      </c>
      <c r="F86">
        <f t="shared" si="7"/>
        <v>1</v>
      </c>
      <c r="G86">
        <f t="shared" si="8"/>
        <v>10</v>
      </c>
      <c r="N86" s="32" t="s">
        <v>123</v>
      </c>
      <c r="O86" s="21">
        <v>5.9885591326880101E-2</v>
      </c>
      <c r="P86" s="21"/>
      <c r="Q86" s="21">
        <v>5.9885591326880101E-2</v>
      </c>
    </row>
    <row r="87" spans="1:24" x14ac:dyDescent="0.25">
      <c r="A87" s="28">
        <v>42277</v>
      </c>
      <c r="B87" s="17">
        <v>-2.6442831573227101E-2</v>
      </c>
      <c r="C87" t="str">
        <f t="shared" si="5"/>
        <v>Red</v>
      </c>
      <c r="D87">
        <f>VLOOKUP(A87,Recession!$A$1:$C$395,3,FALSE)</f>
        <v>24.5</v>
      </c>
      <c r="E87">
        <f t="shared" si="6"/>
        <v>5</v>
      </c>
      <c r="F87">
        <f t="shared" si="7"/>
        <v>0</v>
      </c>
      <c r="G87">
        <f t="shared" si="8"/>
        <v>9</v>
      </c>
      <c r="N87" s="32" t="s">
        <v>124</v>
      </c>
      <c r="O87" s="21">
        <v>2.1693897374379E-2</v>
      </c>
      <c r="P87" s="21"/>
      <c r="Q87" s="21">
        <v>2.1693897374379E-2</v>
      </c>
    </row>
    <row r="88" spans="1:24" x14ac:dyDescent="0.25">
      <c r="A88" s="28">
        <v>42247</v>
      </c>
      <c r="B88" s="17">
        <v>-6.2580818167202804E-2</v>
      </c>
      <c r="C88" t="str">
        <f t="shared" si="5"/>
        <v>Red</v>
      </c>
      <c r="D88">
        <f>VLOOKUP(A88,Recession!$A$1:$C$395,3,FALSE)</f>
        <v>28.43</v>
      </c>
      <c r="E88">
        <f t="shared" si="6"/>
        <v>5</v>
      </c>
      <c r="F88">
        <f t="shared" si="7"/>
        <v>0</v>
      </c>
      <c r="G88">
        <f t="shared" si="8"/>
        <v>8</v>
      </c>
      <c r="N88" s="32" t="s">
        <v>125</v>
      </c>
      <c r="O88" s="21">
        <v>4.7264898665248398E-2</v>
      </c>
      <c r="P88" s="21"/>
      <c r="Q88" s="21">
        <v>4.7264898665248398E-2</v>
      </c>
    </row>
    <row r="89" spans="1:24" x14ac:dyDescent="0.25">
      <c r="A89" s="28">
        <v>42216</v>
      </c>
      <c r="B89" s="17">
        <v>1.9742029696721501E-2</v>
      </c>
      <c r="C89" t="str">
        <f t="shared" si="5"/>
        <v>Green</v>
      </c>
      <c r="D89">
        <f>VLOOKUP(A89,Recession!$A$1:$C$395,3,FALSE)</f>
        <v>12.12</v>
      </c>
      <c r="E89">
        <f t="shared" si="6"/>
        <v>1</v>
      </c>
      <c r="F89">
        <f t="shared" si="7"/>
        <v>1</v>
      </c>
      <c r="G89">
        <f t="shared" si="8"/>
        <v>7</v>
      </c>
      <c r="N89" s="32" t="s">
        <v>126</v>
      </c>
      <c r="O89" s="21">
        <v>4.4100788862515797E-2</v>
      </c>
      <c r="P89" s="21"/>
      <c r="Q89" s="21">
        <v>4.4100788862515797E-2</v>
      </c>
    </row>
    <row r="90" spans="1:24" x14ac:dyDescent="0.25">
      <c r="A90" s="28">
        <v>42185</v>
      </c>
      <c r="B90" s="17">
        <v>-2.10116723759005E-2</v>
      </c>
      <c r="C90" t="str">
        <f t="shared" si="5"/>
        <v>Red</v>
      </c>
      <c r="D90">
        <f>VLOOKUP(A90,Recession!$A$1:$C$395,3,FALSE)</f>
        <v>18.23</v>
      </c>
      <c r="E90">
        <f t="shared" si="6"/>
        <v>3</v>
      </c>
      <c r="F90">
        <f t="shared" si="7"/>
        <v>0</v>
      </c>
      <c r="G90">
        <f t="shared" si="8"/>
        <v>6</v>
      </c>
      <c r="N90" s="32" t="s">
        <v>127</v>
      </c>
      <c r="O90" s="21">
        <v>4.43225442825552E-2</v>
      </c>
      <c r="P90" s="21"/>
      <c r="Q90" s="21">
        <v>4.43225442825552E-2</v>
      </c>
      <c r="T90">
        <v>2</v>
      </c>
      <c r="U90">
        <v>13.19</v>
      </c>
    </row>
    <row r="91" spans="1:24" x14ac:dyDescent="0.25">
      <c r="A91" s="28">
        <v>42153</v>
      </c>
      <c r="B91" s="17">
        <v>1.04913823933168E-2</v>
      </c>
      <c r="C91" t="str">
        <f t="shared" si="5"/>
        <v>Green</v>
      </c>
      <c r="D91">
        <f>VLOOKUP(A91,Recession!$A$1:$C$395,3,FALSE)</f>
        <v>13.84</v>
      </c>
      <c r="E91">
        <f t="shared" si="6"/>
        <v>2</v>
      </c>
      <c r="F91">
        <f t="shared" si="7"/>
        <v>1</v>
      </c>
      <c r="G91">
        <f t="shared" si="8"/>
        <v>5</v>
      </c>
      <c r="N91" s="32" t="s">
        <v>128</v>
      </c>
      <c r="O91" s="21"/>
      <c r="P91" s="21">
        <v>-6.7654184942658194E-2</v>
      </c>
      <c r="Q91" s="21">
        <v>-6.7654184942658194E-2</v>
      </c>
      <c r="T91">
        <v>3</v>
      </c>
      <c r="U91">
        <v>16.13</v>
      </c>
    </row>
    <row r="92" spans="1:24" x14ac:dyDescent="0.25">
      <c r="A92" s="28">
        <v>42124</v>
      </c>
      <c r="B92" s="17">
        <v>8.5208197301247495E-3</v>
      </c>
      <c r="C92" t="str">
        <f t="shared" si="5"/>
        <v>Green</v>
      </c>
      <c r="D92">
        <f>VLOOKUP(A92,Recession!$A$1:$C$395,3,FALSE)</f>
        <v>14.55</v>
      </c>
      <c r="E92">
        <f t="shared" si="6"/>
        <v>2</v>
      </c>
      <c r="F92">
        <f t="shared" si="7"/>
        <v>1</v>
      </c>
      <c r="G92">
        <f t="shared" si="8"/>
        <v>4</v>
      </c>
      <c r="N92" s="32" t="s">
        <v>129</v>
      </c>
      <c r="O92" s="21"/>
      <c r="P92" s="21">
        <v>-2.10704563380282E-2</v>
      </c>
      <c r="Q92" s="21">
        <v>-2.10704563380282E-2</v>
      </c>
      <c r="T92">
        <v>4</v>
      </c>
      <c r="U92">
        <v>19.71</v>
      </c>
    </row>
    <row r="93" spans="1:24" x14ac:dyDescent="0.25">
      <c r="A93" s="28">
        <v>42094</v>
      </c>
      <c r="B93" s="17">
        <v>-1.7396106913756301E-2</v>
      </c>
      <c r="C93" t="str">
        <f t="shared" si="5"/>
        <v>Red</v>
      </c>
      <c r="D93">
        <f>VLOOKUP(A93,Recession!$A$1:$C$395,3,FALSE)</f>
        <v>15.29</v>
      </c>
      <c r="E93">
        <f t="shared" si="6"/>
        <v>2</v>
      </c>
      <c r="F93">
        <f t="shared" si="7"/>
        <v>0</v>
      </c>
      <c r="G93">
        <f t="shared" si="8"/>
        <v>3</v>
      </c>
      <c r="N93" s="32" t="s">
        <v>107</v>
      </c>
      <c r="O93" s="21"/>
      <c r="P93" s="21">
        <v>-3.4645420165012299E-2</v>
      </c>
      <c r="Q93" s="21">
        <v>-3.4645420165012299E-2</v>
      </c>
      <c r="T93">
        <v>5</v>
      </c>
      <c r="U93">
        <v>24.46</v>
      </c>
    </row>
    <row r="94" spans="1:24" x14ac:dyDescent="0.25">
      <c r="A94" s="28">
        <v>42062</v>
      </c>
      <c r="B94" s="17">
        <v>5.4892511014553898E-2</v>
      </c>
      <c r="C94" t="str">
        <f t="shared" si="5"/>
        <v>Green</v>
      </c>
      <c r="D94">
        <f>VLOOKUP(A94,Recession!$A$1:$C$395,3,FALSE)</f>
        <v>13.34</v>
      </c>
      <c r="E94">
        <f t="shared" si="6"/>
        <v>2</v>
      </c>
      <c r="F94">
        <f t="shared" si="7"/>
        <v>1</v>
      </c>
      <c r="G94">
        <f t="shared" si="8"/>
        <v>2</v>
      </c>
      <c r="N94" s="32" t="s">
        <v>130</v>
      </c>
      <c r="O94" s="21">
        <v>6.16429929065343E-2</v>
      </c>
      <c r="P94" s="21"/>
      <c r="Q94" s="21">
        <v>6.16429929065343E-2</v>
      </c>
    </row>
    <row r="95" spans="1:24" x14ac:dyDescent="0.25">
      <c r="A95" s="28">
        <v>42034</v>
      </c>
      <c r="B95" s="17">
        <v>-3.1040805790470201E-2</v>
      </c>
      <c r="C95" t="str">
        <f t="shared" si="5"/>
        <v>Red</v>
      </c>
      <c r="D95">
        <f>VLOOKUP(A95,Recession!$A$1:$C$395,3,FALSE)</f>
        <v>20.969999000000001</v>
      </c>
      <c r="E95">
        <f t="shared" si="6"/>
        <v>4</v>
      </c>
      <c r="F95">
        <f t="shared" si="7"/>
        <v>0</v>
      </c>
      <c r="G95">
        <f t="shared" si="8"/>
        <v>1</v>
      </c>
      <c r="N95" s="32" t="s">
        <v>131</v>
      </c>
      <c r="O95" s="21">
        <v>2.47079624358943E-2</v>
      </c>
      <c r="P95" s="21"/>
      <c r="Q95" s="21">
        <v>2.47079624358943E-2</v>
      </c>
      <c r="X95" t="s">
        <v>167</v>
      </c>
    </row>
    <row r="96" spans="1:24" x14ac:dyDescent="0.25">
      <c r="A96" s="28">
        <v>42004</v>
      </c>
      <c r="B96" s="17">
        <v>-4.1885878779204201E-3</v>
      </c>
      <c r="C96" t="str">
        <f t="shared" si="5"/>
        <v>Red</v>
      </c>
      <c r="D96">
        <f>VLOOKUP(A96,Recession!$A$1:$C$395,3,FALSE)</f>
        <v>19.200001</v>
      </c>
      <c r="E96">
        <f t="shared" si="6"/>
        <v>3</v>
      </c>
      <c r="F96">
        <f t="shared" si="7"/>
        <v>0</v>
      </c>
      <c r="G96">
        <f t="shared" si="8"/>
        <v>12</v>
      </c>
      <c r="N96" s="32" t="s">
        <v>93</v>
      </c>
      <c r="O96" s="21"/>
      <c r="P96" s="21">
        <v>-1.15080668896989E-2</v>
      </c>
      <c r="Q96" s="21">
        <v>-1.15080668896989E-2</v>
      </c>
      <c r="X96" s="14">
        <f>_xlfn.STDEV.S(T98:T109)</f>
        <v>2.7785739780712592E-2</v>
      </c>
    </row>
    <row r="97" spans="1:25" x14ac:dyDescent="0.25">
      <c r="A97" s="28">
        <v>41971</v>
      </c>
      <c r="B97" s="17">
        <v>2.4533588760364801E-2</v>
      </c>
      <c r="C97" t="str">
        <f t="shared" si="5"/>
        <v>Green</v>
      </c>
      <c r="D97">
        <f>VLOOKUP(A97,Recession!$A$1:$C$395,3,FALSE)</f>
        <v>13.33</v>
      </c>
      <c r="E97">
        <f t="shared" si="6"/>
        <v>2</v>
      </c>
      <c r="F97">
        <f t="shared" si="7"/>
        <v>1</v>
      </c>
      <c r="G97">
        <f t="shared" si="8"/>
        <v>11</v>
      </c>
      <c r="N97" s="30" t="s">
        <v>143</v>
      </c>
      <c r="O97" s="21">
        <v>0.26505973192677823</v>
      </c>
      <c r="P97" s="21">
        <v>-7.9950146512591386E-2</v>
      </c>
      <c r="Q97" s="21">
        <v>0.18510958541418684</v>
      </c>
      <c r="S97" s="29" t="s">
        <v>91</v>
      </c>
      <c r="T97" t="s">
        <v>165</v>
      </c>
      <c r="U97" t="s">
        <v>166</v>
      </c>
      <c r="V97" t="s">
        <v>169</v>
      </c>
      <c r="W97" t="s">
        <v>168</v>
      </c>
    </row>
    <row r="98" spans="1:25" x14ac:dyDescent="0.25">
      <c r="A98" s="28">
        <v>41943</v>
      </c>
      <c r="B98" s="17">
        <v>2.32014607867723E-2</v>
      </c>
      <c r="C98" t="str">
        <f t="shared" si="5"/>
        <v>Green</v>
      </c>
      <c r="D98">
        <f>VLOOKUP(A98,Recession!$A$1:$C$395,3,FALSE)</f>
        <v>14.03</v>
      </c>
      <c r="E98">
        <f t="shared" si="6"/>
        <v>2</v>
      </c>
      <c r="F98">
        <f t="shared" si="7"/>
        <v>1</v>
      </c>
      <c r="G98">
        <f t="shared" si="8"/>
        <v>10</v>
      </c>
      <c r="N98" s="32" t="s">
        <v>122</v>
      </c>
      <c r="O98" s="21">
        <v>0.118305785157871</v>
      </c>
      <c r="P98" s="21"/>
      <c r="Q98" s="21">
        <v>0.118305785157871</v>
      </c>
      <c r="S98" s="30">
        <v>1</v>
      </c>
      <c r="T98" s="23">
        <v>1.1167190157289114E-3</v>
      </c>
      <c r="U98" s="23">
        <v>4.2001385514881903E-2</v>
      </c>
      <c r="V98" s="35">
        <v>0.54545454545454541</v>
      </c>
      <c r="W98" s="38">
        <f>GETPIVOTDATA("Average of Returns",$S$97,"Month",1)/GETPIVOTDATA("StdDev of Returns",$S$97,"Month",1)</f>
        <v>2.6587670907504617E-2</v>
      </c>
      <c r="X98" s="13">
        <f>GETPIVOTDATA("Average of Returns",$S$97,"Month",1)/$X$96</f>
        <v>4.0190364717374895E-2</v>
      </c>
    </row>
    <row r="99" spans="1:25" x14ac:dyDescent="0.25">
      <c r="A99" s="28">
        <v>41912</v>
      </c>
      <c r="B99" s="17">
        <v>-1.5513837223063799E-2</v>
      </c>
      <c r="C99" t="str">
        <f t="shared" si="5"/>
        <v>Red</v>
      </c>
      <c r="D99">
        <f>VLOOKUP(A99,Recession!$A$1:$C$395,3,FALSE)</f>
        <v>16.309999000000001</v>
      </c>
      <c r="E99">
        <f t="shared" si="6"/>
        <v>3</v>
      </c>
      <c r="F99">
        <f t="shared" si="7"/>
        <v>0</v>
      </c>
      <c r="G99">
        <f t="shared" si="8"/>
        <v>9</v>
      </c>
      <c r="N99" s="32" t="s">
        <v>123</v>
      </c>
      <c r="O99" s="21"/>
      <c r="P99" s="21">
        <v>-1.14019630041448E-2</v>
      </c>
      <c r="Q99" s="21">
        <v>-1.14019630041448E-2</v>
      </c>
      <c r="S99" s="37">
        <v>1</v>
      </c>
      <c r="T99" s="23">
        <v>1.6070192222263146E-2</v>
      </c>
      <c r="U99" s="23">
        <v>1.8894096156033765E-2</v>
      </c>
      <c r="V99" s="35">
        <v>0.875</v>
      </c>
      <c r="W99" s="35">
        <f>GETPIVOTDATA("Average of Returns",$S$97,"VIX buckets",1,"Month",1)/GETPIVOTDATA("StdDev of Returns",$S$97,"VIX buckets",1,"Month",1)</f>
        <v>0.8505404063549864</v>
      </c>
      <c r="X99" s="13">
        <f>GETPIVOTDATA("Average of Returns",$S$97,"Month",2)/$X$96</f>
        <v>1.3534775962822935E-2</v>
      </c>
      <c r="Y99" s="16"/>
    </row>
    <row r="100" spans="1:25" x14ac:dyDescent="0.25">
      <c r="A100" s="28">
        <v>41880</v>
      </c>
      <c r="B100" s="17">
        <v>3.7655295489735098E-2</v>
      </c>
      <c r="C100" t="str">
        <f t="shared" si="5"/>
        <v>Green</v>
      </c>
      <c r="D100">
        <f>VLOOKUP(A100,Recession!$A$1:$C$395,3,FALSE)</f>
        <v>12.09</v>
      </c>
      <c r="E100">
        <f t="shared" si="6"/>
        <v>1</v>
      </c>
      <c r="F100">
        <f t="shared" si="7"/>
        <v>1</v>
      </c>
      <c r="G100">
        <f t="shared" si="8"/>
        <v>8</v>
      </c>
      <c r="N100" s="32" t="s">
        <v>124</v>
      </c>
      <c r="O100" s="21">
        <v>3.0688978344087799E-2</v>
      </c>
      <c r="P100" s="21"/>
      <c r="Q100" s="21">
        <v>3.0688978344087799E-2</v>
      </c>
      <c r="S100" s="37">
        <v>2</v>
      </c>
      <c r="T100" s="23">
        <v>5.3303400481855799E-2</v>
      </c>
      <c r="U100" s="23">
        <v>4.0662938593976706E-3</v>
      </c>
      <c r="V100" s="35">
        <v>1</v>
      </c>
      <c r="W100" s="35">
        <f>GETPIVOTDATA("Average of Returns",$S$97,"VIX buckets",2,"Month",1)/GETPIVOTDATA("StdDev of Returns",$S$97,"VIX buckets",2,"Month",1)</f>
        <v>13.108595277408577</v>
      </c>
      <c r="X100" s="13">
        <f>GETPIVOTDATA("Average of Returns",$S$97,"Month",3)/$X$96</f>
        <v>0.3772848541573306</v>
      </c>
    </row>
    <row r="101" spans="1:25" x14ac:dyDescent="0.25">
      <c r="A101" s="28">
        <v>41851</v>
      </c>
      <c r="B101" s="17">
        <v>-1.50798305819199E-2</v>
      </c>
      <c r="C101" t="str">
        <f t="shared" si="5"/>
        <v>Red</v>
      </c>
      <c r="D101">
        <f>VLOOKUP(A101,Recession!$A$1:$C$395,3,FALSE)</f>
        <v>16.950001</v>
      </c>
      <c r="E101">
        <f t="shared" si="6"/>
        <v>3</v>
      </c>
      <c r="F101">
        <f t="shared" si="7"/>
        <v>0</v>
      </c>
      <c r="G101">
        <f t="shared" si="8"/>
        <v>7</v>
      </c>
      <c r="N101" s="32" t="s">
        <v>125</v>
      </c>
      <c r="O101" s="21"/>
      <c r="P101" s="21">
        <v>-1.0995407540977199E-2</v>
      </c>
      <c r="Q101" s="21">
        <v>-1.0995407540977199E-2</v>
      </c>
      <c r="S101" s="37">
        <v>3</v>
      </c>
      <c r="T101" s="23">
        <v>2.0796464417047626E-2</v>
      </c>
      <c r="U101" s="23">
        <v>3.9401956943454275E-2</v>
      </c>
      <c r="V101" s="35">
        <v>0.625</v>
      </c>
      <c r="W101" s="35">
        <f>GETPIVOTDATA("Average of Returns",$S$97,"VIX buckets",3,"Month",1)/GETPIVOTDATA("StdDev of Returns",$S$97,"VIX buckets",3,"Month",1)</f>
        <v>0.52780283088204527</v>
      </c>
      <c r="X101" s="13">
        <f>GETPIVOTDATA("Average of Returns",$S$97,"Month",4)/$X$96</f>
        <v>0.6255890529196565</v>
      </c>
    </row>
    <row r="102" spans="1:25" x14ac:dyDescent="0.25">
      <c r="A102" s="28">
        <v>41820</v>
      </c>
      <c r="B102" s="17">
        <v>1.90583316589206E-2</v>
      </c>
      <c r="C102" t="str">
        <f t="shared" si="5"/>
        <v>Green</v>
      </c>
      <c r="D102">
        <f>VLOOKUP(A102,Recession!$A$1:$C$395,3,FALSE)</f>
        <v>11.57</v>
      </c>
      <c r="E102">
        <f t="shared" si="6"/>
        <v>1</v>
      </c>
      <c r="F102">
        <f t="shared" si="7"/>
        <v>1</v>
      </c>
      <c r="G102">
        <f t="shared" si="8"/>
        <v>6</v>
      </c>
      <c r="N102" s="32" t="s">
        <v>126</v>
      </c>
      <c r="O102" s="21"/>
      <c r="P102" s="21">
        <v>-1.4364413758012701E-2</v>
      </c>
      <c r="Q102" s="21">
        <v>-1.4364413758012701E-2</v>
      </c>
      <c r="S102" s="37">
        <v>4</v>
      </c>
      <c r="T102" s="23">
        <v>-1.8409091269637166E-3</v>
      </c>
      <c r="U102" s="23">
        <v>3.6840894037699176E-2</v>
      </c>
      <c r="V102" s="35">
        <v>0.5</v>
      </c>
      <c r="W102" s="35">
        <f>GETPIVOTDATA("Average of Returns",$S$97,"VIX buckets",4,"Month",1)/GETPIVOTDATA("StdDev of Returns",$S$97,"VIX buckets",4,"Month",1)</f>
        <v>-4.9969176238772055E-2</v>
      </c>
      <c r="X102" s="13">
        <f>GETPIVOTDATA("Average of Returns",$S$97,"Month",5)/$X$96</f>
        <v>0.32799005848068669</v>
      </c>
    </row>
    <row r="103" spans="1:25" x14ac:dyDescent="0.25">
      <c r="A103" s="28">
        <v>41789</v>
      </c>
      <c r="B103" s="17">
        <v>2.1030280012995999E-2</v>
      </c>
      <c r="C103" t="str">
        <f t="shared" si="5"/>
        <v>Green</v>
      </c>
      <c r="D103">
        <f>VLOOKUP(A103,Recession!$A$1:$C$395,3,FALSE)</f>
        <v>11.4</v>
      </c>
      <c r="E103">
        <f t="shared" si="6"/>
        <v>1</v>
      </c>
      <c r="F103">
        <f t="shared" si="7"/>
        <v>1</v>
      </c>
      <c r="G103">
        <f t="shared" si="8"/>
        <v>5</v>
      </c>
      <c r="N103" s="32" t="s">
        <v>127</v>
      </c>
      <c r="O103" s="21">
        <v>4.0926322619285298E-2</v>
      </c>
      <c r="P103" s="21"/>
      <c r="Q103" s="21">
        <v>4.0926322619285298E-2</v>
      </c>
      <c r="S103" s="37">
        <v>5</v>
      </c>
      <c r="T103" s="23">
        <v>-3.9293652421929039E-2</v>
      </c>
      <c r="U103" s="23">
        <v>3.7414680976637534E-2</v>
      </c>
      <c r="V103" s="35">
        <v>0.1111111111111111</v>
      </c>
      <c r="W103" s="35">
        <f>GETPIVOTDATA("Average of Returns",$S$97,"VIX buckets",5,"Month",1)/GETPIVOTDATA("StdDev of Returns",$S$97,"VIX buckets",5,"Month",1)</f>
        <v>-1.0502201648188521</v>
      </c>
      <c r="X103" s="13">
        <f>GETPIVOTDATA("Average of Returns",$S$97,"Month",6)/$X$96</f>
        <v>-0.10966146081539634</v>
      </c>
    </row>
    <row r="104" spans="1:25" x14ac:dyDescent="0.25">
      <c r="A104" s="28">
        <v>41759</v>
      </c>
      <c r="B104" s="17">
        <v>6.2007889650528298E-3</v>
      </c>
      <c r="C104" t="str">
        <f t="shared" si="5"/>
        <v>Green</v>
      </c>
      <c r="D104">
        <f>VLOOKUP(A104,Recession!$A$1:$C$395,3,FALSE)</f>
        <v>13.41</v>
      </c>
      <c r="E104">
        <f t="shared" si="6"/>
        <v>2</v>
      </c>
      <c r="F104">
        <f t="shared" si="7"/>
        <v>1</v>
      </c>
      <c r="G104">
        <f t="shared" si="8"/>
        <v>4</v>
      </c>
      <c r="N104" s="32" t="s">
        <v>128</v>
      </c>
      <c r="O104" s="21"/>
      <c r="P104" s="21">
        <v>-8.0552072118834604E-3</v>
      </c>
      <c r="Q104" s="21">
        <v>-8.0552072118834604E-3</v>
      </c>
      <c r="S104" s="30">
        <v>2</v>
      </c>
      <c r="T104" s="23">
        <v>3.7607376289324179E-4</v>
      </c>
      <c r="U104" s="23">
        <v>4.2582768529308854E-2</v>
      </c>
      <c r="V104" s="35">
        <v>0.60606060606060608</v>
      </c>
      <c r="W104" s="38">
        <f>GETPIVOTDATA("Average of Returns",$S$97,"Month",2)/GETPIVOTDATA("StdDev of Returns",$S$97,"Month",2)</f>
        <v>8.8315949357402126E-3</v>
      </c>
      <c r="X104" s="13">
        <f>GETPIVOTDATA("Average of Returns",$S$97,"Month",7)/$X$96</f>
        <v>0.50384102005434872</v>
      </c>
    </row>
    <row r="105" spans="1:25" x14ac:dyDescent="0.25">
      <c r="A105" s="28">
        <v>41729</v>
      </c>
      <c r="B105" s="17">
        <v>6.93216560793575E-3</v>
      </c>
      <c r="C105" t="str">
        <f t="shared" si="5"/>
        <v>Green</v>
      </c>
      <c r="D105">
        <f>VLOOKUP(A105,Recession!$A$1:$C$395,3,FALSE)</f>
        <v>13.88</v>
      </c>
      <c r="E105">
        <f t="shared" si="6"/>
        <v>2</v>
      </c>
      <c r="F105">
        <f t="shared" si="7"/>
        <v>1</v>
      </c>
      <c r="G105">
        <f t="shared" si="8"/>
        <v>3</v>
      </c>
      <c r="N105" s="32" t="s">
        <v>129</v>
      </c>
      <c r="O105" s="21"/>
      <c r="P105" s="21">
        <v>-5.1237237988452904E-3</v>
      </c>
      <c r="Q105" s="21">
        <v>-5.1237237988452904E-3</v>
      </c>
      <c r="S105" s="37">
        <v>1</v>
      </c>
      <c r="T105" s="23">
        <v>2.0622488232506082E-2</v>
      </c>
      <c r="U105" s="23">
        <v>1.6016090318225745E-2</v>
      </c>
      <c r="V105" s="35">
        <v>1</v>
      </c>
      <c r="W105" s="35">
        <f>GETPIVOTDATA("Average of Returns",$S$97,"VIX buckets",1,"Month",2)/GETPIVOTDATA("StdDev of Returns",$S$97,"VIX buckets",1,"Month",2)</f>
        <v>1.2876106354769004</v>
      </c>
      <c r="X105" s="13">
        <f>GETPIVOTDATA("Average of Returns",$S$97,"Month",8)/$X$96</f>
        <v>-0.21805686776535704</v>
      </c>
    </row>
    <row r="106" spans="1:25" x14ac:dyDescent="0.25">
      <c r="A106" s="28">
        <v>41698</v>
      </c>
      <c r="B106" s="17">
        <v>4.3117029976595299E-2</v>
      </c>
      <c r="C106" t="str">
        <f t="shared" si="5"/>
        <v>Green</v>
      </c>
      <c r="D106">
        <f>VLOOKUP(A106,Recession!$A$1:$C$395,3,FALSE)</f>
        <v>14</v>
      </c>
      <c r="E106">
        <f t="shared" si="6"/>
        <v>2</v>
      </c>
      <c r="F106">
        <f t="shared" si="7"/>
        <v>1</v>
      </c>
      <c r="G106">
        <f t="shared" si="8"/>
        <v>2</v>
      </c>
      <c r="N106" s="32" t="s">
        <v>107</v>
      </c>
      <c r="O106" s="21">
        <v>2.2641083562682698E-2</v>
      </c>
      <c r="P106" s="21"/>
      <c r="Q106" s="21">
        <v>2.2641083562682698E-2</v>
      </c>
      <c r="S106" s="37">
        <v>2</v>
      </c>
      <c r="T106" s="23">
        <v>1.4159554386308327E-2</v>
      </c>
      <c r="U106" s="23">
        <v>3.1633253065644532E-2</v>
      </c>
      <c r="V106" s="35">
        <v>0.7142857142857143</v>
      </c>
      <c r="W106" s="35">
        <f>GETPIVOTDATA("Average of Returns",$S$97,"VIX buckets",2,"Month",2)/GETPIVOTDATA("StdDev of Returns",$S$97,"VIX buckets",2,"Month",2)</f>
        <v>0.44761613220508101</v>
      </c>
      <c r="X106" s="13">
        <f>GETPIVOTDATA("Average of Returns",$S$97,"Month",9)/$X$96</f>
        <v>-0.28921576481780048</v>
      </c>
    </row>
    <row r="107" spans="1:25" x14ac:dyDescent="0.25">
      <c r="A107" s="28">
        <v>41670</v>
      </c>
      <c r="B107" s="17">
        <v>-3.5582905675162597E-2</v>
      </c>
      <c r="C107" t="str">
        <f t="shared" si="5"/>
        <v>Red</v>
      </c>
      <c r="D107">
        <f>VLOOKUP(A107,Recession!$A$1:$C$395,3,FALSE)</f>
        <v>18.41</v>
      </c>
      <c r="E107">
        <f t="shared" si="6"/>
        <v>3</v>
      </c>
      <c r="F107">
        <f t="shared" si="7"/>
        <v>0</v>
      </c>
      <c r="G107">
        <f t="shared" si="8"/>
        <v>1</v>
      </c>
      <c r="N107" s="32" t="s">
        <v>130</v>
      </c>
      <c r="O107" s="21"/>
      <c r="P107" s="21">
        <v>-2.2234854090362102E-2</v>
      </c>
      <c r="Q107" s="21">
        <v>-2.2234854090362102E-2</v>
      </c>
      <c r="S107" s="37">
        <v>3</v>
      </c>
      <c r="T107" s="23">
        <v>3.133869229931522E-2</v>
      </c>
      <c r="U107" s="23">
        <v>2.32043080752917E-2</v>
      </c>
      <c r="V107" s="35">
        <v>1</v>
      </c>
      <c r="W107" s="35">
        <f>GETPIVOTDATA("Average of Returns",$S$97,"VIX buckets",3,"Month",2)/GETPIVOTDATA("StdDev of Returns",$S$97,"VIX buckets",3,"Month",2)</f>
        <v>1.3505549140974014</v>
      </c>
      <c r="X107" s="13">
        <f>GETPIVOTDATA("Average of Returns",$S$97,"Month",10)/$X$96</f>
        <v>0.49627775249279926</v>
      </c>
    </row>
    <row r="108" spans="1:25" x14ac:dyDescent="0.25">
      <c r="A108" s="28">
        <v>41639</v>
      </c>
      <c r="B108" s="17">
        <v>2.35627915504928E-2</v>
      </c>
      <c r="C108" t="str">
        <f t="shared" si="5"/>
        <v>Green</v>
      </c>
      <c r="D108">
        <f>VLOOKUP(A108,Recession!$A$1:$C$395,3,FALSE)</f>
        <v>13.72</v>
      </c>
      <c r="E108">
        <f t="shared" si="6"/>
        <v>2</v>
      </c>
      <c r="F108">
        <f t="shared" si="7"/>
        <v>1</v>
      </c>
      <c r="G108">
        <f t="shared" si="8"/>
        <v>12</v>
      </c>
      <c r="N108" s="32" t="s">
        <v>131</v>
      </c>
      <c r="O108" s="21"/>
      <c r="P108" s="21">
        <v>-7.7745771083658202E-3</v>
      </c>
      <c r="Q108" s="21">
        <v>-7.7745771083658202E-3</v>
      </c>
      <c r="S108" s="37">
        <v>4</v>
      </c>
      <c r="T108" s="23">
        <v>-3.1460281030496758E-4</v>
      </c>
      <c r="U108" s="23">
        <v>3.4165350214668565E-2</v>
      </c>
      <c r="V108" s="35">
        <v>0.42857142857142855</v>
      </c>
      <c r="W108" s="35">
        <f>GETPIVOTDATA("Average of Returns",$S$97,"VIX buckets",4,"Month",2)/GETPIVOTDATA("StdDev of Returns",$S$97,"VIX buckets",4,"Month",2)</f>
        <v>-9.2082419272229762E-3</v>
      </c>
      <c r="X108" s="13">
        <f>GETPIVOTDATA("Average of Returns",$S$97,"Month",11)/$X$96</f>
        <v>0.65350833627959659</v>
      </c>
    </row>
    <row r="109" spans="1:25" x14ac:dyDescent="0.25">
      <c r="A109" s="28">
        <v>41607</v>
      </c>
      <c r="B109" s="17">
        <v>2.80494716351865E-2</v>
      </c>
      <c r="C109" t="str">
        <f t="shared" si="5"/>
        <v>Green</v>
      </c>
      <c r="D109">
        <f>VLOOKUP(A109,Recession!$A$1:$C$395,3,FALSE)</f>
        <v>13.7</v>
      </c>
      <c r="E109">
        <f t="shared" si="6"/>
        <v>2</v>
      </c>
      <c r="F109">
        <f t="shared" si="7"/>
        <v>1</v>
      </c>
      <c r="G109">
        <f t="shared" si="8"/>
        <v>11</v>
      </c>
      <c r="N109" s="32" t="s">
        <v>93</v>
      </c>
      <c r="O109" s="21">
        <v>5.2497562242851403E-2</v>
      </c>
      <c r="P109" s="21"/>
      <c r="Q109" s="21">
        <v>5.2497562242851403E-2</v>
      </c>
      <c r="S109" s="37">
        <v>5</v>
      </c>
      <c r="T109" s="23">
        <v>-4.6956102726871042E-2</v>
      </c>
      <c r="U109" s="23">
        <v>4.5106046947525229E-2</v>
      </c>
      <c r="V109" s="35">
        <v>0.125</v>
      </c>
      <c r="W109" s="35">
        <f>GETPIVOTDATA("Average of Returns",$S$97,"VIX buckets",5,"Month",2)/GETPIVOTDATA("StdDev of Returns",$S$97,"VIX buckets",5,"Month",2)</f>
        <v>-1.0410156931175569</v>
      </c>
      <c r="X109" s="13">
        <f>GETPIVOTDATA("Average of Returns",$S$97,"Month",12)/$X$96</f>
        <v>0.54690057386221491</v>
      </c>
    </row>
    <row r="110" spans="1:25" x14ac:dyDescent="0.25">
      <c r="A110" s="28">
        <v>41578</v>
      </c>
      <c r="B110" s="17">
        <v>4.45957526180061E-2</v>
      </c>
      <c r="C110" t="str">
        <f t="shared" si="5"/>
        <v>Green</v>
      </c>
      <c r="D110">
        <f>VLOOKUP(A110,Recession!$A$1:$C$395,3,FALSE)</f>
        <v>13.75</v>
      </c>
      <c r="E110">
        <f t="shared" si="6"/>
        <v>2</v>
      </c>
      <c r="F110">
        <f t="shared" si="7"/>
        <v>1</v>
      </c>
      <c r="G110">
        <f t="shared" si="8"/>
        <v>10</v>
      </c>
      <c r="N110" s="30" t="s">
        <v>144</v>
      </c>
      <c r="O110" s="21">
        <v>7.5376002879288195E-2</v>
      </c>
      <c r="P110" s="21">
        <v>-0.19293411681855638</v>
      </c>
      <c r="Q110" s="21">
        <v>-0.11755811393926817</v>
      </c>
      <c r="S110" s="30">
        <v>3</v>
      </c>
      <c r="T110" s="23">
        <v>1.048313878081969E-2</v>
      </c>
      <c r="U110" s="23">
        <v>4.3409681884999989E-2</v>
      </c>
      <c r="V110" s="35">
        <v>0.63636363636363635</v>
      </c>
      <c r="W110" s="38">
        <f>GETPIVOTDATA("Average of Returns",$S$97,"Month",3)/GETPIVOTDATA("StdDev of Returns",$S$97,"Month",3)</f>
        <v>0.24149310304994631</v>
      </c>
    </row>
    <row r="111" spans="1:25" x14ac:dyDescent="0.25">
      <c r="A111" s="28">
        <v>41547</v>
      </c>
      <c r="B111" s="17">
        <v>2.9749523177239098E-2</v>
      </c>
      <c r="C111" t="str">
        <f t="shared" si="5"/>
        <v>Green</v>
      </c>
      <c r="D111">
        <f>VLOOKUP(A111,Recession!$A$1:$C$395,3,FALSE)</f>
        <v>16.600000000000001</v>
      </c>
      <c r="E111">
        <f t="shared" si="6"/>
        <v>3</v>
      </c>
      <c r="F111">
        <f t="shared" si="7"/>
        <v>1</v>
      </c>
      <c r="G111">
        <f t="shared" si="8"/>
        <v>9</v>
      </c>
      <c r="N111" s="32" t="s">
        <v>122</v>
      </c>
      <c r="O111" s="21"/>
      <c r="P111" s="21">
        <v>-5.0530430397640297E-2</v>
      </c>
      <c r="Q111" s="21">
        <v>-5.0530430397640297E-2</v>
      </c>
      <c r="S111" s="37">
        <v>1</v>
      </c>
      <c r="T111" s="23">
        <v>1.6347908651512651E-2</v>
      </c>
      <c r="U111" s="23">
        <v>1.5263870246557386E-2</v>
      </c>
      <c r="V111" s="35">
        <v>0.75</v>
      </c>
      <c r="W111" s="35">
        <f>GETPIVOTDATA("Average of Returns",$S$97,"VIX buckets",S111,"Month",3)/GETPIVOTDATA("StdDev of Returns",$S$97,"VIX buckets",S111,"Month",3)</f>
        <v>1.0710198912493873</v>
      </c>
    </row>
    <row r="112" spans="1:25" x14ac:dyDescent="0.25">
      <c r="A112" s="28">
        <v>41516</v>
      </c>
      <c r="B112" s="17">
        <v>-3.1298019033866899E-2</v>
      </c>
      <c r="C112" t="str">
        <f t="shared" si="5"/>
        <v>Red</v>
      </c>
      <c r="D112">
        <f>VLOOKUP(A112,Recession!$A$1:$C$395,3,FALSE)</f>
        <v>17.010000000000002</v>
      </c>
      <c r="E112">
        <f t="shared" si="6"/>
        <v>3</v>
      </c>
      <c r="F112">
        <f t="shared" si="7"/>
        <v>0</v>
      </c>
      <c r="G112">
        <f t="shared" si="8"/>
        <v>8</v>
      </c>
      <c r="N112" s="32" t="s">
        <v>123</v>
      </c>
      <c r="O112" s="21"/>
      <c r="P112" s="21">
        <v>-2.1660286402629601E-2</v>
      </c>
      <c r="Q112" s="21">
        <v>-2.1660286402629601E-2</v>
      </c>
      <c r="S112" s="37">
        <v>2</v>
      </c>
      <c r="T112" s="23">
        <v>1.5371908075116077E-2</v>
      </c>
      <c r="U112" s="23">
        <v>2.759426628979789E-2</v>
      </c>
      <c r="V112" s="35">
        <v>0.75</v>
      </c>
      <c r="W112" s="35">
        <f>GETPIVOTDATA("Average of Returns",$S$97,"VIX buckets",S112,"Month",3)/GETPIVOTDATA("StdDev of Returns",$S$97,"VIX buckets",S112,"Month",3)</f>
        <v>0.55706891836436889</v>
      </c>
    </row>
    <row r="113" spans="1:23" x14ac:dyDescent="0.25">
      <c r="A113" s="28">
        <v>41486</v>
      </c>
      <c r="B113" s="17">
        <v>4.9462079815224998E-2</v>
      </c>
      <c r="C113" t="str">
        <f t="shared" si="5"/>
        <v>Green</v>
      </c>
      <c r="D113">
        <f>VLOOKUP(A113,Recession!$A$1:$C$395,3,FALSE)</f>
        <v>13.45</v>
      </c>
      <c r="E113">
        <f t="shared" si="6"/>
        <v>2</v>
      </c>
      <c r="F113">
        <f t="shared" si="7"/>
        <v>1</v>
      </c>
      <c r="G113">
        <f t="shared" si="8"/>
        <v>7</v>
      </c>
      <c r="N113" s="32" t="s">
        <v>124</v>
      </c>
      <c r="O113" s="21"/>
      <c r="P113" s="21">
        <v>-1.402526547786E-2</v>
      </c>
      <c r="Q113" s="21">
        <v>-1.402526547786E-2</v>
      </c>
      <c r="S113" s="37">
        <v>3</v>
      </c>
      <c r="T113" s="23">
        <v>1.6106907146323419E-2</v>
      </c>
      <c r="U113" s="23">
        <v>2.8867488030247818E-2</v>
      </c>
      <c r="V113" s="35">
        <v>0.625</v>
      </c>
      <c r="W113" s="35">
        <f>GETPIVOTDATA("Average of Returns",$S$97,"VIX buckets",S113,"Month",3)/GETPIVOTDATA("StdDev of Returns",$S$97,"VIX buckets",S113,"Month",3)</f>
        <v>0.55796012210852375</v>
      </c>
    </row>
    <row r="114" spans="1:23" x14ac:dyDescent="0.25">
      <c r="A114" s="28">
        <v>41453</v>
      </c>
      <c r="B114" s="17">
        <v>-1.4999301636062799E-2</v>
      </c>
      <c r="C114" t="str">
        <f t="shared" si="5"/>
        <v>Red</v>
      </c>
      <c r="D114">
        <f>VLOOKUP(A114,Recession!$A$1:$C$395,3,FALSE)</f>
        <v>16.860001</v>
      </c>
      <c r="E114">
        <f t="shared" si="6"/>
        <v>3</v>
      </c>
      <c r="F114">
        <f t="shared" si="7"/>
        <v>0</v>
      </c>
      <c r="G114">
        <f t="shared" si="8"/>
        <v>6</v>
      </c>
      <c r="N114" s="32" t="s">
        <v>125</v>
      </c>
      <c r="O114" s="21">
        <v>2.0325137580279299E-4</v>
      </c>
      <c r="P114" s="21"/>
      <c r="Q114" s="21">
        <v>2.0325137580279299E-4</v>
      </c>
      <c r="S114" s="37">
        <v>4</v>
      </c>
      <c r="T114" s="23">
        <v>1.628037622701068E-2</v>
      </c>
      <c r="U114" s="23">
        <v>5.0332311901895292E-2</v>
      </c>
      <c r="V114" s="35">
        <v>0.625</v>
      </c>
      <c r="W114" s="35">
        <f>GETPIVOTDATA("Average of Returns",$S$97,"VIX buckets",S114,"Month",3)/GETPIVOTDATA("StdDev of Returns",$S$97,"VIX buckets",S114,"Month",3)</f>
        <v>0.32345774735608029</v>
      </c>
    </row>
    <row r="115" spans="1:23" x14ac:dyDescent="0.25">
      <c r="A115" s="28">
        <v>41425</v>
      </c>
      <c r="B115" s="17">
        <v>2.07628117210461E-2</v>
      </c>
      <c r="C115" t="str">
        <f t="shared" si="5"/>
        <v>Green</v>
      </c>
      <c r="D115">
        <f>VLOOKUP(A115,Recession!$A$1:$C$395,3,FALSE)</f>
        <v>16.299999</v>
      </c>
      <c r="E115">
        <f t="shared" si="6"/>
        <v>3</v>
      </c>
      <c r="F115">
        <f t="shared" si="7"/>
        <v>1</v>
      </c>
      <c r="G115">
        <f t="shared" si="8"/>
        <v>5</v>
      </c>
      <c r="N115" s="32" t="s">
        <v>126</v>
      </c>
      <c r="O115" s="21"/>
      <c r="P115" s="21">
        <v>-2.3567644787329499E-2</v>
      </c>
      <c r="Q115" s="21">
        <v>-2.3567644787329499E-2</v>
      </c>
      <c r="S115" s="37">
        <v>5</v>
      </c>
      <c r="T115" s="23">
        <v>-2.0304317285320443E-2</v>
      </c>
      <c r="U115" s="23">
        <v>7.9238629038776418E-2</v>
      </c>
      <c r="V115" s="35">
        <v>0.4</v>
      </c>
      <c r="W115" s="35">
        <f>GETPIVOTDATA("Average of Returns",$S$97,"VIX buckets",S115,"Month",3)/GETPIVOTDATA("StdDev of Returns",$S$97,"VIX buckets",S115,"Month",3)</f>
        <v>-0.25624266259559175</v>
      </c>
    </row>
    <row r="116" spans="1:23" x14ac:dyDescent="0.25">
      <c r="A116" s="28">
        <v>41394</v>
      </c>
      <c r="B116" s="17">
        <v>1.80857678592523E-2</v>
      </c>
      <c r="C116" t="str">
        <f t="shared" si="5"/>
        <v>Green</v>
      </c>
      <c r="D116">
        <f>VLOOKUP(A116,Recession!$A$1:$C$395,3,FALSE)</f>
        <v>13.52</v>
      </c>
      <c r="E116">
        <f t="shared" si="6"/>
        <v>2</v>
      </c>
      <c r="F116">
        <f t="shared" si="7"/>
        <v>1</v>
      </c>
      <c r="G116">
        <f t="shared" si="8"/>
        <v>4</v>
      </c>
      <c r="N116" s="32" t="s">
        <v>127</v>
      </c>
      <c r="O116" s="21">
        <v>4.5359965292551999E-2</v>
      </c>
      <c r="P116" s="21"/>
      <c r="Q116" s="21">
        <v>4.5359965292551999E-2</v>
      </c>
      <c r="S116" s="30">
        <v>4</v>
      </c>
      <c r="T116" s="23">
        <v>1.7382454634088013E-2</v>
      </c>
      <c r="U116" s="23">
        <v>4.2911859086622151E-2</v>
      </c>
      <c r="V116" s="35">
        <v>0.75757575757575757</v>
      </c>
      <c r="W116" s="38">
        <f>GETPIVOTDATA("Average of Returns",$S$97,"Month",4)/GETPIVOTDATA("StdDev of Returns",$S$97,"Month",4)</f>
        <v>0.40507344599076167</v>
      </c>
    </row>
    <row r="117" spans="1:23" x14ac:dyDescent="0.25">
      <c r="A117" s="28">
        <v>41361</v>
      </c>
      <c r="B117" s="17">
        <v>3.5987723516956102E-2</v>
      </c>
      <c r="C117" t="str">
        <f t="shared" si="5"/>
        <v>Green</v>
      </c>
      <c r="D117">
        <f>VLOOKUP(A117,Recession!$A$1:$C$395,3,FALSE)</f>
        <v>12.7</v>
      </c>
      <c r="E117">
        <f t="shared" si="6"/>
        <v>1</v>
      </c>
      <c r="F117">
        <f t="shared" si="7"/>
        <v>1</v>
      </c>
      <c r="G117">
        <f t="shared" si="8"/>
        <v>3</v>
      </c>
      <c r="N117" s="32" t="s">
        <v>128</v>
      </c>
      <c r="O117" s="21"/>
      <c r="P117" s="21">
        <v>-1.62221830347676E-2</v>
      </c>
      <c r="Q117" s="21">
        <v>-1.62221830347676E-2</v>
      </c>
      <c r="S117" s="37">
        <v>1</v>
      </c>
      <c r="T117" s="23">
        <v>1.2620781652449084E-2</v>
      </c>
      <c r="U117" s="23">
        <v>2.4532307169545308E-2</v>
      </c>
      <c r="V117" s="35">
        <v>0.8</v>
      </c>
      <c r="W117" s="35">
        <f>GETPIVOTDATA("Average of Returns",$S$97,"VIX buckets",S117,"Month",4)/GETPIVOTDATA("StdDev of Returns",$S$97,"VIX buckets",S117,"Month",4)</f>
        <v>0.51445555304788737</v>
      </c>
    </row>
    <row r="118" spans="1:23" x14ac:dyDescent="0.25">
      <c r="A118" s="28">
        <v>41333</v>
      </c>
      <c r="B118" s="17">
        <v>1.10606491952592E-2</v>
      </c>
      <c r="C118" t="str">
        <f t="shared" si="5"/>
        <v>Green</v>
      </c>
      <c r="D118">
        <f>VLOOKUP(A118,Recession!$A$1:$C$395,3,FALSE)</f>
        <v>15.51</v>
      </c>
      <c r="E118">
        <f t="shared" si="6"/>
        <v>2</v>
      </c>
      <c r="F118">
        <f t="shared" si="7"/>
        <v>1</v>
      </c>
      <c r="G118">
        <f t="shared" si="8"/>
        <v>2</v>
      </c>
      <c r="N118" s="32" t="s">
        <v>129</v>
      </c>
      <c r="O118" s="21"/>
      <c r="P118" s="21">
        <v>-2.1041993344299199E-2</v>
      </c>
      <c r="Q118" s="21">
        <v>-2.1041993344299199E-2</v>
      </c>
      <c r="S118" s="37">
        <v>2</v>
      </c>
      <c r="T118" s="23">
        <v>1.2977983631225319E-2</v>
      </c>
      <c r="U118" s="23">
        <v>1.6679049829025558E-2</v>
      </c>
      <c r="V118" s="35">
        <v>0.90909090909090906</v>
      </c>
      <c r="W118" s="35">
        <f t="shared" ref="W118:W120" si="9">GETPIVOTDATA("Average of Returns",$S$97,"VIX buckets",S118,"Month",4)/GETPIVOTDATA("StdDev of Returns",$S$97,"VIX buckets",S118,"Month",4)</f>
        <v>0.77810089688925244</v>
      </c>
    </row>
    <row r="119" spans="1:23" x14ac:dyDescent="0.25">
      <c r="A119" s="28">
        <v>41305</v>
      </c>
      <c r="B119" s="17">
        <v>5.0428096519578497E-2</v>
      </c>
      <c r="C119" t="str">
        <f t="shared" si="5"/>
        <v>Green</v>
      </c>
      <c r="D119">
        <f>VLOOKUP(A119,Recession!$A$1:$C$395,3,FALSE)</f>
        <v>14.28</v>
      </c>
      <c r="E119">
        <f t="shared" si="6"/>
        <v>2</v>
      </c>
      <c r="F119">
        <f t="shared" si="7"/>
        <v>1</v>
      </c>
      <c r="G119">
        <f t="shared" si="8"/>
        <v>1</v>
      </c>
      <c r="N119" s="32" t="s">
        <v>107</v>
      </c>
      <c r="O119" s="21"/>
      <c r="P119" s="21">
        <v>-2.4800868806474901E-3</v>
      </c>
      <c r="Q119" s="21">
        <v>-2.4800868806474901E-3</v>
      </c>
      <c r="S119" s="37">
        <v>3</v>
      </c>
      <c r="T119" s="23">
        <v>3.139553994779526E-4</v>
      </c>
      <c r="U119" s="23">
        <v>3.0858884931102549E-2</v>
      </c>
      <c r="V119" s="35">
        <v>0.4</v>
      </c>
      <c r="W119" s="35">
        <f t="shared" si="9"/>
        <v>1.0173906159568267E-2</v>
      </c>
    </row>
    <row r="120" spans="1:23" x14ac:dyDescent="0.25">
      <c r="A120" s="28">
        <v>41274</v>
      </c>
      <c r="B120" s="17">
        <v>7.0682304638645102E-3</v>
      </c>
      <c r="C120" t="str">
        <f t="shared" si="5"/>
        <v>Green</v>
      </c>
      <c r="D120">
        <f>VLOOKUP(A120,Recession!$A$1:$C$395,3,FALSE)</f>
        <v>18.02</v>
      </c>
      <c r="E120">
        <f t="shared" si="6"/>
        <v>3</v>
      </c>
      <c r="F120">
        <f t="shared" si="7"/>
        <v>1</v>
      </c>
      <c r="G120">
        <f t="shared" si="8"/>
        <v>12</v>
      </c>
      <c r="N120" s="32" t="s">
        <v>130</v>
      </c>
      <c r="O120" s="21"/>
      <c r="P120" s="21">
        <v>-4.3406226493382702E-2</v>
      </c>
      <c r="Q120" s="21">
        <v>-4.3406226493382702E-2</v>
      </c>
      <c r="S120" s="37">
        <v>4</v>
      </c>
      <c r="T120" s="23">
        <v>2.4902409531015596E-2</v>
      </c>
      <c r="U120" s="23">
        <v>5.0182884353265352E-2</v>
      </c>
      <c r="V120" s="35">
        <v>0.83333333333333337</v>
      </c>
      <c r="W120" s="35">
        <f t="shared" si="9"/>
        <v>0.49623312513712098</v>
      </c>
    </row>
    <row r="121" spans="1:23" x14ac:dyDescent="0.25">
      <c r="A121" s="28">
        <v>41243</v>
      </c>
      <c r="B121" s="17">
        <v>2.8467170173434001E-3</v>
      </c>
      <c r="C121" t="str">
        <f t="shared" si="5"/>
        <v>Green</v>
      </c>
      <c r="D121">
        <f>VLOOKUP(A121,Recession!$A$1:$C$395,3,FALSE)</f>
        <v>15.87</v>
      </c>
      <c r="E121">
        <f t="shared" si="6"/>
        <v>2</v>
      </c>
      <c r="F121">
        <f t="shared" si="7"/>
        <v>1</v>
      </c>
      <c r="G121">
        <f t="shared" si="8"/>
        <v>11</v>
      </c>
      <c r="N121" s="32" t="s">
        <v>131</v>
      </c>
      <c r="O121" s="21">
        <v>2.6965628198641001E-2</v>
      </c>
      <c r="P121" s="21"/>
      <c r="Q121" s="21">
        <v>2.6965628198641001E-2</v>
      </c>
      <c r="S121" s="37">
        <v>5</v>
      </c>
      <c r="T121" s="23">
        <v>3.61291734226162E-2</v>
      </c>
      <c r="U121" s="23">
        <v>8.1368771351367233E-2</v>
      </c>
      <c r="V121" s="35">
        <v>0.66666666666666663</v>
      </c>
      <c r="W121" s="35">
        <f t="shared" ref="W121" si="10">GETPIVOTDATA("Average of Returns",$S$97,"VIX buckets",S121,"Month",3)/GETPIVOTDATA("StdDev of Returns",$S$97,"VIX buckets",S121,"Month",3)</f>
        <v>-0.25624266259559175</v>
      </c>
    </row>
    <row r="122" spans="1:23" x14ac:dyDescent="0.25">
      <c r="A122" s="28">
        <v>41213</v>
      </c>
      <c r="B122" s="17">
        <v>-1.9789409878227401E-2</v>
      </c>
      <c r="C122" t="str">
        <f t="shared" si="5"/>
        <v>Red</v>
      </c>
      <c r="D122">
        <f>VLOOKUP(A122,Recession!$A$1:$C$395,3,FALSE)</f>
        <v>18.600000000000001</v>
      </c>
      <c r="E122">
        <f t="shared" si="6"/>
        <v>3</v>
      </c>
      <c r="F122">
        <f t="shared" si="7"/>
        <v>0</v>
      </c>
      <c r="G122">
        <f t="shared" si="8"/>
        <v>10</v>
      </c>
      <c r="N122" s="32" t="s">
        <v>93</v>
      </c>
      <c r="O122" s="21">
        <v>2.84715801229241E-3</v>
      </c>
      <c r="P122" s="21"/>
      <c r="Q122" s="21">
        <v>2.84715801229241E-3</v>
      </c>
      <c r="S122" s="30">
        <v>5</v>
      </c>
      <c r="T122" s="23">
        <v>9.113446415605065E-3</v>
      </c>
      <c r="U122" s="23">
        <v>3.6381448547219003E-2</v>
      </c>
      <c r="V122" s="35">
        <v>0.72727272727272729</v>
      </c>
      <c r="W122" s="38">
        <f>GETPIVOTDATA("Average of Returns",$S$97,"Month",5)/GETPIVOTDATA("StdDev of Returns",$S$97,"Month",5)</f>
        <v>0.25049707418265227</v>
      </c>
    </row>
    <row r="123" spans="1:23" x14ac:dyDescent="0.25">
      <c r="A123" s="28">
        <v>41180</v>
      </c>
      <c r="B123" s="17">
        <v>2.4236153696477001E-2</v>
      </c>
      <c r="C123" t="str">
        <f t="shared" si="5"/>
        <v>Green</v>
      </c>
      <c r="D123">
        <f>VLOOKUP(A123,Recession!$A$1:$C$395,3,FALSE)</f>
        <v>15.73</v>
      </c>
      <c r="E123">
        <f t="shared" si="6"/>
        <v>2</v>
      </c>
      <c r="F123">
        <f t="shared" si="7"/>
        <v>1</v>
      </c>
      <c r="G123">
        <f t="shared" si="8"/>
        <v>9</v>
      </c>
      <c r="N123" s="30" t="s">
        <v>145</v>
      </c>
      <c r="O123" s="21">
        <v>0.22594414086790643</v>
      </c>
      <c r="P123" s="21">
        <v>-0.20269653397926413</v>
      </c>
      <c r="Q123" s="21">
        <v>2.324760688864233E-2</v>
      </c>
      <c r="S123" s="37">
        <v>1</v>
      </c>
      <c r="T123" s="23">
        <v>2.2772923079679444E-2</v>
      </c>
      <c r="U123" s="23">
        <v>1.1346078812417936E-2</v>
      </c>
      <c r="V123" s="35">
        <v>1</v>
      </c>
      <c r="W123" s="35">
        <f>GETPIVOTDATA("Average of Returns",$S$97,"VIX buckets",S123,"Month",5)/GETPIVOTDATA("StdDev of Returns",$S$97,"VIX buckets",S123,"Month",5)</f>
        <v>2.0071183583490693</v>
      </c>
    </row>
    <row r="124" spans="1:23" x14ac:dyDescent="0.25">
      <c r="A124" s="28">
        <v>41152</v>
      </c>
      <c r="B124" s="17">
        <v>1.9763369680148201E-2</v>
      </c>
      <c r="C124" t="str">
        <f t="shared" si="5"/>
        <v>Green</v>
      </c>
      <c r="D124">
        <f>VLOOKUP(A124,Recession!$A$1:$C$395,3,FALSE)</f>
        <v>17.469999000000001</v>
      </c>
      <c r="E124">
        <f t="shared" si="6"/>
        <v>3</v>
      </c>
      <c r="F124">
        <f t="shared" si="7"/>
        <v>1</v>
      </c>
      <c r="G124">
        <f t="shared" si="8"/>
        <v>8</v>
      </c>
      <c r="N124" s="32" t="s">
        <v>122</v>
      </c>
      <c r="O124" s="21"/>
      <c r="P124" s="21">
        <v>-6.1514175846775501E-2</v>
      </c>
      <c r="Q124" s="21">
        <v>-6.1514175846775501E-2</v>
      </c>
      <c r="S124" s="37">
        <v>2</v>
      </c>
      <c r="T124" s="23">
        <v>1.6109867053930343E-2</v>
      </c>
      <c r="U124" s="23">
        <v>1.4800900615191808E-2</v>
      </c>
      <c r="V124" s="35">
        <v>0.9</v>
      </c>
      <c r="W124" s="35">
        <f t="shared" ref="W124:W127" si="11">GETPIVOTDATA("Average of Returns",$S$97,"VIX buckets",S124,"Month",5)/GETPIVOTDATA("StdDev of Returns",$S$97,"VIX buckets",S124,"Month",5)</f>
        <v>1.0884382966125046</v>
      </c>
    </row>
    <row r="125" spans="1:23" x14ac:dyDescent="0.25">
      <c r="A125" s="28">
        <v>41121</v>
      </c>
      <c r="B125" s="17">
        <v>1.25975741261544E-2</v>
      </c>
      <c r="C125" t="str">
        <f t="shared" si="5"/>
        <v>Green</v>
      </c>
      <c r="D125">
        <f>VLOOKUP(A125,Recession!$A$1:$C$395,3,FALSE)</f>
        <v>18.93</v>
      </c>
      <c r="E125">
        <f t="shared" si="6"/>
        <v>3</v>
      </c>
      <c r="F125">
        <f t="shared" si="7"/>
        <v>1</v>
      </c>
      <c r="G125">
        <f t="shared" si="8"/>
        <v>7</v>
      </c>
      <c r="N125" s="32" t="s">
        <v>123</v>
      </c>
      <c r="O125" s="21"/>
      <c r="P125" s="21">
        <v>-2.4761893557423E-2</v>
      </c>
      <c r="Q125" s="21">
        <v>-2.4761893557423E-2</v>
      </c>
      <c r="S125" s="37">
        <v>3</v>
      </c>
      <c r="T125" s="23">
        <v>1.7711702335546507E-2</v>
      </c>
      <c r="U125" s="23">
        <v>5.0472065268489831E-2</v>
      </c>
      <c r="V125" s="35">
        <v>0.75</v>
      </c>
      <c r="W125" s="35">
        <f t="shared" si="11"/>
        <v>0.35092089537703314</v>
      </c>
    </row>
    <row r="126" spans="1:23" x14ac:dyDescent="0.25">
      <c r="A126" s="28">
        <v>41089</v>
      </c>
      <c r="B126" s="17">
        <v>3.95549821345915E-2</v>
      </c>
      <c r="C126" t="str">
        <f t="shared" si="5"/>
        <v>Green</v>
      </c>
      <c r="D126">
        <f>VLOOKUP(A126,Recession!$A$1:$C$395,3,FALSE)</f>
        <v>17.079999999999998</v>
      </c>
      <c r="E126">
        <f t="shared" si="6"/>
        <v>3</v>
      </c>
      <c r="F126">
        <f t="shared" si="7"/>
        <v>1</v>
      </c>
      <c r="G126">
        <f t="shared" si="8"/>
        <v>6</v>
      </c>
      <c r="N126" s="32" t="s">
        <v>124</v>
      </c>
      <c r="O126" s="21">
        <v>2.49310429120972E-2</v>
      </c>
      <c r="P126" s="21"/>
      <c r="Q126" s="21">
        <v>2.49310429120972E-2</v>
      </c>
      <c r="S126" s="37">
        <v>4</v>
      </c>
      <c r="T126" s="23">
        <v>-2.1476658724808431E-2</v>
      </c>
      <c r="U126" s="23">
        <v>2.5307896529391114E-2</v>
      </c>
      <c r="V126" s="35">
        <v>0.2</v>
      </c>
      <c r="W126" s="35">
        <f t="shared" si="11"/>
        <v>-0.84861492537977989</v>
      </c>
    </row>
    <row r="127" spans="1:23" x14ac:dyDescent="0.25">
      <c r="A127" s="28">
        <v>41060</v>
      </c>
      <c r="B127" s="17">
        <v>-6.2650725633177598E-2</v>
      </c>
      <c r="C127" t="str">
        <f t="shared" si="5"/>
        <v>Red</v>
      </c>
      <c r="D127">
        <f>VLOOKUP(A127,Recession!$A$1:$C$395,3,FALSE)</f>
        <v>24.059999000000001</v>
      </c>
      <c r="E127">
        <f t="shared" si="6"/>
        <v>4</v>
      </c>
      <c r="F127">
        <f t="shared" si="7"/>
        <v>0</v>
      </c>
      <c r="G127">
        <f t="shared" si="8"/>
        <v>5</v>
      </c>
      <c r="N127" s="32" t="s">
        <v>125</v>
      </c>
      <c r="O127" s="21">
        <v>8.5416467721292105E-2</v>
      </c>
      <c r="P127" s="21"/>
      <c r="Q127" s="21">
        <v>8.5416467721292105E-2</v>
      </c>
      <c r="S127" s="37">
        <v>5</v>
      </c>
      <c r="T127" s="23">
        <v>-1.7059758566126653E-3</v>
      </c>
      <c r="U127" s="23">
        <v>5.522023578679635E-2</v>
      </c>
      <c r="V127" s="35">
        <v>0.6</v>
      </c>
      <c r="W127" s="35">
        <f t="shared" si="11"/>
        <v>-3.0894034266702269E-2</v>
      </c>
    </row>
    <row r="128" spans="1:23" x14ac:dyDescent="0.25">
      <c r="A128" s="28">
        <v>41029</v>
      </c>
      <c r="B128" s="17">
        <v>-7.4974527092703802E-3</v>
      </c>
      <c r="C128" t="str">
        <f t="shared" si="5"/>
        <v>Red</v>
      </c>
      <c r="D128">
        <f>VLOOKUP(A128,Recession!$A$1:$C$395,3,FALSE)</f>
        <v>17.149999999999999</v>
      </c>
      <c r="E128">
        <f t="shared" si="6"/>
        <v>3</v>
      </c>
      <c r="F128">
        <f t="shared" si="7"/>
        <v>0</v>
      </c>
      <c r="G128">
        <f t="shared" si="8"/>
        <v>4</v>
      </c>
      <c r="N128" s="32" t="s">
        <v>126</v>
      </c>
      <c r="O128" s="21">
        <v>4.2341835333228302E-3</v>
      </c>
      <c r="P128" s="21"/>
      <c r="Q128" s="21">
        <v>4.2341835333228302E-3</v>
      </c>
      <c r="S128" s="30">
        <v>6</v>
      </c>
      <c r="T128" s="23">
        <v>-3.0470248141894131E-3</v>
      </c>
      <c r="U128" s="23">
        <v>3.6684013758209615E-2</v>
      </c>
      <c r="V128" s="35">
        <v>0.5757575757575758</v>
      </c>
      <c r="W128" s="38">
        <f>GETPIVOTDATA("Average of Returns",$S$97,"Month",6)/GETPIVOTDATA("StdDev of Returns",$S$97,"Month",6)</f>
        <v>-8.3061380204272534E-2</v>
      </c>
    </row>
    <row r="129" spans="1:23" x14ac:dyDescent="0.25">
      <c r="A129" s="28">
        <v>40998</v>
      </c>
      <c r="B129" s="17">
        <v>3.1332314530530599E-2</v>
      </c>
      <c r="C129" t="str">
        <f t="shared" si="5"/>
        <v>Green</v>
      </c>
      <c r="D129">
        <f>VLOOKUP(A129,Recession!$A$1:$C$395,3,FALSE)</f>
        <v>15.5</v>
      </c>
      <c r="E129">
        <f t="shared" si="6"/>
        <v>2</v>
      </c>
      <c r="F129">
        <f t="shared" si="7"/>
        <v>1</v>
      </c>
      <c r="G129">
        <f t="shared" si="8"/>
        <v>3</v>
      </c>
      <c r="N129" s="32" t="s">
        <v>127</v>
      </c>
      <c r="O129" s="21"/>
      <c r="P129" s="21">
        <v>-1.7585345898505699E-2</v>
      </c>
      <c r="Q129" s="21">
        <v>-1.7585345898505699E-2</v>
      </c>
      <c r="S129" s="37">
        <v>1</v>
      </c>
      <c r="T129" s="23">
        <v>7.6416271644781557E-3</v>
      </c>
      <c r="U129" s="23">
        <v>9.893435448403376E-3</v>
      </c>
      <c r="V129" s="35">
        <v>0.83333333333333337</v>
      </c>
      <c r="W129" s="35">
        <f>GETPIVOTDATA("Average of Returns",$S$97,"VIX buckets",S129,"Month",6)/GETPIVOTDATA("StdDev of Returns",$S$97,"VIX buckets",S129,"Month",6)</f>
        <v>0.77239369522660384</v>
      </c>
    </row>
    <row r="130" spans="1:23" x14ac:dyDescent="0.25">
      <c r="A130" s="28">
        <v>40968</v>
      </c>
      <c r="B130" s="17">
        <v>4.0589464130841697E-2</v>
      </c>
      <c r="C130" t="str">
        <f t="shared" si="5"/>
        <v>Green</v>
      </c>
      <c r="D130">
        <f>VLOOKUP(A130,Recession!$A$1:$C$395,3,FALSE)</f>
        <v>18.43</v>
      </c>
      <c r="E130">
        <f t="shared" si="6"/>
        <v>3</v>
      </c>
      <c r="F130">
        <f t="shared" si="7"/>
        <v>1</v>
      </c>
      <c r="G130">
        <f t="shared" si="8"/>
        <v>2</v>
      </c>
      <c r="N130" s="32" t="s">
        <v>128</v>
      </c>
      <c r="O130" s="21">
        <v>5.3909777597715799E-2</v>
      </c>
      <c r="P130" s="21"/>
      <c r="Q130" s="21">
        <v>5.3909777597715799E-2</v>
      </c>
      <c r="S130" s="37">
        <v>2</v>
      </c>
      <c r="T130" s="23">
        <v>7.1230242469931E-3</v>
      </c>
      <c r="U130" s="23">
        <v>2.792671886089395E-2</v>
      </c>
      <c r="V130" s="35">
        <v>0.66666666666666663</v>
      </c>
      <c r="W130" s="35">
        <f>GETPIVOTDATA("Average of Returns",$S$97,"VIX buckets",S130,"Month",6)/GETPIVOTDATA("StdDev of Returns",$S$97,"VIX buckets",S130,"Month",6)</f>
        <v>0.25506126525187817</v>
      </c>
    </row>
    <row r="131" spans="1:23" x14ac:dyDescent="0.25">
      <c r="A131" s="28">
        <v>40939</v>
      </c>
      <c r="B131" s="17">
        <v>4.3583062218506302E-2</v>
      </c>
      <c r="C131" t="str">
        <f t="shared" ref="C131:C194" si="12">IF(B131&gt;0,"Green","Red")</f>
        <v>Green</v>
      </c>
      <c r="D131">
        <f>VLOOKUP(A131,Recession!$A$1:$C$395,3,FALSE)</f>
        <v>19.440000999999999</v>
      </c>
      <c r="E131">
        <f t="shared" si="6"/>
        <v>3</v>
      </c>
      <c r="F131">
        <f t="shared" si="7"/>
        <v>1</v>
      </c>
      <c r="G131">
        <f t="shared" si="8"/>
        <v>1</v>
      </c>
      <c r="N131" s="32" t="s">
        <v>129</v>
      </c>
      <c r="O131" s="21">
        <v>2.5923728645212502E-2</v>
      </c>
      <c r="P131" s="21"/>
      <c r="Q131" s="21">
        <v>2.5923728645212502E-2</v>
      </c>
      <c r="S131" s="37">
        <v>3</v>
      </c>
      <c r="T131" s="23">
        <v>-3.0763788398511407E-3</v>
      </c>
      <c r="U131" s="23">
        <v>2.9747153049716774E-2</v>
      </c>
      <c r="V131" s="35">
        <v>0.4</v>
      </c>
      <c r="W131" s="35">
        <f>GETPIVOTDATA("Average of Returns",$S$97,"VIX buckets",S131,"Month",6)/GETPIVOTDATA("StdDev of Returns",$S$97,"VIX buckets",S131,"Month",6)</f>
        <v>-0.10341758872553457</v>
      </c>
    </row>
    <row r="132" spans="1:23" x14ac:dyDescent="0.25">
      <c r="A132" s="28">
        <v>40907</v>
      </c>
      <c r="B132" s="17">
        <v>8.5327639481440603E-3</v>
      </c>
      <c r="C132" t="str">
        <f t="shared" si="12"/>
        <v>Green</v>
      </c>
      <c r="D132">
        <f>VLOOKUP(A132,Recession!$A$1:$C$395,3,FALSE)</f>
        <v>23.4</v>
      </c>
      <c r="E132">
        <f t="shared" ref="E132:E195" si="13">IF(D132&gt;24.46,5,IF(D132&gt;19.71,4,IF(D132&gt;16.13,3,IF(D132&gt;13.19,2,1))))</f>
        <v>4</v>
      </c>
      <c r="F132">
        <f t="shared" ref="F132:F195" si="14">IF(B132&gt;0,1,0)</f>
        <v>1</v>
      </c>
      <c r="G132">
        <f t="shared" ref="G132:G195" si="15">MONTH(A132)</f>
        <v>12</v>
      </c>
      <c r="N132" s="32" t="s">
        <v>107</v>
      </c>
      <c r="O132" s="21"/>
      <c r="P132" s="21">
        <v>-7.2611094272329001E-3</v>
      </c>
      <c r="Q132" s="21">
        <v>-7.2611094272329001E-3</v>
      </c>
      <c r="S132" s="37">
        <v>4</v>
      </c>
      <c r="T132" s="23">
        <v>3.9761872296293658E-3</v>
      </c>
      <c r="U132" s="23">
        <v>7.8082530401224953E-2</v>
      </c>
      <c r="V132" s="35">
        <v>0.66666666666666663</v>
      </c>
      <c r="W132" s="35">
        <f>GETPIVOTDATA("Average of Returns",$S$97,"VIX buckets",S132,"Month",6)/GETPIVOTDATA("StdDev of Returns",$S$97,"VIX buckets",S132,"Month",6)</f>
        <v>5.0922878769397405E-2</v>
      </c>
    </row>
    <row r="133" spans="1:23" x14ac:dyDescent="0.25">
      <c r="A133" s="28">
        <v>40877</v>
      </c>
      <c r="B133" s="17">
        <v>-5.0587151935872496E-3</v>
      </c>
      <c r="C133" t="str">
        <f t="shared" si="12"/>
        <v>Red</v>
      </c>
      <c r="D133">
        <f>VLOOKUP(A133,Recession!$A$1:$C$395,3,FALSE)</f>
        <v>27.799999</v>
      </c>
      <c r="E133">
        <f t="shared" si="13"/>
        <v>5</v>
      </c>
      <c r="F133">
        <f t="shared" si="14"/>
        <v>0</v>
      </c>
      <c r="G133">
        <f t="shared" si="15"/>
        <v>11</v>
      </c>
      <c r="N133" s="32" t="s">
        <v>130</v>
      </c>
      <c r="O133" s="21"/>
      <c r="P133" s="21">
        <v>-9.1574009249327001E-2</v>
      </c>
      <c r="Q133" s="21">
        <v>-9.1574009249327001E-2</v>
      </c>
      <c r="S133" s="37">
        <v>5</v>
      </c>
      <c r="T133" s="23">
        <v>-3.8334714673686834E-2</v>
      </c>
      <c r="U133" s="23">
        <v>4.5238484816742246E-2</v>
      </c>
      <c r="V133" s="35">
        <v>0.4</v>
      </c>
      <c r="W133" s="35">
        <f>GETPIVOTDATA("Average of Returns",$S$97,"VIX buckets",S133,"Month",6)/GETPIVOTDATA("StdDev of Returns",$S$97,"VIX buckets",S133,"Month",6)</f>
        <v>-0.847391658429276</v>
      </c>
    </row>
    <row r="134" spans="1:23" x14ac:dyDescent="0.25">
      <c r="A134" s="28">
        <v>40847</v>
      </c>
      <c r="B134" s="17">
        <v>0.10772303853581</v>
      </c>
      <c r="C134" t="str">
        <f t="shared" si="12"/>
        <v>Green</v>
      </c>
      <c r="D134">
        <f>VLOOKUP(A134,Recession!$A$1:$C$395,3,FALSE)</f>
        <v>29.959999</v>
      </c>
      <c r="E134">
        <f t="shared" si="13"/>
        <v>5</v>
      </c>
      <c r="F134">
        <f t="shared" si="14"/>
        <v>1</v>
      </c>
      <c r="G134">
        <f t="shared" si="15"/>
        <v>10</v>
      </c>
      <c r="N134" s="32" t="s">
        <v>131</v>
      </c>
      <c r="O134" s="21">
        <v>1.66397741998974E-2</v>
      </c>
      <c r="P134" s="21"/>
      <c r="Q134" s="21">
        <v>1.66397741998974E-2</v>
      </c>
      <c r="S134" s="30">
        <v>7</v>
      </c>
      <c r="T134" s="23">
        <v>1.3999595474078927E-2</v>
      </c>
      <c r="U134" s="23">
        <v>3.8687577970344895E-2</v>
      </c>
      <c r="V134" s="35">
        <v>0.60606060606060608</v>
      </c>
      <c r="W134" s="38">
        <f>GETPIVOTDATA("Average of Returns",$S$97,"Month",7)/GETPIVOTDATA("StdDev of Returns",$S$97,"Month",7)</f>
        <v>0.36186280476927263</v>
      </c>
    </row>
    <row r="135" spans="1:23" x14ac:dyDescent="0.25">
      <c r="A135" s="28">
        <v>40816</v>
      </c>
      <c r="B135" s="17">
        <v>-7.1761988303760099E-2</v>
      </c>
      <c r="C135" t="str">
        <f t="shared" si="12"/>
        <v>Red</v>
      </c>
      <c r="D135">
        <f>VLOOKUP(A135,Recession!$A$1:$C$395,3,FALSE)</f>
        <v>42.959999000000003</v>
      </c>
      <c r="E135">
        <f t="shared" si="13"/>
        <v>5</v>
      </c>
      <c r="F135">
        <f t="shared" si="14"/>
        <v>0</v>
      </c>
      <c r="G135">
        <f t="shared" si="15"/>
        <v>9</v>
      </c>
      <c r="N135" s="32" t="s">
        <v>93</v>
      </c>
      <c r="O135" s="21">
        <v>1.48891662583686E-2</v>
      </c>
      <c r="P135" s="21"/>
      <c r="Q135" s="21">
        <v>1.48891662583686E-2</v>
      </c>
      <c r="S135" s="37">
        <v>1</v>
      </c>
      <c r="T135" s="23">
        <v>2.6528380786359274E-2</v>
      </c>
      <c r="U135" s="23">
        <v>1.4946054198219434E-2</v>
      </c>
      <c r="V135" s="35">
        <v>0.875</v>
      </c>
      <c r="W135" s="35">
        <f>GETPIVOTDATA("Average of Returns",$S$97,"VIX buckets",S135,"Month",7)/GETPIVOTDATA("StdDev of Returns",$S$97,"VIX buckets",S135,"Month",7)</f>
        <v>1.7749420973944865</v>
      </c>
    </row>
    <row r="136" spans="1:23" x14ac:dyDescent="0.25">
      <c r="A136" s="28">
        <v>40786</v>
      </c>
      <c r="B136" s="17">
        <v>-5.6791107463597598E-2</v>
      </c>
      <c r="C136" t="str">
        <f t="shared" si="12"/>
        <v>Red</v>
      </c>
      <c r="D136">
        <f>VLOOKUP(A136,Recession!$A$1:$C$395,3,FALSE)</f>
        <v>31.620000999999998</v>
      </c>
      <c r="E136">
        <f t="shared" si="13"/>
        <v>5</v>
      </c>
      <c r="F136">
        <f t="shared" si="14"/>
        <v>0</v>
      </c>
      <c r="G136">
        <f t="shared" si="15"/>
        <v>8</v>
      </c>
      <c r="N136" s="30" t="s">
        <v>146</v>
      </c>
      <c r="O136" s="21">
        <v>0.13504753337223629</v>
      </c>
      <c r="P136" s="21">
        <v>-0.22947892298774855</v>
      </c>
      <c r="Q136" s="21">
        <v>-9.4431389615512257E-2</v>
      </c>
      <c r="S136" s="37">
        <v>2</v>
      </c>
      <c r="T136" s="23">
        <v>1.8336829155435341E-2</v>
      </c>
      <c r="U136" s="23">
        <v>3.1065071050601665E-2</v>
      </c>
      <c r="V136" s="35">
        <v>0.83333333333333337</v>
      </c>
      <c r="W136" s="35">
        <f>GETPIVOTDATA("Average of Returns",$S$97,"VIX buckets",S136,"Month",7)/GETPIVOTDATA("StdDev of Returns",$S$97,"VIX buckets",S136,"Month",7)</f>
        <v>0.59027159878587154</v>
      </c>
    </row>
    <row r="137" spans="1:23" x14ac:dyDescent="0.25">
      <c r="A137" s="28">
        <v>40753</v>
      </c>
      <c r="B137" s="17">
        <v>-2.1474425791951999E-2</v>
      </c>
      <c r="C137" t="str">
        <f t="shared" si="12"/>
        <v>Red</v>
      </c>
      <c r="D137">
        <f>VLOOKUP(A137,Recession!$A$1:$C$395,3,FALSE)</f>
        <v>25.25</v>
      </c>
      <c r="E137">
        <f t="shared" si="13"/>
        <v>5</v>
      </c>
      <c r="F137">
        <f t="shared" si="14"/>
        <v>0</v>
      </c>
      <c r="G137">
        <f t="shared" si="15"/>
        <v>7</v>
      </c>
      <c r="N137" s="32" t="s">
        <v>122</v>
      </c>
      <c r="O137" s="21"/>
      <c r="P137" s="21">
        <v>-4.5742429498469003E-2</v>
      </c>
      <c r="Q137" s="21">
        <v>-4.5742429498469003E-2</v>
      </c>
      <c r="S137" s="37">
        <v>3</v>
      </c>
      <c r="T137" s="23">
        <v>-1.8517032646582401E-3</v>
      </c>
      <c r="U137" s="23">
        <v>2.8471563616033105E-2</v>
      </c>
      <c r="V137" s="35">
        <v>0.6</v>
      </c>
      <c r="W137" s="35">
        <f>GETPIVOTDATA("Average of Returns",$S$97,"VIX buckets",S137,"Month",7)/GETPIVOTDATA("StdDev of Returns",$S$97,"VIX buckets",S137,"Month",7)</f>
        <v>-6.5036936138466811E-2</v>
      </c>
    </row>
    <row r="138" spans="1:23" x14ac:dyDescent="0.25">
      <c r="A138" s="28">
        <v>40724</v>
      </c>
      <c r="B138" s="17">
        <v>-1.8257461265697099E-2</v>
      </c>
      <c r="C138" t="str">
        <f t="shared" si="12"/>
        <v>Red</v>
      </c>
      <c r="D138">
        <f>VLOOKUP(A138,Recession!$A$1:$C$395,3,FALSE)</f>
        <v>16.52</v>
      </c>
      <c r="E138">
        <f t="shared" si="13"/>
        <v>3</v>
      </c>
      <c r="F138">
        <f t="shared" si="14"/>
        <v>0</v>
      </c>
      <c r="G138">
        <f t="shared" si="15"/>
        <v>6</v>
      </c>
      <c r="N138" s="32" t="s">
        <v>123</v>
      </c>
      <c r="O138" s="21">
        <v>1.32767345439582E-2</v>
      </c>
      <c r="P138" s="21"/>
      <c r="Q138" s="21">
        <v>1.32767345439582E-2</v>
      </c>
      <c r="S138" s="37">
        <v>4</v>
      </c>
      <c r="T138" s="23">
        <v>2.4332837636717067E-2</v>
      </c>
      <c r="U138" s="23">
        <v>4.7927610779446461E-2</v>
      </c>
      <c r="V138" s="35">
        <v>0.44444444444444442</v>
      </c>
      <c r="W138" s="35">
        <f>GETPIVOTDATA("Average of Returns",$S$97,"VIX buckets",S138,"Month",7)/GETPIVOTDATA("StdDev of Returns",$S$97,"VIX buckets",S138,"Month",7)</f>
        <v>0.50769978392396919</v>
      </c>
    </row>
    <row r="139" spans="1:23" x14ac:dyDescent="0.25">
      <c r="A139" s="28">
        <v>40694</v>
      </c>
      <c r="B139" s="17">
        <v>-1.3500952766930601E-2</v>
      </c>
      <c r="C139" t="str">
        <f t="shared" si="12"/>
        <v>Red</v>
      </c>
      <c r="D139">
        <f>VLOOKUP(A139,Recession!$A$1:$C$395,3,FALSE)</f>
        <v>15.45</v>
      </c>
      <c r="E139">
        <f t="shared" si="13"/>
        <v>2</v>
      </c>
      <c r="F139">
        <f t="shared" si="14"/>
        <v>0</v>
      </c>
      <c r="G139">
        <f t="shared" si="15"/>
        <v>5</v>
      </c>
      <c r="N139" s="32" t="s">
        <v>124</v>
      </c>
      <c r="O139" s="21">
        <v>3.60325729859809E-2</v>
      </c>
      <c r="P139" s="21"/>
      <c r="Q139" s="21">
        <v>3.60325729859809E-2</v>
      </c>
      <c r="S139" s="37">
        <v>5</v>
      </c>
      <c r="T139" s="23">
        <v>-1.3999678597208798E-2</v>
      </c>
      <c r="U139" s="23">
        <v>5.5636622280946076E-2</v>
      </c>
      <c r="V139" s="35">
        <v>0.2</v>
      </c>
      <c r="W139" s="35">
        <f>GETPIVOTDATA("Average of Returns",$S$97,"VIX buckets",S139,"Month",7)/GETPIVOTDATA("StdDev of Returns",$S$97,"VIX buckets",S139,"Month",7)</f>
        <v>-0.25162704030656585</v>
      </c>
    </row>
    <row r="140" spans="1:23" x14ac:dyDescent="0.25">
      <c r="A140" s="28">
        <v>40662</v>
      </c>
      <c r="B140" s="17">
        <v>2.8495380443795099E-2</v>
      </c>
      <c r="C140" t="str">
        <f t="shared" si="12"/>
        <v>Green</v>
      </c>
      <c r="D140">
        <f>VLOOKUP(A140,Recession!$A$1:$C$395,3,FALSE)</f>
        <v>14.75</v>
      </c>
      <c r="E140">
        <f t="shared" si="13"/>
        <v>2</v>
      </c>
      <c r="F140">
        <f t="shared" si="14"/>
        <v>1</v>
      </c>
      <c r="G140">
        <f t="shared" si="15"/>
        <v>4</v>
      </c>
      <c r="N140" s="32" t="s">
        <v>125</v>
      </c>
      <c r="O140" s="21"/>
      <c r="P140" s="21">
        <v>-2.3455897058823401E-2</v>
      </c>
      <c r="Q140" s="21">
        <v>-2.3455897058823401E-2</v>
      </c>
      <c r="S140" s="30">
        <v>8</v>
      </c>
      <c r="T140" s="23">
        <v>-6.0588713851254666E-3</v>
      </c>
      <c r="U140" s="23">
        <v>4.5871922031113135E-2</v>
      </c>
      <c r="V140" s="35">
        <v>0.54545454545454541</v>
      </c>
      <c r="W140" s="38">
        <f>GETPIVOTDATA("Average of Returns",$S$97,"Month",8)/GETPIVOTDATA("StdDev of Returns",$S$97,"Month",8)</f>
        <v>-0.13208235270839469</v>
      </c>
    </row>
    <row r="141" spans="1:23" x14ac:dyDescent="0.25">
      <c r="A141" s="28">
        <v>40633</v>
      </c>
      <c r="B141" s="17">
        <v>-1.0473132038185699E-3</v>
      </c>
      <c r="C141" t="str">
        <f t="shared" si="12"/>
        <v>Red</v>
      </c>
      <c r="D141">
        <f>VLOOKUP(A141,Recession!$A$1:$C$395,3,FALSE)</f>
        <v>17.739999999999998</v>
      </c>
      <c r="E141">
        <f t="shared" si="13"/>
        <v>3</v>
      </c>
      <c r="F141">
        <f t="shared" si="14"/>
        <v>0</v>
      </c>
      <c r="G141">
        <f t="shared" si="15"/>
        <v>3</v>
      </c>
      <c r="N141" s="32" t="s">
        <v>126</v>
      </c>
      <c r="O141" s="21"/>
      <c r="P141" s="21">
        <v>-1.6565168534976599E-3</v>
      </c>
      <c r="Q141" s="21">
        <v>-1.6565168534976599E-3</v>
      </c>
      <c r="S141" s="37">
        <v>1</v>
      </c>
      <c r="T141" s="23">
        <v>1.8778430667361488E-2</v>
      </c>
      <c r="U141" s="23">
        <v>1.9606476475471982E-2</v>
      </c>
      <c r="V141" s="35">
        <v>0.75</v>
      </c>
      <c r="W141" s="35">
        <f>GETPIVOTDATA("Average of Returns",$S$97,"VIX buckets",S141,"Month",8)/GETPIVOTDATA("StdDev of Returns",$S$97,"VIX buckets",S141,"Month",8)</f>
        <v>0.95776672013727748</v>
      </c>
    </row>
    <row r="142" spans="1:23" x14ac:dyDescent="0.25">
      <c r="A142" s="28">
        <v>40602</v>
      </c>
      <c r="B142" s="17">
        <v>3.1956564052952198E-2</v>
      </c>
      <c r="C142" t="str">
        <f t="shared" si="12"/>
        <v>Green</v>
      </c>
      <c r="D142">
        <f>VLOOKUP(A142,Recession!$A$1:$C$395,3,FALSE)</f>
        <v>18.350000000000001</v>
      </c>
      <c r="E142">
        <f t="shared" si="13"/>
        <v>3</v>
      </c>
      <c r="F142">
        <f t="shared" si="14"/>
        <v>1</v>
      </c>
      <c r="G142">
        <f t="shared" si="15"/>
        <v>2</v>
      </c>
      <c r="N142" s="32" t="s">
        <v>127</v>
      </c>
      <c r="O142" s="21"/>
      <c r="P142" s="21">
        <v>-1.04079420893868E-2</v>
      </c>
      <c r="Q142" s="21">
        <v>-1.04079420893868E-2</v>
      </c>
      <c r="S142" s="37">
        <v>2</v>
      </c>
      <c r="T142" s="23">
        <v>-8.2015975757910274E-4</v>
      </c>
      <c r="U142" s="23">
        <v>1.7944210275433119E-2</v>
      </c>
      <c r="V142" s="35">
        <v>0.5</v>
      </c>
      <c r="W142" s="35">
        <f t="shared" ref="W142:W145" si="16">GETPIVOTDATA("Average of Returns",$S$97,"VIX buckets",S142,"Month",8)/GETPIVOTDATA("StdDev of Returns",$S$97,"VIX buckets",S142,"Month",8)</f>
        <v>-4.5706093775659713E-2</v>
      </c>
    </row>
    <row r="143" spans="1:23" x14ac:dyDescent="0.25">
      <c r="A143" s="28">
        <v>40574</v>
      </c>
      <c r="B143" s="17">
        <v>2.2645573980086799E-2</v>
      </c>
      <c r="C143" t="str">
        <f t="shared" si="12"/>
        <v>Green</v>
      </c>
      <c r="D143">
        <f>VLOOKUP(A143,Recession!$A$1:$C$395,3,FALSE)</f>
        <v>19.530000999999999</v>
      </c>
      <c r="E143">
        <f t="shared" si="13"/>
        <v>3</v>
      </c>
      <c r="F143">
        <f t="shared" si="14"/>
        <v>1</v>
      </c>
      <c r="G143">
        <f t="shared" si="15"/>
        <v>1</v>
      </c>
      <c r="N143" s="32" t="s">
        <v>128</v>
      </c>
      <c r="O143" s="21"/>
      <c r="P143" s="21">
        <v>-2.2102658679073999E-3</v>
      </c>
      <c r="Q143" s="21">
        <v>-2.2102658679073999E-3</v>
      </c>
      <c r="S143" s="37">
        <v>3</v>
      </c>
      <c r="T143" s="23">
        <v>1.3821483321998515E-2</v>
      </c>
      <c r="U143" s="23">
        <v>3.043701447695777E-2</v>
      </c>
      <c r="V143" s="35">
        <v>0.7142857142857143</v>
      </c>
      <c r="W143" s="35">
        <f t="shared" si="16"/>
        <v>0.45410115149309466</v>
      </c>
    </row>
    <row r="144" spans="1:23" x14ac:dyDescent="0.25">
      <c r="A144" s="28">
        <v>40543</v>
      </c>
      <c r="B144" s="17">
        <v>6.5300040489854702E-2</v>
      </c>
      <c r="C144" t="str">
        <f t="shared" si="12"/>
        <v>Green</v>
      </c>
      <c r="D144">
        <f>VLOOKUP(A144,Recession!$A$1:$C$395,3,FALSE)</f>
        <v>17.75</v>
      </c>
      <c r="E144">
        <f t="shared" si="13"/>
        <v>3</v>
      </c>
      <c r="F144">
        <f t="shared" si="14"/>
        <v>1</v>
      </c>
      <c r="G144">
        <f t="shared" si="15"/>
        <v>12</v>
      </c>
      <c r="N144" s="32" t="s">
        <v>129</v>
      </c>
      <c r="O144" s="21"/>
      <c r="P144" s="21">
        <v>-6.2098969784585498E-2</v>
      </c>
      <c r="Q144" s="21">
        <v>-6.2098969784585498E-2</v>
      </c>
      <c r="S144" s="37">
        <v>4</v>
      </c>
      <c r="T144" s="23">
        <v>6.2666480064787825E-3</v>
      </c>
      <c r="U144" s="23">
        <v>1.0848500671808608E-2</v>
      </c>
      <c r="V144" s="35">
        <v>0.66666666666666663</v>
      </c>
      <c r="W144" s="35">
        <f t="shared" si="16"/>
        <v>0.57765106866459159</v>
      </c>
    </row>
    <row r="145" spans="1:23" x14ac:dyDescent="0.25">
      <c r="A145" s="28">
        <v>40512</v>
      </c>
      <c r="B145" s="17">
        <v>-2.29024979894321E-3</v>
      </c>
      <c r="C145" t="str">
        <f t="shared" si="12"/>
        <v>Red</v>
      </c>
      <c r="D145">
        <f>VLOOKUP(A145,Recession!$A$1:$C$395,3,FALSE)</f>
        <v>23.540001</v>
      </c>
      <c r="E145">
        <f t="shared" si="13"/>
        <v>4</v>
      </c>
      <c r="F145">
        <f t="shared" si="14"/>
        <v>0</v>
      </c>
      <c r="G145">
        <f t="shared" si="15"/>
        <v>11</v>
      </c>
      <c r="N145" s="32" t="s">
        <v>107</v>
      </c>
      <c r="O145" s="21"/>
      <c r="P145" s="21">
        <v>-5.3831752961708897E-2</v>
      </c>
      <c r="Q145" s="21">
        <v>-5.3831752961708897E-2</v>
      </c>
      <c r="S145" s="37">
        <v>5</v>
      </c>
      <c r="T145" s="23">
        <v>-4.2039989935558346E-2</v>
      </c>
      <c r="U145" s="23">
        <v>5.947807769267608E-2</v>
      </c>
      <c r="V145" s="35">
        <v>0.27272727272727271</v>
      </c>
      <c r="W145" s="35">
        <f t="shared" si="16"/>
        <v>-0.70681487308280977</v>
      </c>
    </row>
    <row r="146" spans="1:23" x14ac:dyDescent="0.25">
      <c r="A146" s="28">
        <v>40480</v>
      </c>
      <c r="B146" s="17">
        <v>3.68559943970765E-2</v>
      </c>
      <c r="C146" t="str">
        <f t="shared" si="12"/>
        <v>Green</v>
      </c>
      <c r="D146">
        <f>VLOOKUP(A146,Recession!$A$1:$C$395,3,FALSE)</f>
        <v>21.200001</v>
      </c>
      <c r="E146">
        <f t="shared" si="13"/>
        <v>4</v>
      </c>
      <c r="F146">
        <f t="shared" si="14"/>
        <v>1</v>
      </c>
      <c r="G146">
        <f t="shared" si="15"/>
        <v>10</v>
      </c>
      <c r="N146" s="32" t="s">
        <v>130</v>
      </c>
      <c r="O146" s="21">
        <v>4.9147865381304903E-2</v>
      </c>
      <c r="P146" s="21"/>
      <c r="Q146" s="21">
        <v>4.9147865381304903E-2</v>
      </c>
      <c r="S146" s="30">
        <v>9</v>
      </c>
      <c r="T146" s="23">
        <v>-8.0360739817071768E-3</v>
      </c>
      <c r="U146" s="23">
        <v>4.8607607632786265E-2</v>
      </c>
      <c r="V146" s="35">
        <v>0.48484848484848486</v>
      </c>
      <c r="W146" s="38">
        <f>GETPIVOTDATA("Average of Returns",$S$97,"Month",9)/GETPIVOTDATA("StdDev of Returns",$S$97,"Month",9)</f>
        <v>-0.16532543717059578</v>
      </c>
    </row>
    <row r="147" spans="1:23" x14ac:dyDescent="0.25">
      <c r="A147" s="28">
        <v>40451</v>
      </c>
      <c r="B147" s="17">
        <v>8.7551102944020104E-2</v>
      </c>
      <c r="C147" t="str">
        <f t="shared" si="12"/>
        <v>Green</v>
      </c>
      <c r="D147">
        <f>VLOOKUP(A147,Recession!$A$1:$C$395,3,FALSE)</f>
        <v>23.700001</v>
      </c>
      <c r="E147">
        <f t="shared" si="13"/>
        <v>4</v>
      </c>
      <c r="F147">
        <f t="shared" si="14"/>
        <v>1</v>
      </c>
      <c r="G147">
        <f t="shared" si="15"/>
        <v>9</v>
      </c>
      <c r="N147" s="32" t="s">
        <v>131</v>
      </c>
      <c r="O147" s="21">
        <v>3.6590360460992302E-2</v>
      </c>
      <c r="P147" s="21"/>
      <c r="Q147" s="21">
        <v>3.6590360460992302E-2</v>
      </c>
      <c r="S147" s="37">
        <v>1</v>
      </c>
      <c r="T147" s="23">
        <v>1.4203688474708787E-2</v>
      </c>
      <c r="U147" s="23">
        <v>1.7549560101789267E-2</v>
      </c>
      <c r="V147" s="35">
        <v>0.83333333333333337</v>
      </c>
      <c r="W147" s="35">
        <f>GETPIVOTDATA("Average of Returns",$S$97,"VIX buckets",S147,"Month",9)/GETPIVOTDATA("StdDev of Returns",$S$97,"VIX buckets",S147,"Month",9)</f>
        <v>0.80934726524915279</v>
      </c>
    </row>
    <row r="148" spans="1:23" x14ac:dyDescent="0.25">
      <c r="A148" s="28">
        <v>40421</v>
      </c>
      <c r="B148" s="17">
        <v>-4.7449184040287203E-2</v>
      </c>
      <c r="C148" t="str">
        <f t="shared" si="12"/>
        <v>Red</v>
      </c>
      <c r="D148">
        <f>VLOOKUP(A148,Recession!$A$1:$C$395,3,FALSE)</f>
        <v>26.049999</v>
      </c>
      <c r="E148">
        <f t="shared" si="13"/>
        <v>5</v>
      </c>
      <c r="F148">
        <f t="shared" si="14"/>
        <v>0</v>
      </c>
      <c r="G148">
        <f t="shared" si="15"/>
        <v>8</v>
      </c>
      <c r="N148" s="32" t="s">
        <v>93</v>
      </c>
      <c r="O148" s="21"/>
      <c r="P148" s="21">
        <v>-3.00751488733699E-2</v>
      </c>
      <c r="Q148" s="21">
        <v>-3.00751488733699E-2</v>
      </c>
      <c r="S148" s="37">
        <v>2</v>
      </c>
      <c r="T148" s="23">
        <v>-7.5835008200068714E-4</v>
      </c>
      <c r="U148" s="23">
        <v>1.9209076210258271E-2</v>
      </c>
      <c r="V148" s="35">
        <v>0.5</v>
      </c>
      <c r="W148" s="35">
        <f t="shared" ref="W148:W151" si="17">GETPIVOTDATA("Average of Returns",$S$97,"VIX buckets",S148,"Month",9)/GETPIVOTDATA("StdDev of Returns",$S$97,"VIX buckets",S148,"Month",9)</f>
        <v>-3.9478737743551852E-2</v>
      </c>
    </row>
    <row r="149" spans="1:23" x14ac:dyDescent="0.25">
      <c r="A149" s="28">
        <v>40389</v>
      </c>
      <c r="B149" s="17">
        <v>6.8777849911552294E-2</v>
      </c>
      <c r="C149" t="str">
        <f t="shared" si="12"/>
        <v>Green</v>
      </c>
      <c r="D149">
        <f>VLOOKUP(A149,Recession!$A$1:$C$395,3,FALSE)</f>
        <v>23.5</v>
      </c>
      <c r="E149">
        <f t="shared" si="13"/>
        <v>4</v>
      </c>
      <c r="F149">
        <f t="shared" si="14"/>
        <v>1</v>
      </c>
      <c r="G149">
        <f t="shared" si="15"/>
        <v>7</v>
      </c>
      <c r="N149" s="30" t="s">
        <v>147</v>
      </c>
      <c r="O149" s="21">
        <v>0.32525480984353089</v>
      </c>
      <c r="P149" s="21">
        <v>-0.17070121058574111</v>
      </c>
      <c r="Q149" s="21">
        <v>0.15455359925778978</v>
      </c>
      <c r="S149" s="37">
        <v>3</v>
      </c>
      <c r="T149" s="23">
        <v>2.4282839939235121E-2</v>
      </c>
      <c r="U149" s="23">
        <v>2.5941454862675888E-2</v>
      </c>
      <c r="V149" s="35">
        <v>0.8</v>
      </c>
      <c r="W149" s="35">
        <f t="shared" si="17"/>
        <v>0.93606314941776247</v>
      </c>
    </row>
    <row r="150" spans="1:23" x14ac:dyDescent="0.25">
      <c r="A150" s="28">
        <v>40359</v>
      </c>
      <c r="B150" s="17">
        <v>-5.3882442026415102E-2</v>
      </c>
      <c r="C150" t="str">
        <f t="shared" si="12"/>
        <v>Red</v>
      </c>
      <c r="D150">
        <f>VLOOKUP(A150,Recession!$A$1:$C$395,3,FALSE)</f>
        <v>34.540000999999997</v>
      </c>
      <c r="E150">
        <f t="shared" si="13"/>
        <v>5</v>
      </c>
      <c r="F150">
        <f t="shared" si="14"/>
        <v>0</v>
      </c>
      <c r="G150">
        <f t="shared" si="15"/>
        <v>6</v>
      </c>
      <c r="N150" s="32" t="s">
        <v>122</v>
      </c>
      <c r="O150" s="21"/>
      <c r="P150" s="21">
        <v>-1.7543867379587099E-2</v>
      </c>
      <c r="Q150" s="21">
        <v>-1.7543867379587099E-2</v>
      </c>
      <c r="S150" s="37">
        <v>4</v>
      </c>
      <c r="T150" s="23">
        <v>5.5416369507578812E-3</v>
      </c>
      <c r="U150" s="23">
        <v>6.2455730936354918E-2</v>
      </c>
      <c r="V150" s="35">
        <v>0.4</v>
      </c>
      <c r="W150" s="35">
        <f t="shared" si="17"/>
        <v>8.8729038435320665E-2</v>
      </c>
    </row>
    <row r="151" spans="1:23" x14ac:dyDescent="0.25">
      <c r="A151" s="28">
        <v>40326</v>
      </c>
      <c r="B151" s="17">
        <v>-8.1975841910334496E-2</v>
      </c>
      <c r="C151" t="str">
        <f t="shared" si="12"/>
        <v>Red</v>
      </c>
      <c r="D151">
        <f>VLOOKUP(A151,Recession!$A$1:$C$395,3,FALSE)</f>
        <v>32.07</v>
      </c>
      <c r="E151">
        <f t="shared" si="13"/>
        <v>5</v>
      </c>
      <c r="F151">
        <f t="shared" si="14"/>
        <v>0</v>
      </c>
      <c r="G151">
        <f t="shared" si="15"/>
        <v>5</v>
      </c>
      <c r="N151" s="32" t="s">
        <v>123</v>
      </c>
      <c r="O151" s="21"/>
      <c r="P151" s="21">
        <v>-6.0548180057339203E-2</v>
      </c>
      <c r="Q151" s="21">
        <v>-6.0548180057339203E-2</v>
      </c>
      <c r="S151" s="37">
        <v>5</v>
      </c>
      <c r="T151" s="23">
        <v>-4.4998623291140946E-2</v>
      </c>
      <c r="U151" s="23">
        <v>5.4284896742646999E-2</v>
      </c>
      <c r="V151" s="35">
        <v>0.18181818181818182</v>
      </c>
      <c r="W151" s="35">
        <f t="shared" si="17"/>
        <v>-0.82893449175135625</v>
      </c>
    </row>
    <row r="152" spans="1:23" x14ac:dyDescent="0.25">
      <c r="A152" s="28">
        <v>40298</v>
      </c>
      <c r="B152" s="17">
        <v>1.47592298837911E-2</v>
      </c>
      <c r="C152" t="str">
        <f t="shared" si="12"/>
        <v>Green</v>
      </c>
      <c r="D152">
        <f>VLOOKUP(A152,Recession!$A$1:$C$395,3,FALSE)</f>
        <v>22.049999</v>
      </c>
      <c r="E152">
        <f t="shared" si="13"/>
        <v>4</v>
      </c>
      <c r="F152">
        <f t="shared" si="14"/>
        <v>1</v>
      </c>
      <c r="G152">
        <f t="shared" si="15"/>
        <v>4</v>
      </c>
      <c r="N152" s="32" t="s">
        <v>124</v>
      </c>
      <c r="O152" s="21"/>
      <c r="P152" s="21">
        <v>-1.0167111571327801E-2</v>
      </c>
      <c r="Q152" s="21">
        <v>-1.0167111571327801E-2</v>
      </c>
      <c r="S152" s="30">
        <v>10</v>
      </c>
      <c r="T152" s="23">
        <v>1.378944448972181E-2</v>
      </c>
      <c r="U152" s="23">
        <v>5.094757783702647E-2</v>
      </c>
      <c r="V152" s="35">
        <v>0.63636363636363635</v>
      </c>
      <c r="W152" s="38">
        <f>GETPIVOTDATA("Average of Returns",$S$97,"Month",10)/GETPIVOTDATA("StdDev of Returns",$S$97,"Month",10)</f>
        <v>0.27065947146363151</v>
      </c>
    </row>
    <row r="153" spans="1:23" x14ac:dyDescent="0.25">
      <c r="A153" s="28">
        <v>40268</v>
      </c>
      <c r="B153" s="17">
        <v>5.8796426031891801E-2</v>
      </c>
      <c r="C153" t="str">
        <f t="shared" si="12"/>
        <v>Green</v>
      </c>
      <c r="D153">
        <f>VLOOKUP(A153,Recession!$A$1:$C$395,3,FALSE)</f>
        <v>17.59</v>
      </c>
      <c r="E153">
        <f t="shared" si="13"/>
        <v>3</v>
      </c>
      <c r="F153">
        <f t="shared" si="14"/>
        <v>1</v>
      </c>
      <c r="G153">
        <f t="shared" si="15"/>
        <v>3</v>
      </c>
      <c r="N153" s="32" t="s">
        <v>125</v>
      </c>
      <c r="O153" s="21">
        <v>4.0014317970831902E-2</v>
      </c>
      <c r="P153" s="21"/>
      <c r="Q153" s="21">
        <v>4.0014317970831902E-2</v>
      </c>
      <c r="S153" s="37">
        <v>1</v>
      </c>
      <c r="T153" s="23">
        <v>2.43630204185489E-2</v>
      </c>
      <c r="U153" s="23">
        <v>6.3436097530109722E-3</v>
      </c>
      <c r="V153" s="35">
        <v>1</v>
      </c>
      <c r="W153" s="35">
        <f>GETPIVOTDATA("Average of Returns",$S$97,"VIX buckets",S153,"Month",10)/GETPIVOTDATA("StdDev of Returns",$S$97,"VIX buckets",S153,"Month",10)</f>
        <v>3.8405610318297208</v>
      </c>
    </row>
    <row r="154" spans="1:23" x14ac:dyDescent="0.25">
      <c r="A154" s="28">
        <v>40235</v>
      </c>
      <c r="B154" s="17">
        <v>2.8513688940531301E-2</v>
      </c>
      <c r="C154" t="str">
        <f t="shared" si="12"/>
        <v>Green</v>
      </c>
      <c r="D154">
        <f>VLOOKUP(A154,Recession!$A$1:$C$395,3,FALSE)</f>
        <v>19.5</v>
      </c>
      <c r="E154">
        <f t="shared" si="13"/>
        <v>3</v>
      </c>
      <c r="F154">
        <f t="shared" si="14"/>
        <v>1</v>
      </c>
      <c r="G154">
        <f t="shared" si="15"/>
        <v>2</v>
      </c>
      <c r="N154" s="32" t="s">
        <v>126</v>
      </c>
      <c r="O154" s="21"/>
      <c r="P154" s="21">
        <v>-3.9161842336622503E-2</v>
      </c>
      <c r="Q154" s="21">
        <v>-3.9161842336622503E-2</v>
      </c>
      <c r="S154" s="37">
        <v>2</v>
      </c>
      <c r="T154" s="23">
        <v>2.623572518998353E-2</v>
      </c>
      <c r="U154" s="23">
        <v>3.0761818151652628E-2</v>
      </c>
      <c r="V154" s="35">
        <v>0.77777777777777779</v>
      </c>
      <c r="W154" s="35">
        <f t="shared" ref="W154:W157" si="18">GETPIVOTDATA("Average of Returns",$S$97,"VIX buckets",S154,"Month",10)/GETPIVOTDATA("StdDev of Returns",$S$97,"VIX buckets",S154,"Month",10)</f>
        <v>0.8528665328116849</v>
      </c>
    </row>
    <row r="155" spans="1:23" x14ac:dyDescent="0.25">
      <c r="A155" s="28">
        <v>40207</v>
      </c>
      <c r="B155" s="17">
        <v>-3.6974246154947397E-2</v>
      </c>
      <c r="C155" t="str">
        <f t="shared" si="12"/>
        <v>Red</v>
      </c>
      <c r="D155">
        <f>VLOOKUP(A155,Recession!$A$1:$C$395,3,FALSE)</f>
        <v>24.620000999999998</v>
      </c>
      <c r="E155">
        <f t="shared" si="13"/>
        <v>5</v>
      </c>
      <c r="F155">
        <f t="shared" si="14"/>
        <v>0</v>
      </c>
      <c r="G155">
        <f t="shared" si="15"/>
        <v>1</v>
      </c>
      <c r="N155" s="32" t="s">
        <v>127</v>
      </c>
      <c r="O155" s="21"/>
      <c r="P155" s="21">
        <v>-2.02895607871709E-2</v>
      </c>
      <c r="Q155" s="21">
        <v>-2.02895607871709E-2</v>
      </c>
      <c r="S155" s="37">
        <v>3</v>
      </c>
      <c r="T155" s="23">
        <v>1.2424659342667359E-2</v>
      </c>
      <c r="U155" s="23">
        <v>3.0471413638353664E-2</v>
      </c>
      <c r="V155" s="35">
        <v>0.7142857142857143</v>
      </c>
      <c r="W155" s="35">
        <f t="shared" si="18"/>
        <v>0.40774804510640517</v>
      </c>
    </row>
    <row r="156" spans="1:23" x14ac:dyDescent="0.25">
      <c r="A156" s="28">
        <v>40178</v>
      </c>
      <c r="B156" s="17">
        <v>1.7770571188400398E-2</v>
      </c>
      <c r="C156" t="str">
        <f t="shared" si="12"/>
        <v>Green</v>
      </c>
      <c r="D156">
        <f>VLOOKUP(A156,Recession!$A$1:$C$395,3,FALSE)</f>
        <v>21.68</v>
      </c>
      <c r="E156">
        <f t="shared" si="13"/>
        <v>4</v>
      </c>
      <c r="F156">
        <f t="shared" si="14"/>
        <v>1</v>
      </c>
      <c r="G156">
        <f t="shared" si="15"/>
        <v>12</v>
      </c>
      <c r="N156" s="32" t="s">
        <v>128</v>
      </c>
      <c r="O156" s="21"/>
      <c r="P156" s="21">
        <v>-2.2990648453693599E-2</v>
      </c>
      <c r="Q156" s="21">
        <v>-2.2990648453693599E-2</v>
      </c>
      <c r="S156" s="37">
        <v>4</v>
      </c>
      <c r="T156" s="23">
        <v>6.2606735315628541E-3</v>
      </c>
      <c r="U156" s="23">
        <v>5.7602365968081402E-2</v>
      </c>
      <c r="V156" s="35">
        <v>0.5</v>
      </c>
      <c r="W156" s="35">
        <f t="shared" si="18"/>
        <v>0.10868778437038534</v>
      </c>
    </row>
    <row r="157" spans="1:23" x14ac:dyDescent="0.25">
      <c r="A157" s="28">
        <v>40147</v>
      </c>
      <c r="B157" s="17">
        <v>5.7364061981373601E-2</v>
      </c>
      <c r="C157" t="str">
        <f t="shared" si="12"/>
        <v>Green</v>
      </c>
      <c r="D157">
        <f>VLOOKUP(A157,Recession!$A$1:$C$395,3,FALSE)</f>
        <v>24.51</v>
      </c>
      <c r="E157">
        <f t="shared" si="13"/>
        <v>5</v>
      </c>
      <c r="F157">
        <f t="shared" si="14"/>
        <v>1</v>
      </c>
      <c r="G157">
        <f t="shared" si="15"/>
        <v>11</v>
      </c>
      <c r="N157" s="32" t="s">
        <v>129</v>
      </c>
      <c r="O157" s="21">
        <v>0.115977275785873</v>
      </c>
      <c r="P157" s="21"/>
      <c r="Q157" s="21">
        <v>0.115977275785873</v>
      </c>
      <c r="S157" s="37">
        <v>5</v>
      </c>
      <c r="T157" s="23">
        <v>3.3825770670398237E-3</v>
      </c>
      <c r="U157" s="23">
        <v>7.9465335562469333E-2</v>
      </c>
      <c r="V157" s="35">
        <v>0.4</v>
      </c>
      <c r="W157" s="35">
        <f t="shared" si="18"/>
        <v>4.2566699594198662E-2</v>
      </c>
    </row>
    <row r="158" spans="1:23" x14ac:dyDescent="0.25">
      <c r="A158" s="28">
        <v>40116</v>
      </c>
      <c r="B158" s="17">
        <v>-1.9762000860415501E-2</v>
      </c>
      <c r="C158" t="str">
        <f t="shared" si="12"/>
        <v>Red</v>
      </c>
      <c r="D158">
        <f>VLOOKUP(A158,Recession!$A$1:$C$395,3,FALSE)</f>
        <v>30.690000999999999</v>
      </c>
      <c r="E158">
        <f t="shared" si="13"/>
        <v>5</v>
      </c>
      <c r="F158">
        <f t="shared" si="14"/>
        <v>0</v>
      </c>
      <c r="G158">
        <f t="shared" si="15"/>
        <v>10</v>
      </c>
      <c r="N158" s="32" t="s">
        <v>107</v>
      </c>
      <c r="O158" s="21">
        <v>7.6143919736526601E-3</v>
      </c>
      <c r="P158" s="21"/>
      <c r="Q158" s="21">
        <v>7.6143919736526601E-3</v>
      </c>
      <c r="S158" s="30">
        <v>11</v>
      </c>
      <c r="T158" s="23">
        <v>1.8158212576391289E-2</v>
      </c>
      <c r="U158" s="23">
        <v>4.258873389688559E-2</v>
      </c>
      <c r="V158" s="35">
        <v>0.71875</v>
      </c>
      <c r="W158" s="38">
        <f>GETPIVOTDATA("Average of Returns",$S$97,"Month",11)/GETPIVOTDATA("StdDev of Returns",$S$97,"Month",11)</f>
        <v>0.42636187824590754</v>
      </c>
    </row>
    <row r="159" spans="1:23" x14ac:dyDescent="0.25">
      <c r="A159" s="28">
        <v>40086</v>
      </c>
      <c r="B159" s="17">
        <v>3.5723345788458698E-2</v>
      </c>
      <c r="C159" t="str">
        <f t="shared" si="12"/>
        <v>Green</v>
      </c>
      <c r="D159">
        <f>VLOOKUP(A159,Recession!$A$1:$C$395,3,FALSE)</f>
        <v>25.610001</v>
      </c>
      <c r="E159">
        <f t="shared" si="13"/>
        <v>5</v>
      </c>
      <c r="F159">
        <f t="shared" si="14"/>
        <v>1</v>
      </c>
      <c r="G159">
        <f t="shared" si="15"/>
        <v>9</v>
      </c>
      <c r="N159" s="32" t="s">
        <v>130</v>
      </c>
      <c r="O159" s="21">
        <v>0.110446796386759</v>
      </c>
      <c r="P159" s="21"/>
      <c r="Q159" s="21">
        <v>0.110446796386759</v>
      </c>
      <c r="S159" s="37">
        <v>1</v>
      </c>
      <c r="T159" s="23">
        <v>3.0848871163675184E-2</v>
      </c>
      <c r="U159" s="23">
        <v>8.3417900584490841E-3</v>
      </c>
      <c r="V159" s="35">
        <v>1</v>
      </c>
      <c r="W159" s="35">
        <f>GETPIVOTDATA("Average of Returns",$S$97,"VIX buckets",S159,"Month",11)/GETPIVOTDATA("StdDev of Returns",$S$97,"VIX buckets",S159,"Month",11)</f>
        <v>3.6981116699801775</v>
      </c>
    </row>
    <row r="160" spans="1:23" x14ac:dyDescent="0.25">
      <c r="A160" s="28">
        <v>40056</v>
      </c>
      <c r="B160" s="17">
        <v>3.3560189240494899E-2</v>
      </c>
      <c r="C160" t="str">
        <f t="shared" si="12"/>
        <v>Green</v>
      </c>
      <c r="D160">
        <f>VLOOKUP(A160,Recession!$A$1:$C$395,3,FALSE)</f>
        <v>26.01</v>
      </c>
      <c r="E160">
        <f t="shared" si="13"/>
        <v>5</v>
      </c>
      <c r="F160">
        <f t="shared" si="14"/>
        <v>1</v>
      </c>
      <c r="G160">
        <f t="shared" si="15"/>
        <v>8</v>
      </c>
      <c r="N160" s="32" t="s">
        <v>131</v>
      </c>
      <c r="O160" s="21">
        <v>3.5970669787835301E-2</v>
      </c>
      <c r="P160" s="21"/>
      <c r="Q160" s="21">
        <v>3.5970669787835301E-2</v>
      </c>
      <c r="S160" s="37">
        <v>2</v>
      </c>
      <c r="T160" s="23">
        <v>9.5361083053850521E-3</v>
      </c>
      <c r="U160" s="23">
        <v>2.6870842886923943E-2</v>
      </c>
      <c r="V160" s="35">
        <v>0.75</v>
      </c>
      <c r="W160" s="35">
        <f t="shared" ref="W160:W163" si="19">GETPIVOTDATA("Average of Returns",$S$97,"VIX buckets",S160,"Month",11)/GETPIVOTDATA("StdDev of Returns",$S$97,"VIX buckets",S160,"Month",11)</f>
        <v>0.35488683200278665</v>
      </c>
    </row>
    <row r="161" spans="1:23" x14ac:dyDescent="0.25">
      <c r="A161" s="28">
        <v>40025</v>
      </c>
      <c r="B161" s="17">
        <v>7.4141727016716605E-2</v>
      </c>
      <c r="C161" t="str">
        <f t="shared" si="12"/>
        <v>Green</v>
      </c>
      <c r="D161">
        <f>VLOOKUP(A161,Recession!$A$1:$C$395,3,FALSE)</f>
        <v>25.92</v>
      </c>
      <c r="E161">
        <f t="shared" si="13"/>
        <v>5</v>
      </c>
      <c r="F161">
        <f t="shared" si="14"/>
        <v>1</v>
      </c>
      <c r="G161">
        <f t="shared" si="15"/>
        <v>7</v>
      </c>
      <c r="N161" s="32" t="s">
        <v>93</v>
      </c>
      <c r="O161" s="21">
        <v>1.5231357938579E-2</v>
      </c>
      <c r="P161" s="21"/>
      <c r="Q161" s="21">
        <v>1.5231357938579E-2</v>
      </c>
      <c r="S161" s="37">
        <v>3</v>
      </c>
      <c r="T161" s="23">
        <v>3.2788004123123812E-2</v>
      </c>
      <c r="U161" s="23">
        <v>3.5557504074229807E-2</v>
      </c>
      <c r="V161" s="35">
        <v>1</v>
      </c>
      <c r="W161" s="35">
        <f t="shared" si="19"/>
        <v>0.92211208229564179</v>
      </c>
    </row>
    <row r="162" spans="1:23" x14ac:dyDescent="0.25">
      <c r="A162" s="28">
        <v>39994</v>
      </c>
      <c r="B162" s="17">
        <v>1.9582653030303401E-4</v>
      </c>
      <c r="C162" t="str">
        <f t="shared" si="12"/>
        <v>Green</v>
      </c>
      <c r="D162">
        <f>VLOOKUP(A162,Recession!$A$1:$C$395,3,FALSE)</f>
        <v>26.35</v>
      </c>
      <c r="E162">
        <f t="shared" si="13"/>
        <v>5</v>
      </c>
      <c r="F162">
        <f t="shared" si="14"/>
        <v>1</v>
      </c>
      <c r="G162">
        <f t="shared" si="15"/>
        <v>6</v>
      </c>
      <c r="N162" s="30" t="s">
        <v>155</v>
      </c>
      <c r="O162" s="21">
        <v>0.23144349092845204</v>
      </c>
      <c r="P162" s="21">
        <v>-6.6717984122901836E-2</v>
      </c>
      <c r="Q162" s="21">
        <v>0.16472550680555018</v>
      </c>
      <c r="S162" s="37">
        <v>4</v>
      </c>
      <c r="T162" s="23">
        <v>2.4497176638865713E-2</v>
      </c>
      <c r="U162" s="23">
        <v>5.894173192041862E-2</v>
      </c>
      <c r="V162" s="35">
        <v>0.5714285714285714</v>
      </c>
      <c r="W162" s="35">
        <f t="shared" si="19"/>
        <v>0.41561684464822096</v>
      </c>
    </row>
    <row r="163" spans="1:23" x14ac:dyDescent="0.25">
      <c r="A163" s="28">
        <v>39962</v>
      </c>
      <c r="B163" s="17">
        <v>5.3081446255385502E-2</v>
      </c>
      <c r="C163" t="str">
        <f t="shared" si="12"/>
        <v>Green</v>
      </c>
      <c r="D163">
        <f>VLOOKUP(A163,Recession!$A$1:$C$395,3,FALSE)</f>
        <v>28.92</v>
      </c>
      <c r="E163">
        <f t="shared" si="13"/>
        <v>5</v>
      </c>
      <c r="F163">
        <f t="shared" si="14"/>
        <v>1</v>
      </c>
      <c r="G163">
        <f t="shared" si="15"/>
        <v>5</v>
      </c>
      <c r="N163" s="32" t="s">
        <v>122</v>
      </c>
      <c r="O163" s="21">
        <v>3.3134272135482798E-2</v>
      </c>
      <c r="P163" s="21"/>
      <c r="Q163" s="21">
        <v>3.3134272135482798E-2</v>
      </c>
      <c r="S163" s="37">
        <v>5</v>
      </c>
      <c r="T163" s="23">
        <v>6.229557522244784E-3</v>
      </c>
      <c r="U163" s="23">
        <v>5.8345512682944196E-2</v>
      </c>
      <c r="V163" s="35">
        <v>0.5</v>
      </c>
      <c r="W163" s="35">
        <f t="shared" si="19"/>
        <v>0.10677012225596287</v>
      </c>
    </row>
    <row r="164" spans="1:23" x14ac:dyDescent="0.25">
      <c r="A164" s="28">
        <v>39933</v>
      </c>
      <c r="B164" s="17">
        <v>9.3925079862164695E-2</v>
      </c>
      <c r="C164" t="str">
        <f t="shared" si="12"/>
        <v>Green</v>
      </c>
      <c r="D164">
        <f>VLOOKUP(A164,Recession!$A$1:$C$395,3,FALSE)</f>
        <v>36.5</v>
      </c>
      <c r="E164">
        <f t="shared" si="13"/>
        <v>5</v>
      </c>
      <c r="F164">
        <f t="shared" si="14"/>
        <v>1</v>
      </c>
      <c r="G164">
        <f t="shared" si="15"/>
        <v>4</v>
      </c>
      <c r="N164" s="32" t="s">
        <v>123</v>
      </c>
      <c r="O164" s="21">
        <v>1.8995147577526302E-2</v>
      </c>
      <c r="P164" s="21"/>
      <c r="Q164" s="21">
        <v>1.8995147577526302E-2</v>
      </c>
      <c r="S164" s="30">
        <v>12</v>
      </c>
      <c r="T164" s="23">
        <v>1.5196037031257889E-2</v>
      </c>
      <c r="U164" s="23">
        <v>3.5805811904862005E-2</v>
      </c>
      <c r="V164" s="35">
        <v>0.78125</v>
      </c>
      <c r="W164" s="38">
        <f>GETPIVOTDATA("Average of Returns",$S$97,"Month",12)/GETPIVOTDATA("StdDev of Returns",$S$97,"Month",12)</f>
        <v>0.424401409235869</v>
      </c>
    </row>
    <row r="165" spans="1:23" x14ac:dyDescent="0.25">
      <c r="A165" s="28">
        <v>39903</v>
      </c>
      <c r="B165" s="17">
        <v>8.5404461622494696E-2</v>
      </c>
      <c r="C165" t="str">
        <f t="shared" si="12"/>
        <v>Green</v>
      </c>
      <c r="D165">
        <f>VLOOKUP(A165,Recession!$A$1:$C$395,3,FALSE)</f>
        <v>44.139999000000003</v>
      </c>
      <c r="E165">
        <f t="shared" si="13"/>
        <v>5</v>
      </c>
      <c r="F165">
        <f t="shared" si="14"/>
        <v>1</v>
      </c>
      <c r="G165">
        <f t="shared" si="15"/>
        <v>3</v>
      </c>
      <c r="N165" s="32" t="s">
        <v>124</v>
      </c>
      <c r="O165" s="21">
        <v>3.30947525745608E-2</v>
      </c>
      <c r="P165" s="21"/>
      <c r="Q165" s="21">
        <v>3.30947525745608E-2</v>
      </c>
      <c r="S165" s="37">
        <v>1</v>
      </c>
      <c r="T165" s="23">
        <v>9.8563129893748953E-3</v>
      </c>
      <c r="U165" s="23">
        <v>6.0354275613480985E-3</v>
      </c>
      <c r="V165" s="35">
        <v>0.83333333333333337</v>
      </c>
      <c r="W165" s="35">
        <f>GETPIVOTDATA("Average of Returns",$S$97,"VIX buckets",S165,"Month",12)/GETPIVOTDATA("StdDev of Returns",$S$97,"VIX buckets",S165,"Month",12)</f>
        <v>1.6330761804675438</v>
      </c>
    </row>
    <row r="166" spans="1:23" x14ac:dyDescent="0.25">
      <c r="A166" s="28">
        <v>39871</v>
      </c>
      <c r="B166" s="17">
        <v>-0.109931197571492</v>
      </c>
      <c r="C166" t="str">
        <f t="shared" si="12"/>
        <v>Red</v>
      </c>
      <c r="D166">
        <f>VLOOKUP(A166,Recession!$A$1:$C$395,3,FALSE)</f>
        <v>46.349997999999999</v>
      </c>
      <c r="E166">
        <f t="shared" si="13"/>
        <v>5</v>
      </c>
      <c r="F166">
        <f t="shared" si="14"/>
        <v>0</v>
      </c>
      <c r="G166">
        <f t="shared" si="15"/>
        <v>2</v>
      </c>
      <c r="N166" s="32" t="s">
        <v>125</v>
      </c>
      <c r="O166" s="21">
        <v>7.4986829727328605E-2</v>
      </c>
      <c r="P166" s="21"/>
      <c r="Q166" s="21">
        <v>7.4986829727328605E-2</v>
      </c>
      <c r="S166" s="37">
        <v>2</v>
      </c>
      <c r="T166" s="23">
        <v>2.3022140828529859E-2</v>
      </c>
      <c r="U166" s="23">
        <v>8.0398959589265996E-3</v>
      </c>
      <c r="V166" s="35">
        <v>1</v>
      </c>
      <c r="W166" s="35">
        <f t="shared" ref="W166:W169" si="20">GETPIVOTDATA("Average of Returns",$S$97,"VIX buckets",S166,"Month",12)/GETPIVOTDATA("StdDev of Returns",$S$97,"VIX buckets",S166,"Month",12)</f>
        <v>2.863487406571307</v>
      </c>
    </row>
    <row r="167" spans="1:23" x14ac:dyDescent="0.25">
      <c r="A167" s="28">
        <v>39843</v>
      </c>
      <c r="B167" s="17">
        <v>-8.5657342928314395E-2</v>
      </c>
      <c r="C167" t="str">
        <f t="shared" si="12"/>
        <v>Red</v>
      </c>
      <c r="D167">
        <f>VLOOKUP(A167,Recession!$A$1:$C$395,3,FALSE)</f>
        <v>44.84</v>
      </c>
      <c r="E167">
        <f t="shared" si="13"/>
        <v>5</v>
      </c>
      <c r="F167">
        <f t="shared" si="14"/>
        <v>0</v>
      </c>
      <c r="G167">
        <f t="shared" si="15"/>
        <v>1</v>
      </c>
      <c r="N167" s="32" t="s">
        <v>126</v>
      </c>
      <c r="O167" s="21"/>
      <c r="P167" s="21">
        <v>-1.24064592035834E-2</v>
      </c>
      <c r="Q167" s="21">
        <v>-1.24064592035834E-2</v>
      </c>
      <c r="S167" s="37">
        <v>3</v>
      </c>
      <c r="T167" s="23">
        <v>3.6659401034040924E-2</v>
      </c>
      <c r="U167" s="23">
        <v>4.5023328701857351E-2</v>
      </c>
      <c r="V167" s="35">
        <v>0.7142857142857143</v>
      </c>
      <c r="W167" s="35">
        <f t="shared" si="20"/>
        <v>0.81423124613459796</v>
      </c>
    </row>
    <row r="168" spans="1:23" x14ac:dyDescent="0.25">
      <c r="A168" s="28">
        <v>39813</v>
      </c>
      <c r="B168" s="17">
        <v>7.8215768970539799E-3</v>
      </c>
      <c r="C168" t="str">
        <f t="shared" si="12"/>
        <v>Green</v>
      </c>
      <c r="D168">
        <f>VLOOKUP(A168,Recession!$A$1:$C$395,3,FALSE)</f>
        <v>40</v>
      </c>
      <c r="E168">
        <f t="shared" si="13"/>
        <v>5</v>
      </c>
      <c r="F168">
        <f t="shared" si="14"/>
        <v>1</v>
      </c>
      <c r="G168">
        <f t="shared" si="15"/>
        <v>12</v>
      </c>
      <c r="N168" s="32" t="s">
        <v>127</v>
      </c>
      <c r="O168" s="21">
        <v>3.2329577143479102E-2</v>
      </c>
      <c r="P168" s="21"/>
      <c r="Q168" s="21">
        <v>3.2329577143479102E-2</v>
      </c>
      <c r="S168" s="37">
        <v>4</v>
      </c>
      <c r="T168" s="23">
        <v>1.4121448536891616E-2</v>
      </c>
      <c r="U168" s="23">
        <v>2.446932376170198E-2</v>
      </c>
      <c r="V168" s="35">
        <v>0.75</v>
      </c>
      <c r="W168" s="35">
        <f t="shared" si="20"/>
        <v>0.57710824681611017</v>
      </c>
    </row>
    <row r="169" spans="1:23" x14ac:dyDescent="0.25">
      <c r="A169" s="28">
        <v>39780</v>
      </c>
      <c r="B169" s="17">
        <v>-7.4849042580645203E-2</v>
      </c>
      <c r="C169" t="str">
        <f t="shared" si="12"/>
        <v>Red</v>
      </c>
      <c r="D169">
        <f>VLOOKUP(A169,Recession!$A$1:$C$395,3,FALSE)</f>
        <v>55.279998999999997</v>
      </c>
      <c r="E169">
        <f t="shared" si="13"/>
        <v>5</v>
      </c>
      <c r="F169">
        <f t="shared" si="14"/>
        <v>0</v>
      </c>
      <c r="G169">
        <f t="shared" si="15"/>
        <v>11</v>
      </c>
      <c r="N169" s="32" t="s">
        <v>128</v>
      </c>
      <c r="O169" s="21"/>
      <c r="P169" s="21">
        <v>-3.0303036448956201E-2</v>
      </c>
      <c r="Q169" s="21">
        <v>-3.0303036448956201E-2</v>
      </c>
      <c r="S169" s="37">
        <v>5</v>
      </c>
      <c r="T169" s="23">
        <v>-9.5937987686776135E-3</v>
      </c>
      <c r="U169" s="23">
        <v>5.5768652581985621E-2</v>
      </c>
      <c r="V169" s="35">
        <v>0.66666666666666663</v>
      </c>
      <c r="W169" s="35">
        <f t="shared" si="20"/>
        <v>-0.17202852004670094</v>
      </c>
    </row>
    <row r="170" spans="1:23" x14ac:dyDescent="0.25">
      <c r="A170" s="28">
        <v>39752</v>
      </c>
      <c r="B170" s="17">
        <v>-0.16942452376742001</v>
      </c>
      <c r="C170" t="str">
        <f t="shared" si="12"/>
        <v>Red</v>
      </c>
      <c r="D170">
        <f>VLOOKUP(A170,Recession!$A$1:$C$395,3,FALSE)</f>
        <v>59.889999000000003</v>
      </c>
      <c r="E170">
        <f t="shared" si="13"/>
        <v>5</v>
      </c>
      <c r="F170">
        <f t="shared" si="14"/>
        <v>0</v>
      </c>
      <c r="G170">
        <f t="shared" si="15"/>
        <v>10</v>
      </c>
      <c r="N170" s="32" t="s">
        <v>129</v>
      </c>
      <c r="O170" s="21">
        <v>1.1318873170753901E-2</v>
      </c>
      <c r="P170" s="21"/>
      <c r="Q170" s="21">
        <v>1.1318873170753901E-2</v>
      </c>
      <c r="S170" s="30" t="s">
        <v>92</v>
      </c>
      <c r="T170" s="23">
        <v>6.8229943309084306E-3</v>
      </c>
      <c r="U170" s="23">
        <v>4.2843160790875148E-2</v>
      </c>
      <c r="V170" s="35">
        <v>0.63451776649746194</v>
      </c>
      <c r="W170" s="35">
        <f>GETPIVOTDATA("Average of Returns",$S$97)/GETPIVOTDATA("StdDev of Returns",$S$97)</f>
        <v>0.15925515776514815</v>
      </c>
    </row>
    <row r="171" spans="1:23" x14ac:dyDescent="0.25">
      <c r="A171" s="28">
        <v>39721</v>
      </c>
      <c r="B171" s="17">
        <v>-9.0791433779084593E-2</v>
      </c>
      <c r="C171" t="str">
        <f t="shared" si="12"/>
        <v>Red</v>
      </c>
      <c r="D171">
        <f>VLOOKUP(A171,Recession!$A$1:$C$395,3,FALSE)</f>
        <v>39.389999000000003</v>
      </c>
      <c r="E171">
        <f t="shared" si="13"/>
        <v>5</v>
      </c>
      <c r="F171">
        <f t="shared" si="14"/>
        <v>0</v>
      </c>
      <c r="G171">
        <f t="shared" si="15"/>
        <v>9</v>
      </c>
      <c r="N171" s="32" t="s">
        <v>107</v>
      </c>
      <c r="O171" s="21">
        <v>1.01582302977457E-2</v>
      </c>
      <c r="P171" s="21"/>
      <c r="Q171" s="21">
        <v>1.01582302977457E-2</v>
      </c>
    </row>
    <row r="172" spans="1:23" x14ac:dyDescent="0.25">
      <c r="A172" s="28">
        <v>39689</v>
      </c>
      <c r="B172" s="17">
        <v>1.2190464532379999E-2</v>
      </c>
      <c r="C172" t="str">
        <f t="shared" si="12"/>
        <v>Green</v>
      </c>
      <c r="D172">
        <f>VLOOKUP(A172,Recession!$A$1:$C$395,3,FALSE)</f>
        <v>20.65</v>
      </c>
      <c r="E172">
        <f t="shared" si="13"/>
        <v>4</v>
      </c>
      <c r="F172">
        <f t="shared" si="14"/>
        <v>1</v>
      </c>
      <c r="G172">
        <f t="shared" si="15"/>
        <v>8</v>
      </c>
      <c r="N172" s="32" t="s">
        <v>130</v>
      </c>
      <c r="O172" s="21"/>
      <c r="P172" s="21">
        <v>-1.5174347526823499E-2</v>
      </c>
      <c r="Q172" s="21">
        <v>-1.5174347526823499E-2</v>
      </c>
    </row>
    <row r="173" spans="1:23" x14ac:dyDescent="0.25">
      <c r="A173" s="28">
        <v>39660</v>
      </c>
      <c r="B173" s="17">
        <v>-9.8593710937500099E-3</v>
      </c>
      <c r="C173" t="str">
        <f t="shared" si="12"/>
        <v>Red</v>
      </c>
      <c r="D173">
        <f>VLOOKUP(A173,Recession!$A$1:$C$395,3,FALSE)</f>
        <v>22.940000999999999</v>
      </c>
      <c r="E173">
        <f t="shared" si="13"/>
        <v>4</v>
      </c>
      <c r="F173">
        <f t="shared" si="14"/>
        <v>0</v>
      </c>
      <c r="G173">
        <f t="shared" si="15"/>
        <v>7</v>
      </c>
      <c r="N173" s="32" t="s">
        <v>131</v>
      </c>
      <c r="O173" s="21">
        <v>1.7425808301574801E-2</v>
      </c>
      <c r="P173" s="21"/>
      <c r="Q173" s="21">
        <v>1.7425808301574801E-2</v>
      </c>
    </row>
    <row r="174" spans="1:23" x14ac:dyDescent="0.25">
      <c r="A174" s="28">
        <v>39629</v>
      </c>
      <c r="B174" s="17">
        <v>-8.5962384902803599E-2</v>
      </c>
      <c r="C174" t="str">
        <f t="shared" si="12"/>
        <v>Red</v>
      </c>
      <c r="D174">
        <f>VLOOKUP(A174,Recession!$A$1:$C$395,3,FALSE)</f>
        <v>23.950001</v>
      </c>
      <c r="E174">
        <f t="shared" si="13"/>
        <v>4</v>
      </c>
      <c r="F174">
        <f t="shared" si="14"/>
        <v>0</v>
      </c>
      <c r="G174">
        <f t="shared" si="15"/>
        <v>6</v>
      </c>
      <c r="N174" s="32" t="s">
        <v>93</v>
      </c>
      <c r="O174" s="21"/>
      <c r="P174" s="21">
        <v>-8.8341409435387392E-3</v>
      </c>
      <c r="Q174" s="21">
        <v>-8.8341409435387392E-3</v>
      </c>
    </row>
    <row r="175" spans="1:23" x14ac:dyDescent="0.25">
      <c r="A175" s="28">
        <v>39598</v>
      </c>
      <c r="B175" s="17">
        <v>1.06741816575771E-2</v>
      </c>
      <c r="C175" t="str">
        <f t="shared" si="12"/>
        <v>Green</v>
      </c>
      <c r="D175">
        <f>VLOOKUP(A175,Recession!$A$1:$C$395,3,FALSE)</f>
        <v>17.829999999999998</v>
      </c>
      <c r="E175">
        <f t="shared" si="13"/>
        <v>3</v>
      </c>
      <c r="F175">
        <f t="shared" si="14"/>
        <v>1</v>
      </c>
      <c r="G175">
        <f t="shared" si="15"/>
        <v>5</v>
      </c>
      <c r="N175" s="30" t="s">
        <v>148</v>
      </c>
      <c r="O175" s="21">
        <v>0.21848792137538456</v>
      </c>
      <c r="P175" s="21">
        <v>-9.62456194654394E-2</v>
      </c>
      <c r="Q175" s="21">
        <v>0.12224230190994517</v>
      </c>
    </row>
    <row r="176" spans="1:23" x14ac:dyDescent="0.25">
      <c r="A176" s="28">
        <v>39568</v>
      </c>
      <c r="B176" s="17">
        <v>4.7546697913198897E-2</v>
      </c>
      <c r="C176" t="str">
        <f t="shared" si="12"/>
        <v>Green</v>
      </c>
      <c r="D176">
        <f>VLOOKUP(A176,Recession!$A$1:$C$395,3,FALSE)</f>
        <v>20.790001</v>
      </c>
      <c r="E176">
        <f t="shared" si="13"/>
        <v>4</v>
      </c>
      <c r="F176">
        <f t="shared" si="14"/>
        <v>1</v>
      </c>
      <c r="G176">
        <f t="shared" si="15"/>
        <v>4</v>
      </c>
      <c r="N176" s="32" t="s">
        <v>122</v>
      </c>
      <c r="O176" s="21">
        <v>4.0432268573479903E-2</v>
      </c>
      <c r="P176" s="21"/>
      <c r="Q176" s="21">
        <v>4.0432268573479903E-2</v>
      </c>
    </row>
    <row r="177" spans="1:17" x14ac:dyDescent="0.25">
      <c r="A177" s="28">
        <v>39538</v>
      </c>
      <c r="B177" s="17">
        <v>-5.95962361452984E-3</v>
      </c>
      <c r="C177" t="str">
        <f t="shared" si="12"/>
        <v>Red</v>
      </c>
      <c r="D177">
        <f>VLOOKUP(A177,Recession!$A$1:$C$395,3,FALSE)</f>
        <v>25.610001</v>
      </c>
      <c r="E177">
        <f t="shared" si="13"/>
        <v>5</v>
      </c>
      <c r="F177">
        <f t="shared" si="14"/>
        <v>0</v>
      </c>
      <c r="G177">
        <f t="shared" si="15"/>
        <v>3</v>
      </c>
      <c r="N177" s="32" t="s">
        <v>123</v>
      </c>
      <c r="O177" s="21">
        <v>4.1817402681285899E-2</v>
      </c>
      <c r="P177" s="21"/>
      <c r="Q177" s="21">
        <v>4.1817402681285899E-2</v>
      </c>
    </row>
    <row r="178" spans="1:17" x14ac:dyDescent="0.25">
      <c r="A178" s="28">
        <v>39507</v>
      </c>
      <c r="B178" s="17">
        <v>-3.4761192772624502E-2</v>
      </c>
      <c r="C178" t="str">
        <f t="shared" si="12"/>
        <v>Red</v>
      </c>
      <c r="D178">
        <f>VLOOKUP(A178,Recession!$A$1:$C$395,3,FALSE)</f>
        <v>26.540001</v>
      </c>
      <c r="E178">
        <f t="shared" si="13"/>
        <v>5</v>
      </c>
      <c r="F178">
        <f t="shared" si="14"/>
        <v>0</v>
      </c>
      <c r="G178">
        <f t="shared" si="15"/>
        <v>2</v>
      </c>
      <c r="N178" s="32" t="s">
        <v>124</v>
      </c>
      <c r="O178" s="21"/>
      <c r="P178" s="21">
        <v>-3.33432595272838E-2</v>
      </c>
      <c r="Q178" s="21">
        <v>-3.33432595272838E-2</v>
      </c>
    </row>
    <row r="179" spans="1:17" x14ac:dyDescent="0.25">
      <c r="A179" s="28">
        <v>39478</v>
      </c>
      <c r="B179" s="17">
        <v>-6.1163431935936402E-2</v>
      </c>
      <c r="C179" t="str">
        <f t="shared" si="12"/>
        <v>Red</v>
      </c>
      <c r="D179">
        <f>VLOOKUP(A179,Recession!$A$1:$C$395,3,FALSE)</f>
        <v>26.200001</v>
      </c>
      <c r="E179">
        <f t="shared" si="13"/>
        <v>5</v>
      </c>
      <c r="F179">
        <f t="shared" si="14"/>
        <v>0</v>
      </c>
      <c r="G179">
        <f t="shared" si="15"/>
        <v>1</v>
      </c>
      <c r="N179" s="32" t="s">
        <v>125</v>
      </c>
      <c r="O179" s="21">
        <v>9.4247435537442303E-3</v>
      </c>
      <c r="P179" s="21"/>
      <c r="Q179" s="21">
        <v>9.4247435537442303E-3</v>
      </c>
    </row>
    <row r="180" spans="1:17" x14ac:dyDescent="0.25">
      <c r="A180" s="28">
        <v>39447</v>
      </c>
      <c r="B180" s="17">
        <v>-8.6285090339686104E-3</v>
      </c>
      <c r="C180" t="str">
        <f t="shared" si="12"/>
        <v>Red</v>
      </c>
      <c r="D180">
        <f>VLOOKUP(A180,Recession!$A$1:$C$395,3,FALSE)</f>
        <v>22.5</v>
      </c>
      <c r="E180">
        <f t="shared" si="13"/>
        <v>4</v>
      </c>
      <c r="F180">
        <f t="shared" si="14"/>
        <v>0</v>
      </c>
      <c r="G180">
        <f t="shared" si="15"/>
        <v>12</v>
      </c>
      <c r="N180" s="32" t="s">
        <v>126</v>
      </c>
      <c r="O180" s="21">
        <v>3.1761261289926499E-3</v>
      </c>
      <c r="P180" s="21"/>
      <c r="Q180" s="21">
        <v>3.1761261289926499E-3</v>
      </c>
    </row>
    <row r="181" spans="1:17" x14ac:dyDescent="0.25">
      <c r="A181" s="28">
        <v>39416</v>
      </c>
      <c r="B181" s="17">
        <v>-4.4043417224814398E-2</v>
      </c>
      <c r="C181" t="str">
        <f t="shared" si="12"/>
        <v>Red</v>
      </c>
      <c r="D181">
        <f>VLOOKUP(A181,Recession!$A$1:$C$395,3,FALSE)</f>
        <v>22.870000999999998</v>
      </c>
      <c r="E181">
        <f t="shared" si="13"/>
        <v>4</v>
      </c>
      <c r="F181">
        <f t="shared" si="14"/>
        <v>0</v>
      </c>
      <c r="G181">
        <f t="shared" si="15"/>
        <v>11</v>
      </c>
      <c r="N181" s="32" t="s">
        <v>127</v>
      </c>
      <c r="O181" s="21">
        <v>4.3256010935977897E-2</v>
      </c>
      <c r="P181" s="21"/>
      <c r="Q181" s="21">
        <v>4.3256010935977897E-2</v>
      </c>
    </row>
    <row r="182" spans="1:17" x14ac:dyDescent="0.25">
      <c r="A182" s="28">
        <v>39386</v>
      </c>
      <c r="B182" s="17">
        <v>1.48223383003112E-2</v>
      </c>
      <c r="C182" t="str">
        <f t="shared" si="12"/>
        <v>Green</v>
      </c>
      <c r="D182">
        <f>VLOOKUP(A182,Recession!$A$1:$C$395,3,FALSE)</f>
        <v>18.530000999999999</v>
      </c>
      <c r="E182">
        <f t="shared" si="13"/>
        <v>3</v>
      </c>
      <c r="F182">
        <f t="shared" si="14"/>
        <v>1</v>
      </c>
      <c r="G182">
        <f t="shared" si="15"/>
        <v>10</v>
      </c>
      <c r="N182" s="32" t="s">
        <v>128</v>
      </c>
      <c r="O182" s="21"/>
      <c r="P182" s="21">
        <v>-5.4113747714807899E-3</v>
      </c>
      <c r="Q182" s="21">
        <v>-5.4113747714807899E-3</v>
      </c>
    </row>
    <row r="183" spans="1:17" x14ac:dyDescent="0.25">
      <c r="A183" s="28">
        <v>39353</v>
      </c>
      <c r="B183" s="17">
        <v>3.5794008343299502E-2</v>
      </c>
      <c r="C183" t="str">
        <f t="shared" si="12"/>
        <v>Green</v>
      </c>
      <c r="D183">
        <f>VLOOKUP(A183,Recession!$A$1:$C$395,3,FALSE)</f>
        <v>18</v>
      </c>
      <c r="E183">
        <f t="shared" si="13"/>
        <v>3</v>
      </c>
      <c r="F183">
        <f t="shared" si="14"/>
        <v>1</v>
      </c>
      <c r="G183">
        <f t="shared" si="15"/>
        <v>9</v>
      </c>
      <c r="N183" s="32" t="s">
        <v>129</v>
      </c>
      <c r="O183" s="21"/>
      <c r="P183" s="21">
        <v>-3.8600104494526701E-2</v>
      </c>
      <c r="Q183" s="21">
        <v>-3.8600104494526701E-2</v>
      </c>
    </row>
    <row r="184" spans="1:17" x14ac:dyDescent="0.25">
      <c r="A184" s="28">
        <v>39325</v>
      </c>
      <c r="B184" s="17">
        <v>1.2863571531556799E-2</v>
      </c>
      <c r="C184" t="str">
        <f t="shared" si="12"/>
        <v>Green</v>
      </c>
      <c r="D184">
        <f>VLOOKUP(A184,Recession!$A$1:$C$395,3,FALSE)</f>
        <v>23.379999000000002</v>
      </c>
      <c r="E184">
        <f t="shared" si="13"/>
        <v>4</v>
      </c>
      <c r="F184">
        <f t="shared" si="14"/>
        <v>1</v>
      </c>
      <c r="G184">
        <f t="shared" si="15"/>
        <v>8</v>
      </c>
      <c r="N184" s="32" t="s">
        <v>107</v>
      </c>
      <c r="O184" s="21">
        <v>3.9729334035724498E-2</v>
      </c>
      <c r="P184" s="21"/>
      <c r="Q184" s="21">
        <v>3.9729334035724498E-2</v>
      </c>
    </row>
    <row r="185" spans="1:17" x14ac:dyDescent="0.25">
      <c r="A185" s="28">
        <v>39294</v>
      </c>
      <c r="B185" s="17">
        <v>-3.1981878316802499E-2</v>
      </c>
      <c r="C185" t="str">
        <f t="shared" si="12"/>
        <v>Red</v>
      </c>
      <c r="D185">
        <f>VLOOKUP(A185,Recession!$A$1:$C$395,3,FALSE)</f>
        <v>23.52</v>
      </c>
      <c r="E185">
        <f t="shared" si="13"/>
        <v>4</v>
      </c>
      <c r="F185">
        <f t="shared" si="14"/>
        <v>0</v>
      </c>
      <c r="G185">
        <f t="shared" si="15"/>
        <v>7</v>
      </c>
      <c r="N185" s="32" t="s">
        <v>130</v>
      </c>
      <c r="O185" s="21">
        <v>2.5964462124019601E-2</v>
      </c>
      <c r="P185" s="21"/>
      <c r="Q185" s="21">
        <v>2.5964462124019601E-2</v>
      </c>
    </row>
    <row r="186" spans="1:17" x14ac:dyDescent="0.25">
      <c r="A186" s="28">
        <v>39262</v>
      </c>
      <c r="B186" s="17">
        <v>-1.7816322202167601E-2</v>
      </c>
      <c r="C186" t="str">
        <f t="shared" si="12"/>
        <v>Red</v>
      </c>
      <c r="D186">
        <f>VLOOKUP(A186,Recession!$A$1:$C$395,3,FALSE)</f>
        <v>16.23</v>
      </c>
      <c r="E186">
        <f t="shared" si="13"/>
        <v>3</v>
      </c>
      <c r="F186">
        <f t="shared" si="14"/>
        <v>0</v>
      </c>
      <c r="G186">
        <f t="shared" si="15"/>
        <v>6</v>
      </c>
      <c r="N186" s="32" t="s">
        <v>131</v>
      </c>
      <c r="O186" s="21"/>
      <c r="P186" s="21">
        <v>-1.88908806721481E-2</v>
      </c>
      <c r="Q186" s="21">
        <v>-1.88908806721481E-2</v>
      </c>
    </row>
    <row r="187" spans="1:17" x14ac:dyDescent="0.25">
      <c r="A187" s="28">
        <v>39233</v>
      </c>
      <c r="B187" s="17">
        <v>3.2549228709934902E-2</v>
      </c>
      <c r="C187" t="str">
        <f t="shared" si="12"/>
        <v>Green</v>
      </c>
      <c r="D187">
        <f>VLOOKUP(A187,Recession!$A$1:$C$395,3,FALSE)</f>
        <v>13.05</v>
      </c>
      <c r="E187">
        <f t="shared" si="13"/>
        <v>1</v>
      </c>
      <c r="F187">
        <f t="shared" si="14"/>
        <v>1</v>
      </c>
      <c r="G187">
        <f t="shared" si="15"/>
        <v>5</v>
      </c>
      <c r="N187" s="32" t="s">
        <v>93</v>
      </c>
      <c r="O187" s="21">
        <v>1.46875733421599E-2</v>
      </c>
      <c r="P187" s="21"/>
      <c r="Q187" s="21">
        <v>1.46875733421599E-2</v>
      </c>
    </row>
    <row r="188" spans="1:17" x14ac:dyDescent="0.25">
      <c r="A188" s="28">
        <v>39202</v>
      </c>
      <c r="B188" s="17">
        <v>4.3290690602424201E-2</v>
      </c>
      <c r="C188" t="str">
        <f t="shared" si="12"/>
        <v>Green</v>
      </c>
      <c r="D188">
        <f>VLOOKUP(A188,Recession!$A$1:$C$395,3,FALSE)</f>
        <v>14.22</v>
      </c>
      <c r="E188">
        <f t="shared" si="13"/>
        <v>2</v>
      </c>
      <c r="F188">
        <f t="shared" si="14"/>
        <v>1</v>
      </c>
      <c r="G188">
        <f t="shared" si="15"/>
        <v>4</v>
      </c>
      <c r="N188" s="30" t="s">
        <v>149</v>
      </c>
      <c r="O188" s="21">
        <v>0.31899330265800824</v>
      </c>
      <c r="P188" s="21">
        <v>-6.8588522655051942E-2</v>
      </c>
      <c r="Q188" s="21">
        <v>0.25040478000295624</v>
      </c>
    </row>
    <row r="189" spans="1:17" x14ac:dyDescent="0.25">
      <c r="A189" s="28">
        <v>39171</v>
      </c>
      <c r="B189" s="17">
        <v>9.9799828968305491E-3</v>
      </c>
      <c r="C189" t="str">
        <f t="shared" si="12"/>
        <v>Green</v>
      </c>
      <c r="D189">
        <f>VLOOKUP(A189,Recession!$A$1:$C$395,3,FALSE)</f>
        <v>14.64</v>
      </c>
      <c r="E189">
        <f t="shared" si="13"/>
        <v>2</v>
      </c>
      <c r="F189">
        <f t="shared" si="14"/>
        <v>1</v>
      </c>
      <c r="G189">
        <f t="shared" si="15"/>
        <v>3</v>
      </c>
      <c r="N189" s="32" t="s">
        <v>122</v>
      </c>
      <c r="O189" s="21">
        <v>7.1114791620643797E-2</v>
      </c>
      <c r="P189" s="21"/>
      <c r="Q189" s="21">
        <v>7.1114791620643797E-2</v>
      </c>
    </row>
    <row r="190" spans="1:17" x14ac:dyDescent="0.25">
      <c r="A190" s="28">
        <v>39141</v>
      </c>
      <c r="B190" s="17">
        <v>-2.1846176033528199E-2</v>
      </c>
      <c r="C190" t="str">
        <f t="shared" si="12"/>
        <v>Red</v>
      </c>
      <c r="D190">
        <f>VLOOKUP(A190,Recession!$A$1:$C$395,3,FALSE)</f>
        <v>15.42</v>
      </c>
      <c r="E190">
        <f t="shared" si="13"/>
        <v>2</v>
      </c>
      <c r="F190">
        <f t="shared" si="14"/>
        <v>0</v>
      </c>
      <c r="G190">
        <f t="shared" si="15"/>
        <v>2</v>
      </c>
      <c r="N190" s="32" t="s">
        <v>123</v>
      </c>
      <c r="O190" s="21"/>
      <c r="P190" s="21">
        <v>-2.8944148892513202E-2</v>
      </c>
      <c r="Q190" s="21">
        <v>-2.8944148892513202E-2</v>
      </c>
    </row>
    <row r="191" spans="1:17" x14ac:dyDescent="0.25">
      <c r="A191" s="28">
        <v>39113</v>
      </c>
      <c r="B191" s="17">
        <v>1.4059042735039801E-2</v>
      </c>
      <c r="C191" t="str">
        <f t="shared" si="12"/>
        <v>Green</v>
      </c>
      <c r="D191">
        <f>VLOOKUP(A191,Recession!$A$1:$C$395,3,FALSE)</f>
        <v>10.42</v>
      </c>
      <c r="E191">
        <f t="shared" si="13"/>
        <v>1</v>
      </c>
      <c r="F191">
        <f t="shared" si="14"/>
        <v>1</v>
      </c>
      <c r="G191">
        <f t="shared" si="15"/>
        <v>1</v>
      </c>
      <c r="N191" s="32" t="s">
        <v>124</v>
      </c>
      <c r="O191" s="21">
        <v>2.0805962445785E-2</v>
      </c>
      <c r="P191" s="21"/>
      <c r="Q191" s="21">
        <v>2.0805962445785E-2</v>
      </c>
    </row>
    <row r="192" spans="1:17" x14ac:dyDescent="0.25">
      <c r="A192" s="28">
        <v>39080</v>
      </c>
      <c r="B192" s="17">
        <v>1.26157828526599E-2</v>
      </c>
      <c r="C192" t="str">
        <f t="shared" si="12"/>
        <v>Green</v>
      </c>
      <c r="D192">
        <f>VLOOKUP(A192,Recession!$A$1:$C$395,3,FALSE)</f>
        <v>11.56</v>
      </c>
      <c r="E192">
        <f t="shared" si="13"/>
        <v>1</v>
      </c>
      <c r="F192">
        <f t="shared" si="14"/>
        <v>1</v>
      </c>
      <c r="G192">
        <f t="shared" si="15"/>
        <v>12</v>
      </c>
      <c r="N192" s="32" t="s">
        <v>125</v>
      </c>
      <c r="O192" s="21">
        <v>5.0089938788108898E-2</v>
      </c>
      <c r="P192" s="21"/>
      <c r="Q192" s="21">
        <v>5.0089938788108898E-2</v>
      </c>
    </row>
    <row r="193" spans="1:17" x14ac:dyDescent="0.25">
      <c r="A193" s="28">
        <v>39051</v>
      </c>
      <c r="B193" s="17">
        <v>1.64666567278202E-2</v>
      </c>
      <c r="C193" t="str">
        <f t="shared" si="12"/>
        <v>Green</v>
      </c>
      <c r="D193">
        <f>VLOOKUP(A193,Recession!$A$1:$C$395,3,FALSE)</f>
        <v>10.91</v>
      </c>
      <c r="E193">
        <f t="shared" si="13"/>
        <v>1</v>
      </c>
      <c r="F193">
        <f t="shared" si="14"/>
        <v>1</v>
      </c>
      <c r="G193">
        <f t="shared" si="15"/>
        <v>11</v>
      </c>
      <c r="N193" s="32" t="s">
        <v>126</v>
      </c>
      <c r="O193" s="21">
        <v>3.5137493453486698E-2</v>
      </c>
      <c r="P193" s="21"/>
      <c r="Q193" s="21">
        <v>3.5137493453486698E-2</v>
      </c>
    </row>
    <row r="194" spans="1:17" x14ac:dyDescent="0.25">
      <c r="A194" s="28">
        <v>39021</v>
      </c>
      <c r="B194" s="17">
        <v>3.1508002961554198E-2</v>
      </c>
      <c r="C194" t="str">
        <f t="shared" si="12"/>
        <v>Green</v>
      </c>
      <c r="D194">
        <f>VLOOKUP(A194,Recession!$A$1:$C$395,3,FALSE)</f>
        <v>11.1</v>
      </c>
      <c r="E194">
        <f t="shared" si="13"/>
        <v>1</v>
      </c>
      <c r="F194">
        <f t="shared" si="14"/>
        <v>1</v>
      </c>
      <c r="G194">
        <f t="shared" si="15"/>
        <v>10</v>
      </c>
      <c r="N194" s="32" t="s">
        <v>127</v>
      </c>
      <c r="O194" s="21"/>
      <c r="P194" s="21">
        <v>-7.9245541219584697E-3</v>
      </c>
      <c r="Q194" s="21">
        <v>-7.9245541219584697E-3</v>
      </c>
    </row>
    <row r="195" spans="1:17" x14ac:dyDescent="0.25">
      <c r="A195" s="28">
        <v>38989</v>
      </c>
      <c r="B195" s="17">
        <v>2.45662985125095E-2</v>
      </c>
      <c r="C195" t="str">
        <f t="shared" ref="C195:C258" si="21">IF(B195&gt;0,"Green","Red")</f>
        <v>Green</v>
      </c>
      <c r="D195">
        <f>VLOOKUP(A195,Recession!$A$1:$C$395,3,FALSE)</f>
        <v>11.98</v>
      </c>
      <c r="E195">
        <f t="shared" si="13"/>
        <v>1</v>
      </c>
      <c r="F195">
        <f t="shared" si="14"/>
        <v>1</v>
      </c>
      <c r="G195">
        <f t="shared" si="15"/>
        <v>9</v>
      </c>
      <c r="N195" s="32" t="s">
        <v>128</v>
      </c>
      <c r="O195" s="21">
        <v>8.8370259223621503E-2</v>
      </c>
      <c r="P195" s="21"/>
      <c r="Q195" s="21">
        <v>8.8370259223621503E-2</v>
      </c>
    </row>
    <row r="196" spans="1:17" x14ac:dyDescent="0.25">
      <c r="A196" s="28">
        <v>38960</v>
      </c>
      <c r="B196" s="17">
        <v>2.12741930323481E-2</v>
      </c>
      <c r="C196" t="str">
        <f t="shared" si="21"/>
        <v>Green</v>
      </c>
      <c r="D196">
        <f>VLOOKUP(A196,Recession!$A$1:$C$395,3,FALSE)</f>
        <v>12.31</v>
      </c>
      <c r="E196">
        <f t="shared" ref="E196:E259" si="22">IF(D196&gt;24.46,5,IF(D196&gt;19.71,4,IF(D196&gt;16.13,3,IF(D196&gt;13.19,2,1))))</f>
        <v>1</v>
      </c>
      <c r="F196">
        <f t="shared" ref="F196:F259" si="23">IF(B196&gt;0,1,0)</f>
        <v>1</v>
      </c>
      <c r="G196">
        <f t="shared" ref="G196:G259" si="24">MONTH(A196)</f>
        <v>8</v>
      </c>
      <c r="N196" s="32" t="s">
        <v>129</v>
      </c>
      <c r="O196" s="21">
        <v>1.5516716371120299E-2</v>
      </c>
      <c r="P196" s="21"/>
      <c r="Q196" s="21">
        <v>1.5516716371120299E-2</v>
      </c>
    </row>
    <row r="197" spans="1:17" x14ac:dyDescent="0.25">
      <c r="A197" s="28">
        <v>38929</v>
      </c>
      <c r="B197" s="17">
        <v>5.0858787979908299E-3</v>
      </c>
      <c r="C197" t="str">
        <f t="shared" si="21"/>
        <v>Green</v>
      </c>
      <c r="D197">
        <f>VLOOKUP(A197,Recession!$A$1:$C$395,3,FALSE)</f>
        <v>14.95</v>
      </c>
      <c r="E197">
        <f t="shared" si="22"/>
        <v>2</v>
      </c>
      <c r="F197">
        <f t="shared" si="23"/>
        <v>1</v>
      </c>
      <c r="G197">
        <f t="shared" si="24"/>
        <v>7</v>
      </c>
      <c r="N197" s="32" t="s">
        <v>107</v>
      </c>
      <c r="O197" s="21"/>
      <c r="P197" s="21">
        <v>-6.5443673964080702E-3</v>
      </c>
      <c r="Q197" s="21">
        <v>-6.5443673964080702E-3</v>
      </c>
    </row>
    <row r="198" spans="1:17" x14ac:dyDescent="0.25">
      <c r="A198" s="28">
        <v>38898</v>
      </c>
      <c r="B198" s="17">
        <v>8.6596227782509403E-5</v>
      </c>
      <c r="C198" t="str">
        <f t="shared" si="21"/>
        <v>Green</v>
      </c>
      <c r="D198">
        <f>VLOOKUP(A198,Recession!$A$1:$C$395,3,FALSE)</f>
        <v>13.08</v>
      </c>
      <c r="E198">
        <f t="shared" si="22"/>
        <v>1</v>
      </c>
      <c r="F198">
        <f t="shared" si="23"/>
        <v>1</v>
      </c>
      <c r="G198">
        <f t="shared" si="24"/>
        <v>6</v>
      </c>
      <c r="N198" s="32" t="s">
        <v>130</v>
      </c>
      <c r="O198" s="21"/>
      <c r="P198" s="21">
        <v>-2.5175452244172201E-2</v>
      </c>
      <c r="Q198" s="21">
        <v>-2.5175452244172201E-2</v>
      </c>
    </row>
    <row r="199" spans="1:17" x14ac:dyDescent="0.25">
      <c r="A199" s="28">
        <v>38868</v>
      </c>
      <c r="B199" s="17">
        <v>-3.0916916141150899E-2</v>
      </c>
      <c r="C199" t="str">
        <f t="shared" si="21"/>
        <v>Red</v>
      </c>
      <c r="D199">
        <f>VLOOKUP(A199,Recession!$A$1:$C$395,3,FALSE)</f>
        <v>16.440000999999999</v>
      </c>
      <c r="E199">
        <f t="shared" si="22"/>
        <v>3</v>
      </c>
      <c r="F199">
        <f t="shared" si="23"/>
        <v>0</v>
      </c>
      <c r="G199">
        <f t="shared" si="24"/>
        <v>5</v>
      </c>
      <c r="N199" s="32" t="s">
        <v>131</v>
      </c>
      <c r="O199" s="21">
        <v>1.65413246213417E-2</v>
      </c>
      <c r="P199" s="21"/>
      <c r="Q199" s="21">
        <v>1.65413246213417E-2</v>
      </c>
    </row>
    <row r="200" spans="1:17" x14ac:dyDescent="0.25">
      <c r="A200" s="28">
        <v>38835</v>
      </c>
      <c r="B200" s="17">
        <v>1.21556527379414E-2</v>
      </c>
      <c r="C200" t="str">
        <f t="shared" si="21"/>
        <v>Green</v>
      </c>
      <c r="D200">
        <f>VLOOKUP(A200,Recession!$A$1:$C$395,3,FALSE)</f>
        <v>11.59</v>
      </c>
      <c r="E200">
        <f t="shared" si="22"/>
        <v>1</v>
      </c>
      <c r="F200">
        <f t="shared" si="23"/>
        <v>1</v>
      </c>
      <c r="G200">
        <f t="shared" si="24"/>
        <v>4</v>
      </c>
      <c r="I200" s="22"/>
      <c r="N200" s="32" t="s">
        <v>93</v>
      </c>
      <c r="O200" s="21">
        <v>2.1416816133900299E-2</v>
      </c>
      <c r="P200" s="21"/>
      <c r="Q200" s="21">
        <v>2.1416816133900299E-2</v>
      </c>
    </row>
    <row r="201" spans="1:17" x14ac:dyDescent="0.25">
      <c r="A201" s="28">
        <v>38807</v>
      </c>
      <c r="B201" s="17">
        <v>1.10958104592496E-2</v>
      </c>
      <c r="C201" t="str">
        <f t="shared" si="21"/>
        <v>Green</v>
      </c>
      <c r="D201">
        <f>VLOOKUP(A201,Recession!$A$1:$C$395,3,FALSE)</f>
        <v>11.39</v>
      </c>
      <c r="E201">
        <f t="shared" si="22"/>
        <v>1</v>
      </c>
      <c r="F201">
        <f t="shared" si="23"/>
        <v>1</v>
      </c>
      <c r="G201">
        <f t="shared" si="24"/>
        <v>3</v>
      </c>
      <c r="N201" s="30" t="s">
        <v>150</v>
      </c>
      <c r="O201" s="21">
        <v>0.20954518783306933</v>
      </c>
      <c r="P201" s="21">
        <v>-0.26201059176836677</v>
      </c>
      <c r="Q201" s="21">
        <v>-5.2465403935297472E-2</v>
      </c>
    </row>
    <row r="202" spans="1:17" x14ac:dyDescent="0.25">
      <c r="A202" s="28">
        <v>38776</v>
      </c>
      <c r="B202" s="17">
        <v>4.53157630725398E-4</v>
      </c>
      <c r="C202" t="str">
        <f t="shared" si="21"/>
        <v>Green</v>
      </c>
      <c r="D202">
        <f>VLOOKUP(A202,Recession!$A$1:$C$395,3,FALSE)</f>
        <v>12.34</v>
      </c>
      <c r="E202">
        <f t="shared" si="22"/>
        <v>1</v>
      </c>
      <c r="F202">
        <f t="shared" si="23"/>
        <v>1</v>
      </c>
      <c r="G202">
        <f t="shared" si="24"/>
        <v>2</v>
      </c>
      <c r="N202" s="32" t="s">
        <v>122</v>
      </c>
      <c r="O202" s="21"/>
      <c r="P202" s="21">
        <v>-6.8817225277032601E-2</v>
      </c>
      <c r="Q202" s="21">
        <v>-6.8817225277032601E-2</v>
      </c>
    </row>
    <row r="203" spans="1:17" x14ac:dyDescent="0.25">
      <c r="A203" s="28">
        <v>38748</v>
      </c>
      <c r="B203" s="17">
        <v>2.5466771348641601E-2</v>
      </c>
      <c r="C203" t="str">
        <f t="shared" si="21"/>
        <v>Green</v>
      </c>
      <c r="D203">
        <f>VLOOKUP(A203,Recession!$A$1:$C$395,3,FALSE)</f>
        <v>12.95</v>
      </c>
      <c r="E203">
        <f t="shared" si="22"/>
        <v>1</v>
      </c>
      <c r="F203">
        <f t="shared" si="23"/>
        <v>1</v>
      </c>
      <c r="G203">
        <f t="shared" si="24"/>
        <v>1</v>
      </c>
      <c r="N203" s="32" t="s">
        <v>123</v>
      </c>
      <c r="O203" s="21">
        <v>8.5390425155207304E-3</v>
      </c>
      <c r="P203" s="21"/>
      <c r="Q203" s="21">
        <v>8.5390425155207304E-3</v>
      </c>
    </row>
    <row r="204" spans="1:17" x14ac:dyDescent="0.25">
      <c r="A204" s="28">
        <v>38716</v>
      </c>
      <c r="B204" s="17">
        <v>-9.5234899241847205E-4</v>
      </c>
      <c r="C204" t="str">
        <f t="shared" si="21"/>
        <v>Red</v>
      </c>
      <c r="D204">
        <f>VLOOKUP(A204,Recession!$A$1:$C$395,3,FALSE)</f>
        <v>12.07</v>
      </c>
      <c r="E204">
        <f t="shared" si="22"/>
        <v>1</v>
      </c>
      <c r="F204">
        <f t="shared" si="23"/>
        <v>0</v>
      </c>
      <c r="G204">
        <f t="shared" si="24"/>
        <v>12</v>
      </c>
      <c r="N204" s="32" t="s">
        <v>124</v>
      </c>
      <c r="O204" s="21">
        <v>2.4254983989199001E-2</v>
      </c>
      <c r="P204" s="21"/>
      <c r="Q204" s="21">
        <v>2.4254983989199001E-2</v>
      </c>
    </row>
    <row r="205" spans="1:17" x14ac:dyDescent="0.25">
      <c r="A205" s="28">
        <v>38686</v>
      </c>
      <c r="B205" s="17">
        <v>3.5186095929726498E-2</v>
      </c>
      <c r="C205" t="str">
        <f t="shared" si="21"/>
        <v>Green</v>
      </c>
      <c r="D205">
        <f>VLOOKUP(A205,Recession!$A$1:$C$395,3,FALSE)</f>
        <v>12.06</v>
      </c>
      <c r="E205">
        <f t="shared" si="22"/>
        <v>1</v>
      </c>
      <c r="F205">
        <f t="shared" si="23"/>
        <v>1</v>
      </c>
      <c r="G205">
        <f t="shared" si="24"/>
        <v>11</v>
      </c>
      <c r="N205" s="32" t="s">
        <v>125</v>
      </c>
      <c r="O205" s="21"/>
      <c r="P205" s="21">
        <v>-2.6887138748678398E-2</v>
      </c>
      <c r="Q205" s="21">
        <v>-2.6887138748678398E-2</v>
      </c>
    </row>
    <row r="206" spans="1:17" x14ac:dyDescent="0.25">
      <c r="A206" s="28">
        <v>38656</v>
      </c>
      <c r="B206" s="17">
        <v>-1.7740780066319399E-2</v>
      </c>
      <c r="C206" t="str">
        <f t="shared" si="21"/>
        <v>Red</v>
      </c>
      <c r="D206">
        <f>VLOOKUP(A206,Recession!$A$1:$C$395,3,FALSE)</f>
        <v>15.32</v>
      </c>
      <c r="E206">
        <f t="shared" si="22"/>
        <v>2</v>
      </c>
      <c r="F206">
        <f t="shared" si="23"/>
        <v>0</v>
      </c>
      <c r="G206">
        <f t="shared" si="24"/>
        <v>10</v>
      </c>
      <c r="N206" s="32" t="s">
        <v>126</v>
      </c>
      <c r="O206" s="21">
        <v>9.1989190156802597E-2</v>
      </c>
      <c r="P206" s="21"/>
      <c r="Q206" s="21">
        <v>9.1989190156802597E-2</v>
      </c>
    </row>
    <row r="207" spans="1:17" x14ac:dyDescent="0.25">
      <c r="A207" s="28">
        <v>38625</v>
      </c>
      <c r="B207" s="17">
        <v>6.9490246947603298E-3</v>
      </c>
      <c r="C207" t="str">
        <f t="shared" si="21"/>
        <v>Green</v>
      </c>
      <c r="D207">
        <f>VLOOKUP(A207,Recession!$A$1:$C$395,3,FALSE)</f>
        <v>11.92</v>
      </c>
      <c r="E207">
        <f t="shared" si="22"/>
        <v>1</v>
      </c>
      <c r="F207">
        <f t="shared" si="23"/>
        <v>1</v>
      </c>
      <c r="G207">
        <f t="shared" si="24"/>
        <v>9</v>
      </c>
      <c r="N207" s="32" t="s">
        <v>127</v>
      </c>
      <c r="O207" s="21"/>
      <c r="P207" s="21">
        <v>-8.8863657565815303E-3</v>
      </c>
      <c r="Q207" s="21">
        <v>-8.8863657565815303E-3</v>
      </c>
    </row>
    <row r="208" spans="1:17" x14ac:dyDescent="0.25">
      <c r="A208" s="28">
        <v>38595</v>
      </c>
      <c r="B208" s="17">
        <v>-1.12221048744966E-2</v>
      </c>
      <c r="C208" t="str">
        <f t="shared" si="21"/>
        <v>Red</v>
      </c>
      <c r="D208">
        <f>VLOOKUP(A208,Recession!$A$1:$C$395,3,FALSE)</f>
        <v>12.6</v>
      </c>
      <c r="E208">
        <f t="shared" si="22"/>
        <v>1</v>
      </c>
      <c r="F208">
        <f t="shared" si="23"/>
        <v>0</v>
      </c>
      <c r="G208">
        <f t="shared" si="24"/>
        <v>8</v>
      </c>
      <c r="N208" s="32" t="s">
        <v>128</v>
      </c>
      <c r="O208" s="21"/>
      <c r="P208" s="21">
        <v>-5.2231580846174904E-3</v>
      </c>
      <c r="Q208" s="21">
        <v>-5.2231580846174904E-3</v>
      </c>
    </row>
    <row r="209" spans="1:17" x14ac:dyDescent="0.25">
      <c r="A209" s="28">
        <v>38562</v>
      </c>
      <c r="B209" s="17">
        <v>3.5968287193812301E-2</v>
      </c>
      <c r="C209" t="str">
        <f t="shared" si="21"/>
        <v>Green</v>
      </c>
      <c r="D209">
        <f>VLOOKUP(A209,Recession!$A$1:$C$395,3,FALSE)</f>
        <v>11.57</v>
      </c>
      <c r="E209">
        <f t="shared" si="22"/>
        <v>1</v>
      </c>
      <c r="F209">
        <f t="shared" si="23"/>
        <v>1</v>
      </c>
      <c r="G209">
        <f t="shared" si="24"/>
        <v>7</v>
      </c>
      <c r="N209" s="32" t="s">
        <v>129</v>
      </c>
      <c r="O209" s="21"/>
      <c r="P209" s="21">
        <v>-9.43141838154853E-2</v>
      </c>
      <c r="Q209" s="21">
        <v>-9.43141838154853E-2</v>
      </c>
    </row>
    <row r="210" spans="1:17" x14ac:dyDescent="0.25">
      <c r="A210" s="28">
        <v>38533</v>
      </c>
      <c r="B210" s="17">
        <v>-1.42714225765839E-4</v>
      </c>
      <c r="C210" t="str">
        <f t="shared" si="21"/>
        <v>Red</v>
      </c>
      <c r="D210">
        <f>VLOOKUP(A210,Recession!$A$1:$C$395,3,FALSE)</f>
        <v>12.04</v>
      </c>
      <c r="E210">
        <f t="shared" si="22"/>
        <v>1</v>
      </c>
      <c r="F210">
        <f t="shared" si="23"/>
        <v>0</v>
      </c>
      <c r="G210">
        <f t="shared" si="24"/>
        <v>6</v>
      </c>
      <c r="N210" s="32" t="s">
        <v>107</v>
      </c>
      <c r="O210" s="21"/>
      <c r="P210" s="21">
        <v>-5.1184307112997998E-2</v>
      </c>
      <c r="Q210" s="21">
        <v>-5.1184307112997998E-2</v>
      </c>
    </row>
    <row r="211" spans="1:17" x14ac:dyDescent="0.25">
      <c r="A211" s="28">
        <v>38503</v>
      </c>
      <c r="B211" s="17">
        <v>2.9952046262565798E-2</v>
      </c>
      <c r="C211" t="str">
        <f t="shared" si="21"/>
        <v>Green</v>
      </c>
      <c r="D211">
        <f>VLOOKUP(A211,Recession!$A$1:$C$395,3,FALSE)</f>
        <v>13.29</v>
      </c>
      <c r="E211">
        <f t="shared" si="22"/>
        <v>2</v>
      </c>
      <c r="F211">
        <f t="shared" si="23"/>
        <v>1</v>
      </c>
      <c r="G211">
        <f t="shared" si="24"/>
        <v>5</v>
      </c>
      <c r="N211" s="32" t="s">
        <v>130</v>
      </c>
      <c r="O211" s="21"/>
      <c r="P211" s="21">
        <v>-6.6982129729734599E-3</v>
      </c>
      <c r="Q211" s="21">
        <v>-6.6982129729734599E-3</v>
      </c>
    </row>
    <row r="212" spans="1:17" x14ac:dyDescent="0.25">
      <c r="A212" s="28">
        <v>38471</v>
      </c>
      <c r="B212" s="17">
        <v>-2.0108581881679299E-2</v>
      </c>
      <c r="C212" t="str">
        <f t="shared" si="21"/>
        <v>Red</v>
      </c>
      <c r="D212">
        <f>VLOOKUP(A212,Recession!$A$1:$C$395,3,FALSE)</f>
        <v>15.31</v>
      </c>
      <c r="E212">
        <f t="shared" si="22"/>
        <v>2</v>
      </c>
      <c r="F212">
        <f t="shared" si="23"/>
        <v>0</v>
      </c>
      <c r="G212">
        <f t="shared" si="24"/>
        <v>4</v>
      </c>
      <c r="N212" s="32" t="s">
        <v>131</v>
      </c>
      <c r="O212" s="21">
        <v>5.9934213815789401E-2</v>
      </c>
      <c r="P212" s="21"/>
      <c r="Q212" s="21">
        <v>5.9934213815789401E-2</v>
      </c>
    </row>
    <row r="213" spans="1:17" x14ac:dyDescent="0.25">
      <c r="A213" s="28">
        <v>38442</v>
      </c>
      <c r="B213" s="17">
        <v>-1.9117655748441001E-2</v>
      </c>
      <c r="C213" t="str">
        <f t="shared" si="21"/>
        <v>Red</v>
      </c>
      <c r="D213">
        <f>VLOOKUP(A213,Recession!$A$1:$C$395,3,FALSE)</f>
        <v>14.02</v>
      </c>
      <c r="E213">
        <f t="shared" si="22"/>
        <v>2</v>
      </c>
      <c r="F213">
        <f t="shared" si="23"/>
        <v>0</v>
      </c>
      <c r="G213">
        <f t="shared" si="24"/>
        <v>3</v>
      </c>
      <c r="N213" s="32" t="s">
        <v>93</v>
      </c>
      <c r="O213" s="21">
        <v>2.4827757355757599E-2</v>
      </c>
      <c r="P213" s="21"/>
      <c r="Q213" s="21">
        <v>2.4827757355757599E-2</v>
      </c>
    </row>
    <row r="214" spans="1:17" x14ac:dyDescent="0.25">
      <c r="A214" s="28">
        <v>38411</v>
      </c>
      <c r="B214" s="17">
        <v>1.8903346078316601E-2</v>
      </c>
      <c r="C214" t="str">
        <f t="shared" si="21"/>
        <v>Green</v>
      </c>
      <c r="D214">
        <f>VLOOKUP(A214,Recession!$A$1:$C$395,3,FALSE)</f>
        <v>12.08</v>
      </c>
      <c r="E214">
        <f t="shared" si="22"/>
        <v>1</v>
      </c>
      <c r="F214">
        <f t="shared" si="23"/>
        <v>1</v>
      </c>
      <c r="G214">
        <f t="shared" si="24"/>
        <v>2</v>
      </c>
      <c r="N214" s="30" t="s">
        <v>151</v>
      </c>
      <c r="O214" s="21">
        <v>0.35785675234337633</v>
      </c>
      <c r="P214" s="21">
        <v>-0.11094007537339159</v>
      </c>
      <c r="Q214" s="21">
        <v>0.24691667696998471</v>
      </c>
    </row>
    <row r="215" spans="1:17" x14ac:dyDescent="0.25">
      <c r="A215" s="28">
        <v>38383</v>
      </c>
      <c r="B215" s="17">
        <v>-2.5290467099494601E-2</v>
      </c>
      <c r="C215" t="str">
        <f t="shared" si="21"/>
        <v>Red</v>
      </c>
      <c r="D215">
        <f>VLOOKUP(A215,Recession!$A$1:$C$395,3,FALSE)</f>
        <v>12.82</v>
      </c>
      <c r="E215">
        <f t="shared" si="22"/>
        <v>1</v>
      </c>
      <c r="F215">
        <f t="shared" si="23"/>
        <v>0</v>
      </c>
      <c r="G215">
        <f t="shared" si="24"/>
        <v>1</v>
      </c>
      <c r="N215" s="32" t="s">
        <v>122</v>
      </c>
      <c r="O215" s="21">
        <v>4.1517751676101597E-2</v>
      </c>
      <c r="P215" s="21"/>
      <c r="Q215" s="21">
        <v>4.1517751676101597E-2</v>
      </c>
    </row>
    <row r="216" spans="1:17" x14ac:dyDescent="0.25">
      <c r="A216" s="28">
        <v>38352</v>
      </c>
      <c r="B216" s="17">
        <v>3.24582131440454E-2</v>
      </c>
      <c r="C216" t="str">
        <f t="shared" si="21"/>
        <v>Green</v>
      </c>
      <c r="D216">
        <f>VLOOKUP(A216,Recession!$A$1:$C$395,3,FALSE)</f>
        <v>13.29</v>
      </c>
      <c r="E216">
        <f t="shared" si="22"/>
        <v>2</v>
      </c>
      <c r="F216">
        <f t="shared" si="23"/>
        <v>1</v>
      </c>
      <c r="G216">
        <f t="shared" si="24"/>
        <v>12</v>
      </c>
      <c r="N216" s="32" t="s">
        <v>123</v>
      </c>
      <c r="O216" s="21">
        <v>6.7281174863978596E-2</v>
      </c>
      <c r="P216" s="21"/>
      <c r="Q216" s="21">
        <v>6.7281174863978596E-2</v>
      </c>
    </row>
    <row r="217" spans="1:17" x14ac:dyDescent="0.25">
      <c r="A217" s="28">
        <v>38321</v>
      </c>
      <c r="B217" s="17">
        <v>3.8594936198152401E-2</v>
      </c>
      <c r="C217" t="str">
        <f t="shared" si="21"/>
        <v>Green</v>
      </c>
      <c r="D217">
        <f>VLOOKUP(A217,Recession!$A$1:$C$395,3,FALSE)</f>
        <v>13.24</v>
      </c>
      <c r="E217">
        <f t="shared" si="22"/>
        <v>2</v>
      </c>
      <c r="F217">
        <f t="shared" si="23"/>
        <v>1</v>
      </c>
      <c r="G217">
        <f t="shared" si="24"/>
        <v>11</v>
      </c>
      <c r="N217" s="32" t="s">
        <v>124</v>
      </c>
      <c r="O217" s="21">
        <v>2.22028328236583E-2</v>
      </c>
      <c r="P217" s="21"/>
      <c r="Q217" s="21">
        <v>2.22028328236583E-2</v>
      </c>
    </row>
    <row r="218" spans="1:17" x14ac:dyDescent="0.25">
      <c r="A218" s="28">
        <v>38289</v>
      </c>
      <c r="B218" s="17">
        <v>1.4014243586487E-2</v>
      </c>
      <c r="C218" t="str">
        <f t="shared" si="21"/>
        <v>Green</v>
      </c>
      <c r="D218">
        <f>VLOOKUP(A218,Recession!$A$1:$C$395,3,FALSE)</f>
        <v>16.27</v>
      </c>
      <c r="E218">
        <f t="shared" si="22"/>
        <v>3</v>
      </c>
      <c r="F218">
        <f t="shared" si="23"/>
        <v>1</v>
      </c>
      <c r="G218">
        <f t="shared" si="24"/>
        <v>10</v>
      </c>
      <c r="N218" s="32" t="s">
        <v>125</v>
      </c>
      <c r="O218" s="21">
        <v>3.1979905037093898E-4</v>
      </c>
      <c r="P218" s="21"/>
      <c r="Q218" s="21">
        <v>3.1979905037093898E-4</v>
      </c>
    </row>
    <row r="219" spans="1:17" x14ac:dyDescent="0.25">
      <c r="A219" s="28">
        <v>38260</v>
      </c>
      <c r="B219" s="17">
        <v>9.3638756915515008E-3</v>
      </c>
      <c r="C219" t="str">
        <f t="shared" si="21"/>
        <v>Green</v>
      </c>
      <c r="D219">
        <f>VLOOKUP(A219,Recession!$A$1:$C$395,3,FALSE)</f>
        <v>13.34</v>
      </c>
      <c r="E219">
        <f t="shared" si="22"/>
        <v>2</v>
      </c>
      <c r="F219">
        <f t="shared" si="23"/>
        <v>1</v>
      </c>
      <c r="G219">
        <f t="shared" si="24"/>
        <v>9</v>
      </c>
      <c r="N219" s="32" t="s">
        <v>126</v>
      </c>
      <c r="O219" s="21">
        <v>3.8604974568177998E-2</v>
      </c>
      <c r="P219" s="21"/>
      <c r="Q219" s="21">
        <v>3.8604974568177998E-2</v>
      </c>
    </row>
    <row r="220" spans="1:17" x14ac:dyDescent="0.25">
      <c r="A220" s="28">
        <v>38230</v>
      </c>
      <c r="B220" s="17">
        <v>2.28734984055223E-3</v>
      </c>
      <c r="C220" t="str">
        <f t="shared" si="21"/>
        <v>Green</v>
      </c>
      <c r="D220">
        <f>VLOOKUP(A220,Recession!$A$1:$C$395,3,FALSE)</f>
        <v>15.29</v>
      </c>
      <c r="E220">
        <f t="shared" si="22"/>
        <v>2</v>
      </c>
      <c r="F220">
        <f t="shared" si="23"/>
        <v>1</v>
      </c>
      <c r="G220">
        <f t="shared" si="24"/>
        <v>8</v>
      </c>
      <c r="N220" s="32" t="s">
        <v>127</v>
      </c>
      <c r="O220" s="21"/>
      <c r="P220" s="21">
        <v>-4.7892629152718302E-2</v>
      </c>
      <c r="Q220" s="21">
        <v>-4.7892629152718302E-2</v>
      </c>
    </row>
    <row r="221" spans="1:17" x14ac:dyDescent="0.25">
      <c r="A221" s="28">
        <v>38198</v>
      </c>
      <c r="B221" s="17">
        <v>-3.4290519411905002E-2</v>
      </c>
      <c r="C221" t="str">
        <f t="shared" si="21"/>
        <v>Red</v>
      </c>
      <c r="D221">
        <f>VLOOKUP(A221,Recession!$A$1:$C$395,3,FALSE)</f>
        <v>15.32</v>
      </c>
      <c r="E221">
        <f t="shared" si="22"/>
        <v>2</v>
      </c>
      <c r="F221">
        <f t="shared" si="23"/>
        <v>0</v>
      </c>
      <c r="G221">
        <f t="shared" si="24"/>
        <v>7</v>
      </c>
      <c r="N221" s="32" t="s">
        <v>128</v>
      </c>
      <c r="O221" s="21">
        <v>4.4859343195825498E-2</v>
      </c>
      <c r="P221" s="21"/>
      <c r="Q221" s="21">
        <v>4.4859343195825498E-2</v>
      </c>
    </row>
    <row r="222" spans="1:17" x14ac:dyDescent="0.25">
      <c r="A222" s="28">
        <v>38168</v>
      </c>
      <c r="B222" s="17">
        <v>1.7988998669195701E-2</v>
      </c>
      <c r="C222" t="str">
        <f t="shared" si="21"/>
        <v>Green</v>
      </c>
      <c r="D222">
        <f>VLOOKUP(A222,Recession!$A$1:$C$395,3,FALSE)</f>
        <v>14.34</v>
      </c>
      <c r="E222">
        <f t="shared" si="22"/>
        <v>2</v>
      </c>
      <c r="F222">
        <f t="shared" si="23"/>
        <v>1</v>
      </c>
      <c r="G222">
        <f t="shared" si="24"/>
        <v>6</v>
      </c>
      <c r="N222" s="32" t="s">
        <v>129</v>
      </c>
      <c r="O222" s="21">
        <v>1.96487842997797E-2</v>
      </c>
      <c r="P222" s="21"/>
      <c r="Q222" s="21">
        <v>1.96487842997797E-2</v>
      </c>
    </row>
    <row r="223" spans="1:17" x14ac:dyDescent="0.25">
      <c r="A223" s="28">
        <v>38135</v>
      </c>
      <c r="B223" s="17">
        <v>1.2083450201310301E-2</v>
      </c>
      <c r="C223" t="str">
        <f t="shared" si="21"/>
        <v>Green</v>
      </c>
      <c r="D223">
        <f>VLOOKUP(A223,Recession!$A$1:$C$395,3,FALSE)</f>
        <v>15.5</v>
      </c>
      <c r="E223">
        <f t="shared" si="22"/>
        <v>2</v>
      </c>
      <c r="F223">
        <f t="shared" si="23"/>
        <v>1</v>
      </c>
      <c r="G223">
        <f t="shared" si="24"/>
        <v>5</v>
      </c>
      <c r="N223" s="32" t="s">
        <v>107</v>
      </c>
      <c r="O223" s="21"/>
      <c r="P223" s="21">
        <v>-1.9143737536368399E-2</v>
      </c>
      <c r="Q223" s="21">
        <v>-1.9143737536368399E-2</v>
      </c>
    </row>
    <row r="224" spans="1:17" x14ac:dyDescent="0.25">
      <c r="A224" s="28">
        <v>38107</v>
      </c>
      <c r="B224" s="17">
        <v>-1.6790751862298701E-2</v>
      </c>
      <c r="C224" t="str">
        <f t="shared" si="21"/>
        <v>Red</v>
      </c>
      <c r="D224">
        <f>VLOOKUP(A224,Recession!$A$1:$C$395,3,FALSE)</f>
        <v>17.190000999999999</v>
      </c>
      <c r="E224">
        <f t="shared" si="22"/>
        <v>3</v>
      </c>
      <c r="F224">
        <f t="shared" si="23"/>
        <v>0</v>
      </c>
      <c r="G224">
        <f t="shared" si="24"/>
        <v>4</v>
      </c>
      <c r="N224" s="32" t="s">
        <v>130</v>
      </c>
      <c r="O224" s="21">
        <v>1.1834237037883701E-2</v>
      </c>
      <c r="P224" s="21"/>
      <c r="Q224" s="21">
        <v>1.1834237037883701E-2</v>
      </c>
    </row>
    <row r="225" spans="1:17" x14ac:dyDescent="0.25">
      <c r="A225" s="28">
        <v>38077</v>
      </c>
      <c r="B225" s="17">
        <v>-1.6358919214261199E-2</v>
      </c>
      <c r="C225" t="str">
        <f t="shared" si="21"/>
        <v>Red</v>
      </c>
      <c r="D225">
        <f>VLOOKUP(A225,Recession!$A$1:$C$395,3,FALSE)</f>
        <v>16.739999999999998</v>
      </c>
      <c r="E225">
        <f t="shared" si="22"/>
        <v>3</v>
      </c>
      <c r="F225">
        <f t="shared" si="23"/>
        <v>0</v>
      </c>
      <c r="G225">
        <f t="shared" si="24"/>
        <v>3</v>
      </c>
      <c r="N225" s="32" t="s">
        <v>131</v>
      </c>
      <c r="O225" s="21"/>
      <c r="P225" s="21">
        <v>-4.3903708684304897E-2</v>
      </c>
      <c r="Q225" s="21">
        <v>-4.3903708684304897E-2</v>
      </c>
    </row>
    <row r="226" spans="1:17" x14ac:dyDescent="0.25">
      <c r="A226" s="28">
        <v>38044</v>
      </c>
      <c r="B226" s="17">
        <v>1.22089732735895E-2</v>
      </c>
      <c r="C226" t="str">
        <f t="shared" si="21"/>
        <v>Green</v>
      </c>
      <c r="D226">
        <f>VLOOKUP(A226,Recession!$A$1:$C$395,3,FALSE)</f>
        <v>14.55</v>
      </c>
      <c r="E226">
        <f t="shared" si="22"/>
        <v>2</v>
      </c>
      <c r="F226">
        <f t="shared" si="23"/>
        <v>1</v>
      </c>
      <c r="G226">
        <f t="shared" si="24"/>
        <v>2</v>
      </c>
      <c r="N226" s="32" t="s">
        <v>93</v>
      </c>
      <c r="O226" s="21">
        <v>0.1115878548276</v>
      </c>
      <c r="P226" s="21"/>
      <c r="Q226" s="21">
        <v>0.1115878548276</v>
      </c>
    </row>
    <row r="227" spans="1:17" x14ac:dyDescent="0.25">
      <c r="A227" s="28">
        <v>38016</v>
      </c>
      <c r="B227" s="17">
        <v>1.7276387006114599E-2</v>
      </c>
      <c r="C227" t="str">
        <f t="shared" si="21"/>
        <v>Green</v>
      </c>
      <c r="D227">
        <f>VLOOKUP(A227,Recession!$A$1:$C$395,3,FALSE)</f>
        <v>16.629999000000002</v>
      </c>
      <c r="E227">
        <f t="shared" si="22"/>
        <v>3</v>
      </c>
      <c r="F227">
        <f t="shared" si="23"/>
        <v>1</v>
      </c>
      <c r="G227">
        <f t="shared" si="24"/>
        <v>1</v>
      </c>
      <c r="N227" s="30" t="s">
        <v>156</v>
      </c>
      <c r="O227" s="21">
        <v>0.12940134739606335</v>
      </c>
      <c r="P227" s="21">
        <v>-8.3111975258926704E-2</v>
      </c>
      <c r="Q227" s="21">
        <v>4.6289372137136645E-2</v>
      </c>
    </row>
    <row r="228" spans="1:17" x14ac:dyDescent="0.25">
      <c r="A228" s="28">
        <v>37986</v>
      </c>
      <c r="B228" s="17">
        <v>5.0765541001239298E-2</v>
      </c>
      <c r="C228" t="str">
        <f t="shared" si="21"/>
        <v>Green</v>
      </c>
      <c r="D228">
        <f>VLOOKUP(A228,Recession!$A$1:$C$395,3,FALSE)</f>
        <v>18.309999000000001</v>
      </c>
      <c r="E228">
        <f t="shared" si="22"/>
        <v>3</v>
      </c>
      <c r="F228">
        <f t="shared" si="23"/>
        <v>1</v>
      </c>
      <c r="G228">
        <f t="shared" si="24"/>
        <v>12</v>
      </c>
      <c r="N228" s="32" t="s">
        <v>122</v>
      </c>
      <c r="O228" s="21"/>
      <c r="P228" s="21">
        <v>-1.9923750460799899E-2</v>
      </c>
      <c r="Q228" s="21">
        <v>-1.9923750460799899E-2</v>
      </c>
    </row>
    <row r="229" spans="1:17" x14ac:dyDescent="0.25">
      <c r="A229" s="28">
        <v>37953</v>
      </c>
      <c r="B229" s="17">
        <v>7.1285038478854403E-3</v>
      </c>
      <c r="C229" t="str">
        <f t="shared" si="21"/>
        <v>Green</v>
      </c>
      <c r="D229">
        <f>VLOOKUP(A229,Recession!$A$1:$C$395,3,FALSE)</f>
        <v>16.32</v>
      </c>
      <c r="E229">
        <f t="shared" si="22"/>
        <v>3</v>
      </c>
      <c r="F229">
        <f t="shared" si="23"/>
        <v>1</v>
      </c>
      <c r="G229">
        <f t="shared" si="24"/>
        <v>11</v>
      </c>
      <c r="N229" s="32" t="s">
        <v>123</v>
      </c>
      <c r="O229" s="21">
        <v>9.5895420754186205E-3</v>
      </c>
      <c r="P229" s="21"/>
      <c r="Q229" s="21">
        <v>9.5895420754186205E-3</v>
      </c>
    </row>
    <row r="230" spans="1:17" x14ac:dyDescent="0.25">
      <c r="A230" s="28">
        <v>37925</v>
      </c>
      <c r="B230" s="17">
        <v>5.4961486384010702E-2</v>
      </c>
      <c r="C230" t="str">
        <f t="shared" si="21"/>
        <v>Green</v>
      </c>
      <c r="D230">
        <f>VLOOKUP(A230,Recession!$A$1:$C$395,3,FALSE)</f>
        <v>16.100000000000001</v>
      </c>
      <c r="E230">
        <f t="shared" si="22"/>
        <v>2</v>
      </c>
      <c r="F230">
        <f t="shared" si="23"/>
        <v>1</v>
      </c>
      <c r="G230">
        <f t="shared" si="24"/>
        <v>10</v>
      </c>
      <c r="N230" s="32" t="s">
        <v>124</v>
      </c>
      <c r="O230" s="21"/>
      <c r="P230" s="21">
        <v>-2.1831862704186199E-2</v>
      </c>
      <c r="Q230" s="21">
        <v>-2.1831862704186199E-2</v>
      </c>
    </row>
    <row r="231" spans="1:17" x14ac:dyDescent="0.25">
      <c r="A231" s="28">
        <v>37894</v>
      </c>
      <c r="B231" s="17">
        <v>-1.1944364520745199E-2</v>
      </c>
      <c r="C231" t="str">
        <f t="shared" si="21"/>
        <v>Red</v>
      </c>
      <c r="D231">
        <f>VLOOKUP(A231,Recession!$A$1:$C$395,3,FALSE)</f>
        <v>22.719999000000001</v>
      </c>
      <c r="E231">
        <f t="shared" si="22"/>
        <v>4</v>
      </c>
      <c r="F231">
        <f t="shared" si="23"/>
        <v>0</v>
      </c>
      <c r="G231">
        <f t="shared" si="24"/>
        <v>9</v>
      </c>
      <c r="N231" s="32" t="s">
        <v>125</v>
      </c>
      <c r="O231" s="21">
        <v>2.78927145686407E-2</v>
      </c>
      <c r="P231" s="21"/>
      <c r="Q231" s="21">
        <v>2.78927145686407E-2</v>
      </c>
    </row>
    <row r="232" spans="1:17" x14ac:dyDescent="0.25">
      <c r="A232" s="28">
        <v>37862</v>
      </c>
      <c r="B232" s="17">
        <v>1.7873203376464399E-2</v>
      </c>
      <c r="C232" t="str">
        <f t="shared" si="21"/>
        <v>Green</v>
      </c>
      <c r="D232">
        <f>VLOOKUP(A232,Recession!$A$1:$C$395,3,FALSE)</f>
        <v>18.629999000000002</v>
      </c>
      <c r="E232">
        <f t="shared" si="22"/>
        <v>3</v>
      </c>
      <c r="F232">
        <f t="shared" si="23"/>
        <v>1</v>
      </c>
      <c r="G232">
        <f t="shared" si="24"/>
        <v>8</v>
      </c>
      <c r="N232" s="32" t="s">
        <v>126</v>
      </c>
      <c r="O232" s="21">
        <v>9.6395707538854403E-4</v>
      </c>
      <c r="P232" s="21"/>
      <c r="Q232" s="21">
        <v>9.6395707538854403E-4</v>
      </c>
    </row>
    <row r="233" spans="1:17" x14ac:dyDescent="0.25">
      <c r="A233" s="28">
        <v>37833</v>
      </c>
      <c r="B233" s="17">
        <v>1.62237024114931E-2</v>
      </c>
      <c r="C233" t="str">
        <f t="shared" si="21"/>
        <v>Green</v>
      </c>
      <c r="D233">
        <f>VLOOKUP(A233,Recession!$A$1:$C$395,3,FALSE)</f>
        <v>19.489999999999998</v>
      </c>
      <c r="E233">
        <f t="shared" si="22"/>
        <v>3</v>
      </c>
      <c r="F233">
        <f t="shared" si="23"/>
        <v>1</v>
      </c>
      <c r="G233">
        <f t="shared" si="24"/>
        <v>7</v>
      </c>
      <c r="N233" s="32" t="s">
        <v>127</v>
      </c>
      <c r="O233" s="21"/>
      <c r="P233" s="21">
        <v>-1.7358832059340301E-2</v>
      </c>
      <c r="Q233" s="21">
        <v>-1.7358832059340301E-2</v>
      </c>
    </row>
    <row r="234" spans="1:17" x14ac:dyDescent="0.25">
      <c r="A234" s="28">
        <v>37802</v>
      </c>
      <c r="B234" s="17">
        <v>1.13222145251615E-2</v>
      </c>
      <c r="C234" t="str">
        <f t="shared" si="21"/>
        <v>Green</v>
      </c>
      <c r="D234">
        <f>VLOOKUP(A234,Recession!$A$1:$C$395,3,FALSE)</f>
        <v>19.52</v>
      </c>
      <c r="E234">
        <f t="shared" si="22"/>
        <v>3</v>
      </c>
      <c r="F234">
        <f t="shared" si="23"/>
        <v>1</v>
      </c>
      <c r="G234">
        <f t="shared" si="24"/>
        <v>6</v>
      </c>
      <c r="N234" s="32" t="s">
        <v>128</v>
      </c>
      <c r="O234" s="21">
        <v>3.9373684053008097E-2</v>
      </c>
      <c r="P234" s="21"/>
      <c r="Q234" s="21">
        <v>3.9373684053008097E-2</v>
      </c>
    </row>
    <row r="235" spans="1:17" x14ac:dyDescent="0.25">
      <c r="A235" s="28">
        <v>37771</v>
      </c>
      <c r="B235" s="17">
        <v>5.0898709664177998E-2</v>
      </c>
      <c r="C235" t="str">
        <f t="shared" si="21"/>
        <v>Green</v>
      </c>
      <c r="D235">
        <f>VLOOKUP(A235,Recession!$A$1:$C$395,3,FALSE)</f>
        <v>19.469999000000001</v>
      </c>
      <c r="E235">
        <f t="shared" si="22"/>
        <v>3</v>
      </c>
      <c r="F235">
        <f t="shared" si="23"/>
        <v>1</v>
      </c>
      <c r="G235">
        <f t="shared" si="24"/>
        <v>5</v>
      </c>
      <c r="N235" s="32" t="s">
        <v>129</v>
      </c>
      <c r="O235" s="21"/>
      <c r="P235" s="21">
        <v>-2.3997530034600301E-2</v>
      </c>
      <c r="Q235" s="21">
        <v>-2.3997530034600301E-2</v>
      </c>
    </row>
    <row r="236" spans="1:17" x14ac:dyDescent="0.25">
      <c r="A236" s="28">
        <v>37741</v>
      </c>
      <c r="B236" s="17">
        <v>8.1044106872726104E-2</v>
      </c>
      <c r="C236" t="str">
        <f t="shared" si="21"/>
        <v>Green</v>
      </c>
      <c r="D236">
        <f>VLOOKUP(A236,Recession!$A$1:$C$395,3,FALSE)</f>
        <v>21.209999</v>
      </c>
      <c r="E236">
        <f t="shared" si="22"/>
        <v>4</v>
      </c>
      <c r="F236">
        <f t="shared" si="23"/>
        <v>1</v>
      </c>
      <c r="G236">
        <f t="shared" si="24"/>
        <v>4</v>
      </c>
      <c r="N236" s="32" t="s">
        <v>107</v>
      </c>
      <c r="O236" s="21">
        <v>9.1055938195434595E-3</v>
      </c>
      <c r="P236" s="21"/>
      <c r="Q236" s="21">
        <v>9.1055938195434595E-3</v>
      </c>
    </row>
    <row r="237" spans="1:17" x14ac:dyDescent="0.25">
      <c r="A237" s="28">
        <v>37711</v>
      </c>
      <c r="B237" s="17">
        <v>8.3575685661514392E-3</v>
      </c>
      <c r="C237" t="str">
        <f t="shared" si="21"/>
        <v>Green</v>
      </c>
      <c r="D237">
        <f>VLOOKUP(A237,Recession!$A$1:$C$395,3,FALSE)</f>
        <v>29.15</v>
      </c>
      <c r="E237">
        <f t="shared" si="22"/>
        <v>5</v>
      </c>
      <c r="F237">
        <f t="shared" si="23"/>
        <v>1</v>
      </c>
      <c r="G237">
        <f t="shared" si="24"/>
        <v>3</v>
      </c>
      <c r="N237" s="32" t="s">
        <v>130</v>
      </c>
      <c r="O237" s="21">
        <v>2.1062829709799199E-3</v>
      </c>
      <c r="P237" s="21"/>
      <c r="Q237" s="21">
        <v>2.1062829709799199E-3</v>
      </c>
    </row>
    <row r="238" spans="1:17" x14ac:dyDescent="0.25">
      <c r="A238" s="28">
        <v>37680</v>
      </c>
      <c r="B238" s="17">
        <v>-1.7003608502929399E-2</v>
      </c>
      <c r="C238" t="str">
        <f t="shared" si="21"/>
        <v>Red</v>
      </c>
      <c r="D238">
        <f>VLOOKUP(A238,Recession!$A$1:$C$395,3,FALSE)</f>
        <v>29.629999000000002</v>
      </c>
      <c r="E238">
        <f t="shared" si="22"/>
        <v>5</v>
      </c>
      <c r="F238">
        <f t="shared" si="23"/>
        <v>0</v>
      </c>
      <c r="G238">
        <f t="shared" si="24"/>
        <v>2</v>
      </c>
      <c r="N238" s="32" t="s">
        <v>131</v>
      </c>
      <c r="O238" s="21">
        <v>3.02618066586238E-2</v>
      </c>
      <c r="P238" s="21"/>
      <c r="Q238" s="21">
        <v>3.02618066586238E-2</v>
      </c>
    </row>
    <row r="239" spans="1:17" x14ac:dyDescent="0.25">
      <c r="A239" s="28">
        <v>37652</v>
      </c>
      <c r="B239" s="17">
        <v>-2.74146925599522E-2</v>
      </c>
      <c r="C239" t="str">
        <f t="shared" si="21"/>
        <v>Red</v>
      </c>
      <c r="D239">
        <f>VLOOKUP(A239,Recession!$A$1:$C$395,3,FALSE)</f>
        <v>31.17</v>
      </c>
      <c r="E239">
        <f t="shared" si="22"/>
        <v>5</v>
      </c>
      <c r="F239">
        <f t="shared" si="23"/>
        <v>0</v>
      </c>
      <c r="G239">
        <f t="shared" si="24"/>
        <v>1</v>
      </c>
      <c r="N239" s="32" t="s">
        <v>93</v>
      </c>
      <c r="O239" s="21">
        <v>1.01077661744602E-2</v>
      </c>
      <c r="P239" s="21"/>
      <c r="Q239" s="21">
        <v>1.01077661744602E-2</v>
      </c>
    </row>
    <row r="240" spans="1:17" x14ac:dyDescent="0.25">
      <c r="A240" s="28">
        <v>37621</v>
      </c>
      <c r="B240" s="17">
        <v>-6.0332572674290597E-2</v>
      </c>
      <c r="C240" t="str">
        <f t="shared" si="21"/>
        <v>Red</v>
      </c>
      <c r="D240">
        <f>VLOOKUP(A240,Recession!$A$1:$C$395,3,FALSE)</f>
        <v>28.620000999999998</v>
      </c>
      <c r="E240">
        <f t="shared" si="22"/>
        <v>5</v>
      </c>
      <c r="F240">
        <f t="shared" si="23"/>
        <v>0</v>
      </c>
      <c r="G240">
        <f t="shared" si="24"/>
        <v>12</v>
      </c>
      <c r="N240" s="30" t="s">
        <v>99</v>
      </c>
      <c r="O240" s="21">
        <v>7.8232921000209982E-2</v>
      </c>
      <c r="P240" s="21">
        <v>-0.53277100444679415</v>
      </c>
      <c r="Q240" s="21">
        <v>-0.4545380834465842</v>
      </c>
    </row>
    <row r="241" spans="1:17" x14ac:dyDescent="0.25">
      <c r="A241" s="28">
        <v>37589</v>
      </c>
      <c r="B241" s="17">
        <v>5.7069620923617899E-2</v>
      </c>
      <c r="C241" t="str">
        <f t="shared" si="21"/>
        <v>Green</v>
      </c>
      <c r="D241">
        <f>VLOOKUP(A241,Recession!$A$1:$C$395,3,FALSE)</f>
        <v>27.5</v>
      </c>
      <c r="E241">
        <f t="shared" si="22"/>
        <v>5</v>
      </c>
      <c r="F241">
        <f t="shared" si="23"/>
        <v>1</v>
      </c>
      <c r="G241">
        <f t="shared" si="24"/>
        <v>11</v>
      </c>
      <c r="N241" s="32" t="s">
        <v>122</v>
      </c>
      <c r="O241" s="21"/>
      <c r="P241" s="21">
        <v>-6.1163431935936402E-2</v>
      </c>
      <c r="Q241" s="21">
        <v>-6.1163431935936402E-2</v>
      </c>
    </row>
    <row r="242" spans="1:17" x14ac:dyDescent="0.25">
      <c r="A242" s="28">
        <v>37560</v>
      </c>
      <c r="B242" s="17">
        <v>8.6448801016809906E-2</v>
      </c>
      <c r="C242" t="str">
        <f t="shared" si="21"/>
        <v>Green</v>
      </c>
      <c r="D242">
        <f>VLOOKUP(A242,Recession!$A$1:$C$395,3,FALSE)</f>
        <v>31.139999</v>
      </c>
      <c r="E242">
        <f t="shared" si="22"/>
        <v>5</v>
      </c>
      <c r="F242">
        <f t="shared" si="23"/>
        <v>1</v>
      </c>
      <c r="G242">
        <f t="shared" si="24"/>
        <v>10</v>
      </c>
      <c r="N242" s="32" t="s">
        <v>123</v>
      </c>
      <c r="O242" s="21"/>
      <c r="P242" s="21">
        <v>-3.4761192772624502E-2</v>
      </c>
      <c r="Q242" s="21">
        <v>-3.4761192772624502E-2</v>
      </c>
    </row>
    <row r="243" spans="1:17" x14ac:dyDescent="0.25">
      <c r="A243" s="28">
        <v>37529</v>
      </c>
      <c r="B243" s="17">
        <v>-0.110024318261519</v>
      </c>
      <c r="C243" t="str">
        <f t="shared" si="21"/>
        <v>Red</v>
      </c>
      <c r="D243">
        <f>VLOOKUP(A243,Recession!$A$1:$C$395,3,FALSE)</f>
        <v>39.689999</v>
      </c>
      <c r="E243">
        <f t="shared" si="22"/>
        <v>5</v>
      </c>
      <c r="F243">
        <f t="shared" si="23"/>
        <v>0</v>
      </c>
      <c r="G243">
        <f t="shared" si="24"/>
        <v>9</v>
      </c>
      <c r="N243" s="32" t="s">
        <v>124</v>
      </c>
      <c r="O243" s="21"/>
      <c r="P243" s="21">
        <v>-5.95962361452984E-3</v>
      </c>
      <c r="Q243" s="21">
        <v>-5.95962361452984E-3</v>
      </c>
    </row>
    <row r="244" spans="1:17" x14ac:dyDescent="0.25">
      <c r="A244" s="28">
        <v>37498</v>
      </c>
      <c r="B244" s="17">
        <v>4.8814330800193203E-3</v>
      </c>
      <c r="C244" t="str">
        <f t="shared" si="21"/>
        <v>Green</v>
      </c>
      <c r="D244">
        <f>VLOOKUP(A244,Recession!$A$1:$C$395,3,FALSE)</f>
        <v>32.639999000000003</v>
      </c>
      <c r="E244">
        <f t="shared" si="22"/>
        <v>5</v>
      </c>
      <c r="F244">
        <f t="shared" si="23"/>
        <v>1</v>
      </c>
      <c r="G244">
        <f t="shared" si="24"/>
        <v>8</v>
      </c>
      <c r="N244" s="32" t="s">
        <v>125</v>
      </c>
      <c r="O244" s="21">
        <v>4.7546697913198897E-2</v>
      </c>
      <c r="P244" s="21"/>
      <c r="Q244" s="21">
        <v>4.7546697913198897E-2</v>
      </c>
    </row>
    <row r="245" spans="1:17" x14ac:dyDescent="0.25">
      <c r="A245" s="28">
        <v>37468</v>
      </c>
      <c r="B245" s="17">
        <v>-7.9004274966125304E-2</v>
      </c>
      <c r="C245" t="str">
        <f t="shared" si="21"/>
        <v>Red</v>
      </c>
      <c r="D245">
        <f>VLOOKUP(A245,Recession!$A$1:$C$395,3,FALSE)</f>
        <v>32.029998999999997</v>
      </c>
      <c r="E245">
        <f t="shared" si="22"/>
        <v>5</v>
      </c>
      <c r="F245">
        <f t="shared" si="23"/>
        <v>0</v>
      </c>
      <c r="G245">
        <f t="shared" si="24"/>
        <v>7</v>
      </c>
      <c r="N245" s="32" t="s">
        <v>126</v>
      </c>
      <c r="O245" s="21">
        <v>1.06741816575771E-2</v>
      </c>
      <c r="P245" s="21"/>
      <c r="Q245" s="21">
        <v>1.06741816575771E-2</v>
      </c>
    </row>
    <row r="246" spans="1:17" x14ac:dyDescent="0.25">
      <c r="A246" s="28">
        <v>37435</v>
      </c>
      <c r="B246" s="17">
        <v>-7.2455354417573697E-2</v>
      </c>
      <c r="C246" t="str">
        <f t="shared" si="21"/>
        <v>Red</v>
      </c>
      <c r="D246">
        <f>VLOOKUP(A246,Recession!$A$1:$C$395,3,FALSE)</f>
        <v>25.4</v>
      </c>
      <c r="E246">
        <f t="shared" si="22"/>
        <v>5</v>
      </c>
      <c r="F246">
        <f t="shared" si="23"/>
        <v>0</v>
      </c>
      <c r="G246">
        <f t="shared" si="24"/>
        <v>6</v>
      </c>
      <c r="N246" s="32" t="s">
        <v>127</v>
      </c>
      <c r="O246" s="21"/>
      <c r="P246" s="21">
        <v>-8.5962384902803599E-2</v>
      </c>
      <c r="Q246" s="21">
        <v>-8.5962384902803599E-2</v>
      </c>
    </row>
    <row r="247" spans="1:17" x14ac:dyDescent="0.25">
      <c r="A247" s="28">
        <v>37407</v>
      </c>
      <c r="B247" s="17">
        <v>-9.0814810760454501E-3</v>
      </c>
      <c r="C247" t="str">
        <f t="shared" si="21"/>
        <v>Red</v>
      </c>
      <c r="D247">
        <f>VLOOKUP(A247,Recession!$A$1:$C$395,3,FALSE)</f>
        <v>19.98</v>
      </c>
      <c r="E247">
        <f t="shared" si="22"/>
        <v>4</v>
      </c>
      <c r="F247">
        <f t="shared" si="23"/>
        <v>0</v>
      </c>
      <c r="G247">
        <f t="shared" si="24"/>
        <v>5</v>
      </c>
      <c r="N247" s="32" t="s">
        <v>128</v>
      </c>
      <c r="O247" s="21"/>
      <c r="P247" s="21">
        <v>-9.8593710937500099E-3</v>
      </c>
      <c r="Q247" s="21">
        <v>-9.8593710937500099E-3</v>
      </c>
    </row>
    <row r="248" spans="1:17" x14ac:dyDescent="0.25">
      <c r="A248" s="28">
        <v>37376</v>
      </c>
      <c r="B248" s="17">
        <v>-6.1417626159139899E-2</v>
      </c>
      <c r="C248" t="str">
        <f t="shared" si="21"/>
        <v>Red</v>
      </c>
      <c r="D248">
        <f>VLOOKUP(A248,Recession!$A$1:$C$395,3,FALSE)</f>
        <v>21.91</v>
      </c>
      <c r="E248">
        <f t="shared" si="22"/>
        <v>4</v>
      </c>
      <c r="F248">
        <f t="shared" si="23"/>
        <v>0</v>
      </c>
      <c r="G248">
        <f t="shared" si="24"/>
        <v>4</v>
      </c>
      <c r="N248" s="32" t="s">
        <v>129</v>
      </c>
      <c r="O248" s="21">
        <v>1.2190464532379999E-2</v>
      </c>
      <c r="P248" s="21"/>
      <c r="Q248" s="21">
        <v>1.2190464532379999E-2</v>
      </c>
    </row>
    <row r="249" spans="1:17" x14ac:dyDescent="0.25">
      <c r="A249" s="28">
        <v>37343</v>
      </c>
      <c r="B249" s="17">
        <v>3.67388936188391E-2</v>
      </c>
      <c r="C249" t="str">
        <f t="shared" si="21"/>
        <v>Green</v>
      </c>
      <c r="D249">
        <f>VLOOKUP(A249,Recession!$A$1:$C$395,3,FALSE)</f>
        <v>17.399999999999999</v>
      </c>
      <c r="E249">
        <f t="shared" si="22"/>
        <v>3</v>
      </c>
      <c r="F249">
        <f t="shared" si="23"/>
        <v>1</v>
      </c>
      <c r="G249">
        <f t="shared" si="24"/>
        <v>3</v>
      </c>
      <c r="N249" s="32" t="s">
        <v>107</v>
      </c>
      <c r="O249" s="21"/>
      <c r="P249" s="21">
        <v>-9.0791433779084593E-2</v>
      </c>
      <c r="Q249" s="21">
        <v>-9.0791433779084593E-2</v>
      </c>
    </row>
    <row r="250" spans="1:17" x14ac:dyDescent="0.25">
      <c r="A250" s="28">
        <v>37315</v>
      </c>
      <c r="B250" s="17">
        <v>-2.0766211305560299E-2</v>
      </c>
      <c r="C250" t="str">
        <f t="shared" si="21"/>
        <v>Red</v>
      </c>
      <c r="D250">
        <f>VLOOKUP(A250,Recession!$A$1:$C$395,3,FALSE)</f>
        <v>21.59</v>
      </c>
      <c r="E250">
        <f t="shared" si="22"/>
        <v>4</v>
      </c>
      <c r="F250">
        <f t="shared" si="23"/>
        <v>0</v>
      </c>
      <c r="G250">
        <f t="shared" si="24"/>
        <v>2</v>
      </c>
      <c r="N250" s="32" t="s">
        <v>130</v>
      </c>
      <c r="O250" s="21"/>
      <c r="P250" s="21">
        <v>-0.16942452376742001</v>
      </c>
      <c r="Q250" s="21">
        <v>-0.16942452376742001</v>
      </c>
    </row>
    <row r="251" spans="1:17" x14ac:dyDescent="0.25">
      <c r="A251" s="28">
        <v>37287</v>
      </c>
      <c r="B251" s="17">
        <v>-1.55738325597943E-2</v>
      </c>
      <c r="C251" t="str">
        <f t="shared" si="21"/>
        <v>Red</v>
      </c>
      <c r="D251">
        <f>VLOOKUP(A251,Recession!$A$1:$C$395,3,FALSE)</f>
        <v>21.09</v>
      </c>
      <c r="E251">
        <f t="shared" si="22"/>
        <v>4</v>
      </c>
      <c r="F251">
        <f t="shared" si="23"/>
        <v>0</v>
      </c>
      <c r="G251">
        <f t="shared" si="24"/>
        <v>1</v>
      </c>
      <c r="N251" s="32" t="s">
        <v>131</v>
      </c>
      <c r="O251" s="21"/>
      <c r="P251" s="21">
        <v>-7.4849042580645203E-2</v>
      </c>
      <c r="Q251" s="21">
        <v>-7.4849042580645203E-2</v>
      </c>
    </row>
    <row r="252" spans="1:17" x14ac:dyDescent="0.25">
      <c r="A252" s="28">
        <v>37256</v>
      </c>
      <c r="B252" s="17">
        <v>7.5738341929156797E-3</v>
      </c>
      <c r="C252" t="str">
        <f t="shared" si="21"/>
        <v>Green</v>
      </c>
      <c r="D252">
        <f>VLOOKUP(A252,Recession!$A$1:$C$395,3,FALSE)</f>
        <v>23.799999</v>
      </c>
      <c r="E252">
        <f t="shared" si="22"/>
        <v>4</v>
      </c>
      <c r="F252">
        <f t="shared" si="23"/>
        <v>1</v>
      </c>
      <c r="G252">
        <f t="shared" si="24"/>
        <v>12</v>
      </c>
      <c r="N252" s="32" t="s">
        <v>93</v>
      </c>
      <c r="O252" s="21">
        <v>7.8215768970539799E-3</v>
      </c>
      <c r="P252" s="21"/>
      <c r="Q252" s="21">
        <v>7.8215768970539799E-3</v>
      </c>
    </row>
    <row r="253" spans="1:17" x14ac:dyDescent="0.25">
      <c r="A253" s="28">
        <v>37225</v>
      </c>
      <c r="B253" s="17">
        <v>7.5175904263053497E-2</v>
      </c>
      <c r="C253" t="str">
        <f t="shared" si="21"/>
        <v>Green</v>
      </c>
      <c r="D253">
        <f>VLOOKUP(A253,Recession!$A$1:$C$395,3,FALSE)</f>
        <v>23.84</v>
      </c>
      <c r="E253">
        <f t="shared" si="22"/>
        <v>4</v>
      </c>
      <c r="F253">
        <f t="shared" si="23"/>
        <v>1</v>
      </c>
      <c r="G253">
        <f t="shared" si="24"/>
        <v>11</v>
      </c>
      <c r="N253" s="30" t="s">
        <v>100</v>
      </c>
      <c r="O253" s="21">
        <v>0.45116670948579218</v>
      </c>
      <c r="P253" s="21">
        <v>-0.21535054136022189</v>
      </c>
      <c r="Q253" s="21">
        <v>0.23581616812557024</v>
      </c>
    </row>
    <row r="254" spans="1:17" x14ac:dyDescent="0.25">
      <c r="A254" s="28">
        <v>37195</v>
      </c>
      <c r="B254" s="17">
        <v>1.8099111445277798E-2</v>
      </c>
      <c r="C254" t="str">
        <f t="shared" si="21"/>
        <v>Green</v>
      </c>
      <c r="D254">
        <f>VLOOKUP(A254,Recession!$A$1:$C$395,3,FALSE)</f>
        <v>33.560001</v>
      </c>
      <c r="E254">
        <f t="shared" si="22"/>
        <v>5</v>
      </c>
      <c r="F254">
        <f t="shared" si="23"/>
        <v>1</v>
      </c>
      <c r="G254">
        <f t="shared" si="24"/>
        <v>10</v>
      </c>
      <c r="N254" s="32" t="s">
        <v>122</v>
      </c>
      <c r="O254" s="21"/>
      <c r="P254" s="21">
        <v>-8.5657342928314395E-2</v>
      </c>
      <c r="Q254" s="21">
        <v>-8.5657342928314395E-2</v>
      </c>
    </row>
    <row r="255" spans="1:17" x14ac:dyDescent="0.25">
      <c r="A255" s="28">
        <v>37162</v>
      </c>
      <c r="B255" s="17">
        <v>-8.1723406019716199E-2</v>
      </c>
      <c r="C255" t="str">
        <f t="shared" si="21"/>
        <v>Red</v>
      </c>
      <c r="D255">
        <f>VLOOKUP(A255,Recession!$A$1:$C$395,3,FALSE)</f>
        <v>31.93</v>
      </c>
      <c r="E255">
        <f t="shared" si="22"/>
        <v>5</v>
      </c>
      <c r="F255">
        <f t="shared" si="23"/>
        <v>0</v>
      </c>
      <c r="G255">
        <f t="shared" si="24"/>
        <v>9</v>
      </c>
      <c r="N255" s="32" t="s">
        <v>123</v>
      </c>
      <c r="O255" s="21"/>
      <c r="P255" s="21">
        <v>-0.109931197571492</v>
      </c>
      <c r="Q255" s="21">
        <v>-0.109931197571492</v>
      </c>
    </row>
    <row r="256" spans="1:17" x14ac:dyDescent="0.25">
      <c r="A256" s="28">
        <v>37134</v>
      </c>
      <c r="B256" s="17">
        <v>-6.4108406563714707E-2</v>
      </c>
      <c r="C256" t="str">
        <f t="shared" si="21"/>
        <v>Red</v>
      </c>
      <c r="D256">
        <f>VLOOKUP(A256,Recession!$A$1:$C$395,3,FALSE)</f>
        <v>24.92</v>
      </c>
      <c r="E256">
        <f t="shared" si="22"/>
        <v>5</v>
      </c>
      <c r="F256">
        <f t="shared" si="23"/>
        <v>0</v>
      </c>
      <c r="G256">
        <f t="shared" si="24"/>
        <v>8</v>
      </c>
      <c r="N256" s="32" t="s">
        <v>124</v>
      </c>
      <c r="O256" s="21">
        <v>8.5404461622494696E-2</v>
      </c>
      <c r="P256" s="21"/>
      <c r="Q256" s="21">
        <v>8.5404461622494696E-2</v>
      </c>
    </row>
    <row r="257" spans="1:17" x14ac:dyDescent="0.25">
      <c r="A257" s="28">
        <v>37103</v>
      </c>
      <c r="B257" s="17">
        <v>-1.0740150072934201E-2</v>
      </c>
      <c r="C257" t="str">
        <f t="shared" si="21"/>
        <v>Red</v>
      </c>
      <c r="D257">
        <f>VLOOKUP(A257,Recession!$A$1:$C$395,3,FALSE)</f>
        <v>21.620000999999998</v>
      </c>
      <c r="E257">
        <f t="shared" si="22"/>
        <v>4</v>
      </c>
      <c r="F257">
        <f t="shared" si="23"/>
        <v>0</v>
      </c>
      <c r="G257">
        <f t="shared" si="24"/>
        <v>7</v>
      </c>
      <c r="N257" s="32" t="s">
        <v>125</v>
      </c>
      <c r="O257" s="21">
        <v>9.3925079862164695E-2</v>
      </c>
      <c r="P257" s="21"/>
      <c r="Q257" s="21">
        <v>9.3925079862164695E-2</v>
      </c>
    </row>
    <row r="258" spans="1:17" x14ac:dyDescent="0.25">
      <c r="A258" s="28">
        <v>37071</v>
      </c>
      <c r="B258" s="17">
        <v>-2.5035389109833502E-2</v>
      </c>
      <c r="C258" t="str">
        <f t="shared" si="21"/>
        <v>Red</v>
      </c>
      <c r="D258">
        <f>VLOOKUP(A258,Recession!$A$1:$C$395,3,FALSE)</f>
        <v>19.059999000000001</v>
      </c>
      <c r="E258">
        <f t="shared" si="22"/>
        <v>3</v>
      </c>
      <c r="F258">
        <f t="shared" si="23"/>
        <v>0</v>
      </c>
      <c r="G258">
        <f t="shared" si="24"/>
        <v>6</v>
      </c>
      <c r="N258" s="32" t="s">
        <v>126</v>
      </c>
      <c r="O258" s="21">
        <v>5.3081446255385502E-2</v>
      </c>
      <c r="P258" s="21"/>
      <c r="Q258" s="21">
        <v>5.3081446255385502E-2</v>
      </c>
    </row>
    <row r="259" spans="1:17" x14ac:dyDescent="0.25">
      <c r="A259" s="28">
        <v>37042</v>
      </c>
      <c r="B259" s="17">
        <v>5.0901871196495901E-3</v>
      </c>
      <c r="C259" t="str">
        <f t="shared" ref="C259:C322" si="25">IF(B259&gt;0,"Green","Red")</f>
        <v>Green</v>
      </c>
      <c r="D259">
        <f>VLOOKUP(A259,Recession!$A$1:$C$395,3,FALSE)</f>
        <v>22.639999</v>
      </c>
      <c r="E259">
        <f t="shared" si="22"/>
        <v>4</v>
      </c>
      <c r="F259">
        <f t="shared" si="23"/>
        <v>1</v>
      </c>
      <c r="G259">
        <f t="shared" si="24"/>
        <v>5</v>
      </c>
      <c r="N259" s="32" t="s">
        <v>127</v>
      </c>
      <c r="O259" s="21">
        <v>1.9582653030303401E-4</v>
      </c>
      <c r="P259" s="21"/>
      <c r="Q259" s="21">
        <v>1.9582653030303401E-4</v>
      </c>
    </row>
    <row r="260" spans="1:17" x14ac:dyDescent="0.25">
      <c r="A260" s="28">
        <v>37011</v>
      </c>
      <c r="B260" s="17">
        <v>7.6814361759009797E-2</v>
      </c>
      <c r="C260" t="str">
        <f t="shared" si="25"/>
        <v>Green</v>
      </c>
      <c r="D260">
        <f>VLOOKUP(A260,Recession!$A$1:$C$395,3,FALSE)</f>
        <v>25.48</v>
      </c>
      <c r="E260">
        <f t="shared" ref="E260:E323" si="26">IF(D260&gt;24.46,5,IF(D260&gt;19.71,4,IF(D260&gt;16.13,3,IF(D260&gt;13.19,2,1))))</f>
        <v>5</v>
      </c>
      <c r="F260">
        <f t="shared" ref="F260:F323" si="27">IF(B260&gt;0,1,0)</f>
        <v>1</v>
      </c>
      <c r="G260">
        <f t="shared" ref="G260:G323" si="28">MONTH(A260)</f>
        <v>4</v>
      </c>
      <c r="N260" s="32" t="s">
        <v>128</v>
      </c>
      <c r="O260" s="21">
        <v>7.4141727016716605E-2</v>
      </c>
      <c r="P260" s="21"/>
      <c r="Q260" s="21">
        <v>7.4141727016716605E-2</v>
      </c>
    </row>
    <row r="261" spans="1:17" x14ac:dyDescent="0.25">
      <c r="A261" s="28">
        <v>36980</v>
      </c>
      <c r="B261" s="17">
        <v>-6.4204710540895493E-2</v>
      </c>
      <c r="C261" t="str">
        <f t="shared" si="25"/>
        <v>Red</v>
      </c>
      <c r="D261">
        <f>VLOOKUP(A261,Recession!$A$1:$C$395,3,FALSE)</f>
        <v>28.639999</v>
      </c>
      <c r="E261">
        <f t="shared" si="26"/>
        <v>5</v>
      </c>
      <c r="F261">
        <f t="shared" si="27"/>
        <v>0</v>
      </c>
      <c r="G261">
        <f t="shared" si="28"/>
        <v>3</v>
      </c>
      <c r="N261" s="32" t="s">
        <v>129</v>
      </c>
      <c r="O261" s="21">
        <v>3.3560189240494899E-2</v>
      </c>
      <c r="P261" s="21"/>
      <c r="Q261" s="21">
        <v>3.3560189240494899E-2</v>
      </c>
    </row>
    <row r="262" spans="1:17" x14ac:dyDescent="0.25">
      <c r="A262" s="28">
        <v>36950</v>
      </c>
      <c r="B262" s="17">
        <v>-9.2290735848999994E-2</v>
      </c>
      <c r="C262" t="str">
        <f t="shared" si="25"/>
        <v>Red</v>
      </c>
      <c r="D262">
        <f>VLOOKUP(A262,Recession!$A$1:$C$395,3,FALSE)</f>
        <v>28.35</v>
      </c>
      <c r="E262">
        <f t="shared" si="26"/>
        <v>5</v>
      </c>
      <c r="F262">
        <f t="shared" si="27"/>
        <v>0</v>
      </c>
      <c r="G262">
        <f t="shared" si="28"/>
        <v>2</v>
      </c>
      <c r="N262" s="32" t="s">
        <v>107</v>
      </c>
      <c r="O262" s="21">
        <v>3.5723345788458698E-2</v>
      </c>
      <c r="P262" s="21"/>
      <c r="Q262" s="21">
        <v>3.5723345788458698E-2</v>
      </c>
    </row>
    <row r="263" spans="1:17" x14ac:dyDescent="0.25">
      <c r="A263" s="28">
        <v>36922</v>
      </c>
      <c r="B263" s="17">
        <v>3.4636577086329501E-2</v>
      </c>
      <c r="C263" t="str">
        <f t="shared" si="25"/>
        <v>Green</v>
      </c>
      <c r="D263">
        <f>VLOOKUP(A263,Recession!$A$1:$C$395,3,FALSE)</f>
        <v>22.02</v>
      </c>
      <c r="E263">
        <f t="shared" si="26"/>
        <v>4</v>
      </c>
      <c r="F263">
        <f t="shared" si="27"/>
        <v>1</v>
      </c>
      <c r="G263">
        <f t="shared" si="28"/>
        <v>1</v>
      </c>
      <c r="N263" s="32" t="s">
        <v>130</v>
      </c>
      <c r="O263" s="21"/>
      <c r="P263" s="21">
        <v>-1.9762000860415501E-2</v>
      </c>
      <c r="Q263" s="21">
        <v>-1.9762000860415501E-2</v>
      </c>
    </row>
    <row r="264" spans="1:17" x14ac:dyDescent="0.25">
      <c r="A264" s="28">
        <v>36889</v>
      </c>
      <c r="B264" s="17">
        <v>4.0534455291978402E-3</v>
      </c>
      <c r="C264" t="str">
        <f t="shared" si="25"/>
        <v>Green</v>
      </c>
      <c r="D264">
        <f>VLOOKUP(A264,Recession!$A$1:$C$395,3,FALSE)</f>
        <v>26.85</v>
      </c>
      <c r="E264">
        <f t="shared" si="26"/>
        <v>5</v>
      </c>
      <c r="F264">
        <f t="shared" si="27"/>
        <v>1</v>
      </c>
      <c r="G264">
        <f t="shared" si="28"/>
        <v>12</v>
      </c>
      <c r="N264" s="32" t="s">
        <v>131</v>
      </c>
      <c r="O264" s="21">
        <v>5.7364061981373601E-2</v>
      </c>
      <c r="P264" s="21"/>
      <c r="Q264" s="21">
        <v>5.7364061981373601E-2</v>
      </c>
    </row>
    <row r="265" spans="1:17" x14ac:dyDescent="0.25">
      <c r="A265" s="28">
        <v>36860</v>
      </c>
      <c r="B265" s="17">
        <v>-8.0068609961069903E-2</v>
      </c>
      <c r="C265" t="str">
        <f t="shared" si="25"/>
        <v>Red</v>
      </c>
      <c r="D265">
        <f>VLOOKUP(A265,Recession!$A$1:$C$395,3,FALSE)</f>
        <v>29.65</v>
      </c>
      <c r="E265">
        <f t="shared" si="26"/>
        <v>5</v>
      </c>
      <c r="F265">
        <f t="shared" si="27"/>
        <v>0</v>
      </c>
      <c r="G265">
        <f t="shared" si="28"/>
        <v>11</v>
      </c>
      <c r="N265" s="32" t="s">
        <v>93</v>
      </c>
      <c r="O265" s="21">
        <v>1.7770571188400398E-2</v>
      </c>
      <c r="P265" s="21"/>
      <c r="Q265" s="21">
        <v>1.7770571188400398E-2</v>
      </c>
    </row>
    <row r="266" spans="1:17" x14ac:dyDescent="0.25">
      <c r="A266" s="28">
        <v>36830</v>
      </c>
      <c r="B266" s="17">
        <v>-4.9494858723608797E-3</v>
      </c>
      <c r="C266" t="str">
        <f t="shared" si="25"/>
        <v>Red</v>
      </c>
      <c r="D266">
        <f>VLOOKUP(A266,Recession!$A$1:$C$395,3,FALSE)</f>
        <v>23.629999000000002</v>
      </c>
      <c r="E266">
        <f t="shared" si="26"/>
        <v>4</v>
      </c>
      <c r="F266">
        <f t="shared" si="27"/>
        <v>0</v>
      </c>
      <c r="G266">
        <f t="shared" si="28"/>
        <v>10</v>
      </c>
      <c r="N266" s="30" t="s">
        <v>105</v>
      </c>
      <c r="O266" s="21">
        <v>0.31315112466497275</v>
      </c>
      <c r="P266" s="21">
        <v>-6.7039535810137871E-2</v>
      </c>
      <c r="Q266" s="21">
        <v>0.24611158885483486</v>
      </c>
    </row>
    <row r="267" spans="1:17" x14ac:dyDescent="0.25">
      <c r="A267" s="28">
        <v>36798</v>
      </c>
      <c r="B267" s="17">
        <v>-5.3482974745611297E-2</v>
      </c>
      <c r="C267" t="str">
        <f t="shared" si="25"/>
        <v>Red</v>
      </c>
      <c r="D267">
        <f>VLOOKUP(A267,Recession!$A$1:$C$395,3,FALSE)</f>
        <v>20.57</v>
      </c>
      <c r="E267">
        <f t="shared" si="26"/>
        <v>4</v>
      </c>
      <c r="F267">
        <f t="shared" si="27"/>
        <v>0</v>
      </c>
      <c r="G267">
        <f t="shared" si="28"/>
        <v>9</v>
      </c>
      <c r="N267" s="32" t="s">
        <v>122</v>
      </c>
      <c r="O267" s="21"/>
      <c r="P267" s="21">
        <v>-1.11366607232312E-2</v>
      </c>
      <c r="Q267" s="21">
        <v>-1.11366607232312E-2</v>
      </c>
    </row>
    <row r="268" spans="1:17" x14ac:dyDescent="0.25">
      <c r="A268" s="28">
        <v>36769</v>
      </c>
      <c r="B268" s="17">
        <v>6.0699105184235998E-2</v>
      </c>
      <c r="C268" t="str">
        <f t="shared" si="25"/>
        <v>Green</v>
      </c>
      <c r="D268">
        <f>VLOOKUP(A268,Recession!$A$1:$C$395,3,FALSE)</f>
        <v>16.84</v>
      </c>
      <c r="E268">
        <f t="shared" si="26"/>
        <v>3</v>
      </c>
      <c r="F268">
        <f t="shared" si="27"/>
        <v>1</v>
      </c>
      <c r="G268">
        <f t="shared" si="28"/>
        <v>8</v>
      </c>
      <c r="N268" s="32" t="s">
        <v>123</v>
      </c>
      <c r="O268" s="21">
        <v>2.60914513496475E-2</v>
      </c>
      <c r="P268" s="21"/>
      <c r="Q268" s="21">
        <v>2.60914513496475E-2</v>
      </c>
    </row>
    <row r="269" spans="1:17" x14ac:dyDescent="0.25">
      <c r="A269" s="28">
        <v>36738</v>
      </c>
      <c r="B269" s="17">
        <v>-1.6341276221772699E-2</v>
      </c>
      <c r="C269" t="str">
        <f t="shared" si="25"/>
        <v>Red</v>
      </c>
      <c r="D269">
        <f>VLOOKUP(A269,Recession!$A$1:$C$395,3,FALSE)</f>
        <v>20.74</v>
      </c>
      <c r="E269">
        <f t="shared" si="26"/>
        <v>4</v>
      </c>
      <c r="F269">
        <f t="shared" si="27"/>
        <v>0</v>
      </c>
      <c r="G269">
        <f t="shared" si="28"/>
        <v>7</v>
      </c>
      <c r="N269" s="32" t="s">
        <v>124</v>
      </c>
      <c r="O269" s="21">
        <v>4.24386327378838E-2</v>
      </c>
      <c r="P269" s="21"/>
      <c r="Q269" s="21">
        <v>4.24386327378838E-2</v>
      </c>
    </row>
    <row r="270" spans="1:17" x14ac:dyDescent="0.25">
      <c r="A270" s="28">
        <v>36707</v>
      </c>
      <c r="B270" s="17">
        <v>2.3933549608901299E-2</v>
      </c>
      <c r="C270" t="str">
        <f t="shared" si="25"/>
        <v>Green</v>
      </c>
      <c r="D270">
        <f>VLOOKUP(A270,Recession!$A$1:$C$395,3,FALSE)</f>
        <v>19.540001</v>
      </c>
      <c r="E270">
        <f t="shared" si="26"/>
        <v>3</v>
      </c>
      <c r="F270">
        <f t="shared" si="27"/>
        <v>1</v>
      </c>
      <c r="G270">
        <f t="shared" si="28"/>
        <v>6</v>
      </c>
      <c r="N270" s="32" t="s">
        <v>125</v>
      </c>
      <c r="O270" s="21">
        <v>5.2425321267266303E-2</v>
      </c>
      <c r="P270" s="21"/>
      <c r="Q270" s="21">
        <v>5.2425321267266303E-2</v>
      </c>
    </row>
    <row r="271" spans="1:17" x14ac:dyDescent="0.25">
      <c r="A271" s="28">
        <v>36677</v>
      </c>
      <c r="B271" s="17">
        <v>-2.1915050512993601E-2</v>
      </c>
      <c r="C271" t="str">
        <f t="shared" si="25"/>
        <v>Red</v>
      </c>
      <c r="D271">
        <f>VLOOKUP(A271,Recession!$A$1:$C$395,3,FALSE)</f>
        <v>23.65</v>
      </c>
      <c r="E271">
        <f t="shared" si="26"/>
        <v>4</v>
      </c>
      <c r="F271">
        <f t="shared" si="27"/>
        <v>0</v>
      </c>
      <c r="G271">
        <f t="shared" si="28"/>
        <v>5</v>
      </c>
      <c r="N271" s="32" t="s">
        <v>126</v>
      </c>
      <c r="O271" s="21">
        <v>5.4864885732810497E-3</v>
      </c>
      <c r="P271" s="21"/>
      <c r="Q271" s="21">
        <v>5.4864885732810497E-3</v>
      </c>
    </row>
    <row r="272" spans="1:17" x14ac:dyDescent="0.25">
      <c r="A272" s="28">
        <v>36644</v>
      </c>
      <c r="B272" s="17">
        <v>-3.0795755551931401E-2</v>
      </c>
      <c r="C272" t="str">
        <f t="shared" si="25"/>
        <v>Red</v>
      </c>
      <c r="D272">
        <f>VLOOKUP(A272,Recession!$A$1:$C$395,3,FALSE)</f>
        <v>26.200001</v>
      </c>
      <c r="E272">
        <f t="shared" si="26"/>
        <v>5</v>
      </c>
      <c r="F272">
        <f t="shared" si="27"/>
        <v>0</v>
      </c>
      <c r="G272">
        <f t="shared" si="28"/>
        <v>4</v>
      </c>
      <c r="N272" s="32" t="s">
        <v>127</v>
      </c>
      <c r="O272" s="21">
        <v>2.2214009634219802E-2</v>
      </c>
      <c r="P272" s="21"/>
      <c r="Q272" s="21">
        <v>2.2214009634219802E-2</v>
      </c>
    </row>
    <row r="273" spans="1:17" x14ac:dyDescent="0.25">
      <c r="A273" s="28">
        <v>36616</v>
      </c>
      <c r="B273" s="17">
        <v>9.6719828269732397E-2</v>
      </c>
      <c r="C273" t="str">
        <f t="shared" si="25"/>
        <v>Green</v>
      </c>
      <c r="D273">
        <f>VLOOKUP(A273,Recession!$A$1:$C$395,3,FALSE)</f>
        <v>24.110001</v>
      </c>
      <c r="E273">
        <f t="shared" si="26"/>
        <v>4</v>
      </c>
      <c r="F273">
        <f t="shared" si="27"/>
        <v>1</v>
      </c>
      <c r="G273">
        <f t="shared" si="28"/>
        <v>3</v>
      </c>
      <c r="N273" s="32" t="s">
        <v>128</v>
      </c>
      <c r="O273" s="21">
        <v>2.2748054915648699E-2</v>
      </c>
      <c r="P273" s="21"/>
      <c r="Q273" s="21">
        <v>2.2748054915648699E-2</v>
      </c>
    </row>
    <row r="274" spans="1:17" x14ac:dyDescent="0.25">
      <c r="A274" s="28">
        <v>36585</v>
      </c>
      <c r="B274" s="17">
        <v>-2.0108083261058299E-2</v>
      </c>
      <c r="C274" t="str">
        <f t="shared" si="25"/>
        <v>Red</v>
      </c>
      <c r="D274">
        <f>VLOOKUP(A274,Recession!$A$1:$C$395,3,FALSE)</f>
        <v>23.370000999999998</v>
      </c>
      <c r="E274">
        <f t="shared" si="26"/>
        <v>4</v>
      </c>
      <c r="F274">
        <f t="shared" si="27"/>
        <v>0</v>
      </c>
      <c r="G274">
        <f t="shared" si="28"/>
        <v>2</v>
      </c>
      <c r="N274" s="32" t="s">
        <v>129</v>
      </c>
      <c r="O274" s="21">
        <v>2.8990416217415299E-2</v>
      </c>
      <c r="P274" s="21"/>
      <c r="Q274" s="21">
        <v>2.8990416217415299E-2</v>
      </c>
    </row>
    <row r="275" spans="1:17" x14ac:dyDescent="0.25">
      <c r="A275" s="28">
        <v>36556</v>
      </c>
      <c r="B275" s="17">
        <v>-5.0903548749361899E-2</v>
      </c>
      <c r="C275" t="str">
        <f t="shared" si="25"/>
        <v>Red</v>
      </c>
      <c r="D275">
        <f>VLOOKUP(A275,Recession!$A$1:$C$395,3,FALSE)</f>
        <v>24.950001</v>
      </c>
      <c r="E275">
        <f t="shared" si="26"/>
        <v>5</v>
      </c>
      <c r="F275">
        <f t="shared" si="27"/>
        <v>0</v>
      </c>
      <c r="G275">
        <f t="shared" si="28"/>
        <v>1</v>
      </c>
      <c r="N275" s="32" t="s">
        <v>107</v>
      </c>
      <c r="O275" s="21"/>
      <c r="P275" s="21">
        <v>-4.75691688617867E-2</v>
      </c>
      <c r="Q275" s="21">
        <v>-4.75691688617867E-2</v>
      </c>
    </row>
    <row r="276" spans="1:17" x14ac:dyDescent="0.25">
      <c r="A276" s="28">
        <v>36525</v>
      </c>
      <c r="B276" s="17">
        <v>5.7843894876779399E-2</v>
      </c>
      <c r="C276" t="str">
        <f t="shared" si="25"/>
        <v>Green</v>
      </c>
      <c r="D276">
        <f>VLOOKUP(A276,Recession!$A$1:$C$395,3,FALSE)</f>
        <v>24.639999</v>
      </c>
      <c r="E276">
        <f t="shared" si="26"/>
        <v>5</v>
      </c>
      <c r="F276">
        <f t="shared" si="27"/>
        <v>1</v>
      </c>
      <c r="G276">
        <f t="shared" si="28"/>
        <v>12</v>
      </c>
      <c r="N276" s="32" t="s">
        <v>130</v>
      </c>
      <c r="O276" s="21">
        <v>6.9143836459647501E-2</v>
      </c>
      <c r="P276" s="21"/>
      <c r="Q276" s="21">
        <v>6.9143836459647501E-2</v>
      </c>
    </row>
    <row r="277" spans="1:17" x14ac:dyDescent="0.25">
      <c r="A277" s="28">
        <v>36494</v>
      </c>
      <c r="B277" s="17">
        <v>1.9061858621249601E-2</v>
      </c>
      <c r="C277" t="str">
        <f t="shared" si="25"/>
        <v>Green</v>
      </c>
      <c r="D277">
        <f>VLOOKUP(A277,Recession!$A$1:$C$395,3,FALSE)</f>
        <v>24.18</v>
      </c>
      <c r="E277">
        <f t="shared" si="26"/>
        <v>4</v>
      </c>
      <c r="F277">
        <f t="shared" si="27"/>
        <v>1</v>
      </c>
      <c r="G277">
        <f t="shared" si="28"/>
        <v>11</v>
      </c>
      <c r="N277" s="32" t="s">
        <v>131</v>
      </c>
      <c r="O277" s="21"/>
      <c r="P277" s="21">
        <v>-8.3337062251199693E-3</v>
      </c>
      <c r="Q277" s="21">
        <v>-8.3337062251199693E-3</v>
      </c>
    </row>
    <row r="278" spans="1:17" x14ac:dyDescent="0.25">
      <c r="A278" s="28">
        <v>36462</v>
      </c>
      <c r="B278" s="17">
        <v>6.2539541625965298E-2</v>
      </c>
      <c r="C278" t="str">
        <f t="shared" si="25"/>
        <v>Green</v>
      </c>
      <c r="D278">
        <f>VLOOKUP(A278,Recession!$A$1:$C$395,3,FALSE)</f>
        <v>22.200001</v>
      </c>
      <c r="E278">
        <f t="shared" si="26"/>
        <v>4</v>
      </c>
      <c r="F278">
        <f t="shared" si="27"/>
        <v>1</v>
      </c>
      <c r="G278">
        <f t="shared" si="28"/>
        <v>10</v>
      </c>
      <c r="N278" s="32" t="s">
        <v>93</v>
      </c>
      <c r="O278" s="21">
        <v>4.3612913509962797E-2</v>
      </c>
      <c r="P278" s="21"/>
      <c r="Q278" s="21">
        <v>4.3612913509962797E-2</v>
      </c>
    </row>
    <row r="279" spans="1:17" x14ac:dyDescent="0.25">
      <c r="A279" s="28">
        <v>36433</v>
      </c>
      <c r="B279" s="17">
        <v>-2.85517922684916E-2</v>
      </c>
      <c r="C279" t="str">
        <f t="shared" si="25"/>
        <v>Red</v>
      </c>
      <c r="D279">
        <f>VLOOKUP(A279,Recession!$A$1:$C$395,3,FALSE)</f>
        <v>25.41</v>
      </c>
      <c r="E279">
        <f t="shared" si="26"/>
        <v>5</v>
      </c>
      <c r="F279">
        <f t="shared" si="27"/>
        <v>0</v>
      </c>
      <c r="G279">
        <f t="shared" si="28"/>
        <v>9</v>
      </c>
      <c r="N279" s="30" t="s">
        <v>106</v>
      </c>
      <c r="O279" s="21">
        <v>0.12694285763875218</v>
      </c>
      <c r="P279" s="21">
        <v>-0.39165816688470173</v>
      </c>
      <c r="Q279" s="21">
        <v>-0.26471530924594955</v>
      </c>
    </row>
    <row r="280" spans="1:17" x14ac:dyDescent="0.25">
      <c r="A280" s="28">
        <v>36403</v>
      </c>
      <c r="B280" s="17">
        <v>-6.2540920445004504E-3</v>
      </c>
      <c r="C280" t="str">
        <f t="shared" si="25"/>
        <v>Red</v>
      </c>
      <c r="D280">
        <f>VLOOKUP(A280,Recession!$A$1:$C$395,3,FALSE)</f>
        <v>24.450001</v>
      </c>
      <c r="E280">
        <f t="shared" si="26"/>
        <v>4</v>
      </c>
      <c r="F280">
        <f t="shared" si="27"/>
        <v>0</v>
      </c>
      <c r="G280">
        <f t="shared" si="28"/>
        <v>8</v>
      </c>
      <c r="N280" s="32" t="s">
        <v>122</v>
      </c>
      <c r="O280" s="21"/>
      <c r="P280" s="21">
        <v>-5.2585165005310602E-2</v>
      </c>
      <c r="Q280" s="21">
        <v>-5.2585165005310602E-2</v>
      </c>
    </row>
    <row r="281" spans="1:17" x14ac:dyDescent="0.25">
      <c r="A281" s="28">
        <v>36371</v>
      </c>
      <c r="B281" s="17">
        <v>-3.2046092218893797E-2</v>
      </c>
      <c r="C281" t="str">
        <f t="shared" si="25"/>
        <v>Red</v>
      </c>
      <c r="D281">
        <f>VLOOKUP(A281,Recession!$A$1:$C$395,3,FALSE)</f>
        <v>24.639999</v>
      </c>
      <c r="E281">
        <f t="shared" si="26"/>
        <v>5</v>
      </c>
      <c r="F281">
        <f t="shared" si="27"/>
        <v>0</v>
      </c>
      <c r="G281">
        <f t="shared" si="28"/>
        <v>7</v>
      </c>
      <c r="N281" s="32" t="s">
        <v>123</v>
      </c>
      <c r="O281" s="21"/>
      <c r="P281" s="21">
        <v>-3.1360492102910101E-2</v>
      </c>
      <c r="Q281" s="21">
        <v>-3.1360492102910101E-2</v>
      </c>
    </row>
    <row r="282" spans="1:17" x14ac:dyDescent="0.25">
      <c r="A282" s="28">
        <v>36341</v>
      </c>
      <c r="B282" s="17">
        <v>5.4438331016794198E-2</v>
      </c>
      <c r="C282" t="str">
        <f t="shared" si="25"/>
        <v>Green</v>
      </c>
      <c r="D282">
        <f>VLOOKUP(A282,Recession!$A$1:$C$395,3,FALSE)</f>
        <v>21.09</v>
      </c>
      <c r="E282">
        <f t="shared" si="26"/>
        <v>4</v>
      </c>
      <c r="F282">
        <f t="shared" si="27"/>
        <v>1</v>
      </c>
      <c r="G282">
        <f t="shared" si="28"/>
        <v>6</v>
      </c>
      <c r="N282" s="32" t="s">
        <v>124</v>
      </c>
      <c r="O282" s="21">
        <v>3.5773288410591901E-2</v>
      </c>
      <c r="P282" s="21"/>
      <c r="Q282" s="21">
        <v>3.5773288410591901E-2</v>
      </c>
    </row>
    <row r="283" spans="1:17" x14ac:dyDescent="0.25">
      <c r="A283" s="28">
        <v>36308</v>
      </c>
      <c r="B283" s="17">
        <v>-2.4970480872686801E-2</v>
      </c>
      <c r="C283" t="str">
        <f t="shared" si="25"/>
        <v>Red</v>
      </c>
      <c r="D283">
        <f>VLOOKUP(A283,Recession!$A$1:$C$395,3,FALSE)</f>
        <v>25.389999</v>
      </c>
      <c r="E283">
        <f t="shared" si="26"/>
        <v>5</v>
      </c>
      <c r="F283">
        <f t="shared" si="27"/>
        <v>0</v>
      </c>
      <c r="G283">
        <f t="shared" si="28"/>
        <v>5</v>
      </c>
      <c r="N283" s="32" t="s">
        <v>125</v>
      </c>
      <c r="O283" s="21"/>
      <c r="P283" s="21">
        <v>-8.7956711705729301E-2</v>
      </c>
      <c r="Q283" s="21">
        <v>-8.7956711705729301E-2</v>
      </c>
    </row>
    <row r="284" spans="1:17" x14ac:dyDescent="0.25">
      <c r="A284" s="28">
        <v>36280</v>
      </c>
      <c r="B284" s="17">
        <v>3.7944027915545402E-2</v>
      </c>
      <c r="C284" t="str">
        <f t="shared" si="25"/>
        <v>Green</v>
      </c>
      <c r="D284">
        <f>VLOOKUP(A284,Recession!$A$1:$C$395,3,FALSE)</f>
        <v>25.07</v>
      </c>
      <c r="E284">
        <f t="shared" si="26"/>
        <v>5</v>
      </c>
      <c r="F284">
        <f t="shared" si="27"/>
        <v>1</v>
      </c>
      <c r="G284">
        <f t="shared" si="28"/>
        <v>4</v>
      </c>
      <c r="N284" s="32" t="s">
        <v>126</v>
      </c>
      <c r="O284" s="21">
        <v>5.3177568506868103E-5</v>
      </c>
      <c r="P284" s="21"/>
      <c r="Q284" s="21">
        <v>5.3177568506868103E-5</v>
      </c>
    </row>
    <row r="285" spans="1:17" x14ac:dyDescent="0.25">
      <c r="A285" s="28">
        <v>36250</v>
      </c>
      <c r="B285" s="17">
        <v>3.8794215360158799E-2</v>
      </c>
      <c r="C285" t="str">
        <f t="shared" si="25"/>
        <v>Green</v>
      </c>
      <c r="D285">
        <f>VLOOKUP(A285,Recession!$A$1:$C$395,3,FALSE)</f>
        <v>23.26</v>
      </c>
      <c r="E285">
        <f t="shared" si="26"/>
        <v>4</v>
      </c>
      <c r="F285">
        <f t="shared" si="27"/>
        <v>1</v>
      </c>
      <c r="G285">
        <f t="shared" si="28"/>
        <v>3</v>
      </c>
      <c r="N285" s="32" t="s">
        <v>127</v>
      </c>
      <c r="O285" s="21"/>
      <c r="P285" s="21">
        <v>-8.3919999812243101E-2</v>
      </c>
      <c r="Q285" s="21">
        <v>-8.3919999812243101E-2</v>
      </c>
    </row>
    <row r="286" spans="1:17" x14ac:dyDescent="0.25">
      <c r="A286" s="28">
        <v>36217</v>
      </c>
      <c r="B286" s="17">
        <v>-3.2282562686194102E-2</v>
      </c>
      <c r="C286" t="str">
        <f t="shared" si="25"/>
        <v>Red</v>
      </c>
      <c r="D286">
        <f>VLOOKUP(A286,Recession!$A$1:$C$395,3,FALSE)</f>
        <v>27.879999000000002</v>
      </c>
      <c r="E286">
        <f t="shared" si="26"/>
        <v>5</v>
      </c>
      <c r="F286">
        <f t="shared" si="27"/>
        <v>0</v>
      </c>
      <c r="G286">
        <f t="shared" si="28"/>
        <v>2</v>
      </c>
      <c r="N286" s="32" t="s">
        <v>128</v>
      </c>
      <c r="O286" s="21">
        <v>9.1116391659653406E-2</v>
      </c>
      <c r="P286" s="21"/>
      <c r="Q286" s="21">
        <v>9.1116391659653406E-2</v>
      </c>
    </row>
    <row r="287" spans="1:17" x14ac:dyDescent="0.25">
      <c r="A287" s="28">
        <v>36189</v>
      </c>
      <c r="B287" s="17">
        <v>4.1009441536725297E-2</v>
      </c>
      <c r="C287" t="str">
        <f t="shared" si="25"/>
        <v>Green</v>
      </c>
      <c r="D287">
        <f>VLOOKUP(A287,Recession!$A$1:$C$395,3,FALSE)</f>
        <v>26.25</v>
      </c>
      <c r="E287">
        <f t="shared" si="26"/>
        <v>5</v>
      </c>
      <c r="F287">
        <f t="shared" si="27"/>
        <v>1</v>
      </c>
      <c r="G287">
        <f t="shared" si="28"/>
        <v>1</v>
      </c>
      <c r="N287" s="32" t="s">
        <v>129</v>
      </c>
      <c r="O287" s="21"/>
      <c r="P287" s="21">
        <v>-4.2440128258508597E-2</v>
      </c>
      <c r="Q287" s="21">
        <v>-4.2440128258508597E-2</v>
      </c>
    </row>
    <row r="288" spans="1:17" x14ac:dyDescent="0.25">
      <c r="A288" s="28">
        <v>36160</v>
      </c>
      <c r="B288" s="17">
        <v>5.63752865757359E-2</v>
      </c>
      <c r="C288" t="str">
        <f t="shared" si="25"/>
        <v>Green</v>
      </c>
      <c r="D288">
        <f>VLOOKUP(A288,Recession!$A$1:$C$395,3,FALSE)</f>
        <v>24.42</v>
      </c>
      <c r="E288">
        <f t="shared" si="26"/>
        <v>4</v>
      </c>
      <c r="F288">
        <f t="shared" si="27"/>
        <v>1</v>
      </c>
      <c r="G288">
        <f t="shared" si="28"/>
        <v>12</v>
      </c>
      <c r="N288" s="32" t="s">
        <v>107</v>
      </c>
      <c r="O288" s="21"/>
      <c r="P288" s="21">
        <v>-9.339567E-2</v>
      </c>
      <c r="Q288" s="21">
        <v>-9.339567E-2</v>
      </c>
    </row>
    <row r="289" spans="1:17" x14ac:dyDescent="0.25">
      <c r="A289" s="28">
        <v>36129</v>
      </c>
      <c r="B289" s="17">
        <v>5.91259963396253E-2</v>
      </c>
      <c r="C289" t="str">
        <f t="shared" si="25"/>
        <v>Green</v>
      </c>
      <c r="D289">
        <f>VLOOKUP(A289,Recession!$A$1:$C$395,3,FALSE)</f>
        <v>26.01</v>
      </c>
      <c r="E289">
        <f t="shared" si="26"/>
        <v>5</v>
      </c>
      <c r="F289">
        <f t="shared" si="27"/>
        <v>1</v>
      </c>
      <c r="G289">
        <f t="shared" si="28"/>
        <v>11</v>
      </c>
      <c r="N289" s="30" t="s">
        <v>92</v>
      </c>
      <c r="O289" s="21">
        <v>5.1348731496515798</v>
      </c>
      <c r="P289" s="21">
        <v>-4.2581803315189664</v>
      </c>
      <c r="Q289" s="21">
        <v>0.87669281813261313</v>
      </c>
    </row>
    <row r="290" spans="1:17" x14ac:dyDescent="0.25">
      <c r="A290" s="28">
        <v>36098</v>
      </c>
      <c r="B290" s="17">
        <v>8.0294228372442406E-2</v>
      </c>
      <c r="C290" t="str">
        <f t="shared" si="25"/>
        <v>Green</v>
      </c>
      <c r="D290">
        <f>VLOOKUP(A290,Recession!$A$1:$C$395,3,FALSE)</f>
        <v>28.049999</v>
      </c>
      <c r="E290">
        <f t="shared" si="26"/>
        <v>5</v>
      </c>
      <c r="F290">
        <f t="shared" si="27"/>
        <v>1</v>
      </c>
      <c r="G290">
        <f t="shared" si="28"/>
        <v>10</v>
      </c>
    </row>
    <row r="291" spans="1:17" x14ac:dyDescent="0.25">
      <c r="A291" s="28">
        <v>36068</v>
      </c>
      <c r="B291" s="17">
        <v>6.2395515617718902E-2</v>
      </c>
      <c r="C291" t="str">
        <f t="shared" si="25"/>
        <v>Green</v>
      </c>
      <c r="D291">
        <f>VLOOKUP(A291,Recession!$A$1:$C$395,3,FALSE)</f>
        <v>40.950001</v>
      </c>
      <c r="E291">
        <f t="shared" si="26"/>
        <v>5</v>
      </c>
      <c r="F291">
        <f t="shared" si="27"/>
        <v>1</v>
      </c>
      <c r="G291">
        <f t="shared" si="28"/>
        <v>9</v>
      </c>
    </row>
    <row r="292" spans="1:17" x14ac:dyDescent="0.25">
      <c r="A292" s="28">
        <v>36038</v>
      </c>
      <c r="B292" s="17">
        <v>-0.14579671855670701</v>
      </c>
      <c r="C292" t="str">
        <f t="shared" si="25"/>
        <v>Red</v>
      </c>
      <c r="D292">
        <f>VLOOKUP(A292,Recession!$A$1:$C$395,3,FALSE)</f>
        <v>44.279998999999997</v>
      </c>
      <c r="E292">
        <f t="shared" si="26"/>
        <v>5</v>
      </c>
      <c r="F292">
        <f t="shared" si="27"/>
        <v>0</v>
      </c>
      <c r="G292">
        <f t="shared" si="28"/>
        <v>8</v>
      </c>
    </row>
    <row r="293" spans="1:17" x14ac:dyDescent="0.25">
      <c r="A293" s="28">
        <v>36007</v>
      </c>
      <c r="B293" s="17">
        <v>-1.1615327025789501E-2</v>
      </c>
      <c r="C293" t="str">
        <f t="shared" si="25"/>
        <v>Red</v>
      </c>
      <c r="D293">
        <f>VLOOKUP(A293,Recession!$A$1:$C$395,3,FALSE)</f>
        <v>24.799999</v>
      </c>
      <c r="E293">
        <f t="shared" si="26"/>
        <v>5</v>
      </c>
      <c r="F293">
        <f t="shared" si="27"/>
        <v>0</v>
      </c>
      <c r="G293">
        <f t="shared" si="28"/>
        <v>7</v>
      </c>
    </row>
    <row r="294" spans="1:17" x14ac:dyDescent="0.25">
      <c r="A294" s="28">
        <v>35976</v>
      </c>
      <c r="B294" s="17">
        <v>3.9438241075214098E-2</v>
      </c>
      <c r="C294" t="str">
        <f t="shared" si="25"/>
        <v>Green</v>
      </c>
      <c r="D294">
        <f>VLOOKUP(A294,Recession!$A$1:$C$395,3,FALSE)</f>
        <v>19.709999</v>
      </c>
      <c r="E294">
        <f t="shared" si="26"/>
        <v>3</v>
      </c>
      <c r="F294">
        <f t="shared" si="27"/>
        <v>1</v>
      </c>
      <c r="G294">
        <f t="shared" si="28"/>
        <v>6</v>
      </c>
    </row>
    <row r="295" spans="1:17" x14ac:dyDescent="0.25">
      <c r="A295" s="28">
        <v>35944</v>
      </c>
      <c r="B295" s="17">
        <v>-1.8826223521475099E-2</v>
      </c>
      <c r="C295" t="str">
        <f t="shared" si="25"/>
        <v>Red</v>
      </c>
      <c r="D295">
        <f>VLOOKUP(A295,Recession!$A$1:$C$395,3,FALSE)</f>
        <v>21.32</v>
      </c>
      <c r="E295">
        <f t="shared" si="26"/>
        <v>4</v>
      </c>
      <c r="F295">
        <f t="shared" si="27"/>
        <v>0</v>
      </c>
      <c r="G295">
        <f t="shared" si="28"/>
        <v>5</v>
      </c>
    </row>
    <row r="296" spans="1:17" x14ac:dyDescent="0.25">
      <c r="A296" s="28">
        <v>35915</v>
      </c>
      <c r="B296" s="17">
        <v>9.0764692534604004E-3</v>
      </c>
      <c r="C296" t="str">
        <f t="shared" si="25"/>
        <v>Green</v>
      </c>
      <c r="D296">
        <f>VLOOKUP(A296,Recession!$A$1:$C$395,3,FALSE)</f>
        <v>21.18</v>
      </c>
      <c r="E296">
        <f t="shared" si="26"/>
        <v>4</v>
      </c>
      <c r="F296">
        <f t="shared" si="27"/>
        <v>1</v>
      </c>
      <c r="G296">
        <f t="shared" si="28"/>
        <v>4</v>
      </c>
    </row>
    <row r="297" spans="1:17" x14ac:dyDescent="0.25">
      <c r="A297" s="28">
        <v>35885</v>
      </c>
      <c r="B297" s="17">
        <v>4.9945714161429497E-2</v>
      </c>
      <c r="C297" t="str">
        <f t="shared" si="25"/>
        <v>Green</v>
      </c>
      <c r="D297">
        <f>VLOOKUP(A297,Recession!$A$1:$C$395,3,FALSE)</f>
        <v>24.219999000000001</v>
      </c>
      <c r="E297">
        <f t="shared" si="26"/>
        <v>4</v>
      </c>
      <c r="F297">
        <f t="shared" si="27"/>
        <v>1</v>
      </c>
      <c r="G297">
        <f t="shared" si="28"/>
        <v>3</v>
      </c>
    </row>
    <row r="298" spans="1:17" x14ac:dyDescent="0.25">
      <c r="A298" s="28">
        <v>35853</v>
      </c>
      <c r="B298" s="17">
        <v>7.0449193043797195E-2</v>
      </c>
      <c r="C298" t="str">
        <f t="shared" si="25"/>
        <v>Green</v>
      </c>
      <c r="D298">
        <f>VLOOKUP(A298,Recession!$A$1:$C$395,3,FALSE)</f>
        <v>18.549999</v>
      </c>
      <c r="E298">
        <f t="shared" si="26"/>
        <v>3</v>
      </c>
      <c r="F298">
        <f t="shared" si="27"/>
        <v>1</v>
      </c>
      <c r="G298">
        <f t="shared" si="28"/>
        <v>2</v>
      </c>
    </row>
    <row r="299" spans="1:17" x14ac:dyDescent="0.25">
      <c r="A299" s="28">
        <v>35825</v>
      </c>
      <c r="B299" s="17">
        <v>1.01501767989975E-2</v>
      </c>
      <c r="C299" t="str">
        <f t="shared" si="25"/>
        <v>Green</v>
      </c>
      <c r="D299">
        <f>VLOOKUP(A299,Recession!$A$1:$C$395,3,FALSE)</f>
        <v>21.469999000000001</v>
      </c>
      <c r="E299">
        <f t="shared" si="26"/>
        <v>4</v>
      </c>
      <c r="F299">
        <f t="shared" si="27"/>
        <v>1</v>
      </c>
      <c r="G299">
        <f t="shared" si="28"/>
        <v>1</v>
      </c>
    </row>
    <row r="300" spans="1:17" x14ac:dyDescent="0.25">
      <c r="A300" s="28">
        <v>35795</v>
      </c>
      <c r="B300" s="17">
        <v>1.5731597888257998E-2</v>
      </c>
      <c r="C300" t="str">
        <f t="shared" si="25"/>
        <v>Green</v>
      </c>
      <c r="D300">
        <f>VLOOKUP(A300,Recession!$A$1:$C$395,3,FALSE)</f>
        <v>24.01</v>
      </c>
      <c r="E300">
        <f t="shared" si="26"/>
        <v>4</v>
      </c>
      <c r="F300">
        <f t="shared" si="27"/>
        <v>1</v>
      </c>
      <c r="G300">
        <f t="shared" si="28"/>
        <v>12</v>
      </c>
    </row>
    <row r="301" spans="1:17" x14ac:dyDescent="0.25">
      <c r="A301" s="28">
        <v>35762</v>
      </c>
      <c r="B301" s="17">
        <v>4.4586854893763801E-2</v>
      </c>
      <c r="C301" t="str">
        <f t="shared" si="25"/>
        <v>Green</v>
      </c>
      <c r="D301">
        <f>VLOOKUP(A301,Recession!$A$1:$C$395,3,FALSE)</f>
        <v>27.43</v>
      </c>
      <c r="E301">
        <f t="shared" si="26"/>
        <v>5</v>
      </c>
      <c r="F301">
        <f t="shared" si="27"/>
        <v>1</v>
      </c>
      <c r="G301">
        <f t="shared" si="28"/>
        <v>11</v>
      </c>
    </row>
    <row r="302" spans="1:17" x14ac:dyDescent="0.25">
      <c r="A302" s="28">
        <v>35734</v>
      </c>
      <c r="B302" s="17">
        <v>-3.4477697196337802E-2</v>
      </c>
      <c r="C302" t="str">
        <f t="shared" si="25"/>
        <v>Red</v>
      </c>
      <c r="D302">
        <f>VLOOKUP(A302,Recession!$A$1:$C$395,3,FALSE)</f>
        <v>35.090000000000003</v>
      </c>
      <c r="E302">
        <f t="shared" si="26"/>
        <v>5</v>
      </c>
      <c r="F302">
        <f t="shared" si="27"/>
        <v>0</v>
      </c>
      <c r="G302">
        <f t="shared" si="28"/>
        <v>10</v>
      </c>
    </row>
    <row r="303" spans="1:17" x14ac:dyDescent="0.25">
      <c r="A303" s="28">
        <v>35703</v>
      </c>
      <c r="B303" s="17">
        <v>5.3153589937912499E-2</v>
      </c>
      <c r="C303" t="str">
        <f t="shared" si="25"/>
        <v>Green</v>
      </c>
      <c r="D303">
        <f>VLOOKUP(A303,Recession!$A$1:$C$395,3,FALSE)</f>
        <v>22.91</v>
      </c>
      <c r="E303">
        <f t="shared" si="26"/>
        <v>4</v>
      </c>
      <c r="F303">
        <f t="shared" si="27"/>
        <v>1</v>
      </c>
      <c r="G303">
        <f t="shared" si="28"/>
        <v>9</v>
      </c>
    </row>
    <row r="304" spans="1:17" x14ac:dyDescent="0.25">
      <c r="A304" s="28">
        <v>35671</v>
      </c>
      <c r="B304" s="17">
        <v>-5.7465631833399297E-2</v>
      </c>
      <c r="C304" t="str">
        <f t="shared" si="25"/>
        <v>Red</v>
      </c>
      <c r="D304">
        <f>VLOOKUP(A304,Recession!$A$1:$C$395,3,FALSE)</f>
        <v>24.76</v>
      </c>
      <c r="E304">
        <f t="shared" si="26"/>
        <v>5</v>
      </c>
      <c r="F304">
        <f t="shared" si="27"/>
        <v>0</v>
      </c>
      <c r="G304">
        <f t="shared" si="28"/>
        <v>8</v>
      </c>
    </row>
    <row r="305" spans="1:7" x14ac:dyDescent="0.25">
      <c r="A305" s="28">
        <v>35642</v>
      </c>
      <c r="B305" s="17">
        <v>7.8145809507889102E-2</v>
      </c>
      <c r="C305" t="str">
        <f t="shared" si="25"/>
        <v>Green</v>
      </c>
      <c r="D305">
        <f>VLOOKUP(A305,Recession!$A$1:$C$395,3,FALSE)</f>
        <v>21.48</v>
      </c>
      <c r="E305">
        <f t="shared" si="26"/>
        <v>4</v>
      </c>
      <c r="F305">
        <f t="shared" si="27"/>
        <v>1</v>
      </c>
      <c r="G305">
        <f t="shared" si="28"/>
        <v>7</v>
      </c>
    </row>
    <row r="306" spans="1:7" x14ac:dyDescent="0.25">
      <c r="A306" s="28">
        <v>35611</v>
      </c>
      <c r="B306" s="17">
        <v>4.3452615574897498E-2</v>
      </c>
      <c r="C306" t="str">
        <f t="shared" si="25"/>
        <v>Green</v>
      </c>
      <c r="D306">
        <f>VLOOKUP(A306,Recession!$A$1:$C$395,3,FALSE)</f>
        <v>21.530000999999999</v>
      </c>
      <c r="E306">
        <f t="shared" si="26"/>
        <v>4</v>
      </c>
      <c r="F306">
        <f t="shared" si="27"/>
        <v>1</v>
      </c>
      <c r="G306">
        <f t="shared" si="28"/>
        <v>6</v>
      </c>
    </row>
    <row r="307" spans="1:7" x14ac:dyDescent="0.25">
      <c r="A307" s="28">
        <v>35580</v>
      </c>
      <c r="B307" s="17">
        <v>5.8576884241924997E-2</v>
      </c>
      <c r="C307" t="str">
        <f t="shared" si="25"/>
        <v>Green</v>
      </c>
      <c r="D307">
        <f>VLOOKUP(A307,Recession!$A$1:$C$395,3,FALSE)</f>
        <v>19.190000999999999</v>
      </c>
      <c r="E307">
        <f t="shared" si="26"/>
        <v>3</v>
      </c>
      <c r="F307">
        <f t="shared" si="27"/>
        <v>1</v>
      </c>
      <c r="G307">
        <f t="shared" si="28"/>
        <v>5</v>
      </c>
    </row>
    <row r="308" spans="1:7" x14ac:dyDescent="0.25">
      <c r="A308" s="28">
        <v>35550</v>
      </c>
      <c r="B308" s="17">
        <v>5.8405579422057E-2</v>
      </c>
      <c r="C308" t="str">
        <f t="shared" si="25"/>
        <v>Green</v>
      </c>
      <c r="D308">
        <f>VLOOKUP(A308,Recession!$A$1:$C$395,3,FALSE)</f>
        <v>20.059999000000001</v>
      </c>
      <c r="E308">
        <f t="shared" si="26"/>
        <v>4</v>
      </c>
      <c r="F308">
        <f t="shared" si="27"/>
        <v>1</v>
      </c>
      <c r="G308">
        <f t="shared" si="28"/>
        <v>4</v>
      </c>
    </row>
    <row r="309" spans="1:7" x14ac:dyDescent="0.25">
      <c r="A309" s="28">
        <v>35520</v>
      </c>
      <c r="B309" s="17">
        <v>-4.2614010396426399E-2</v>
      </c>
      <c r="C309" t="str">
        <f t="shared" si="25"/>
        <v>Red</v>
      </c>
      <c r="D309">
        <f>VLOOKUP(A309,Recession!$A$1:$C$395,3,FALSE)</f>
        <v>22.139999</v>
      </c>
      <c r="E309">
        <f t="shared" si="26"/>
        <v>4</v>
      </c>
      <c r="F309">
        <f t="shared" si="27"/>
        <v>0</v>
      </c>
      <c r="G309">
        <f t="shared" si="28"/>
        <v>3</v>
      </c>
    </row>
    <row r="310" spans="1:7" x14ac:dyDescent="0.25">
      <c r="A310" s="28">
        <v>35489</v>
      </c>
      <c r="B310" s="17">
        <v>5.9275900071804602E-3</v>
      </c>
      <c r="C310" t="str">
        <f t="shared" si="25"/>
        <v>Green</v>
      </c>
      <c r="D310">
        <f>VLOOKUP(A310,Recession!$A$1:$C$395,3,FALSE)</f>
        <v>21.1</v>
      </c>
      <c r="E310">
        <f t="shared" si="26"/>
        <v>4</v>
      </c>
      <c r="F310">
        <f t="shared" si="27"/>
        <v>1</v>
      </c>
      <c r="G310">
        <f t="shared" si="28"/>
        <v>2</v>
      </c>
    </row>
    <row r="311" spans="1:7" x14ac:dyDescent="0.25">
      <c r="A311" s="28">
        <v>35461</v>
      </c>
      <c r="B311" s="17">
        <v>6.1317039194819199E-2</v>
      </c>
      <c r="C311" t="str">
        <f t="shared" si="25"/>
        <v>Green</v>
      </c>
      <c r="D311">
        <f>VLOOKUP(A311,Recession!$A$1:$C$395,3,FALSE)</f>
        <v>19.469999000000001</v>
      </c>
      <c r="E311">
        <f t="shared" si="26"/>
        <v>3</v>
      </c>
      <c r="F311">
        <f t="shared" si="27"/>
        <v>1</v>
      </c>
      <c r="G311">
        <f t="shared" si="28"/>
        <v>1</v>
      </c>
    </row>
    <row r="312" spans="1:7" x14ac:dyDescent="0.25">
      <c r="A312" s="28">
        <v>35430</v>
      </c>
      <c r="B312" s="17">
        <v>-2.1505415404998202E-2</v>
      </c>
      <c r="C312" t="str">
        <f t="shared" si="25"/>
        <v>Red</v>
      </c>
      <c r="D312">
        <f>VLOOKUP(A312,Recession!$A$1:$C$395,3,FALSE)</f>
        <v>20.92</v>
      </c>
      <c r="E312">
        <f t="shared" si="26"/>
        <v>4</v>
      </c>
      <c r="F312">
        <f t="shared" si="27"/>
        <v>0</v>
      </c>
      <c r="G312">
        <f t="shared" si="28"/>
        <v>12</v>
      </c>
    </row>
    <row r="313" spans="1:7" x14ac:dyDescent="0.25">
      <c r="A313" s="28">
        <v>35398</v>
      </c>
      <c r="B313" s="17">
        <v>7.3376151732636993E-2</v>
      </c>
      <c r="C313" t="str">
        <f t="shared" si="25"/>
        <v>Green</v>
      </c>
      <c r="D313">
        <f>VLOOKUP(A313,Recession!$A$1:$C$395,3,FALSE)</f>
        <v>17.139999</v>
      </c>
      <c r="E313">
        <f t="shared" si="26"/>
        <v>3</v>
      </c>
      <c r="F313">
        <f t="shared" si="27"/>
        <v>1</v>
      </c>
      <c r="G313">
        <f t="shared" si="28"/>
        <v>11</v>
      </c>
    </row>
    <row r="314" spans="1:7" x14ac:dyDescent="0.25">
      <c r="A314" s="28">
        <v>35369</v>
      </c>
      <c r="B314" s="17">
        <v>2.61010032390308E-2</v>
      </c>
      <c r="C314" t="str">
        <f t="shared" si="25"/>
        <v>Green</v>
      </c>
      <c r="D314">
        <f>VLOOKUP(A314,Recession!$A$1:$C$395,3,FALSE)</f>
        <v>18.110001</v>
      </c>
      <c r="E314">
        <f t="shared" si="26"/>
        <v>3</v>
      </c>
      <c r="F314">
        <f t="shared" si="27"/>
        <v>1</v>
      </c>
      <c r="G314">
        <f t="shared" si="28"/>
        <v>10</v>
      </c>
    </row>
    <row r="315" spans="1:7" x14ac:dyDescent="0.25">
      <c r="A315" s="28">
        <v>35338</v>
      </c>
      <c r="B315" s="17">
        <v>5.4203327569492199E-2</v>
      </c>
      <c r="C315" t="str">
        <f t="shared" si="25"/>
        <v>Green</v>
      </c>
      <c r="D315">
        <f>VLOOKUP(A315,Recession!$A$1:$C$395,3,FALSE)</f>
        <v>16.950001</v>
      </c>
      <c r="E315">
        <f t="shared" si="26"/>
        <v>3</v>
      </c>
      <c r="F315">
        <f t="shared" si="27"/>
        <v>1</v>
      </c>
      <c r="G315">
        <f t="shared" si="28"/>
        <v>9</v>
      </c>
    </row>
    <row r="316" spans="1:7" x14ac:dyDescent="0.25">
      <c r="A316" s="28">
        <v>35307</v>
      </c>
      <c r="B316" s="17">
        <v>1.8813935110919298E-2</v>
      </c>
      <c r="C316" t="str">
        <f t="shared" si="25"/>
        <v>Green</v>
      </c>
      <c r="D316">
        <f>VLOOKUP(A316,Recession!$A$1:$C$395,3,FALSE)</f>
        <v>17.010000000000002</v>
      </c>
      <c r="E316">
        <f t="shared" si="26"/>
        <v>3</v>
      </c>
      <c r="F316">
        <f t="shared" si="27"/>
        <v>1</v>
      </c>
      <c r="G316">
        <f t="shared" si="28"/>
        <v>8</v>
      </c>
    </row>
    <row r="317" spans="1:7" x14ac:dyDescent="0.25">
      <c r="A317" s="28">
        <v>35277</v>
      </c>
      <c r="B317" s="17">
        <v>-4.5748017194667499E-2</v>
      </c>
      <c r="C317" t="str">
        <f t="shared" si="25"/>
        <v>Red</v>
      </c>
      <c r="D317">
        <f>VLOOKUP(A317,Recession!$A$1:$C$395,3,FALSE)</f>
        <v>19.459999</v>
      </c>
      <c r="E317">
        <f t="shared" si="26"/>
        <v>3</v>
      </c>
      <c r="F317">
        <f t="shared" si="27"/>
        <v>0</v>
      </c>
      <c r="G317">
        <f t="shared" si="28"/>
        <v>7</v>
      </c>
    </row>
    <row r="318" spans="1:7" x14ac:dyDescent="0.25">
      <c r="A318" s="28">
        <v>35244</v>
      </c>
      <c r="B318" s="17">
        <v>2.2567103229369501E-3</v>
      </c>
      <c r="C318" t="str">
        <f t="shared" si="25"/>
        <v>Green</v>
      </c>
      <c r="D318">
        <f>VLOOKUP(A318,Recession!$A$1:$C$395,3,FALSE)</f>
        <v>13.68</v>
      </c>
      <c r="E318">
        <f t="shared" si="26"/>
        <v>2</v>
      </c>
      <c r="F318">
        <f t="shared" si="27"/>
        <v>1</v>
      </c>
      <c r="G318">
        <f t="shared" si="28"/>
        <v>6</v>
      </c>
    </row>
    <row r="319" spans="1:7" x14ac:dyDescent="0.25">
      <c r="A319" s="28">
        <v>35216</v>
      </c>
      <c r="B319" s="17">
        <v>2.2853405672084999E-2</v>
      </c>
      <c r="C319" t="str">
        <f t="shared" si="25"/>
        <v>Green</v>
      </c>
      <c r="D319">
        <f>VLOOKUP(A319,Recession!$A$1:$C$395,3,FALSE)</f>
        <v>16.07</v>
      </c>
      <c r="E319">
        <f t="shared" si="26"/>
        <v>2</v>
      </c>
      <c r="F319">
        <f t="shared" si="27"/>
        <v>1</v>
      </c>
      <c r="G319">
        <f t="shared" si="28"/>
        <v>5</v>
      </c>
    </row>
    <row r="320" spans="1:7" x14ac:dyDescent="0.25">
      <c r="A320" s="28">
        <v>35185</v>
      </c>
      <c r="B320" s="17">
        <v>1.34314221533696E-2</v>
      </c>
      <c r="C320" t="str">
        <f t="shared" si="25"/>
        <v>Green</v>
      </c>
      <c r="D320">
        <f>VLOOKUP(A320,Recession!$A$1:$C$395,3,FALSE)</f>
        <v>15.83</v>
      </c>
      <c r="E320">
        <f t="shared" si="26"/>
        <v>2</v>
      </c>
      <c r="F320">
        <f t="shared" si="27"/>
        <v>1</v>
      </c>
      <c r="G320">
        <f t="shared" si="28"/>
        <v>4</v>
      </c>
    </row>
    <row r="321" spans="1:7" x14ac:dyDescent="0.25">
      <c r="A321" s="28">
        <v>35153</v>
      </c>
      <c r="B321" s="17">
        <v>7.9165670805803091E-3</v>
      </c>
      <c r="C321" t="str">
        <f t="shared" si="25"/>
        <v>Green</v>
      </c>
      <c r="D321">
        <f>VLOOKUP(A321,Recession!$A$1:$C$395,3,FALSE)</f>
        <v>18.879999000000002</v>
      </c>
      <c r="E321">
        <f t="shared" si="26"/>
        <v>3</v>
      </c>
      <c r="F321">
        <f t="shared" si="27"/>
        <v>1</v>
      </c>
      <c r="G321">
        <f t="shared" si="28"/>
        <v>3</v>
      </c>
    </row>
    <row r="322" spans="1:7" x14ac:dyDescent="0.25">
      <c r="A322" s="28">
        <v>35124</v>
      </c>
      <c r="B322" s="17">
        <v>6.9337015523502901E-3</v>
      </c>
      <c r="C322" t="str">
        <f t="shared" si="25"/>
        <v>Green</v>
      </c>
      <c r="D322">
        <f>VLOOKUP(A322,Recession!$A$1:$C$395,3,FALSE)</f>
        <v>17.040001</v>
      </c>
      <c r="E322">
        <f t="shared" si="26"/>
        <v>3</v>
      </c>
      <c r="F322">
        <f t="shared" si="27"/>
        <v>1</v>
      </c>
      <c r="G322">
        <f t="shared" si="28"/>
        <v>2</v>
      </c>
    </row>
    <row r="323" spans="1:7" x14ac:dyDescent="0.25">
      <c r="A323" s="28">
        <v>35095</v>
      </c>
      <c r="B323" s="17">
        <v>3.2617387086717201E-2</v>
      </c>
      <c r="C323" t="str">
        <f t="shared" ref="C323:C386" si="29">IF(B323&gt;0,"Green","Red")</f>
        <v>Green</v>
      </c>
      <c r="D323">
        <f>VLOOKUP(A323,Recession!$A$1:$C$395,3,FALSE)</f>
        <v>12.53</v>
      </c>
      <c r="E323">
        <f t="shared" si="26"/>
        <v>1</v>
      </c>
      <c r="F323">
        <f t="shared" si="27"/>
        <v>1</v>
      </c>
      <c r="G323">
        <f t="shared" si="28"/>
        <v>1</v>
      </c>
    </row>
    <row r="324" spans="1:7" x14ac:dyDescent="0.25">
      <c r="A324" s="28">
        <v>35062</v>
      </c>
      <c r="B324" s="17">
        <v>1.7443874138492799E-2</v>
      </c>
      <c r="C324" t="str">
        <f t="shared" si="29"/>
        <v>Green</v>
      </c>
      <c r="D324">
        <f>VLOOKUP(A324,Recession!$A$1:$C$395,3,FALSE)</f>
        <v>12.52</v>
      </c>
      <c r="E324">
        <f t="shared" ref="E324:E387" si="30">IF(D324&gt;24.46,5,IF(D324&gt;19.71,4,IF(D324&gt;16.13,3,IF(D324&gt;13.19,2,1))))</f>
        <v>1</v>
      </c>
      <c r="F324">
        <f t="shared" ref="F324:F387" si="31">IF(B324&gt;0,1,0)</f>
        <v>1</v>
      </c>
      <c r="G324">
        <f t="shared" ref="G324:G387" si="32">MONTH(A324)</f>
        <v>12</v>
      </c>
    </row>
    <row r="325" spans="1:7" x14ac:dyDescent="0.25">
      <c r="A325" s="28">
        <v>35033</v>
      </c>
      <c r="B325" s="17">
        <v>4.1049002579535802E-2</v>
      </c>
      <c r="C325" t="str">
        <f t="shared" si="29"/>
        <v>Green</v>
      </c>
      <c r="D325">
        <f>VLOOKUP(A325,Recession!$A$1:$C$395,3,FALSE)</f>
        <v>11.58</v>
      </c>
      <c r="E325">
        <f t="shared" si="30"/>
        <v>1</v>
      </c>
      <c r="F325">
        <f t="shared" si="31"/>
        <v>1</v>
      </c>
      <c r="G325">
        <f t="shared" si="32"/>
        <v>11</v>
      </c>
    </row>
    <row r="326" spans="1:7" x14ac:dyDescent="0.25">
      <c r="A326" s="28">
        <v>35003</v>
      </c>
      <c r="B326" s="17">
        <v>-4.9793349436904099E-3</v>
      </c>
      <c r="C326" t="str">
        <f t="shared" si="29"/>
        <v>Red</v>
      </c>
      <c r="D326">
        <f>VLOOKUP(A326,Recession!$A$1:$C$395,3,FALSE)</f>
        <v>13.83</v>
      </c>
      <c r="E326">
        <f t="shared" si="30"/>
        <v>2</v>
      </c>
      <c r="F326">
        <f t="shared" si="31"/>
        <v>0</v>
      </c>
      <c r="G326">
        <f t="shared" si="32"/>
        <v>10</v>
      </c>
    </row>
    <row r="327" spans="1:7" x14ac:dyDescent="0.25">
      <c r="A327" s="28">
        <v>34971</v>
      </c>
      <c r="B327" s="17">
        <v>4.0097472413171298E-2</v>
      </c>
      <c r="C327" t="str">
        <f t="shared" si="29"/>
        <v>Green</v>
      </c>
      <c r="D327">
        <f>VLOOKUP(A327,Recession!$A$1:$C$395,3,FALSE)</f>
        <v>12.74</v>
      </c>
      <c r="E327">
        <f t="shared" si="30"/>
        <v>1</v>
      </c>
      <c r="F327">
        <f t="shared" si="31"/>
        <v>1</v>
      </c>
      <c r="G327">
        <f t="shared" si="32"/>
        <v>9</v>
      </c>
    </row>
    <row r="328" spans="1:7" x14ac:dyDescent="0.25">
      <c r="A328" s="28">
        <v>34942</v>
      </c>
      <c r="B328" s="17">
        <v>-3.2023805401637501E-4</v>
      </c>
      <c r="C328" t="str">
        <f t="shared" si="29"/>
        <v>Red</v>
      </c>
      <c r="D328">
        <f>VLOOKUP(A328,Recession!$A$1:$C$395,3,FALSE)</f>
        <v>11.52</v>
      </c>
      <c r="E328">
        <f t="shared" si="30"/>
        <v>1</v>
      </c>
      <c r="F328">
        <f t="shared" si="31"/>
        <v>0</v>
      </c>
      <c r="G328">
        <f t="shared" si="32"/>
        <v>8</v>
      </c>
    </row>
    <row r="329" spans="1:7" x14ac:dyDescent="0.25">
      <c r="A329" s="28">
        <v>34911</v>
      </c>
      <c r="B329" s="17">
        <v>3.1776040385497903E-2</v>
      </c>
      <c r="C329" t="str">
        <f t="shared" si="29"/>
        <v>Green</v>
      </c>
      <c r="D329">
        <f>VLOOKUP(A329,Recession!$A$1:$C$395,3,FALSE)</f>
        <v>13.49</v>
      </c>
      <c r="E329">
        <f t="shared" si="30"/>
        <v>2</v>
      </c>
      <c r="F329">
        <f t="shared" si="31"/>
        <v>1</v>
      </c>
      <c r="G329">
        <f t="shared" si="32"/>
        <v>7</v>
      </c>
    </row>
    <row r="330" spans="1:7" x14ac:dyDescent="0.25">
      <c r="A330" s="28">
        <v>34880</v>
      </c>
      <c r="B330" s="17">
        <v>2.1278544224437399E-2</v>
      </c>
      <c r="C330" t="str">
        <f t="shared" si="29"/>
        <v>Green</v>
      </c>
      <c r="D330">
        <f>VLOOKUP(A330,Recession!$A$1:$C$395,3,FALSE)</f>
        <v>11.38</v>
      </c>
      <c r="E330">
        <f t="shared" si="30"/>
        <v>1</v>
      </c>
      <c r="F330">
        <f t="shared" si="31"/>
        <v>1</v>
      </c>
      <c r="G330">
        <f t="shared" si="32"/>
        <v>6</v>
      </c>
    </row>
    <row r="331" spans="1:7" x14ac:dyDescent="0.25">
      <c r="A331" s="28">
        <v>34850</v>
      </c>
      <c r="B331" s="17">
        <v>3.6311711839953402E-2</v>
      </c>
      <c r="C331" t="str">
        <f t="shared" si="29"/>
        <v>Green</v>
      </c>
      <c r="D331">
        <f>VLOOKUP(A331,Recession!$A$1:$C$395,3,FALSE)</f>
        <v>12.85</v>
      </c>
      <c r="E331">
        <f t="shared" si="30"/>
        <v>1</v>
      </c>
      <c r="F331">
        <f t="shared" si="31"/>
        <v>1</v>
      </c>
      <c r="G331">
        <f t="shared" si="32"/>
        <v>5</v>
      </c>
    </row>
    <row r="332" spans="1:7" x14ac:dyDescent="0.25">
      <c r="A332" s="28">
        <v>34817</v>
      </c>
      <c r="B332" s="17">
        <v>2.7960358793799302E-2</v>
      </c>
      <c r="C332" t="str">
        <f t="shared" si="29"/>
        <v>Green</v>
      </c>
      <c r="D332">
        <f>VLOOKUP(A332,Recession!$A$1:$C$395,3,FALSE)</f>
        <v>11.75</v>
      </c>
      <c r="E332">
        <f t="shared" si="30"/>
        <v>1</v>
      </c>
      <c r="F332">
        <f t="shared" si="31"/>
        <v>1</v>
      </c>
      <c r="G332">
        <f t="shared" si="32"/>
        <v>4</v>
      </c>
    </row>
    <row r="333" spans="1:7" x14ac:dyDescent="0.25">
      <c r="A333" s="28">
        <v>34789</v>
      </c>
      <c r="B333" s="17">
        <v>2.7329193438646801E-2</v>
      </c>
      <c r="C333" t="str">
        <f t="shared" si="29"/>
        <v>Green</v>
      </c>
      <c r="D333">
        <f>VLOOKUP(A333,Recession!$A$1:$C$395,3,FALSE)</f>
        <v>13.37</v>
      </c>
      <c r="E333">
        <f t="shared" si="30"/>
        <v>2</v>
      </c>
      <c r="F333">
        <f t="shared" si="31"/>
        <v>1</v>
      </c>
      <c r="G333">
        <f t="shared" si="32"/>
        <v>3</v>
      </c>
    </row>
    <row r="334" spans="1:7" x14ac:dyDescent="0.25">
      <c r="A334" s="28">
        <v>34758</v>
      </c>
      <c r="B334" s="17">
        <v>3.6074149761991602E-2</v>
      </c>
      <c r="C334" t="str">
        <f t="shared" si="29"/>
        <v>Green</v>
      </c>
      <c r="D334">
        <f>VLOOKUP(A334,Recession!$A$1:$C$395,3,FALSE)</f>
        <v>11.75</v>
      </c>
      <c r="E334">
        <f t="shared" si="30"/>
        <v>1</v>
      </c>
      <c r="F334">
        <f t="shared" si="31"/>
        <v>1</v>
      </c>
      <c r="G334">
        <f t="shared" si="32"/>
        <v>2</v>
      </c>
    </row>
    <row r="335" spans="1:7" x14ac:dyDescent="0.25">
      <c r="A335" s="28">
        <v>34730</v>
      </c>
      <c r="B335" s="17">
        <v>2.4277710860833E-2</v>
      </c>
      <c r="C335" t="str">
        <f t="shared" si="29"/>
        <v>Green</v>
      </c>
      <c r="D335">
        <f>VLOOKUP(A335,Recession!$A$1:$C$395,3,FALSE)</f>
        <v>11.96</v>
      </c>
      <c r="E335">
        <f t="shared" si="30"/>
        <v>1</v>
      </c>
      <c r="F335">
        <f t="shared" si="31"/>
        <v>1</v>
      </c>
      <c r="G335">
        <f t="shared" si="32"/>
        <v>1</v>
      </c>
    </row>
    <row r="336" spans="1:7" x14ac:dyDescent="0.25">
      <c r="A336" s="28">
        <v>34698</v>
      </c>
      <c r="B336" s="17">
        <v>1.22991182864991E-2</v>
      </c>
      <c r="C336" t="str">
        <f t="shared" si="29"/>
        <v>Green</v>
      </c>
      <c r="D336">
        <f>VLOOKUP(A336,Recession!$A$1:$C$395,3,FALSE)</f>
        <v>13.2</v>
      </c>
      <c r="E336">
        <f t="shared" si="30"/>
        <v>2</v>
      </c>
      <c r="F336">
        <f t="shared" si="31"/>
        <v>1</v>
      </c>
      <c r="G336">
        <f t="shared" si="32"/>
        <v>12</v>
      </c>
    </row>
    <row r="337" spans="1:7" x14ac:dyDescent="0.25">
      <c r="A337" s="28">
        <v>34668</v>
      </c>
      <c r="B337" s="17">
        <v>-3.9504612602884202E-2</v>
      </c>
      <c r="C337" t="str">
        <f t="shared" si="29"/>
        <v>Red</v>
      </c>
      <c r="D337">
        <f>VLOOKUP(A337,Recession!$A$1:$C$395,3,FALSE)</f>
        <v>15.95</v>
      </c>
      <c r="E337">
        <f t="shared" si="30"/>
        <v>2</v>
      </c>
      <c r="F337">
        <f t="shared" si="31"/>
        <v>0</v>
      </c>
      <c r="G337">
        <f t="shared" si="32"/>
        <v>11</v>
      </c>
    </row>
    <row r="338" spans="1:7" x14ac:dyDescent="0.25">
      <c r="A338" s="28">
        <v>34638</v>
      </c>
      <c r="B338" s="17">
        <v>2.0833816402291601E-2</v>
      </c>
      <c r="C338" t="str">
        <f t="shared" si="29"/>
        <v>Green</v>
      </c>
      <c r="D338">
        <f>VLOOKUP(A338,Recession!$A$1:$C$395,3,FALSE)</f>
        <v>14.56</v>
      </c>
      <c r="E338">
        <f t="shared" si="30"/>
        <v>2</v>
      </c>
      <c r="F338">
        <f t="shared" si="31"/>
        <v>1</v>
      </c>
      <c r="G338">
        <f t="shared" si="32"/>
        <v>10</v>
      </c>
    </row>
    <row r="339" spans="1:7" x14ac:dyDescent="0.25">
      <c r="A339" s="28">
        <v>34607</v>
      </c>
      <c r="B339" s="17">
        <v>-2.68775353188823E-2</v>
      </c>
      <c r="C339" t="str">
        <f t="shared" si="29"/>
        <v>Red</v>
      </c>
      <c r="D339">
        <f>VLOOKUP(A339,Recession!$A$1:$C$395,3,FALSE)</f>
        <v>14.28</v>
      </c>
      <c r="E339">
        <f t="shared" si="30"/>
        <v>2</v>
      </c>
      <c r="F339">
        <f t="shared" si="31"/>
        <v>0</v>
      </c>
      <c r="G339">
        <f t="shared" si="32"/>
        <v>9</v>
      </c>
    </row>
    <row r="340" spans="1:7" x14ac:dyDescent="0.25">
      <c r="A340" s="28">
        <v>34577</v>
      </c>
      <c r="B340" s="17">
        <v>3.7598698607805597E-2</v>
      </c>
      <c r="C340" t="str">
        <f t="shared" si="29"/>
        <v>Green</v>
      </c>
      <c r="D340">
        <f>VLOOKUP(A340,Recession!$A$1:$C$395,3,FALSE)</f>
        <v>11.97</v>
      </c>
      <c r="E340">
        <f t="shared" si="30"/>
        <v>1</v>
      </c>
      <c r="F340">
        <f t="shared" si="31"/>
        <v>1</v>
      </c>
      <c r="G340">
        <f t="shared" si="32"/>
        <v>8</v>
      </c>
    </row>
    <row r="341" spans="1:7" x14ac:dyDescent="0.25">
      <c r="A341" s="28">
        <v>34544</v>
      </c>
      <c r="B341" s="17">
        <v>3.1489907818193802E-2</v>
      </c>
      <c r="C341" t="str">
        <f t="shared" si="29"/>
        <v>Green</v>
      </c>
      <c r="D341">
        <f>VLOOKUP(A341,Recession!$A$1:$C$395,3,FALSE)</f>
        <v>11.13</v>
      </c>
      <c r="E341">
        <f t="shared" si="30"/>
        <v>1</v>
      </c>
      <c r="F341">
        <f t="shared" si="31"/>
        <v>1</v>
      </c>
      <c r="G341">
        <f t="shared" si="32"/>
        <v>7</v>
      </c>
    </row>
    <row r="342" spans="1:7" x14ac:dyDescent="0.25">
      <c r="A342" s="28">
        <v>34515</v>
      </c>
      <c r="B342" s="17">
        <v>-2.67908236582695E-2</v>
      </c>
      <c r="C342" t="str">
        <f t="shared" si="29"/>
        <v>Red</v>
      </c>
      <c r="D342">
        <f>VLOOKUP(A342,Recession!$A$1:$C$395,3,FALSE)</f>
        <v>14.97</v>
      </c>
      <c r="E342">
        <f t="shared" si="30"/>
        <v>2</v>
      </c>
      <c r="F342">
        <f t="shared" si="31"/>
        <v>0</v>
      </c>
      <c r="G342">
        <f t="shared" si="32"/>
        <v>6</v>
      </c>
    </row>
    <row r="343" spans="1:7" x14ac:dyDescent="0.25">
      <c r="A343" s="28">
        <v>34485</v>
      </c>
      <c r="B343" s="17">
        <v>1.23971434441716E-2</v>
      </c>
      <c r="C343" t="str">
        <f t="shared" si="29"/>
        <v>Green</v>
      </c>
      <c r="D343">
        <f>VLOOKUP(A343,Recession!$A$1:$C$395,3,FALSE)</f>
        <v>13.03</v>
      </c>
      <c r="E343">
        <f t="shared" si="30"/>
        <v>1</v>
      </c>
      <c r="F343">
        <f t="shared" si="31"/>
        <v>1</v>
      </c>
      <c r="G343">
        <f t="shared" si="32"/>
        <v>5</v>
      </c>
    </row>
    <row r="344" spans="1:7" x14ac:dyDescent="0.25">
      <c r="A344" s="28">
        <v>34453</v>
      </c>
      <c r="B344" s="17">
        <v>1.1530643889981601E-2</v>
      </c>
      <c r="C344" t="str">
        <f t="shared" si="29"/>
        <v>Green</v>
      </c>
      <c r="D344">
        <f>VLOOKUP(A344,Recession!$A$1:$C$395,3,FALSE)</f>
        <v>13.77</v>
      </c>
      <c r="E344">
        <f t="shared" si="30"/>
        <v>2</v>
      </c>
      <c r="F344">
        <f t="shared" si="31"/>
        <v>1</v>
      </c>
      <c r="G344">
        <f t="shared" si="32"/>
        <v>4</v>
      </c>
    </row>
    <row r="345" spans="1:7" x14ac:dyDescent="0.25">
      <c r="A345" s="28">
        <v>34424</v>
      </c>
      <c r="B345" s="17">
        <v>-4.5746511353774701E-2</v>
      </c>
      <c r="C345" t="str">
        <f t="shared" si="29"/>
        <v>Red</v>
      </c>
      <c r="D345">
        <f>VLOOKUP(A345,Recession!$A$1:$C$395,3,FALSE)</f>
        <v>20.450001</v>
      </c>
      <c r="E345">
        <f t="shared" si="30"/>
        <v>4</v>
      </c>
      <c r="F345">
        <f t="shared" si="31"/>
        <v>0</v>
      </c>
      <c r="G345">
        <f t="shared" si="32"/>
        <v>3</v>
      </c>
    </row>
    <row r="346" spans="1:7" x14ac:dyDescent="0.25">
      <c r="A346" s="28">
        <v>34393</v>
      </c>
      <c r="B346" s="17">
        <v>-3.00449958486637E-2</v>
      </c>
      <c r="C346" t="str">
        <f t="shared" si="29"/>
        <v>Red</v>
      </c>
      <c r="D346">
        <f>VLOOKUP(A346,Recession!$A$1:$C$395,3,FALSE)</f>
        <v>14.87</v>
      </c>
      <c r="E346">
        <f t="shared" si="30"/>
        <v>2</v>
      </c>
      <c r="F346">
        <f t="shared" si="31"/>
        <v>0</v>
      </c>
      <c r="G346">
        <f t="shared" si="32"/>
        <v>2</v>
      </c>
    </row>
    <row r="347" spans="1:7" x14ac:dyDescent="0.25">
      <c r="A347" s="28">
        <v>34365</v>
      </c>
      <c r="B347" s="17">
        <v>3.2500745224549397E-2</v>
      </c>
      <c r="C347" t="str">
        <f t="shared" si="29"/>
        <v>Green</v>
      </c>
      <c r="D347">
        <f>VLOOKUP(A347,Recession!$A$1:$C$395,3,FALSE)</f>
        <v>10.63</v>
      </c>
      <c r="E347">
        <f t="shared" si="30"/>
        <v>1</v>
      </c>
      <c r="F347">
        <f t="shared" si="31"/>
        <v>1</v>
      </c>
      <c r="G347">
        <f t="shared" si="32"/>
        <v>1</v>
      </c>
    </row>
    <row r="348" spans="1:7" x14ac:dyDescent="0.25">
      <c r="A348" s="28">
        <v>34334</v>
      </c>
      <c r="B348" s="17">
        <v>1.0091173280450901E-2</v>
      </c>
      <c r="C348" t="str">
        <f t="shared" si="29"/>
        <v>Green</v>
      </c>
      <c r="D348">
        <f>VLOOKUP(A348,Recession!$A$1:$C$395,3,FALSE)</f>
        <v>11.66</v>
      </c>
      <c r="E348">
        <f t="shared" si="30"/>
        <v>1</v>
      </c>
      <c r="F348">
        <f t="shared" si="31"/>
        <v>1</v>
      </c>
      <c r="G348">
        <f t="shared" si="32"/>
        <v>12</v>
      </c>
    </row>
    <row r="349" spans="1:7" x14ac:dyDescent="0.25">
      <c r="A349" s="28">
        <v>34303</v>
      </c>
      <c r="B349" s="17">
        <v>-1.2910626013377001E-2</v>
      </c>
      <c r="C349" t="str">
        <f t="shared" si="29"/>
        <v>Red</v>
      </c>
      <c r="D349">
        <f>VLOOKUP(A349,Recession!$A$1:$C$395,3,FALSE)</f>
        <v>13.76</v>
      </c>
      <c r="E349">
        <f t="shared" si="30"/>
        <v>2</v>
      </c>
      <c r="F349">
        <f t="shared" si="31"/>
        <v>0</v>
      </c>
      <c r="G349">
        <f t="shared" si="32"/>
        <v>11</v>
      </c>
    </row>
    <row r="350" spans="1:7" x14ac:dyDescent="0.25">
      <c r="A350" s="28">
        <v>34271</v>
      </c>
      <c r="B350" s="17">
        <v>1.9392922963742801E-2</v>
      </c>
      <c r="C350" t="str">
        <f t="shared" si="29"/>
        <v>Green</v>
      </c>
      <c r="D350">
        <f>VLOOKUP(A350,Recession!$A$1:$C$395,3,FALSE)</f>
        <v>11.46</v>
      </c>
      <c r="E350">
        <f t="shared" si="30"/>
        <v>1</v>
      </c>
      <c r="F350">
        <f t="shared" si="31"/>
        <v>1</v>
      </c>
      <c r="G350">
        <f t="shared" si="32"/>
        <v>10</v>
      </c>
    </row>
    <row r="351" spans="1:7" x14ac:dyDescent="0.25">
      <c r="A351" s="28">
        <v>34242</v>
      </c>
      <c r="B351" s="17">
        <v>-9.9879304080935406E-3</v>
      </c>
      <c r="C351" t="str">
        <f t="shared" si="29"/>
        <v>Red</v>
      </c>
      <c r="D351">
        <f>VLOOKUP(A351,Recession!$A$1:$C$395,3,FALSE)</f>
        <v>12.99</v>
      </c>
      <c r="E351">
        <f t="shared" si="30"/>
        <v>1</v>
      </c>
      <c r="F351">
        <f t="shared" si="31"/>
        <v>0</v>
      </c>
      <c r="G351">
        <f t="shared" si="32"/>
        <v>9</v>
      </c>
    </row>
    <row r="352" spans="1:7" x14ac:dyDescent="0.25">
      <c r="A352" s="28">
        <v>34212</v>
      </c>
      <c r="B352" s="17">
        <v>3.4431956860375902E-2</v>
      </c>
      <c r="C352" t="str">
        <f t="shared" si="29"/>
        <v>Green</v>
      </c>
      <c r="D352">
        <f>VLOOKUP(A352,Recession!$A$1:$C$395,3,FALSE)</f>
        <v>11.85</v>
      </c>
      <c r="E352">
        <f t="shared" si="30"/>
        <v>1</v>
      </c>
      <c r="F352">
        <f t="shared" si="31"/>
        <v>1</v>
      </c>
      <c r="G352">
        <f t="shared" si="32"/>
        <v>8</v>
      </c>
    </row>
    <row r="353" spans="1:7" x14ac:dyDescent="0.25">
      <c r="A353" s="28">
        <v>34180</v>
      </c>
      <c r="B353" s="17">
        <v>-5.3270459355138104E-3</v>
      </c>
      <c r="C353" t="str">
        <f t="shared" si="29"/>
        <v>Red</v>
      </c>
      <c r="D353">
        <f>VLOOKUP(A353,Recession!$A$1:$C$395,3,FALSE)</f>
        <v>11.73</v>
      </c>
      <c r="E353">
        <f t="shared" si="30"/>
        <v>1</v>
      </c>
      <c r="F353">
        <f t="shared" si="31"/>
        <v>0</v>
      </c>
      <c r="G353">
        <f t="shared" si="32"/>
        <v>7</v>
      </c>
    </row>
    <row r="354" spans="1:7" x14ac:dyDescent="0.25">
      <c r="A354" s="28">
        <v>34150</v>
      </c>
      <c r="B354" s="17">
        <v>7.55230010638819E-4</v>
      </c>
      <c r="C354" t="str">
        <f t="shared" si="29"/>
        <v>Green</v>
      </c>
      <c r="D354">
        <f>VLOOKUP(A354,Recession!$A$1:$C$395,3,FALSE)</f>
        <v>11.26</v>
      </c>
      <c r="E354">
        <f t="shared" si="30"/>
        <v>1</v>
      </c>
      <c r="F354">
        <f t="shared" si="31"/>
        <v>1</v>
      </c>
      <c r="G354">
        <f t="shared" si="32"/>
        <v>6</v>
      </c>
    </row>
    <row r="355" spans="1:7" x14ac:dyDescent="0.25">
      <c r="A355" s="28">
        <v>34117</v>
      </c>
      <c r="B355" s="17">
        <v>2.2717462810525099E-2</v>
      </c>
      <c r="C355" t="str">
        <f t="shared" si="29"/>
        <v>Green</v>
      </c>
      <c r="D355">
        <f>VLOOKUP(A355,Recession!$A$1:$C$395,3,FALSE)</f>
        <v>13.47</v>
      </c>
      <c r="E355">
        <f t="shared" si="30"/>
        <v>2</v>
      </c>
      <c r="F355">
        <f t="shared" si="31"/>
        <v>1</v>
      </c>
      <c r="G355">
        <f t="shared" si="32"/>
        <v>5</v>
      </c>
    </row>
    <row r="356" spans="1:7" x14ac:dyDescent="0.25">
      <c r="A356" s="28">
        <v>34089</v>
      </c>
      <c r="B356" s="17">
        <v>-2.54168102144962E-2</v>
      </c>
      <c r="C356" t="str">
        <f t="shared" si="29"/>
        <v>Red</v>
      </c>
      <c r="D356">
        <f>VLOOKUP(A356,Recession!$A$1:$C$395,3,FALSE)</f>
        <v>12.42</v>
      </c>
      <c r="E356">
        <f t="shared" si="30"/>
        <v>1</v>
      </c>
      <c r="F356">
        <f t="shared" si="31"/>
        <v>0</v>
      </c>
      <c r="G356">
        <f t="shared" si="32"/>
        <v>4</v>
      </c>
    </row>
    <row r="357" spans="1:7" x14ac:dyDescent="0.25">
      <c r="A357" s="28">
        <v>34059</v>
      </c>
      <c r="B357" s="17">
        <v>1.8697297817929399E-2</v>
      </c>
      <c r="C357" t="str">
        <f t="shared" si="29"/>
        <v>Green</v>
      </c>
      <c r="D357">
        <f>VLOOKUP(A357,Recession!$A$1:$C$395,3,FALSE)</f>
        <v>12.53</v>
      </c>
      <c r="E357">
        <f t="shared" si="30"/>
        <v>1</v>
      </c>
      <c r="F357">
        <f t="shared" si="31"/>
        <v>1</v>
      </c>
      <c r="G357">
        <f t="shared" si="32"/>
        <v>3</v>
      </c>
    </row>
    <row r="358" spans="1:7" x14ac:dyDescent="0.25">
      <c r="A358" s="28">
        <v>34026</v>
      </c>
      <c r="B358" s="17">
        <v>1.0483627354217699E-2</v>
      </c>
      <c r="C358" t="str">
        <f t="shared" si="29"/>
        <v>Green</v>
      </c>
      <c r="D358">
        <f>VLOOKUP(A358,Recession!$A$1:$C$395,3,FALSE)</f>
        <v>13.16</v>
      </c>
      <c r="E358">
        <f t="shared" si="30"/>
        <v>1</v>
      </c>
      <c r="F358">
        <f t="shared" si="31"/>
        <v>1</v>
      </c>
      <c r="G358">
        <f t="shared" si="32"/>
        <v>2</v>
      </c>
    </row>
    <row r="359" spans="1:7" x14ac:dyDescent="0.25">
      <c r="A359" s="28">
        <v>33998</v>
      </c>
      <c r="B359" s="17">
        <v>7.0459894503542798E-3</v>
      </c>
      <c r="C359" t="str">
        <f t="shared" si="29"/>
        <v>Green</v>
      </c>
      <c r="D359">
        <f>VLOOKUP(A359,Recession!$A$1:$C$395,3,FALSE)</f>
        <v>12.42</v>
      </c>
      <c r="E359">
        <f t="shared" si="30"/>
        <v>1</v>
      </c>
      <c r="F359">
        <f t="shared" si="31"/>
        <v>1</v>
      </c>
      <c r="G359">
        <f t="shared" si="32"/>
        <v>1</v>
      </c>
    </row>
    <row r="360" spans="1:7" x14ac:dyDescent="0.25">
      <c r="A360" s="28">
        <v>33969</v>
      </c>
      <c r="B360" s="17">
        <v>1.01077661744602E-2</v>
      </c>
      <c r="C360" t="str">
        <f t="shared" si="29"/>
        <v>Green</v>
      </c>
      <c r="D360">
        <f>VLOOKUP(A360,Recession!$A$1:$C$395,3,FALSE)</f>
        <v>12.57</v>
      </c>
      <c r="E360">
        <f t="shared" si="30"/>
        <v>1</v>
      </c>
      <c r="F360">
        <f t="shared" si="31"/>
        <v>1</v>
      </c>
      <c r="G360">
        <f t="shared" si="32"/>
        <v>12</v>
      </c>
    </row>
    <row r="361" spans="1:7" x14ac:dyDescent="0.25">
      <c r="A361" s="28">
        <v>33938</v>
      </c>
      <c r="B361" s="17">
        <v>3.02618066586238E-2</v>
      </c>
      <c r="C361" t="str">
        <f t="shared" si="29"/>
        <v>Green</v>
      </c>
      <c r="D361">
        <f>VLOOKUP(A361,Recession!$A$1:$C$395,3,FALSE)</f>
        <v>13.01</v>
      </c>
      <c r="E361">
        <f t="shared" si="30"/>
        <v>1</v>
      </c>
      <c r="F361">
        <f t="shared" si="31"/>
        <v>1</v>
      </c>
      <c r="G361">
        <f t="shared" si="32"/>
        <v>11</v>
      </c>
    </row>
    <row r="362" spans="1:7" x14ac:dyDescent="0.25">
      <c r="A362" s="28">
        <v>33907</v>
      </c>
      <c r="B362" s="17">
        <v>2.1062829709799199E-3</v>
      </c>
      <c r="C362" t="str">
        <f t="shared" si="29"/>
        <v>Green</v>
      </c>
      <c r="D362">
        <f>VLOOKUP(A362,Recession!$A$1:$C$395,3,FALSE)</f>
        <v>16.149999999999999</v>
      </c>
      <c r="E362">
        <f t="shared" si="30"/>
        <v>3</v>
      </c>
      <c r="F362">
        <f t="shared" si="31"/>
        <v>1</v>
      </c>
      <c r="G362">
        <f t="shared" si="32"/>
        <v>10</v>
      </c>
    </row>
    <row r="363" spans="1:7" x14ac:dyDescent="0.25">
      <c r="A363" s="28">
        <v>33877</v>
      </c>
      <c r="B363" s="17">
        <v>9.1055938195434595E-3</v>
      </c>
      <c r="C363" t="str">
        <f t="shared" si="29"/>
        <v>Green</v>
      </c>
      <c r="D363">
        <f>VLOOKUP(A363,Recession!$A$1:$C$395,3,FALSE)</f>
        <v>14.28</v>
      </c>
      <c r="E363">
        <f t="shared" si="30"/>
        <v>2</v>
      </c>
      <c r="F363">
        <f t="shared" si="31"/>
        <v>1</v>
      </c>
      <c r="G363">
        <f t="shared" si="32"/>
        <v>9</v>
      </c>
    </row>
    <row r="364" spans="1:7" x14ac:dyDescent="0.25">
      <c r="A364" s="28">
        <v>33847</v>
      </c>
      <c r="B364" s="17">
        <v>-2.3997530034600301E-2</v>
      </c>
      <c r="C364" t="str">
        <f t="shared" si="29"/>
        <v>Red</v>
      </c>
      <c r="D364">
        <f>VLOOKUP(A364,Recession!$A$1:$C$395,3,FALSE)</f>
        <v>13.58</v>
      </c>
      <c r="E364">
        <f t="shared" si="30"/>
        <v>2</v>
      </c>
      <c r="F364">
        <f t="shared" si="31"/>
        <v>0</v>
      </c>
      <c r="G364">
        <f t="shared" si="32"/>
        <v>8</v>
      </c>
    </row>
    <row r="365" spans="1:7" x14ac:dyDescent="0.25">
      <c r="A365" s="28">
        <v>33816</v>
      </c>
      <c r="B365" s="17">
        <v>3.9373684053008097E-2</v>
      </c>
      <c r="C365" t="str">
        <f t="shared" si="29"/>
        <v>Green</v>
      </c>
      <c r="D365">
        <f>VLOOKUP(A365,Recession!$A$1:$C$395,3,FALSE)</f>
        <v>13.17</v>
      </c>
      <c r="E365">
        <f t="shared" si="30"/>
        <v>1</v>
      </c>
      <c r="F365">
        <f t="shared" si="31"/>
        <v>1</v>
      </c>
      <c r="G365">
        <f t="shared" si="32"/>
        <v>7</v>
      </c>
    </row>
    <row r="366" spans="1:7" x14ac:dyDescent="0.25">
      <c r="A366" s="28">
        <v>33785</v>
      </c>
      <c r="B366" s="17">
        <v>-1.7358832059340301E-2</v>
      </c>
      <c r="C366" t="str">
        <f t="shared" si="29"/>
        <v>Red</v>
      </c>
      <c r="D366">
        <f>VLOOKUP(A366,Recession!$A$1:$C$395,3,FALSE)</f>
        <v>13.35</v>
      </c>
      <c r="E366">
        <f t="shared" si="30"/>
        <v>2</v>
      </c>
      <c r="F366">
        <f t="shared" si="31"/>
        <v>0</v>
      </c>
      <c r="G366">
        <f t="shared" si="32"/>
        <v>6</v>
      </c>
    </row>
    <row r="367" spans="1:7" x14ac:dyDescent="0.25">
      <c r="A367" s="28">
        <v>33753</v>
      </c>
      <c r="B367" s="17">
        <v>9.6395707538854403E-4</v>
      </c>
      <c r="C367" t="str">
        <f t="shared" si="29"/>
        <v>Green</v>
      </c>
      <c r="D367">
        <f>VLOOKUP(A367,Recession!$A$1:$C$395,3,FALSE)</f>
        <v>13.86</v>
      </c>
      <c r="E367">
        <f t="shared" si="30"/>
        <v>2</v>
      </c>
      <c r="F367">
        <f t="shared" si="31"/>
        <v>1</v>
      </c>
      <c r="G367">
        <f t="shared" si="32"/>
        <v>5</v>
      </c>
    </row>
    <row r="368" spans="1:7" x14ac:dyDescent="0.25">
      <c r="A368" s="28">
        <v>33724</v>
      </c>
      <c r="B368" s="17">
        <v>2.78927145686407E-2</v>
      </c>
      <c r="C368" t="str">
        <f t="shared" si="29"/>
        <v>Green</v>
      </c>
      <c r="D368">
        <f>VLOOKUP(A368,Recession!$A$1:$C$395,3,FALSE)</f>
        <v>15.53</v>
      </c>
      <c r="E368">
        <f t="shared" si="30"/>
        <v>2</v>
      </c>
      <c r="F368">
        <f t="shared" si="31"/>
        <v>1</v>
      </c>
      <c r="G368">
        <f t="shared" si="32"/>
        <v>4</v>
      </c>
    </row>
    <row r="369" spans="1:7" x14ac:dyDescent="0.25">
      <c r="A369" s="28">
        <v>33694</v>
      </c>
      <c r="B369" s="17">
        <v>-2.1831862704186199E-2</v>
      </c>
      <c r="C369" t="str">
        <f t="shared" si="29"/>
        <v>Red</v>
      </c>
      <c r="D369">
        <f>VLOOKUP(A369,Recession!$A$1:$C$395,3,FALSE)</f>
        <v>16.18</v>
      </c>
      <c r="E369">
        <f t="shared" si="30"/>
        <v>3</v>
      </c>
      <c r="F369">
        <f t="shared" si="31"/>
        <v>0</v>
      </c>
      <c r="G369">
        <f t="shared" si="32"/>
        <v>3</v>
      </c>
    </row>
    <row r="370" spans="1:7" x14ac:dyDescent="0.25">
      <c r="A370" s="28">
        <v>33662</v>
      </c>
      <c r="B370" s="17">
        <v>9.5895420754186205E-3</v>
      </c>
      <c r="C370" t="str">
        <f t="shared" si="29"/>
        <v>Green</v>
      </c>
      <c r="D370">
        <f>VLOOKUP(A370,Recession!$A$1:$C$395,3,FALSE)</f>
        <v>16.68</v>
      </c>
      <c r="E370">
        <f t="shared" si="30"/>
        <v>3</v>
      </c>
      <c r="F370">
        <f t="shared" si="31"/>
        <v>1</v>
      </c>
      <c r="G370">
        <f t="shared" si="32"/>
        <v>2</v>
      </c>
    </row>
    <row r="371" spans="1:7" x14ac:dyDescent="0.25">
      <c r="A371" s="28">
        <v>33634</v>
      </c>
      <c r="B371" s="17">
        <v>-1.9923750460799899E-2</v>
      </c>
      <c r="C371" t="str">
        <f t="shared" si="29"/>
        <v>Red</v>
      </c>
      <c r="D371">
        <f>VLOOKUP(A371,Recession!$A$1:$C$395,3,FALSE)</f>
        <v>17.399999999999999</v>
      </c>
      <c r="E371">
        <f t="shared" si="30"/>
        <v>3</v>
      </c>
      <c r="F371">
        <f t="shared" si="31"/>
        <v>0</v>
      </c>
      <c r="G371">
        <f t="shared" si="32"/>
        <v>1</v>
      </c>
    </row>
    <row r="372" spans="1:7" x14ac:dyDescent="0.25">
      <c r="A372" s="28">
        <v>33603</v>
      </c>
      <c r="B372" s="17">
        <v>0.1115878548276</v>
      </c>
      <c r="C372" t="str">
        <f t="shared" si="29"/>
        <v>Green</v>
      </c>
      <c r="D372">
        <f>VLOOKUP(A372,Recession!$A$1:$C$395,3,FALSE)</f>
        <v>19.309999000000001</v>
      </c>
      <c r="E372">
        <f t="shared" si="30"/>
        <v>3</v>
      </c>
      <c r="F372">
        <f t="shared" si="31"/>
        <v>1</v>
      </c>
      <c r="G372">
        <f t="shared" si="32"/>
        <v>12</v>
      </c>
    </row>
    <row r="373" spans="1:7" x14ac:dyDescent="0.25">
      <c r="A373" s="28">
        <v>33571</v>
      </c>
      <c r="B373" s="17">
        <v>-4.3903708684304897E-2</v>
      </c>
      <c r="C373" t="str">
        <f t="shared" si="29"/>
        <v>Red</v>
      </c>
      <c r="D373">
        <f>VLOOKUP(A373,Recession!$A$1:$C$395,3,FALSE)</f>
        <v>20.260000000000002</v>
      </c>
      <c r="E373">
        <f t="shared" si="30"/>
        <v>4</v>
      </c>
      <c r="F373">
        <f t="shared" si="31"/>
        <v>0</v>
      </c>
      <c r="G373">
        <f t="shared" si="32"/>
        <v>11</v>
      </c>
    </row>
    <row r="374" spans="1:7" x14ac:dyDescent="0.25">
      <c r="A374" s="28">
        <v>33542</v>
      </c>
      <c r="B374" s="17">
        <v>1.1834237037883701E-2</v>
      </c>
      <c r="C374" t="str">
        <f t="shared" si="29"/>
        <v>Green</v>
      </c>
      <c r="D374">
        <f>VLOOKUP(A374,Recession!$A$1:$C$395,3,FALSE)</f>
        <v>15.48</v>
      </c>
      <c r="E374">
        <f t="shared" si="30"/>
        <v>2</v>
      </c>
      <c r="F374">
        <f t="shared" si="31"/>
        <v>1</v>
      </c>
      <c r="G374">
        <f t="shared" si="32"/>
        <v>10</v>
      </c>
    </row>
    <row r="375" spans="1:7" x14ac:dyDescent="0.25">
      <c r="A375" s="28">
        <v>33511</v>
      </c>
      <c r="B375" s="17">
        <v>-1.9143737536368399E-2</v>
      </c>
      <c r="C375" t="str">
        <f t="shared" si="29"/>
        <v>Red</v>
      </c>
      <c r="D375">
        <f>VLOOKUP(A375,Recession!$A$1:$C$395,3,FALSE)</f>
        <v>15.85</v>
      </c>
      <c r="E375">
        <f t="shared" si="30"/>
        <v>2</v>
      </c>
      <c r="F375">
        <f t="shared" si="31"/>
        <v>0</v>
      </c>
      <c r="G375">
        <f t="shared" si="32"/>
        <v>9</v>
      </c>
    </row>
    <row r="376" spans="1:7" x14ac:dyDescent="0.25">
      <c r="A376" s="28">
        <v>33480</v>
      </c>
      <c r="B376" s="17">
        <v>1.96487842997797E-2</v>
      </c>
      <c r="C376" t="str">
        <f t="shared" si="29"/>
        <v>Green</v>
      </c>
      <c r="D376">
        <f>VLOOKUP(A376,Recession!$A$1:$C$395,3,FALSE)</f>
        <v>14.46</v>
      </c>
      <c r="E376">
        <f t="shared" si="30"/>
        <v>2</v>
      </c>
      <c r="F376">
        <f t="shared" si="31"/>
        <v>1</v>
      </c>
      <c r="G376">
        <f t="shared" si="32"/>
        <v>8</v>
      </c>
    </row>
    <row r="377" spans="1:7" x14ac:dyDescent="0.25">
      <c r="A377" s="28">
        <v>33450</v>
      </c>
      <c r="B377" s="17">
        <v>4.4859343195825498E-2</v>
      </c>
      <c r="C377" t="str">
        <f t="shared" si="29"/>
        <v>Green</v>
      </c>
      <c r="D377">
        <f>VLOOKUP(A377,Recession!$A$1:$C$395,3,FALSE)</f>
        <v>15.18</v>
      </c>
      <c r="E377">
        <f t="shared" si="30"/>
        <v>2</v>
      </c>
      <c r="F377">
        <f t="shared" si="31"/>
        <v>1</v>
      </c>
      <c r="G377">
        <f t="shared" si="32"/>
        <v>7</v>
      </c>
    </row>
    <row r="378" spans="1:7" x14ac:dyDescent="0.25">
      <c r="A378" s="28">
        <v>33417</v>
      </c>
      <c r="B378" s="17">
        <v>-4.7892629152718302E-2</v>
      </c>
      <c r="C378" t="str">
        <f t="shared" si="29"/>
        <v>Red</v>
      </c>
      <c r="D378">
        <f>VLOOKUP(A378,Recession!$A$1:$C$395,3,FALSE)</f>
        <v>19.549999</v>
      </c>
      <c r="E378">
        <f t="shared" si="30"/>
        <v>3</v>
      </c>
      <c r="F378">
        <f t="shared" si="31"/>
        <v>0</v>
      </c>
      <c r="G378">
        <f t="shared" si="32"/>
        <v>6</v>
      </c>
    </row>
    <row r="379" spans="1:7" x14ac:dyDescent="0.25">
      <c r="A379" s="28">
        <v>33389</v>
      </c>
      <c r="B379" s="17">
        <v>3.8604974568177998E-2</v>
      </c>
      <c r="C379" t="str">
        <f t="shared" si="29"/>
        <v>Green</v>
      </c>
      <c r="D379">
        <f>VLOOKUP(A379,Recession!$A$1:$C$395,3,FALSE)</f>
        <v>15.93</v>
      </c>
      <c r="E379">
        <f t="shared" si="30"/>
        <v>2</v>
      </c>
      <c r="F379">
        <f t="shared" si="31"/>
        <v>1</v>
      </c>
      <c r="G379">
        <f t="shared" si="32"/>
        <v>5</v>
      </c>
    </row>
    <row r="380" spans="1:7" x14ac:dyDescent="0.25">
      <c r="A380" s="28">
        <v>33358</v>
      </c>
      <c r="B380" s="17">
        <v>3.1979905037093898E-4</v>
      </c>
      <c r="C380" t="str">
        <f t="shared" si="29"/>
        <v>Green</v>
      </c>
      <c r="D380">
        <f>VLOOKUP(A380,Recession!$A$1:$C$395,3,FALSE)</f>
        <v>18.239999999999998</v>
      </c>
      <c r="E380">
        <f t="shared" si="30"/>
        <v>3</v>
      </c>
      <c r="F380">
        <f t="shared" si="31"/>
        <v>1</v>
      </c>
      <c r="G380">
        <f t="shared" si="32"/>
        <v>4</v>
      </c>
    </row>
    <row r="381" spans="1:7" x14ac:dyDescent="0.25">
      <c r="A381" s="28">
        <v>33325</v>
      </c>
      <c r="B381" s="17">
        <v>2.22028328236583E-2</v>
      </c>
      <c r="C381" t="str">
        <f t="shared" si="29"/>
        <v>Green</v>
      </c>
      <c r="D381">
        <f>VLOOKUP(A381,Recession!$A$1:$C$395,3,FALSE)</f>
        <v>16.879999000000002</v>
      </c>
      <c r="E381">
        <f t="shared" si="30"/>
        <v>3</v>
      </c>
      <c r="F381">
        <f t="shared" si="31"/>
        <v>1</v>
      </c>
      <c r="G381">
        <f t="shared" si="32"/>
        <v>3</v>
      </c>
    </row>
    <row r="382" spans="1:7" x14ac:dyDescent="0.25">
      <c r="A382" s="28">
        <v>33297</v>
      </c>
      <c r="B382" s="17">
        <v>6.7281174863978596E-2</v>
      </c>
      <c r="C382" t="str">
        <f t="shared" si="29"/>
        <v>Green</v>
      </c>
      <c r="D382">
        <f>VLOOKUP(A382,Recession!$A$1:$C$395,3,FALSE)</f>
        <v>21.23</v>
      </c>
      <c r="E382">
        <f t="shared" si="30"/>
        <v>4</v>
      </c>
      <c r="F382">
        <f t="shared" si="31"/>
        <v>1</v>
      </c>
      <c r="G382">
        <f t="shared" si="32"/>
        <v>2</v>
      </c>
    </row>
    <row r="383" spans="1:7" x14ac:dyDescent="0.25">
      <c r="A383" s="28">
        <v>33269</v>
      </c>
      <c r="B383" s="17">
        <v>4.1517751676101597E-2</v>
      </c>
      <c r="C383" t="str">
        <f t="shared" si="29"/>
        <v>Green</v>
      </c>
      <c r="D383">
        <f>VLOOKUP(A383,Recession!$A$1:$C$395,3,FALSE)</f>
        <v>20.91</v>
      </c>
      <c r="E383">
        <f t="shared" si="30"/>
        <v>4</v>
      </c>
      <c r="F383">
        <f t="shared" si="31"/>
        <v>1</v>
      </c>
      <c r="G383">
        <f t="shared" si="32"/>
        <v>1</v>
      </c>
    </row>
    <row r="384" spans="1:7" x14ac:dyDescent="0.25">
      <c r="A384" s="28">
        <v>33238</v>
      </c>
      <c r="B384" s="17">
        <v>2.4827757355757599E-2</v>
      </c>
      <c r="C384" t="str">
        <f t="shared" si="29"/>
        <v>Green</v>
      </c>
      <c r="D384">
        <f>VLOOKUP(A384,Recession!$A$1:$C$395,3,FALSE)</f>
        <v>26.379999000000002</v>
      </c>
      <c r="E384">
        <f t="shared" si="30"/>
        <v>5</v>
      </c>
      <c r="F384">
        <f t="shared" si="31"/>
        <v>1</v>
      </c>
      <c r="G384">
        <f t="shared" si="32"/>
        <v>12</v>
      </c>
    </row>
    <row r="385" spans="1:9" x14ac:dyDescent="0.25">
      <c r="A385" s="28">
        <v>33207</v>
      </c>
      <c r="B385" s="17">
        <v>5.9934213815789401E-2</v>
      </c>
      <c r="C385" t="str">
        <f t="shared" si="29"/>
        <v>Green</v>
      </c>
      <c r="D385">
        <f>VLOOKUP(A385,Recession!$A$1:$C$395,3,FALSE)</f>
        <v>22.16</v>
      </c>
      <c r="E385">
        <f t="shared" si="30"/>
        <v>4</v>
      </c>
      <c r="F385">
        <f t="shared" si="31"/>
        <v>1</v>
      </c>
      <c r="G385">
        <f t="shared" si="32"/>
        <v>11</v>
      </c>
    </row>
    <row r="386" spans="1:9" x14ac:dyDescent="0.25">
      <c r="A386" s="28">
        <v>33177</v>
      </c>
      <c r="B386" s="17">
        <v>-6.6982129729734599E-3</v>
      </c>
      <c r="C386" t="str">
        <f t="shared" si="29"/>
        <v>Red</v>
      </c>
      <c r="D386">
        <f>VLOOKUP(A386,Recession!$A$1:$C$395,3,FALSE)</f>
        <v>30.040001</v>
      </c>
      <c r="E386">
        <f t="shared" si="30"/>
        <v>5</v>
      </c>
      <c r="F386">
        <f t="shared" si="31"/>
        <v>0</v>
      </c>
      <c r="G386">
        <f t="shared" si="32"/>
        <v>10</v>
      </c>
    </row>
    <row r="387" spans="1:9" x14ac:dyDescent="0.25">
      <c r="A387" s="28">
        <v>33144</v>
      </c>
      <c r="B387" s="17">
        <v>-5.1184307112997998E-2</v>
      </c>
      <c r="C387" t="str">
        <f t="shared" ref="C387:C395" si="33">IF(B387&gt;0,"Green","Red")</f>
        <v>Red</v>
      </c>
      <c r="D387">
        <f>VLOOKUP(A387,Recession!$A$1:$C$395,3,FALSE)</f>
        <v>29.110001</v>
      </c>
      <c r="E387">
        <f t="shared" si="30"/>
        <v>5</v>
      </c>
      <c r="F387">
        <f t="shared" si="31"/>
        <v>0</v>
      </c>
      <c r="G387">
        <f t="shared" si="32"/>
        <v>9</v>
      </c>
    </row>
    <row r="388" spans="1:9" x14ac:dyDescent="0.25">
      <c r="A388" s="28">
        <v>33116</v>
      </c>
      <c r="B388" s="17">
        <v>-9.43141838154853E-2</v>
      </c>
      <c r="C388" t="str">
        <f t="shared" si="33"/>
        <v>Red</v>
      </c>
      <c r="D388">
        <f>VLOOKUP(A388,Recession!$A$1:$C$395,3,FALSE)</f>
        <v>29.9</v>
      </c>
      <c r="E388">
        <f t="shared" ref="E388:E395" si="34">IF(D388&gt;24.46,5,IF(D388&gt;19.71,4,IF(D388&gt;16.13,3,IF(D388&gt;13.19,2,1))))</f>
        <v>5</v>
      </c>
      <c r="F388">
        <f t="shared" ref="F388:F395" si="35">IF(B388&gt;0,1,0)</f>
        <v>0</v>
      </c>
      <c r="G388">
        <f t="shared" ref="G388:G395" si="36">MONTH(A388)</f>
        <v>8</v>
      </c>
    </row>
    <row r="389" spans="1:9" x14ac:dyDescent="0.25">
      <c r="A389" s="28">
        <v>33085</v>
      </c>
      <c r="B389" s="17">
        <v>-5.2231580846174904E-3</v>
      </c>
      <c r="C389" t="str">
        <f t="shared" si="33"/>
        <v>Red</v>
      </c>
      <c r="D389">
        <f>VLOOKUP(A389,Recession!$A$1:$C$395,3,FALSE)</f>
        <v>21.110001</v>
      </c>
      <c r="E389">
        <f t="shared" si="34"/>
        <v>4</v>
      </c>
      <c r="F389">
        <f t="shared" si="35"/>
        <v>0</v>
      </c>
      <c r="G389">
        <f t="shared" si="36"/>
        <v>7</v>
      </c>
    </row>
    <row r="390" spans="1:9" x14ac:dyDescent="0.25">
      <c r="A390" s="28">
        <v>33053</v>
      </c>
      <c r="B390" s="17">
        <v>-8.8863657565815303E-3</v>
      </c>
      <c r="C390" t="str">
        <f t="shared" si="33"/>
        <v>Red</v>
      </c>
      <c r="D390">
        <f>VLOOKUP(A390,Recession!$A$1:$C$395,3,FALSE)</f>
        <v>15.5</v>
      </c>
      <c r="E390">
        <f t="shared" si="34"/>
        <v>2</v>
      </c>
      <c r="F390">
        <f t="shared" si="35"/>
        <v>0</v>
      </c>
      <c r="G390">
        <f t="shared" si="36"/>
        <v>6</v>
      </c>
    </row>
    <row r="391" spans="1:9" x14ac:dyDescent="0.25">
      <c r="A391" s="28">
        <v>33024</v>
      </c>
      <c r="B391" s="17">
        <v>9.1989190156802597E-2</v>
      </c>
      <c r="C391" t="str">
        <f t="shared" si="33"/>
        <v>Green</v>
      </c>
      <c r="D391">
        <f>VLOOKUP(A391,Recession!$A$1:$C$395,3,FALSE)</f>
        <v>17.370000999999998</v>
      </c>
      <c r="E391">
        <f t="shared" si="34"/>
        <v>3</v>
      </c>
      <c r="F391">
        <f t="shared" si="35"/>
        <v>1</v>
      </c>
      <c r="G391">
        <f t="shared" si="36"/>
        <v>5</v>
      </c>
      <c r="I391" s="22"/>
    </row>
    <row r="392" spans="1:9" x14ac:dyDescent="0.25">
      <c r="A392" s="28">
        <v>32993</v>
      </c>
      <c r="B392" s="17">
        <v>-2.6887138748678398E-2</v>
      </c>
      <c r="C392" t="str">
        <f t="shared" si="33"/>
        <v>Red</v>
      </c>
      <c r="D392">
        <f>VLOOKUP(A392,Recession!$A$1:$C$395,3,FALSE)</f>
        <v>19.52</v>
      </c>
      <c r="E392">
        <f t="shared" si="34"/>
        <v>3</v>
      </c>
      <c r="F392">
        <f t="shared" si="35"/>
        <v>0</v>
      </c>
      <c r="G392">
        <f t="shared" si="36"/>
        <v>4</v>
      </c>
    </row>
    <row r="393" spans="1:9" x14ac:dyDescent="0.25">
      <c r="A393" s="28">
        <v>32962</v>
      </c>
      <c r="B393" s="17">
        <v>2.4254983989199001E-2</v>
      </c>
      <c r="C393" t="str">
        <f t="shared" si="33"/>
        <v>Green</v>
      </c>
      <c r="D393">
        <f>VLOOKUP(A393,Recession!$A$1:$C$395,3,FALSE)</f>
        <v>19.73</v>
      </c>
      <c r="E393">
        <f t="shared" si="34"/>
        <v>4</v>
      </c>
      <c r="F393">
        <f t="shared" si="35"/>
        <v>1</v>
      </c>
      <c r="G393">
        <f t="shared" si="36"/>
        <v>3</v>
      </c>
    </row>
    <row r="394" spans="1:9" x14ac:dyDescent="0.25">
      <c r="A394" s="28">
        <v>32932</v>
      </c>
      <c r="B394" s="17">
        <v>8.5390425155207304E-3</v>
      </c>
      <c r="C394" t="str">
        <f t="shared" si="33"/>
        <v>Green</v>
      </c>
      <c r="D394">
        <f>VLOOKUP(A394,Recession!$A$1:$C$395,3,FALSE)</f>
        <v>21.99</v>
      </c>
      <c r="E394">
        <f t="shared" si="34"/>
        <v>4</v>
      </c>
      <c r="F394">
        <f t="shared" si="35"/>
        <v>1</v>
      </c>
      <c r="G394">
        <f t="shared" si="36"/>
        <v>2</v>
      </c>
    </row>
    <row r="395" spans="1:9" x14ac:dyDescent="0.25">
      <c r="A395" s="28">
        <v>32904</v>
      </c>
      <c r="B395" s="17">
        <v>-6.8817225277032601E-2</v>
      </c>
      <c r="C395" t="str">
        <f t="shared" si="33"/>
        <v>Red</v>
      </c>
      <c r="D395">
        <f>VLOOKUP(A395,Recession!$A$1:$C$395,3,FALSE)</f>
        <v>25.360001</v>
      </c>
      <c r="E395">
        <f t="shared" si="34"/>
        <v>5</v>
      </c>
      <c r="F395">
        <f t="shared" si="35"/>
        <v>0</v>
      </c>
      <c r="G395">
        <f t="shared" si="36"/>
        <v>1</v>
      </c>
    </row>
    <row r="396" spans="1:9" x14ac:dyDescent="0.25">
      <c r="A396" s="28"/>
      <c r="B396" s="17"/>
    </row>
    <row r="397" spans="1:9" x14ac:dyDescent="0.25">
      <c r="A397" s="28"/>
      <c r="B397" s="17"/>
    </row>
    <row r="398" spans="1:9" x14ac:dyDescent="0.25">
      <c r="A398" s="28"/>
      <c r="B398" s="17"/>
    </row>
    <row r="399" spans="1:9" x14ac:dyDescent="0.25">
      <c r="A399" s="28"/>
      <c r="B399" s="17"/>
      <c r="C399" s="23"/>
    </row>
    <row r="400" spans="1:9" x14ac:dyDescent="0.25">
      <c r="A400" s="28"/>
      <c r="B400" s="17"/>
      <c r="D400" s="23"/>
    </row>
    <row r="401" spans="1:2" x14ac:dyDescent="0.25">
      <c r="A401" s="28"/>
      <c r="B401" s="17"/>
    </row>
    <row r="402" spans="1:2" x14ac:dyDescent="0.25">
      <c r="A402" s="28"/>
      <c r="B402" s="17"/>
    </row>
    <row r="403" spans="1:2" x14ac:dyDescent="0.25">
      <c r="A403" s="28"/>
      <c r="B403" s="17"/>
    </row>
    <row r="404" spans="1:2" x14ac:dyDescent="0.25">
      <c r="A404" s="28"/>
      <c r="B404" s="17"/>
    </row>
    <row r="405" spans="1:2" x14ac:dyDescent="0.25">
      <c r="A405" s="28"/>
      <c r="B405" s="17"/>
    </row>
    <row r="406" spans="1:2" x14ac:dyDescent="0.25">
      <c r="A406" s="28"/>
      <c r="B406" s="17"/>
    </row>
    <row r="407" spans="1:2" x14ac:dyDescent="0.25">
      <c r="A407" s="28"/>
      <c r="B407" s="17"/>
    </row>
    <row r="408" spans="1:2" x14ac:dyDescent="0.25">
      <c r="A408" s="28"/>
      <c r="B408" s="17"/>
    </row>
    <row r="409" spans="1:2" x14ac:dyDescent="0.25">
      <c r="A409" s="28"/>
      <c r="B409" s="17"/>
    </row>
    <row r="410" spans="1:2" x14ac:dyDescent="0.25">
      <c r="A410" s="28"/>
      <c r="B410" s="17"/>
    </row>
    <row r="411" spans="1:2" x14ac:dyDescent="0.25">
      <c r="A411" s="28"/>
      <c r="B411" s="17"/>
    </row>
    <row r="412" spans="1:2" x14ac:dyDescent="0.25">
      <c r="A412" s="28"/>
      <c r="B412" s="17"/>
    </row>
    <row r="413" spans="1:2" x14ac:dyDescent="0.25">
      <c r="A413" s="28"/>
      <c r="B413" s="17"/>
    </row>
    <row r="414" spans="1:2" x14ac:dyDescent="0.25">
      <c r="A414" s="28"/>
      <c r="B414" s="17"/>
    </row>
    <row r="415" spans="1:2" x14ac:dyDescent="0.25">
      <c r="A415" s="28"/>
      <c r="B415" s="17"/>
    </row>
    <row r="416" spans="1:2" x14ac:dyDescent="0.25">
      <c r="A416" s="28"/>
      <c r="B416" s="17"/>
    </row>
    <row r="417" spans="1:2" x14ac:dyDescent="0.25">
      <c r="A417" s="28"/>
      <c r="B417" s="17"/>
    </row>
    <row r="418" spans="1:2" x14ac:dyDescent="0.25">
      <c r="A418" s="28"/>
      <c r="B418" s="17"/>
    </row>
    <row r="419" spans="1:2" x14ac:dyDescent="0.25">
      <c r="A419" s="28"/>
      <c r="B419" s="17"/>
    </row>
    <row r="420" spans="1:2" x14ac:dyDescent="0.25">
      <c r="A420" s="28"/>
      <c r="B420" s="17"/>
    </row>
    <row r="421" spans="1:2" x14ac:dyDescent="0.25">
      <c r="A421" s="28"/>
      <c r="B421" s="17"/>
    </row>
    <row r="422" spans="1:2" x14ac:dyDescent="0.25">
      <c r="A422" s="28"/>
      <c r="B422" s="17"/>
    </row>
    <row r="423" spans="1:2" x14ac:dyDescent="0.25">
      <c r="A423" s="28"/>
      <c r="B423" s="17"/>
    </row>
    <row r="424" spans="1:2" x14ac:dyDescent="0.25">
      <c r="A424" s="28"/>
      <c r="B424" s="17"/>
    </row>
    <row r="425" spans="1:2" x14ac:dyDescent="0.25">
      <c r="A425" s="28"/>
      <c r="B425" s="17"/>
    </row>
    <row r="426" spans="1:2" x14ac:dyDescent="0.25">
      <c r="A426" s="28"/>
      <c r="B426" s="17"/>
    </row>
    <row r="427" spans="1:2" x14ac:dyDescent="0.25">
      <c r="A427" s="28"/>
      <c r="B427" s="17"/>
    </row>
    <row r="428" spans="1:2" x14ac:dyDescent="0.25">
      <c r="A428" s="28"/>
      <c r="B428" s="17"/>
    </row>
    <row r="429" spans="1:2" x14ac:dyDescent="0.25">
      <c r="A429" s="28"/>
      <c r="B429" s="17"/>
    </row>
    <row r="430" spans="1:2" x14ac:dyDescent="0.25">
      <c r="A430" s="28"/>
      <c r="B430" s="17"/>
    </row>
    <row r="431" spans="1:2" x14ac:dyDescent="0.25">
      <c r="A431" s="28"/>
      <c r="B431" s="17"/>
    </row>
    <row r="432" spans="1:2" x14ac:dyDescent="0.25">
      <c r="A432" s="28"/>
      <c r="B432" s="17"/>
    </row>
    <row r="433" spans="1:2" x14ac:dyDescent="0.25">
      <c r="A433" s="28"/>
      <c r="B433" s="17"/>
    </row>
    <row r="434" spans="1:2" x14ac:dyDescent="0.25">
      <c r="A434" s="28"/>
      <c r="B434" s="17"/>
    </row>
    <row r="435" spans="1:2" x14ac:dyDescent="0.25">
      <c r="A435" s="28"/>
      <c r="B435" s="17"/>
    </row>
    <row r="436" spans="1:2" x14ac:dyDescent="0.25">
      <c r="A436" s="28"/>
      <c r="B436" s="17"/>
    </row>
    <row r="437" spans="1:2" x14ac:dyDescent="0.25">
      <c r="A437" s="28"/>
      <c r="B437" s="17"/>
    </row>
    <row r="438" spans="1:2" x14ac:dyDescent="0.25">
      <c r="A438" s="28"/>
      <c r="B438" s="17"/>
    </row>
    <row r="439" spans="1:2" x14ac:dyDescent="0.25">
      <c r="A439" s="28"/>
      <c r="B439" s="17"/>
    </row>
    <row r="440" spans="1:2" x14ac:dyDescent="0.25">
      <c r="A440" s="28"/>
      <c r="B440" s="17"/>
    </row>
    <row r="441" spans="1:2" x14ac:dyDescent="0.25">
      <c r="A441" s="28"/>
      <c r="B441" s="17"/>
    </row>
    <row r="442" spans="1:2" x14ac:dyDescent="0.25">
      <c r="A442" s="28"/>
      <c r="B442" s="17"/>
    </row>
    <row r="443" spans="1:2" x14ac:dyDescent="0.25">
      <c r="A443" s="28"/>
      <c r="B443" s="17"/>
    </row>
    <row r="444" spans="1:2" x14ac:dyDescent="0.25">
      <c r="A444" s="28"/>
      <c r="B444" s="17"/>
    </row>
    <row r="445" spans="1:2" x14ac:dyDescent="0.25">
      <c r="A445" s="28"/>
      <c r="B445" s="17"/>
    </row>
    <row r="446" spans="1:2" x14ac:dyDescent="0.25">
      <c r="A446" s="28"/>
      <c r="B446" s="17"/>
    </row>
    <row r="447" spans="1:2" x14ac:dyDescent="0.25">
      <c r="A447" s="28"/>
      <c r="B447" s="17"/>
    </row>
    <row r="448" spans="1:2" x14ac:dyDescent="0.25">
      <c r="A448" s="28"/>
      <c r="B448" s="17"/>
    </row>
    <row r="449" spans="1:2" x14ac:dyDescent="0.25">
      <c r="A449" s="28"/>
      <c r="B449" s="17"/>
    </row>
    <row r="450" spans="1:2" x14ac:dyDescent="0.25">
      <c r="A450" s="28"/>
      <c r="B450" s="17"/>
    </row>
    <row r="451" spans="1:2" x14ac:dyDescent="0.25">
      <c r="A451" s="28"/>
      <c r="B451" s="17"/>
    </row>
    <row r="452" spans="1:2" x14ac:dyDescent="0.25">
      <c r="A452" s="28"/>
      <c r="B452" s="17"/>
    </row>
    <row r="453" spans="1:2" x14ac:dyDescent="0.25">
      <c r="A453" s="28"/>
      <c r="B453" s="17"/>
    </row>
    <row r="454" spans="1:2" x14ac:dyDescent="0.25">
      <c r="A454" s="28"/>
      <c r="B454" s="17"/>
    </row>
    <row r="455" spans="1:2" x14ac:dyDescent="0.25">
      <c r="A455" s="28"/>
      <c r="B455" s="17"/>
    </row>
    <row r="456" spans="1:2" x14ac:dyDescent="0.25">
      <c r="A456" s="28"/>
      <c r="B456" s="17"/>
    </row>
    <row r="457" spans="1:2" x14ac:dyDescent="0.25">
      <c r="A457" s="28"/>
      <c r="B457" s="17"/>
    </row>
    <row r="458" spans="1:2" x14ac:dyDescent="0.25">
      <c r="A458" s="28"/>
      <c r="B458" s="17"/>
    </row>
    <row r="459" spans="1:2" x14ac:dyDescent="0.25">
      <c r="A459" s="28"/>
      <c r="B459" s="17"/>
    </row>
    <row r="460" spans="1:2" x14ac:dyDescent="0.25">
      <c r="A460" s="28"/>
      <c r="B460" s="17"/>
    </row>
    <row r="461" spans="1:2" x14ac:dyDescent="0.25">
      <c r="A461" s="28"/>
      <c r="B461" s="17"/>
    </row>
    <row r="462" spans="1:2" x14ac:dyDescent="0.25">
      <c r="A462" s="28"/>
      <c r="B462" s="17"/>
    </row>
    <row r="463" spans="1:2" x14ac:dyDescent="0.25">
      <c r="A463" s="28"/>
      <c r="B463" s="17"/>
    </row>
    <row r="464" spans="1:2" x14ac:dyDescent="0.25">
      <c r="A464" s="28"/>
      <c r="B464" s="17"/>
    </row>
    <row r="465" spans="1:2" x14ac:dyDescent="0.25">
      <c r="A465" s="28"/>
      <c r="B465" s="17"/>
    </row>
    <row r="466" spans="1:2" x14ac:dyDescent="0.25">
      <c r="A466" s="28"/>
      <c r="B466" s="17"/>
    </row>
    <row r="467" spans="1:2" x14ac:dyDescent="0.25">
      <c r="A467" s="28"/>
      <c r="B467" s="17"/>
    </row>
    <row r="468" spans="1:2" x14ac:dyDescent="0.25">
      <c r="A468" s="28"/>
      <c r="B468" s="17"/>
    </row>
    <row r="469" spans="1:2" x14ac:dyDescent="0.25">
      <c r="A469" s="28"/>
      <c r="B469" s="17"/>
    </row>
    <row r="470" spans="1:2" x14ac:dyDescent="0.25">
      <c r="A470" s="28"/>
      <c r="B470" s="17"/>
    </row>
    <row r="471" spans="1:2" x14ac:dyDescent="0.25">
      <c r="A471" s="28"/>
      <c r="B471" s="17"/>
    </row>
    <row r="472" spans="1:2" x14ac:dyDescent="0.25">
      <c r="A472" s="28"/>
      <c r="B472" s="17"/>
    </row>
    <row r="473" spans="1:2" x14ac:dyDescent="0.25">
      <c r="A473" s="28"/>
      <c r="B473" s="17"/>
    </row>
    <row r="474" spans="1:2" x14ac:dyDescent="0.25">
      <c r="A474" s="28"/>
      <c r="B474" s="17"/>
    </row>
    <row r="475" spans="1:2" x14ac:dyDescent="0.25">
      <c r="A475" s="28"/>
      <c r="B475" s="17"/>
    </row>
    <row r="476" spans="1:2" x14ac:dyDescent="0.25">
      <c r="A476" s="28"/>
      <c r="B476" s="17"/>
    </row>
    <row r="477" spans="1:2" x14ac:dyDescent="0.25">
      <c r="A477" s="28"/>
      <c r="B477" s="17"/>
    </row>
    <row r="478" spans="1:2" x14ac:dyDescent="0.25">
      <c r="A478" s="28"/>
      <c r="B478" s="17"/>
    </row>
    <row r="479" spans="1:2" x14ac:dyDescent="0.25">
      <c r="A479" s="28"/>
      <c r="B479" s="17"/>
    </row>
    <row r="480" spans="1:2" x14ac:dyDescent="0.25">
      <c r="A480" s="28"/>
      <c r="B480" s="17"/>
    </row>
    <row r="481" spans="1:2" x14ac:dyDescent="0.25">
      <c r="A481" s="28"/>
      <c r="B481" s="17"/>
    </row>
    <row r="482" spans="1:2" x14ac:dyDescent="0.25">
      <c r="A482" s="28"/>
      <c r="B482" s="17"/>
    </row>
    <row r="483" spans="1:2" x14ac:dyDescent="0.25">
      <c r="A483" s="28"/>
      <c r="B483" s="17"/>
    </row>
    <row r="484" spans="1:2" x14ac:dyDescent="0.25">
      <c r="A484" s="28"/>
      <c r="B484" s="17"/>
    </row>
    <row r="485" spans="1:2" x14ac:dyDescent="0.25">
      <c r="A485" s="28"/>
      <c r="B485" s="17"/>
    </row>
    <row r="486" spans="1:2" x14ac:dyDescent="0.25">
      <c r="A486" s="28"/>
      <c r="B486" s="17"/>
    </row>
    <row r="487" spans="1:2" x14ac:dyDescent="0.25">
      <c r="A487" s="28"/>
      <c r="B487" s="17"/>
    </row>
    <row r="488" spans="1:2" x14ac:dyDescent="0.25">
      <c r="A488" s="28"/>
      <c r="B488" s="17"/>
    </row>
    <row r="489" spans="1:2" x14ac:dyDescent="0.25">
      <c r="A489" s="28"/>
      <c r="B489" s="17"/>
    </row>
    <row r="490" spans="1:2" x14ac:dyDescent="0.25">
      <c r="A490" s="28"/>
      <c r="B490" s="17"/>
    </row>
    <row r="491" spans="1:2" x14ac:dyDescent="0.25">
      <c r="A491" s="28"/>
      <c r="B491" s="17"/>
    </row>
    <row r="492" spans="1:2" x14ac:dyDescent="0.25">
      <c r="A492" s="28"/>
      <c r="B492" s="17"/>
    </row>
    <row r="493" spans="1:2" x14ac:dyDescent="0.25">
      <c r="A493" s="28"/>
      <c r="B493" s="17"/>
    </row>
    <row r="494" spans="1:2" x14ac:dyDescent="0.25">
      <c r="A494" s="28"/>
      <c r="B494" s="17"/>
    </row>
    <row r="495" spans="1:2" x14ac:dyDescent="0.25">
      <c r="A495" s="28"/>
      <c r="B495" s="17"/>
    </row>
    <row r="496" spans="1:2" x14ac:dyDescent="0.25">
      <c r="A496" s="28"/>
      <c r="B496" s="17"/>
    </row>
    <row r="497" spans="1:2" x14ac:dyDescent="0.25">
      <c r="A497" s="28"/>
      <c r="B497" s="17"/>
    </row>
    <row r="498" spans="1:2" x14ac:dyDescent="0.25">
      <c r="A498" s="28"/>
      <c r="B498" s="17"/>
    </row>
    <row r="499" spans="1:2" x14ac:dyDescent="0.25">
      <c r="A499" s="28"/>
      <c r="B499" s="17"/>
    </row>
    <row r="500" spans="1:2" x14ac:dyDescent="0.25">
      <c r="A500" s="28"/>
      <c r="B500" s="17"/>
    </row>
    <row r="501" spans="1:2" x14ac:dyDescent="0.25">
      <c r="A501" s="28"/>
      <c r="B501" s="17"/>
    </row>
    <row r="502" spans="1:2" x14ac:dyDescent="0.25">
      <c r="A502" s="28"/>
      <c r="B502" s="17"/>
    </row>
    <row r="503" spans="1:2" x14ac:dyDescent="0.25">
      <c r="A503" s="28"/>
      <c r="B503" s="17"/>
    </row>
    <row r="504" spans="1:2" x14ac:dyDescent="0.25">
      <c r="A504" s="28"/>
      <c r="B504" s="17"/>
    </row>
    <row r="505" spans="1:2" x14ac:dyDescent="0.25">
      <c r="A505" s="28"/>
      <c r="B505" s="17"/>
    </row>
    <row r="506" spans="1:2" x14ac:dyDescent="0.25">
      <c r="A506" s="28"/>
      <c r="B506" s="17"/>
    </row>
    <row r="507" spans="1:2" x14ac:dyDescent="0.25">
      <c r="A507" s="28"/>
      <c r="B507" s="17"/>
    </row>
    <row r="508" spans="1:2" x14ac:dyDescent="0.25">
      <c r="A508" s="28"/>
      <c r="B508" s="17"/>
    </row>
    <row r="509" spans="1:2" x14ac:dyDescent="0.25">
      <c r="A509" s="28"/>
      <c r="B509" s="17"/>
    </row>
    <row r="510" spans="1:2" x14ac:dyDescent="0.25">
      <c r="A510" s="28"/>
      <c r="B510" s="17"/>
    </row>
    <row r="511" spans="1:2" x14ac:dyDescent="0.25">
      <c r="A511" s="28"/>
      <c r="B511" s="17"/>
    </row>
    <row r="512" spans="1:2" x14ac:dyDescent="0.25">
      <c r="A512" s="28"/>
      <c r="B512" s="17"/>
    </row>
    <row r="513" spans="1:2" x14ac:dyDescent="0.25">
      <c r="A513" s="28"/>
      <c r="B513" s="17"/>
    </row>
    <row r="514" spans="1:2" x14ac:dyDescent="0.25">
      <c r="A514" s="28"/>
      <c r="B514" s="17"/>
    </row>
    <row r="515" spans="1:2" x14ac:dyDescent="0.25">
      <c r="A515" s="28"/>
      <c r="B515" s="17"/>
    </row>
    <row r="516" spans="1:2" x14ac:dyDescent="0.25">
      <c r="A516" s="28"/>
      <c r="B516" s="17"/>
    </row>
    <row r="517" spans="1:2" x14ac:dyDescent="0.25">
      <c r="A517" s="28"/>
      <c r="B517" s="17"/>
    </row>
    <row r="518" spans="1:2" x14ac:dyDescent="0.25">
      <c r="A518" s="28"/>
      <c r="B518" s="17"/>
    </row>
    <row r="519" spans="1:2" x14ac:dyDescent="0.25">
      <c r="A519" s="28"/>
      <c r="B519" s="17"/>
    </row>
    <row r="520" spans="1:2" x14ac:dyDescent="0.25">
      <c r="A520" s="28"/>
      <c r="B520" s="17"/>
    </row>
    <row r="521" spans="1:2" x14ac:dyDescent="0.25">
      <c r="A521" s="28"/>
      <c r="B521" s="17"/>
    </row>
    <row r="522" spans="1:2" x14ac:dyDescent="0.25">
      <c r="A522" s="28"/>
      <c r="B522" s="17"/>
    </row>
    <row r="523" spans="1:2" x14ac:dyDescent="0.25">
      <c r="A523" s="28"/>
      <c r="B523" s="17"/>
    </row>
    <row r="524" spans="1:2" x14ac:dyDescent="0.25">
      <c r="A524" s="28"/>
      <c r="B524" s="17"/>
    </row>
    <row r="525" spans="1:2" x14ac:dyDescent="0.25">
      <c r="A525" s="28"/>
      <c r="B525" s="17"/>
    </row>
    <row r="526" spans="1:2" x14ac:dyDescent="0.25">
      <c r="A526" s="28"/>
      <c r="B526" s="17"/>
    </row>
    <row r="527" spans="1:2" x14ac:dyDescent="0.25">
      <c r="A527" s="28"/>
      <c r="B527" s="17"/>
    </row>
    <row r="528" spans="1:2" x14ac:dyDescent="0.25">
      <c r="A528" s="28"/>
      <c r="B528" s="17"/>
    </row>
    <row r="529" spans="1:2" x14ac:dyDescent="0.25">
      <c r="A529" s="28"/>
      <c r="B529" s="17"/>
    </row>
    <row r="530" spans="1:2" x14ac:dyDescent="0.25">
      <c r="A530" s="28"/>
      <c r="B530" s="17"/>
    </row>
    <row r="531" spans="1:2" x14ac:dyDescent="0.25">
      <c r="A531" s="28"/>
      <c r="B531" s="17"/>
    </row>
    <row r="532" spans="1:2" x14ac:dyDescent="0.25">
      <c r="A532" s="28"/>
      <c r="B532" s="17"/>
    </row>
    <row r="533" spans="1:2" x14ac:dyDescent="0.25">
      <c r="A533" s="28"/>
      <c r="B533" s="17"/>
    </row>
    <row r="534" spans="1:2" x14ac:dyDescent="0.25">
      <c r="A534" s="28"/>
      <c r="B534" s="17"/>
    </row>
    <row r="535" spans="1:2" x14ac:dyDescent="0.25">
      <c r="A535" s="28"/>
      <c r="B535" s="17"/>
    </row>
    <row r="536" spans="1:2" x14ac:dyDescent="0.25">
      <c r="A536" s="28"/>
      <c r="B536" s="17"/>
    </row>
    <row r="537" spans="1:2" x14ac:dyDescent="0.25">
      <c r="A537" s="28"/>
      <c r="B537" s="17"/>
    </row>
    <row r="538" spans="1:2" x14ac:dyDescent="0.25">
      <c r="A538" s="28"/>
      <c r="B538" s="17"/>
    </row>
    <row r="539" spans="1:2" x14ac:dyDescent="0.25">
      <c r="A539" s="28"/>
      <c r="B539" s="17"/>
    </row>
    <row r="540" spans="1:2" x14ac:dyDescent="0.25">
      <c r="A540" s="28"/>
      <c r="B540" s="17"/>
    </row>
    <row r="541" spans="1:2" x14ac:dyDescent="0.25">
      <c r="A541" s="28"/>
      <c r="B541" s="17"/>
    </row>
    <row r="542" spans="1:2" x14ac:dyDescent="0.25">
      <c r="A542" s="28"/>
      <c r="B542" s="17"/>
    </row>
    <row r="543" spans="1:2" x14ac:dyDescent="0.25">
      <c r="A543" s="28"/>
      <c r="B543" s="17"/>
    </row>
    <row r="544" spans="1:2" x14ac:dyDescent="0.25">
      <c r="A544" s="28"/>
      <c r="B544" s="17"/>
    </row>
    <row r="545" spans="1:2" x14ac:dyDescent="0.25">
      <c r="A545" s="28"/>
      <c r="B545" s="17"/>
    </row>
    <row r="546" spans="1:2" x14ac:dyDescent="0.25">
      <c r="A546" s="28"/>
      <c r="B546" s="17"/>
    </row>
    <row r="547" spans="1:2" x14ac:dyDescent="0.25">
      <c r="A547" s="28"/>
      <c r="B547" s="17"/>
    </row>
    <row r="548" spans="1:2" x14ac:dyDescent="0.25">
      <c r="A548" s="28"/>
      <c r="B548" s="17"/>
    </row>
    <row r="549" spans="1:2" x14ac:dyDescent="0.25">
      <c r="A549" s="28"/>
      <c r="B549" s="17"/>
    </row>
    <row r="550" spans="1:2" x14ac:dyDescent="0.25">
      <c r="A550" s="28"/>
      <c r="B550" s="17"/>
    </row>
    <row r="551" spans="1:2" x14ac:dyDescent="0.25">
      <c r="A551" s="28"/>
      <c r="B551" s="17"/>
    </row>
    <row r="552" spans="1:2" x14ac:dyDescent="0.25">
      <c r="A552" s="28"/>
      <c r="B552" s="17"/>
    </row>
    <row r="553" spans="1:2" x14ac:dyDescent="0.25">
      <c r="A553" s="28"/>
      <c r="B553" s="17"/>
    </row>
    <row r="554" spans="1:2" x14ac:dyDescent="0.25">
      <c r="A554" s="28"/>
      <c r="B554" s="17"/>
    </row>
    <row r="555" spans="1:2" x14ac:dyDescent="0.25">
      <c r="A555" s="28"/>
      <c r="B555" s="17"/>
    </row>
    <row r="556" spans="1:2" x14ac:dyDescent="0.25">
      <c r="A556" s="28"/>
      <c r="B556" s="17"/>
    </row>
    <row r="557" spans="1:2" x14ac:dyDescent="0.25">
      <c r="A557" s="28"/>
      <c r="B557" s="17"/>
    </row>
    <row r="558" spans="1:2" x14ac:dyDescent="0.25">
      <c r="A558" s="28"/>
      <c r="B558" s="17"/>
    </row>
    <row r="559" spans="1:2" x14ac:dyDescent="0.25">
      <c r="A559" s="28"/>
      <c r="B559" s="17"/>
    </row>
    <row r="560" spans="1:2" x14ac:dyDescent="0.25">
      <c r="A560" s="28"/>
      <c r="B560" s="17"/>
    </row>
    <row r="561" spans="1:2" x14ac:dyDescent="0.25">
      <c r="A561" s="28"/>
      <c r="B561" s="17"/>
    </row>
    <row r="562" spans="1:2" x14ac:dyDescent="0.25">
      <c r="A562" s="28"/>
      <c r="B562" s="17"/>
    </row>
    <row r="563" spans="1:2" x14ac:dyDescent="0.25">
      <c r="A563" s="28"/>
      <c r="B563" s="17"/>
    </row>
    <row r="564" spans="1:2" x14ac:dyDescent="0.25">
      <c r="A564" s="28"/>
      <c r="B564" s="17"/>
    </row>
    <row r="565" spans="1:2" x14ac:dyDescent="0.25">
      <c r="A565" s="28"/>
      <c r="B565" s="17"/>
    </row>
    <row r="566" spans="1:2" x14ac:dyDescent="0.25">
      <c r="A566" s="28"/>
      <c r="B566" s="17"/>
    </row>
    <row r="567" spans="1:2" x14ac:dyDescent="0.25">
      <c r="A567" s="28"/>
      <c r="B567" s="17"/>
    </row>
    <row r="568" spans="1:2" x14ac:dyDescent="0.25">
      <c r="A568" s="28"/>
      <c r="B568" s="17"/>
    </row>
    <row r="569" spans="1:2" x14ac:dyDescent="0.25">
      <c r="A569" s="28"/>
      <c r="B569" s="17"/>
    </row>
    <row r="570" spans="1:2" x14ac:dyDescent="0.25">
      <c r="A570" s="28"/>
      <c r="B570" s="17"/>
    </row>
    <row r="571" spans="1:2" x14ac:dyDescent="0.25">
      <c r="A571" s="28"/>
      <c r="B571" s="17"/>
    </row>
    <row r="572" spans="1:2" x14ac:dyDescent="0.25">
      <c r="A572" s="28"/>
      <c r="B572" s="17"/>
    </row>
    <row r="573" spans="1:2" x14ac:dyDescent="0.25">
      <c r="A573" s="28"/>
      <c r="B573" s="17"/>
    </row>
    <row r="574" spans="1:2" x14ac:dyDescent="0.25">
      <c r="A574" s="28"/>
      <c r="B574" s="17"/>
    </row>
    <row r="575" spans="1:2" x14ac:dyDescent="0.25">
      <c r="A575" s="28"/>
      <c r="B575" s="17"/>
    </row>
    <row r="576" spans="1:2" x14ac:dyDescent="0.25">
      <c r="A576" s="28"/>
      <c r="B576" s="17"/>
    </row>
    <row r="577" spans="1:2" x14ac:dyDescent="0.25">
      <c r="A577" s="28"/>
      <c r="B577" s="17"/>
    </row>
    <row r="578" spans="1:2" x14ac:dyDescent="0.25">
      <c r="A578" s="28"/>
      <c r="B578" s="17"/>
    </row>
    <row r="579" spans="1:2" x14ac:dyDescent="0.25">
      <c r="A579" s="28"/>
      <c r="B579" s="17"/>
    </row>
    <row r="580" spans="1:2" x14ac:dyDescent="0.25">
      <c r="A580" s="28"/>
      <c r="B580" s="17"/>
    </row>
    <row r="581" spans="1:2" x14ac:dyDescent="0.25">
      <c r="A581" s="28"/>
      <c r="B581" s="17"/>
    </row>
    <row r="582" spans="1:2" x14ac:dyDescent="0.25">
      <c r="A582" s="28"/>
      <c r="B582" s="17"/>
    </row>
    <row r="583" spans="1:2" x14ac:dyDescent="0.25">
      <c r="A583" s="28"/>
      <c r="B583" s="17"/>
    </row>
    <row r="584" spans="1:2" x14ac:dyDescent="0.25">
      <c r="A584" s="28"/>
      <c r="B584" s="17"/>
    </row>
    <row r="585" spans="1:2" x14ac:dyDescent="0.25">
      <c r="A585" s="28"/>
      <c r="B585" s="17"/>
    </row>
    <row r="586" spans="1:2" x14ac:dyDescent="0.25">
      <c r="A586" s="28"/>
      <c r="B586" s="17"/>
    </row>
    <row r="587" spans="1:2" x14ac:dyDescent="0.25">
      <c r="A587" s="28"/>
      <c r="B587" s="17"/>
    </row>
    <row r="588" spans="1:2" x14ac:dyDescent="0.25">
      <c r="A588" s="28"/>
      <c r="B588" s="17"/>
    </row>
    <row r="589" spans="1:2" x14ac:dyDescent="0.25">
      <c r="A589" s="28"/>
      <c r="B589" s="17"/>
    </row>
    <row r="590" spans="1:2" x14ac:dyDescent="0.25">
      <c r="A590" s="28"/>
      <c r="B590" s="17"/>
    </row>
    <row r="591" spans="1:2" x14ac:dyDescent="0.25">
      <c r="A591" s="28"/>
      <c r="B591" s="17"/>
    </row>
    <row r="592" spans="1:2" x14ac:dyDescent="0.25">
      <c r="A592" s="28"/>
      <c r="B592" s="17"/>
    </row>
    <row r="593" spans="1:2" x14ac:dyDescent="0.25">
      <c r="A593" s="28"/>
      <c r="B593" s="17"/>
    </row>
    <row r="594" spans="1:2" x14ac:dyDescent="0.25">
      <c r="A594" s="28"/>
      <c r="B594" s="17"/>
    </row>
    <row r="595" spans="1:2" x14ac:dyDescent="0.25">
      <c r="A595" s="28"/>
      <c r="B595" s="17"/>
    </row>
    <row r="596" spans="1:2" x14ac:dyDescent="0.25">
      <c r="A596" s="28"/>
      <c r="B596" s="17"/>
    </row>
    <row r="597" spans="1:2" x14ac:dyDescent="0.25">
      <c r="A597" s="28"/>
      <c r="B597" s="17"/>
    </row>
    <row r="598" spans="1:2" x14ac:dyDescent="0.25">
      <c r="A598" s="28"/>
      <c r="B598" s="17"/>
    </row>
    <row r="599" spans="1:2" x14ac:dyDescent="0.25">
      <c r="A599" s="28"/>
      <c r="B599" s="17"/>
    </row>
    <row r="600" spans="1:2" x14ac:dyDescent="0.25">
      <c r="A600" s="28"/>
      <c r="B600" s="17"/>
    </row>
    <row r="601" spans="1:2" x14ac:dyDescent="0.25">
      <c r="A601" s="28"/>
      <c r="B601" s="17"/>
    </row>
    <row r="602" spans="1:2" x14ac:dyDescent="0.25">
      <c r="A602" s="28"/>
      <c r="B602" s="17"/>
    </row>
    <row r="603" spans="1:2" x14ac:dyDescent="0.25">
      <c r="A603" s="28"/>
      <c r="B603" s="17"/>
    </row>
    <row r="604" spans="1:2" x14ac:dyDescent="0.25">
      <c r="A604" s="28"/>
      <c r="B604" s="17"/>
    </row>
    <row r="605" spans="1:2" x14ac:dyDescent="0.25">
      <c r="A605" s="28"/>
      <c r="B605" s="17"/>
    </row>
    <row r="606" spans="1:2" x14ac:dyDescent="0.25">
      <c r="A606" s="28"/>
      <c r="B606" s="17"/>
    </row>
    <row r="607" spans="1:2" x14ac:dyDescent="0.25">
      <c r="A607" s="28"/>
      <c r="B607" s="17"/>
    </row>
    <row r="608" spans="1:2" x14ac:dyDescent="0.25">
      <c r="A608" s="28"/>
      <c r="B608" s="17"/>
    </row>
    <row r="609" spans="1:2" x14ac:dyDescent="0.25">
      <c r="A609" s="28"/>
      <c r="B609" s="17"/>
    </row>
    <row r="610" spans="1:2" x14ac:dyDescent="0.25">
      <c r="A610" s="28"/>
      <c r="B610" s="17"/>
    </row>
    <row r="611" spans="1:2" x14ac:dyDescent="0.25">
      <c r="A611" s="28"/>
      <c r="B611" s="17"/>
    </row>
    <row r="612" spans="1:2" x14ac:dyDescent="0.25">
      <c r="A612" s="28"/>
      <c r="B612" s="17"/>
    </row>
    <row r="613" spans="1:2" x14ac:dyDescent="0.25">
      <c r="A613" s="28"/>
      <c r="B613" s="17"/>
    </row>
    <row r="614" spans="1:2" x14ac:dyDescent="0.25">
      <c r="A614" s="28"/>
      <c r="B614" s="17"/>
    </row>
    <row r="615" spans="1:2" x14ac:dyDescent="0.25">
      <c r="A615" s="28"/>
      <c r="B615" s="17"/>
    </row>
    <row r="616" spans="1:2" x14ac:dyDescent="0.25">
      <c r="A616" s="28"/>
      <c r="B616" s="17"/>
    </row>
    <row r="617" spans="1:2" x14ac:dyDescent="0.25">
      <c r="A617" s="28"/>
      <c r="B617" s="17"/>
    </row>
    <row r="618" spans="1:2" x14ac:dyDescent="0.25">
      <c r="A618" s="28"/>
      <c r="B618" s="17"/>
    </row>
    <row r="619" spans="1:2" x14ac:dyDescent="0.25">
      <c r="A619" s="28"/>
      <c r="B619" s="17"/>
    </row>
    <row r="620" spans="1:2" x14ac:dyDescent="0.25">
      <c r="A620" s="28"/>
      <c r="B620" s="17"/>
    </row>
    <row r="621" spans="1:2" x14ac:dyDescent="0.25">
      <c r="A621" s="28"/>
      <c r="B621" s="17"/>
    </row>
    <row r="622" spans="1:2" x14ac:dyDescent="0.25">
      <c r="A622" s="28"/>
      <c r="B622" s="17"/>
    </row>
    <row r="623" spans="1:2" x14ac:dyDescent="0.25">
      <c r="A623" s="28"/>
      <c r="B623" s="17"/>
    </row>
    <row r="624" spans="1:2" x14ac:dyDescent="0.25">
      <c r="A624" s="28"/>
      <c r="B624" s="17"/>
    </row>
    <row r="625" spans="1:2" x14ac:dyDescent="0.25">
      <c r="A625" s="28"/>
      <c r="B625" s="17"/>
    </row>
    <row r="626" spans="1:2" x14ac:dyDescent="0.25">
      <c r="A626" s="28"/>
      <c r="B626" s="17"/>
    </row>
    <row r="627" spans="1:2" x14ac:dyDescent="0.25">
      <c r="A627" s="28"/>
      <c r="B627" s="17"/>
    </row>
    <row r="628" spans="1:2" x14ac:dyDescent="0.25">
      <c r="A628" s="28"/>
      <c r="B628" s="17"/>
    </row>
    <row r="629" spans="1:2" x14ac:dyDescent="0.25">
      <c r="A629" s="28"/>
      <c r="B629" s="17"/>
    </row>
    <row r="630" spans="1:2" x14ac:dyDescent="0.25">
      <c r="A630" s="28"/>
      <c r="B630" s="17"/>
    </row>
    <row r="631" spans="1:2" x14ac:dyDescent="0.25">
      <c r="A631" s="28"/>
      <c r="B631" s="17"/>
    </row>
    <row r="632" spans="1:2" x14ac:dyDescent="0.25">
      <c r="A632" s="28"/>
      <c r="B632" s="17"/>
    </row>
    <row r="633" spans="1:2" x14ac:dyDescent="0.25">
      <c r="A633" s="28"/>
      <c r="B633" s="17"/>
    </row>
    <row r="634" spans="1:2" x14ac:dyDescent="0.25">
      <c r="A634" s="28"/>
      <c r="B634" s="17"/>
    </row>
    <row r="635" spans="1:2" x14ac:dyDescent="0.25">
      <c r="A635" s="28"/>
      <c r="B635" s="17"/>
    </row>
    <row r="636" spans="1:2" x14ac:dyDescent="0.25">
      <c r="A636" s="28"/>
      <c r="B636" s="17"/>
    </row>
    <row r="637" spans="1:2" x14ac:dyDescent="0.25">
      <c r="A637" s="28"/>
      <c r="B637" s="17"/>
    </row>
    <row r="638" spans="1:2" x14ac:dyDescent="0.25">
      <c r="A638" s="28"/>
      <c r="B638" s="17"/>
    </row>
    <row r="639" spans="1:2" x14ac:dyDescent="0.25">
      <c r="A639" s="28"/>
      <c r="B639" s="17"/>
    </row>
    <row r="640" spans="1:2" x14ac:dyDescent="0.25">
      <c r="A640" s="28"/>
      <c r="B640" s="17"/>
    </row>
    <row r="641" spans="1:2" x14ac:dyDescent="0.25">
      <c r="A641" s="28"/>
      <c r="B641" s="17"/>
    </row>
    <row r="642" spans="1:2" x14ac:dyDescent="0.25">
      <c r="A642" s="28"/>
      <c r="B642" s="17"/>
    </row>
    <row r="643" spans="1:2" x14ac:dyDescent="0.25">
      <c r="A643" s="28"/>
      <c r="B643" s="17"/>
    </row>
    <row r="644" spans="1:2" x14ac:dyDescent="0.25">
      <c r="A644" s="28"/>
      <c r="B644" s="17"/>
    </row>
    <row r="645" spans="1:2" x14ac:dyDescent="0.25">
      <c r="A645" s="28"/>
      <c r="B645" s="17"/>
    </row>
    <row r="646" spans="1:2" x14ac:dyDescent="0.25">
      <c r="A646" s="28"/>
      <c r="B646" s="17"/>
    </row>
    <row r="647" spans="1:2" x14ac:dyDescent="0.25">
      <c r="A647" s="28"/>
      <c r="B647" s="17"/>
    </row>
    <row r="648" spans="1:2" x14ac:dyDescent="0.25">
      <c r="A648" s="28"/>
      <c r="B648" s="17"/>
    </row>
    <row r="649" spans="1:2" x14ac:dyDescent="0.25">
      <c r="A649" s="28"/>
      <c r="B649" s="17"/>
    </row>
    <row r="650" spans="1:2" x14ac:dyDescent="0.25">
      <c r="A650" s="28"/>
      <c r="B650" s="17"/>
    </row>
    <row r="651" spans="1:2" x14ac:dyDescent="0.25">
      <c r="A651" s="28"/>
      <c r="B651" s="17"/>
    </row>
    <row r="652" spans="1:2" x14ac:dyDescent="0.25">
      <c r="A652" s="28"/>
      <c r="B652" s="17"/>
    </row>
    <row r="653" spans="1:2" x14ac:dyDescent="0.25">
      <c r="A653" s="28"/>
      <c r="B653" s="17"/>
    </row>
    <row r="654" spans="1:2" x14ac:dyDescent="0.25">
      <c r="A654" s="28"/>
      <c r="B654" s="17"/>
    </row>
    <row r="655" spans="1:2" x14ac:dyDescent="0.25">
      <c r="A655" s="28"/>
      <c r="B655" s="17"/>
    </row>
    <row r="656" spans="1:2" x14ac:dyDescent="0.25">
      <c r="A656" s="28"/>
      <c r="B656" s="17"/>
    </row>
    <row r="657" spans="1:2" x14ac:dyDescent="0.25">
      <c r="A657" s="28"/>
      <c r="B657" s="17"/>
    </row>
    <row r="658" spans="1:2" x14ac:dyDescent="0.25">
      <c r="A658" s="28"/>
      <c r="B658" s="17"/>
    </row>
    <row r="659" spans="1:2" x14ac:dyDescent="0.25">
      <c r="A659" s="28"/>
      <c r="B659" s="17"/>
    </row>
    <row r="660" spans="1:2" x14ac:dyDescent="0.25">
      <c r="A660" s="28"/>
      <c r="B660" s="17"/>
    </row>
    <row r="661" spans="1:2" x14ac:dyDescent="0.25">
      <c r="A661" s="28"/>
      <c r="B661" s="17"/>
    </row>
    <row r="662" spans="1:2" x14ac:dyDescent="0.25">
      <c r="A662" s="28"/>
      <c r="B662" s="17"/>
    </row>
    <row r="663" spans="1:2" x14ac:dyDescent="0.25">
      <c r="A663" s="28"/>
      <c r="B663" s="17"/>
    </row>
    <row r="664" spans="1:2" x14ac:dyDescent="0.25">
      <c r="A664" s="28"/>
      <c r="B664" s="17"/>
    </row>
    <row r="665" spans="1:2" x14ac:dyDescent="0.25">
      <c r="A665" s="28"/>
      <c r="B665" s="17"/>
    </row>
    <row r="666" spans="1:2" x14ac:dyDescent="0.25">
      <c r="A666" s="28"/>
      <c r="B666" s="17"/>
    </row>
    <row r="667" spans="1:2" x14ac:dyDescent="0.25">
      <c r="A667" s="28"/>
      <c r="B667" s="17"/>
    </row>
    <row r="668" spans="1:2" x14ac:dyDescent="0.25">
      <c r="A668" s="28"/>
      <c r="B668" s="17"/>
    </row>
    <row r="669" spans="1:2" x14ac:dyDescent="0.25">
      <c r="A669" s="28"/>
      <c r="B669" s="17"/>
    </row>
    <row r="670" spans="1:2" x14ac:dyDescent="0.25">
      <c r="A670" s="28"/>
      <c r="B670" s="17"/>
    </row>
    <row r="671" spans="1:2" x14ac:dyDescent="0.25">
      <c r="A671" s="28"/>
      <c r="B671" s="17"/>
    </row>
    <row r="672" spans="1:2" x14ac:dyDescent="0.25">
      <c r="A672" s="28"/>
      <c r="B672" s="17"/>
    </row>
    <row r="673" spans="1:2" x14ac:dyDescent="0.25">
      <c r="A673" s="28"/>
      <c r="B673" s="17"/>
    </row>
    <row r="674" spans="1:2" x14ac:dyDescent="0.25">
      <c r="A674" s="28"/>
      <c r="B674" s="17"/>
    </row>
    <row r="675" spans="1:2" x14ac:dyDescent="0.25">
      <c r="A675" s="28"/>
      <c r="B675" s="17"/>
    </row>
    <row r="676" spans="1:2" x14ac:dyDescent="0.25">
      <c r="A676" s="28"/>
      <c r="B676" s="17"/>
    </row>
    <row r="677" spans="1:2" x14ac:dyDescent="0.25">
      <c r="A677" s="28"/>
      <c r="B677" s="17"/>
    </row>
    <row r="678" spans="1:2" x14ac:dyDescent="0.25">
      <c r="A678" s="28"/>
      <c r="B678" s="17"/>
    </row>
    <row r="679" spans="1:2" x14ac:dyDescent="0.25">
      <c r="A679" s="28"/>
      <c r="B679" s="17"/>
    </row>
    <row r="680" spans="1:2" x14ac:dyDescent="0.25">
      <c r="A680" s="28"/>
      <c r="B680" s="17"/>
    </row>
    <row r="681" spans="1:2" x14ac:dyDescent="0.25">
      <c r="A681" s="28"/>
      <c r="B681" s="17"/>
    </row>
    <row r="682" spans="1:2" x14ac:dyDescent="0.25">
      <c r="A682" s="28"/>
      <c r="B682" s="17"/>
    </row>
    <row r="683" spans="1:2" x14ac:dyDescent="0.25">
      <c r="A683" s="28"/>
      <c r="B683" s="17"/>
    </row>
    <row r="684" spans="1:2" x14ac:dyDescent="0.25">
      <c r="A684" s="28"/>
      <c r="B684" s="17"/>
    </row>
    <row r="685" spans="1:2" x14ac:dyDescent="0.25">
      <c r="A685" s="28"/>
      <c r="B685" s="17"/>
    </row>
    <row r="686" spans="1:2" x14ac:dyDescent="0.25">
      <c r="A686" s="28"/>
      <c r="B686" s="17"/>
    </row>
    <row r="687" spans="1:2" x14ac:dyDescent="0.25">
      <c r="A687" s="28"/>
      <c r="B687" s="17"/>
    </row>
    <row r="688" spans="1:2" x14ac:dyDescent="0.25">
      <c r="A688" s="28"/>
      <c r="B688" s="17"/>
    </row>
    <row r="689" spans="1:2" x14ac:dyDescent="0.25">
      <c r="A689" s="28"/>
      <c r="B689" s="17"/>
    </row>
    <row r="690" spans="1:2" x14ac:dyDescent="0.25">
      <c r="A690" s="28"/>
      <c r="B690" s="17"/>
    </row>
    <row r="691" spans="1:2" x14ac:dyDescent="0.25">
      <c r="A691" s="28"/>
      <c r="B691" s="17"/>
    </row>
    <row r="692" spans="1:2" x14ac:dyDescent="0.25">
      <c r="A692" s="28"/>
      <c r="B692" s="17"/>
    </row>
    <row r="693" spans="1:2" x14ac:dyDescent="0.25">
      <c r="A693" s="28"/>
      <c r="B693" s="17"/>
    </row>
    <row r="694" spans="1:2" x14ac:dyDescent="0.25">
      <c r="A694" s="28"/>
      <c r="B694" s="17"/>
    </row>
    <row r="695" spans="1:2" x14ac:dyDescent="0.25">
      <c r="A695" s="28"/>
      <c r="B695" s="17"/>
    </row>
    <row r="696" spans="1:2" x14ac:dyDescent="0.25">
      <c r="A696" s="28"/>
      <c r="B696" s="17"/>
    </row>
    <row r="697" spans="1:2" x14ac:dyDescent="0.25">
      <c r="A697" s="28"/>
      <c r="B697" s="17"/>
    </row>
    <row r="698" spans="1:2" x14ac:dyDescent="0.25">
      <c r="A698" s="28"/>
      <c r="B698" s="17"/>
    </row>
    <row r="699" spans="1:2" x14ac:dyDescent="0.25">
      <c r="A699" s="28"/>
      <c r="B699" s="17"/>
    </row>
    <row r="700" spans="1:2" x14ac:dyDescent="0.25">
      <c r="A700" s="28"/>
      <c r="B700" s="17"/>
    </row>
    <row r="701" spans="1:2" x14ac:dyDescent="0.25">
      <c r="A701" s="28"/>
      <c r="B701" s="17"/>
    </row>
    <row r="702" spans="1:2" x14ac:dyDescent="0.25">
      <c r="A702" s="28"/>
      <c r="B702" s="17"/>
    </row>
    <row r="703" spans="1:2" x14ac:dyDescent="0.25">
      <c r="A703" s="28"/>
      <c r="B703" s="17"/>
    </row>
    <row r="704" spans="1:2" x14ac:dyDescent="0.25">
      <c r="A704" s="28"/>
      <c r="B704" s="17"/>
    </row>
    <row r="705" spans="1:2" x14ac:dyDescent="0.25">
      <c r="A705" s="28"/>
      <c r="B705" s="17"/>
    </row>
    <row r="706" spans="1:2" x14ac:dyDescent="0.25">
      <c r="A706" s="28"/>
      <c r="B706" s="17"/>
    </row>
    <row r="707" spans="1:2" x14ac:dyDescent="0.25">
      <c r="A707" s="28"/>
      <c r="B707" s="17"/>
    </row>
    <row r="708" spans="1:2" x14ac:dyDescent="0.25">
      <c r="A708" s="28"/>
      <c r="B708" s="17"/>
    </row>
    <row r="709" spans="1:2" x14ac:dyDescent="0.25">
      <c r="A709" s="28"/>
      <c r="B709" s="17"/>
    </row>
    <row r="710" spans="1:2" x14ac:dyDescent="0.25">
      <c r="A710" s="28"/>
      <c r="B710" s="17"/>
    </row>
    <row r="711" spans="1:2" x14ac:dyDescent="0.25">
      <c r="A711" s="28"/>
      <c r="B711" s="17"/>
    </row>
    <row r="712" spans="1:2" x14ac:dyDescent="0.25">
      <c r="A712" s="28"/>
      <c r="B712" s="17"/>
    </row>
    <row r="713" spans="1:2" x14ac:dyDescent="0.25">
      <c r="A713" s="28"/>
      <c r="B713" s="17"/>
    </row>
    <row r="714" spans="1:2" x14ac:dyDescent="0.25">
      <c r="A714" s="28"/>
      <c r="B714" s="17"/>
    </row>
    <row r="715" spans="1:2" x14ac:dyDescent="0.25">
      <c r="A715" s="28"/>
      <c r="B715" s="17"/>
    </row>
    <row r="716" spans="1:2" x14ac:dyDescent="0.25">
      <c r="A716" s="28"/>
      <c r="B716" s="17"/>
    </row>
    <row r="717" spans="1:2" x14ac:dyDescent="0.25">
      <c r="A717" s="28"/>
      <c r="B717" s="17"/>
    </row>
    <row r="718" spans="1:2" x14ac:dyDescent="0.25">
      <c r="A718" s="28"/>
      <c r="B718" s="17"/>
    </row>
    <row r="719" spans="1:2" x14ac:dyDescent="0.25">
      <c r="A719" s="28"/>
      <c r="B719" s="17"/>
    </row>
    <row r="720" spans="1:2" x14ac:dyDescent="0.25">
      <c r="A720" s="28"/>
      <c r="B720" s="17"/>
    </row>
    <row r="721" spans="1:2" x14ac:dyDescent="0.25">
      <c r="A721" s="28"/>
      <c r="B721" s="17"/>
    </row>
    <row r="722" spans="1:2" x14ac:dyDescent="0.25">
      <c r="A722" s="28"/>
      <c r="B722" s="17"/>
    </row>
    <row r="723" spans="1:2" x14ac:dyDescent="0.25">
      <c r="A723" s="28"/>
      <c r="B723" s="17"/>
    </row>
    <row r="724" spans="1:2" x14ac:dyDescent="0.25">
      <c r="A724" s="28"/>
      <c r="B724" s="17"/>
    </row>
    <row r="725" spans="1:2" x14ac:dyDescent="0.25">
      <c r="A725" s="28"/>
      <c r="B725" s="17"/>
    </row>
    <row r="726" spans="1:2" x14ac:dyDescent="0.25">
      <c r="A726" s="28"/>
      <c r="B726" s="17"/>
    </row>
    <row r="727" spans="1:2" x14ac:dyDescent="0.25">
      <c r="A727" s="28"/>
      <c r="B727" s="17"/>
    </row>
    <row r="728" spans="1:2" x14ac:dyDescent="0.25">
      <c r="A728" s="28"/>
      <c r="B728" s="17"/>
    </row>
    <row r="729" spans="1:2" x14ac:dyDescent="0.25">
      <c r="A729" s="28"/>
      <c r="B729" s="17"/>
    </row>
    <row r="730" spans="1:2" x14ac:dyDescent="0.25">
      <c r="A730" s="28"/>
      <c r="B730" s="17"/>
    </row>
    <row r="731" spans="1:2" x14ac:dyDescent="0.25">
      <c r="A731" s="28"/>
      <c r="B731" s="17"/>
    </row>
    <row r="732" spans="1:2" x14ac:dyDescent="0.25">
      <c r="A732" s="28"/>
      <c r="B732" s="17"/>
    </row>
    <row r="733" spans="1:2" x14ac:dyDescent="0.25">
      <c r="A733" s="28"/>
      <c r="B733" s="17"/>
    </row>
    <row r="734" spans="1:2" x14ac:dyDescent="0.25">
      <c r="A734" s="28"/>
      <c r="B734" s="17"/>
    </row>
    <row r="735" spans="1:2" x14ac:dyDescent="0.25">
      <c r="A735" s="28"/>
      <c r="B735" s="17"/>
    </row>
    <row r="736" spans="1:2" x14ac:dyDescent="0.25">
      <c r="A736" s="28"/>
      <c r="B736" s="17"/>
    </row>
    <row r="737" spans="1:2" x14ac:dyDescent="0.25">
      <c r="A737" s="28"/>
      <c r="B737" s="17"/>
    </row>
    <row r="738" spans="1:2" x14ac:dyDescent="0.25">
      <c r="A738" s="28"/>
      <c r="B738" s="17"/>
    </row>
    <row r="739" spans="1:2" x14ac:dyDescent="0.25">
      <c r="A739" s="28"/>
      <c r="B739" s="17"/>
    </row>
    <row r="740" spans="1:2" x14ac:dyDescent="0.25">
      <c r="A740" s="28"/>
      <c r="B740" s="17"/>
    </row>
    <row r="741" spans="1:2" x14ac:dyDescent="0.25">
      <c r="A741" s="28"/>
      <c r="B741" s="17"/>
    </row>
    <row r="742" spans="1:2" x14ac:dyDescent="0.25">
      <c r="A742" s="28"/>
      <c r="B742" s="17"/>
    </row>
    <row r="743" spans="1:2" x14ac:dyDescent="0.25">
      <c r="A743" s="28"/>
      <c r="B743" s="17"/>
    </row>
    <row r="744" spans="1:2" x14ac:dyDescent="0.25">
      <c r="A744" s="28"/>
      <c r="B744" s="17"/>
    </row>
    <row r="745" spans="1:2" x14ac:dyDescent="0.25">
      <c r="A745" s="28"/>
      <c r="B745" s="17"/>
    </row>
    <row r="746" spans="1:2" x14ac:dyDescent="0.25">
      <c r="A746" s="28"/>
      <c r="B746" s="17"/>
    </row>
    <row r="747" spans="1:2" x14ac:dyDescent="0.25">
      <c r="A747" s="28"/>
      <c r="B747" s="17"/>
    </row>
    <row r="748" spans="1:2" x14ac:dyDescent="0.25">
      <c r="A748" s="28"/>
      <c r="B748" s="17"/>
    </row>
    <row r="749" spans="1:2" x14ac:dyDescent="0.25">
      <c r="A749" s="28"/>
      <c r="B749" s="17"/>
    </row>
    <row r="750" spans="1:2" x14ac:dyDescent="0.25">
      <c r="A750" s="28"/>
      <c r="B750" s="17"/>
    </row>
    <row r="751" spans="1:2" x14ac:dyDescent="0.25">
      <c r="A751" s="28"/>
      <c r="B751" s="17"/>
    </row>
    <row r="752" spans="1:2" x14ac:dyDescent="0.25">
      <c r="A752" s="28"/>
      <c r="B752" s="17"/>
    </row>
    <row r="753" spans="1:2" x14ac:dyDescent="0.25">
      <c r="A753" s="28"/>
      <c r="B753" s="17"/>
    </row>
    <row r="754" spans="1:2" x14ac:dyDescent="0.25">
      <c r="A754" s="28"/>
      <c r="B754" s="17"/>
    </row>
    <row r="755" spans="1:2" x14ac:dyDescent="0.25">
      <c r="A755" s="28"/>
      <c r="B755" s="17"/>
    </row>
    <row r="756" spans="1:2" x14ac:dyDescent="0.25">
      <c r="A756" s="28"/>
      <c r="B756" s="17"/>
    </row>
    <row r="757" spans="1:2" x14ac:dyDescent="0.25">
      <c r="A757" s="28"/>
      <c r="B757" s="17"/>
    </row>
    <row r="758" spans="1:2" x14ac:dyDescent="0.25">
      <c r="A758" s="28"/>
      <c r="B758" s="17"/>
    </row>
    <row r="759" spans="1:2" x14ac:dyDescent="0.25">
      <c r="A759" s="28"/>
      <c r="B759" s="17"/>
    </row>
    <row r="760" spans="1:2" x14ac:dyDescent="0.25">
      <c r="A760" s="28"/>
      <c r="B760" s="17"/>
    </row>
    <row r="761" spans="1:2" x14ac:dyDescent="0.25">
      <c r="A761" s="28"/>
      <c r="B761" s="17"/>
    </row>
    <row r="762" spans="1:2" x14ac:dyDescent="0.25">
      <c r="A762" s="28"/>
      <c r="B762" s="17"/>
    </row>
    <row r="763" spans="1:2" x14ac:dyDescent="0.25">
      <c r="A763" s="28"/>
      <c r="B763" s="17"/>
    </row>
    <row r="764" spans="1:2" x14ac:dyDescent="0.25">
      <c r="A764" s="28"/>
      <c r="B764" s="17"/>
    </row>
    <row r="765" spans="1:2" x14ac:dyDescent="0.25">
      <c r="A765" s="28"/>
      <c r="B765" s="17"/>
    </row>
    <row r="766" spans="1:2" x14ac:dyDescent="0.25">
      <c r="A766" s="28"/>
      <c r="B766" s="17"/>
    </row>
    <row r="767" spans="1:2" x14ac:dyDescent="0.25">
      <c r="A767" s="28"/>
      <c r="B767" s="17"/>
    </row>
    <row r="768" spans="1:2" x14ac:dyDescent="0.25">
      <c r="A768" s="28"/>
      <c r="B768" s="17"/>
    </row>
    <row r="769" spans="1:2" x14ac:dyDescent="0.25">
      <c r="A769" s="28"/>
      <c r="B769" s="17"/>
    </row>
    <row r="770" spans="1:2" x14ac:dyDescent="0.25">
      <c r="A770" s="28"/>
      <c r="B770" s="17"/>
    </row>
    <row r="771" spans="1:2" x14ac:dyDescent="0.25">
      <c r="A771" s="28"/>
      <c r="B771" s="17"/>
    </row>
    <row r="772" spans="1:2" x14ac:dyDescent="0.25">
      <c r="A772" s="28"/>
      <c r="B772" s="17"/>
    </row>
    <row r="773" spans="1:2" x14ac:dyDescent="0.25">
      <c r="A773" s="28"/>
      <c r="B773" s="17"/>
    </row>
    <row r="774" spans="1:2" x14ac:dyDescent="0.25">
      <c r="A774" s="28"/>
      <c r="B774" s="17"/>
    </row>
    <row r="775" spans="1:2" x14ac:dyDescent="0.25">
      <c r="A775" s="28"/>
      <c r="B775" s="17"/>
    </row>
    <row r="776" spans="1:2" x14ac:dyDescent="0.25">
      <c r="A776" s="28"/>
      <c r="B776" s="17"/>
    </row>
    <row r="777" spans="1:2" x14ac:dyDescent="0.25">
      <c r="A777" s="28"/>
      <c r="B777" s="17"/>
    </row>
    <row r="778" spans="1:2" x14ac:dyDescent="0.25">
      <c r="A778" s="28"/>
      <c r="B778" s="17"/>
    </row>
    <row r="779" spans="1:2" x14ac:dyDescent="0.25">
      <c r="A779" s="28"/>
      <c r="B779" s="17"/>
    </row>
    <row r="780" spans="1:2" x14ac:dyDescent="0.25">
      <c r="A780" s="28"/>
      <c r="B780" s="17"/>
    </row>
    <row r="781" spans="1:2" x14ac:dyDescent="0.25">
      <c r="A781" s="28"/>
      <c r="B781" s="17"/>
    </row>
    <row r="782" spans="1:2" x14ac:dyDescent="0.25">
      <c r="A782" s="28"/>
      <c r="B782" s="17"/>
    </row>
    <row r="783" spans="1:2" x14ac:dyDescent="0.25">
      <c r="A783" s="28"/>
      <c r="B783" s="17"/>
    </row>
    <row r="784" spans="1:2" x14ac:dyDescent="0.25">
      <c r="A784" s="28"/>
      <c r="B784" s="17"/>
    </row>
    <row r="785" spans="1:2" x14ac:dyDescent="0.25">
      <c r="A785" s="28"/>
      <c r="B785" s="17"/>
    </row>
    <row r="786" spans="1:2" x14ac:dyDescent="0.25">
      <c r="A786" s="28"/>
      <c r="B786" s="17"/>
    </row>
    <row r="787" spans="1:2" x14ac:dyDescent="0.25">
      <c r="A787" s="28"/>
      <c r="B787" s="17"/>
    </row>
    <row r="788" spans="1:2" x14ac:dyDescent="0.25">
      <c r="A788" s="28"/>
      <c r="B788" s="17"/>
    </row>
    <row r="789" spans="1:2" x14ac:dyDescent="0.25">
      <c r="A789" s="28"/>
      <c r="B789" s="17"/>
    </row>
    <row r="790" spans="1:2" x14ac:dyDescent="0.25">
      <c r="A790" s="28"/>
      <c r="B790" s="17"/>
    </row>
    <row r="791" spans="1:2" x14ac:dyDescent="0.25">
      <c r="A791" s="28"/>
      <c r="B791" s="17"/>
    </row>
    <row r="792" spans="1:2" x14ac:dyDescent="0.25">
      <c r="A792" s="28"/>
      <c r="B792" s="17"/>
    </row>
    <row r="793" spans="1:2" x14ac:dyDescent="0.25">
      <c r="A793" s="28"/>
      <c r="B793" s="17"/>
    </row>
    <row r="794" spans="1:2" x14ac:dyDescent="0.25">
      <c r="A794" s="28"/>
      <c r="B794" s="17"/>
    </row>
    <row r="795" spans="1:2" x14ac:dyDescent="0.25">
      <c r="A795" s="28"/>
      <c r="B795" s="17"/>
    </row>
    <row r="796" spans="1:2" x14ac:dyDescent="0.25">
      <c r="A796" s="28"/>
      <c r="B796" s="17"/>
    </row>
    <row r="797" spans="1:2" x14ac:dyDescent="0.25">
      <c r="A797" s="28"/>
      <c r="B797" s="17"/>
    </row>
    <row r="798" spans="1:2" x14ac:dyDescent="0.25">
      <c r="A798" s="28"/>
      <c r="B798" s="17"/>
    </row>
    <row r="799" spans="1:2" x14ac:dyDescent="0.25">
      <c r="A799" s="28"/>
      <c r="B799" s="17"/>
    </row>
    <row r="800" spans="1:2" x14ac:dyDescent="0.25">
      <c r="A800" s="28"/>
      <c r="B800" s="17"/>
    </row>
    <row r="801" spans="1:2" x14ac:dyDescent="0.25">
      <c r="A801" s="28"/>
      <c r="B801" s="17"/>
    </row>
    <row r="802" spans="1:2" x14ac:dyDescent="0.25">
      <c r="A802" s="28"/>
      <c r="B802" s="17"/>
    </row>
    <row r="803" spans="1:2" x14ac:dyDescent="0.25">
      <c r="A803" s="28"/>
      <c r="B803" s="17"/>
    </row>
    <row r="804" spans="1:2" x14ac:dyDescent="0.25">
      <c r="A804" s="28"/>
      <c r="B804" s="17"/>
    </row>
    <row r="805" spans="1:2" x14ac:dyDescent="0.25">
      <c r="A805" s="28"/>
      <c r="B805" s="17"/>
    </row>
    <row r="806" spans="1:2" x14ac:dyDescent="0.25">
      <c r="A806" s="28"/>
      <c r="B806" s="17"/>
    </row>
    <row r="807" spans="1:2" x14ac:dyDescent="0.25">
      <c r="A807" s="28"/>
      <c r="B807" s="17"/>
    </row>
    <row r="808" spans="1:2" x14ac:dyDescent="0.25">
      <c r="A808" s="28"/>
      <c r="B808" s="17"/>
    </row>
    <row r="809" spans="1:2" x14ac:dyDescent="0.25">
      <c r="A809" s="28"/>
      <c r="B809" s="17"/>
    </row>
    <row r="810" spans="1:2" x14ac:dyDescent="0.25">
      <c r="A810" s="28"/>
      <c r="B810" s="17"/>
    </row>
    <row r="811" spans="1:2" x14ac:dyDescent="0.25">
      <c r="A811" s="28"/>
      <c r="B811" s="17"/>
    </row>
    <row r="812" spans="1:2" x14ac:dyDescent="0.25">
      <c r="A812" s="28"/>
      <c r="B812" s="17"/>
    </row>
    <row r="813" spans="1:2" x14ac:dyDescent="0.25">
      <c r="A813" s="28"/>
      <c r="B813" s="17"/>
    </row>
    <row r="814" spans="1:2" x14ac:dyDescent="0.25">
      <c r="A814" s="28"/>
      <c r="B814" s="17"/>
    </row>
    <row r="815" spans="1:2" x14ac:dyDescent="0.25">
      <c r="A815" s="28"/>
      <c r="B815" s="17"/>
    </row>
    <row r="816" spans="1:2" x14ac:dyDescent="0.25">
      <c r="A816" s="28"/>
      <c r="B816" s="17"/>
    </row>
    <row r="817" spans="1:2" x14ac:dyDescent="0.25">
      <c r="A817" s="28"/>
      <c r="B817" s="17"/>
    </row>
    <row r="818" spans="1:2" x14ac:dyDescent="0.25">
      <c r="A818" s="28"/>
      <c r="B818" s="17"/>
    </row>
    <row r="819" spans="1:2" x14ac:dyDescent="0.25">
      <c r="A819" s="28"/>
      <c r="B819" s="17"/>
    </row>
    <row r="820" spans="1:2" x14ac:dyDescent="0.25">
      <c r="A820" s="28"/>
      <c r="B820" s="17"/>
    </row>
    <row r="821" spans="1:2" x14ac:dyDescent="0.25">
      <c r="A821" s="28"/>
      <c r="B821" s="17"/>
    </row>
    <row r="822" spans="1:2" x14ac:dyDescent="0.25">
      <c r="A822" s="28"/>
      <c r="B822" s="17"/>
    </row>
    <row r="823" spans="1:2" x14ac:dyDescent="0.25">
      <c r="A823" s="28"/>
      <c r="B823" s="17"/>
    </row>
    <row r="824" spans="1:2" x14ac:dyDescent="0.25">
      <c r="A824" s="28"/>
      <c r="B824" s="17"/>
    </row>
    <row r="825" spans="1:2" x14ac:dyDescent="0.25">
      <c r="A825" s="28"/>
      <c r="B825" s="17"/>
    </row>
    <row r="826" spans="1:2" x14ac:dyDescent="0.25">
      <c r="A826" s="28"/>
      <c r="B826" s="17"/>
    </row>
    <row r="827" spans="1:2" x14ac:dyDescent="0.25">
      <c r="A827" s="28"/>
      <c r="B827" s="17"/>
    </row>
    <row r="828" spans="1:2" x14ac:dyDescent="0.25">
      <c r="A828" s="28"/>
      <c r="B828" s="17"/>
    </row>
    <row r="829" spans="1:2" x14ac:dyDescent="0.25">
      <c r="A829" s="28"/>
      <c r="B829" s="17"/>
    </row>
    <row r="830" spans="1:2" x14ac:dyDescent="0.25">
      <c r="A830" s="28"/>
      <c r="B830" s="17"/>
    </row>
    <row r="831" spans="1:2" x14ac:dyDescent="0.25">
      <c r="A831" s="28"/>
      <c r="B831" s="17"/>
    </row>
    <row r="832" spans="1:2" x14ac:dyDescent="0.25">
      <c r="A832" s="28"/>
      <c r="B832" s="17"/>
    </row>
    <row r="833" spans="1:2" x14ac:dyDescent="0.25">
      <c r="A833" s="28"/>
      <c r="B833" s="17"/>
    </row>
    <row r="834" spans="1:2" x14ac:dyDescent="0.25">
      <c r="A834" s="28"/>
      <c r="B834" s="17"/>
    </row>
    <row r="835" spans="1:2" x14ac:dyDescent="0.25">
      <c r="A835" s="28"/>
      <c r="B835" s="17"/>
    </row>
    <row r="836" spans="1:2" x14ac:dyDescent="0.25">
      <c r="A836" s="28"/>
      <c r="B836" s="17"/>
    </row>
    <row r="837" spans="1:2" x14ac:dyDescent="0.25">
      <c r="A837" s="28"/>
      <c r="B837" s="17"/>
    </row>
    <row r="838" spans="1:2" x14ac:dyDescent="0.25">
      <c r="A838" s="28"/>
      <c r="B838" s="17"/>
    </row>
    <row r="839" spans="1:2" x14ac:dyDescent="0.25">
      <c r="A839" s="28"/>
      <c r="B839" s="17"/>
    </row>
    <row r="840" spans="1:2" x14ac:dyDescent="0.25">
      <c r="A840" s="28"/>
      <c r="B840" s="17"/>
    </row>
    <row r="841" spans="1:2" x14ac:dyDescent="0.25">
      <c r="A841" s="28"/>
      <c r="B841" s="17"/>
    </row>
    <row r="842" spans="1:2" x14ac:dyDescent="0.25">
      <c r="A842" s="28"/>
      <c r="B842" s="17"/>
    </row>
    <row r="843" spans="1:2" x14ac:dyDescent="0.25">
      <c r="A843" s="28"/>
      <c r="B843" s="17"/>
    </row>
    <row r="844" spans="1:2" x14ac:dyDescent="0.25">
      <c r="A844" s="28"/>
      <c r="B844" s="17"/>
    </row>
    <row r="845" spans="1:2" x14ac:dyDescent="0.25">
      <c r="A845" s="28"/>
      <c r="B845" s="17"/>
    </row>
    <row r="846" spans="1:2" x14ac:dyDescent="0.25">
      <c r="A846" s="28"/>
      <c r="B846" s="17"/>
    </row>
    <row r="847" spans="1:2" x14ac:dyDescent="0.25">
      <c r="A847" s="28"/>
      <c r="B847" s="17"/>
    </row>
    <row r="848" spans="1:2" x14ac:dyDescent="0.25">
      <c r="A848" s="28"/>
      <c r="B848" s="17"/>
    </row>
    <row r="849" spans="1:2" x14ac:dyDescent="0.25">
      <c r="A849" s="28"/>
      <c r="B849" s="17"/>
    </row>
    <row r="850" spans="1:2" x14ac:dyDescent="0.25">
      <c r="A850" s="28"/>
      <c r="B850" s="17"/>
    </row>
    <row r="851" spans="1:2" x14ac:dyDescent="0.25">
      <c r="A851" s="28"/>
      <c r="B851" s="17"/>
    </row>
    <row r="852" spans="1:2" x14ac:dyDescent="0.25">
      <c r="A852" s="28"/>
      <c r="B852" s="17"/>
    </row>
    <row r="853" spans="1:2" x14ac:dyDescent="0.25">
      <c r="A853" s="28"/>
      <c r="B853" s="17"/>
    </row>
    <row r="854" spans="1:2" x14ac:dyDescent="0.25">
      <c r="A854" s="28"/>
      <c r="B854" s="17"/>
    </row>
    <row r="855" spans="1:2" x14ac:dyDescent="0.25">
      <c r="A855" s="28"/>
      <c r="B855" s="17"/>
    </row>
    <row r="856" spans="1:2" x14ac:dyDescent="0.25">
      <c r="A856" s="28"/>
      <c r="B856" s="17"/>
    </row>
    <row r="857" spans="1:2" x14ac:dyDescent="0.25">
      <c r="A857" s="28"/>
      <c r="B857" s="17"/>
    </row>
    <row r="858" spans="1:2" x14ac:dyDescent="0.25">
      <c r="A858" s="28"/>
      <c r="B858" s="17"/>
    </row>
    <row r="859" spans="1:2" x14ac:dyDescent="0.25">
      <c r="A859" s="28"/>
      <c r="B859" s="17"/>
    </row>
    <row r="860" spans="1:2" x14ac:dyDescent="0.25">
      <c r="A860" s="28"/>
      <c r="B860" s="17"/>
    </row>
    <row r="861" spans="1:2" x14ac:dyDescent="0.25">
      <c r="A861" s="28"/>
      <c r="B861" s="17"/>
    </row>
    <row r="862" spans="1:2" x14ac:dyDescent="0.25">
      <c r="A862" s="28"/>
      <c r="B862" s="17"/>
    </row>
    <row r="863" spans="1:2" x14ac:dyDescent="0.25">
      <c r="A863" s="28"/>
      <c r="B863" s="17"/>
    </row>
    <row r="864" spans="1:2" x14ac:dyDescent="0.25">
      <c r="A864" s="28"/>
      <c r="B864" s="17"/>
    </row>
    <row r="865" spans="1:2" x14ac:dyDescent="0.25">
      <c r="A865" s="28"/>
      <c r="B865" s="17"/>
    </row>
    <row r="866" spans="1:2" x14ac:dyDescent="0.25">
      <c r="A866" s="28"/>
      <c r="B866" s="17"/>
    </row>
    <row r="867" spans="1:2" x14ac:dyDescent="0.25">
      <c r="A867" s="28"/>
      <c r="B867" s="17"/>
    </row>
    <row r="868" spans="1:2" x14ac:dyDescent="0.25">
      <c r="A868" s="28"/>
      <c r="B868" s="17"/>
    </row>
    <row r="869" spans="1:2" x14ac:dyDescent="0.25">
      <c r="A869" s="28"/>
      <c r="B869" s="17"/>
    </row>
    <row r="870" spans="1:2" x14ac:dyDescent="0.25">
      <c r="A870" s="28"/>
      <c r="B870" s="17"/>
    </row>
    <row r="871" spans="1:2" x14ac:dyDescent="0.25">
      <c r="A871" s="28"/>
      <c r="B871" s="17"/>
    </row>
    <row r="872" spans="1:2" x14ac:dyDescent="0.25">
      <c r="A872" s="28"/>
      <c r="B872" s="17"/>
    </row>
    <row r="873" spans="1:2" x14ac:dyDescent="0.25">
      <c r="A873" s="28"/>
      <c r="B873" s="17"/>
    </row>
    <row r="874" spans="1:2" x14ac:dyDescent="0.25">
      <c r="A874" s="28"/>
      <c r="B874" s="17"/>
    </row>
    <row r="875" spans="1:2" x14ac:dyDescent="0.25">
      <c r="A875" s="28"/>
      <c r="B875" s="17"/>
    </row>
    <row r="876" spans="1:2" x14ac:dyDescent="0.25">
      <c r="A876" s="28"/>
      <c r="B876" s="17"/>
    </row>
    <row r="877" spans="1:2" x14ac:dyDescent="0.25">
      <c r="A877" s="28"/>
      <c r="B877" s="17"/>
    </row>
    <row r="878" spans="1:2" x14ac:dyDescent="0.25">
      <c r="A878" s="28"/>
      <c r="B878" s="17"/>
    </row>
    <row r="879" spans="1:2" x14ac:dyDescent="0.25">
      <c r="A879" s="28"/>
      <c r="B879" s="17"/>
    </row>
    <row r="880" spans="1:2" x14ac:dyDescent="0.25">
      <c r="A880" s="28"/>
      <c r="B880" s="17"/>
    </row>
    <row r="881" spans="1:2" x14ac:dyDescent="0.25">
      <c r="A881" s="28"/>
      <c r="B881" s="17"/>
    </row>
    <row r="882" spans="1:2" x14ac:dyDescent="0.25">
      <c r="A882" s="28"/>
      <c r="B882" s="17"/>
    </row>
    <row r="883" spans="1:2" x14ac:dyDescent="0.25">
      <c r="A883" s="28"/>
      <c r="B883" s="17"/>
    </row>
    <row r="884" spans="1:2" x14ac:dyDescent="0.25">
      <c r="A884" s="28"/>
      <c r="B884" s="17"/>
    </row>
    <row r="885" spans="1:2" x14ac:dyDescent="0.25">
      <c r="A885" s="28"/>
      <c r="B885" s="17"/>
    </row>
    <row r="886" spans="1:2" x14ac:dyDescent="0.25">
      <c r="A886" s="28"/>
      <c r="B886" s="17"/>
    </row>
    <row r="887" spans="1:2" x14ac:dyDescent="0.25">
      <c r="A887" s="28"/>
      <c r="B887" s="17"/>
    </row>
    <row r="888" spans="1:2" x14ac:dyDescent="0.25">
      <c r="A888" s="28"/>
      <c r="B888" s="17"/>
    </row>
    <row r="889" spans="1:2" x14ac:dyDescent="0.25">
      <c r="A889" s="28"/>
      <c r="B889" s="17"/>
    </row>
    <row r="890" spans="1:2" x14ac:dyDescent="0.25">
      <c r="A890" s="28"/>
      <c r="B890" s="17"/>
    </row>
    <row r="891" spans="1:2" x14ac:dyDescent="0.25">
      <c r="A891" s="28"/>
      <c r="B891" s="17"/>
    </row>
    <row r="892" spans="1:2" x14ac:dyDescent="0.25">
      <c r="A892" s="28"/>
      <c r="B892" s="17"/>
    </row>
    <row r="893" spans="1:2" x14ac:dyDescent="0.25">
      <c r="A893" s="28"/>
      <c r="B893" s="17"/>
    </row>
    <row r="894" spans="1:2" x14ac:dyDescent="0.25">
      <c r="A894" s="28"/>
      <c r="B894" s="17"/>
    </row>
    <row r="895" spans="1:2" x14ac:dyDescent="0.25">
      <c r="A895" s="28"/>
      <c r="B895" s="17"/>
    </row>
    <row r="896" spans="1:2" x14ac:dyDescent="0.25">
      <c r="A896" s="28"/>
      <c r="B896" s="17"/>
    </row>
    <row r="897" spans="1:2" x14ac:dyDescent="0.25">
      <c r="A897" s="28"/>
      <c r="B897" s="17"/>
    </row>
    <row r="898" spans="1:2" x14ac:dyDescent="0.25">
      <c r="A898" s="28"/>
      <c r="B898" s="17"/>
    </row>
    <row r="899" spans="1:2" x14ac:dyDescent="0.25">
      <c r="A899" s="28"/>
      <c r="B899" s="17"/>
    </row>
    <row r="900" spans="1:2" x14ac:dyDescent="0.25">
      <c r="A900" s="28"/>
      <c r="B900" s="17"/>
    </row>
    <row r="901" spans="1:2" x14ac:dyDescent="0.25">
      <c r="A901" s="28"/>
      <c r="B901" s="17"/>
    </row>
    <row r="902" spans="1:2" x14ac:dyDescent="0.25">
      <c r="A902" s="28"/>
      <c r="B902" s="17"/>
    </row>
    <row r="903" spans="1:2" x14ac:dyDescent="0.25">
      <c r="A903" s="28"/>
      <c r="B903" s="17"/>
    </row>
    <row r="904" spans="1:2" x14ac:dyDescent="0.25">
      <c r="A904" s="28"/>
      <c r="B904" s="17"/>
    </row>
    <row r="905" spans="1:2" x14ac:dyDescent="0.25">
      <c r="A905" s="28"/>
      <c r="B905" s="17"/>
    </row>
    <row r="906" spans="1:2" x14ac:dyDescent="0.25">
      <c r="A906" s="28"/>
      <c r="B906" s="17"/>
    </row>
    <row r="907" spans="1:2" x14ac:dyDescent="0.25">
      <c r="A907" s="28"/>
      <c r="B907" s="17"/>
    </row>
    <row r="908" spans="1:2" x14ac:dyDescent="0.25">
      <c r="A908" s="28"/>
      <c r="B908" s="17"/>
    </row>
    <row r="909" spans="1:2" x14ac:dyDescent="0.25">
      <c r="A909" s="28"/>
      <c r="B909" s="17"/>
    </row>
    <row r="910" spans="1:2" x14ac:dyDescent="0.25">
      <c r="A910" s="28"/>
      <c r="B910" s="17"/>
    </row>
    <row r="911" spans="1:2" x14ac:dyDescent="0.25">
      <c r="A911" s="28"/>
      <c r="B911" s="17"/>
    </row>
    <row r="912" spans="1:2" x14ac:dyDescent="0.25">
      <c r="A912" s="28"/>
      <c r="B912" s="17"/>
    </row>
    <row r="913" spans="1:2" x14ac:dyDescent="0.25">
      <c r="A913" s="28"/>
      <c r="B913" s="17"/>
    </row>
    <row r="914" spans="1:2" x14ac:dyDescent="0.25">
      <c r="A914" s="28"/>
      <c r="B914" s="17"/>
    </row>
    <row r="915" spans="1:2" x14ac:dyDescent="0.25">
      <c r="A915" s="28"/>
      <c r="B915" s="17"/>
    </row>
    <row r="916" spans="1:2" x14ac:dyDescent="0.25">
      <c r="A916" s="28"/>
      <c r="B916" s="17"/>
    </row>
    <row r="917" spans="1:2" x14ac:dyDescent="0.25">
      <c r="A917" s="28"/>
      <c r="B917" s="17"/>
    </row>
    <row r="918" spans="1:2" x14ac:dyDescent="0.25">
      <c r="A918" s="28"/>
      <c r="B918" s="17"/>
    </row>
    <row r="919" spans="1:2" x14ac:dyDescent="0.25">
      <c r="A919" s="28"/>
      <c r="B919" s="17"/>
    </row>
    <row r="920" spans="1:2" x14ac:dyDescent="0.25">
      <c r="A920" s="28"/>
      <c r="B920" s="17"/>
    </row>
    <row r="921" spans="1:2" x14ac:dyDescent="0.25">
      <c r="A921" s="28"/>
      <c r="B921" s="17"/>
    </row>
    <row r="922" spans="1:2" x14ac:dyDescent="0.25">
      <c r="A922" s="28"/>
      <c r="B922" s="17"/>
    </row>
    <row r="923" spans="1:2" x14ac:dyDescent="0.25">
      <c r="A923" s="28"/>
      <c r="B923" s="17"/>
    </row>
    <row r="924" spans="1:2" x14ac:dyDescent="0.25">
      <c r="A924" s="28"/>
      <c r="B924" s="17"/>
    </row>
    <row r="925" spans="1:2" x14ac:dyDescent="0.25">
      <c r="A925" s="28"/>
      <c r="B925" s="17"/>
    </row>
    <row r="926" spans="1:2" x14ac:dyDescent="0.25">
      <c r="A926" s="28"/>
      <c r="B926" s="17"/>
    </row>
    <row r="927" spans="1:2" x14ac:dyDescent="0.25">
      <c r="A927" s="28"/>
      <c r="B927" s="17"/>
    </row>
    <row r="928" spans="1:2" x14ac:dyDescent="0.25">
      <c r="A928" s="28"/>
      <c r="B928" s="17"/>
    </row>
    <row r="929" spans="1:2" x14ac:dyDescent="0.25">
      <c r="A929" s="28"/>
      <c r="B929" s="17"/>
    </row>
    <row r="930" spans="1:2" x14ac:dyDescent="0.25">
      <c r="A930" s="28"/>
      <c r="B930" s="17"/>
    </row>
    <row r="931" spans="1:2" x14ac:dyDescent="0.25">
      <c r="A931" s="28"/>
      <c r="B931" s="17"/>
    </row>
    <row r="932" spans="1:2" x14ac:dyDescent="0.25">
      <c r="A932" s="28"/>
      <c r="B932" s="17"/>
    </row>
    <row r="933" spans="1:2" x14ac:dyDescent="0.25">
      <c r="A933" s="28"/>
      <c r="B933" s="17"/>
    </row>
    <row r="934" spans="1:2" x14ac:dyDescent="0.25">
      <c r="A934" s="28"/>
      <c r="B934" s="17"/>
    </row>
    <row r="935" spans="1:2" x14ac:dyDescent="0.25">
      <c r="A935" s="28"/>
      <c r="B935" s="17"/>
    </row>
    <row r="936" spans="1:2" x14ac:dyDescent="0.25">
      <c r="A936" s="28"/>
      <c r="B936" s="17"/>
    </row>
    <row r="937" spans="1:2" x14ac:dyDescent="0.25">
      <c r="A937" s="28"/>
      <c r="B937" s="17"/>
    </row>
    <row r="938" spans="1:2" x14ac:dyDescent="0.25">
      <c r="A938" s="28"/>
      <c r="B938" s="17"/>
    </row>
    <row r="939" spans="1:2" x14ac:dyDescent="0.25">
      <c r="A939" s="28"/>
      <c r="B939" s="17"/>
    </row>
    <row r="940" spans="1:2" x14ac:dyDescent="0.25">
      <c r="A940" s="28"/>
      <c r="B940" s="17"/>
    </row>
    <row r="941" spans="1:2" x14ac:dyDescent="0.25">
      <c r="A941" s="28"/>
      <c r="B941" s="17"/>
    </row>
    <row r="942" spans="1:2" x14ac:dyDescent="0.25">
      <c r="A942" s="28"/>
      <c r="B942" s="17"/>
    </row>
    <row r="943" spans="1:2" x14ac:dyDescent="0.25">
      <c r="A943" s="28"/>
      <c r="B943" s="17"/>
    </row>
    <row r="944" spans="1:2" x14ac:dyDescent="0.25">
      <c r="A944" s="28"/>
      <c r="B944" s="17"/>
    </row>
    <row r="945" spans="1:2" x14ac:dyDescent="0.25">
      <c r="A945" s="28"/>
      <c r="B945" s="17"/>
    </row>
    <row r="946" spans="1:2" x14ac:dyDescent="0.25">
      <c r="A946" s="28"/>
      <c r="B946" s="17"/>
    </row>
    <row r="947" spans="1:2" x14ac:dyDescent="0.25">
      <c r="A947" s="28"/>
      <c r="B947" s="17"/>
    </row>
    <row r="948" spans="1:2" x14ac:dyDescent="0.25">
      <c r="A948" s="28"/>
      <c r="B948" s="17"/>
    </row>
    <row r="949" spans="1:2" x14ac:dyDescent="0.25">
      <c r="A949" s="28"/>
      <c r="B949" s="17"/>
    </row>
    <row r="950" spans="1:2" x14ac:dyDescent="0.25">
      <c r="A950" s="28"/>
      <c r="B950" s="17"/>
    </row>
    <row r="951" spans="1:2" x14ac:dyDescent="0.25">
      <c r="A951" s="28"/>
      <c r="B951" s="17"/>
    </row>
    <row r="952" spans="1:2" x14ac:dyDescent="0.25">
      <c r="A952" s="28"/>
      <c r="B952" s="17"/>
    </row>
    <row r="953" spans="1:2" x14ac:dyDescent="0.25">
      <c r="A953" s="28"/>
      <c r="B953" s="17"/>
    </row>
    <row r="954" spans="1:2" x14ac:dyDescent="0.25">
      <c r="A954" s="28"/>
      <c r="B954" s="17"/>
    </row>
    <row r="955" spans="1:2" x14ac:dyDescent="0.25">
      <c r="A955" s="28"/>
      <c r="B955" s="17"/>
    </row>
    <row r="956" spans="1:2" x14ac:dyDescent="0.25">
      <c r="A956" s="28"/>
      <c r="B956" s="17"/>
    </row>
    <row r="957" spans="1:2" x14ac:dyDescent="0.25">
      <c r="A957" s="28"/>
      <c r="B957" s="17"/>
    </row>
    <row r="958" spans="1:2" x14ac:dyDescent="0.25">
      <c r="A958" s="28"/>
      <c r="B958" s="17"/>
    </row>
    <row r="959" spans="1:2" x14ac:dyDescent="0.25">
      <c r="A959" s="28"/>
      <c r="B959" s="17"/>
    </row>
    <row r="960" spans="1:2" x14ac:dyDescent="0.25">
      <c r="A960" s="28"/>
      <c r="B960" s="17"/>
    </row>
    <row r="961" spans="1:2" x14ac:dyDescent="0.25">
      <c r="A961" s="28"/>
      <c r="B961" s="17"/>
    </row>
    <row r="962" spans="1:2" x14ac:dyDescent="0.25">
      <c r="A962" s="28"/>
      <c r="B962" s="17"/>
    </row>
    <row r="963" spans="1:2" x14ac:dyDescent="0.25">
      <c r="A963" s="28"/>
      <c r="B963" s="17"/>
    </row>
    <row r="964" spans="1:2" x14ac:dyDescent="0.25">
      <c r="A964" s="28"/>
      <c r="B964" s="17"/>
    </row>
    <row r="965" spans="1:2" x14ac:dyDescent="0.25">
      <c r="A965" s="28"/>
      <c r="B965" s="17"/>
    </row>
    <row r="966" spans="1:2" x14ac:dyDescent="0.25">
      <c r="A966" s="28"/>
      <c r="B966" s="17"/>
    </row>
    <row r="967" spans="1:2" x14ac:dyDescent="0.25">
      <c r="A967" s="28"/>
      <c r="B967" s="17"/>
    </row>
    <row r="968" spans="1:2" x14ac:dyDescent="0.25">
      <c r="A968" s="28"/>
      <c r="B968" s="17"/>
    </row>
    <row r="969" spans="1:2" x14ac:dyDescent="0.25">
      <c r="A969" s="28"/>
      <c r="B969" s="17"/>
    </row>
    <row r="970" spans="1:2" x14ac:dyDescent="0.25">
      <c r="A970" s="28"/>
      <c r="B970" s="17"/>
    </row>
    <row r="971" spans="1:2" x14ac:dyDescent="0.25">
      <c r="A971" s="28"/>
      <c r="B971" s="17"/>
    </row>
    <row r="972" spans="1:2" x14ac:dyDescent="0.25">
      <c r="A972" s="28"/>
      <c r="B972" s="17"/>
    </row>
    <row r="973" spans="1:2" x14ac:dyDescent="0.25">
      <c r="A973" s="28"/>
      <c r="B973" s="17"/>
    </row>
    <row r="974" spans="1:2" x14ac:dyDescent="0.25">
      <c r="A974" s="28"/>
      <c r="B974" s="17"/>
    </row>
    <row r="975" spans="1:2" x14ac:dyDescent="0.25">
      <c r="A975" s="28"/>
      <c r="B975" s="17"/>
    </row>
    <row r="976" spans="1:2" x14ac:dyDescent="0.25">
      <c r="A976" s="28"/>
      <c r="B976" s="17"/>
    </row>
    <row r="977" spans="1:2" x14ac:dyDescent="0.25">
      <c r="A977" s="28"/>
      <c r="B977" s="17"/>
    </row>
    <row r="978" spans="1:2" x14ac:dyDescent="0.25">
      <c r="A978" s="28"/>
      <c r="B978" s="17"/>
    </row>
    <row r="979" spans="1:2" x14ac:dyDescent="0.25">
      <c r="A979" s="28"/>
      <c r="B979" s="17"/>
    </row>
    <row r="980" spans="1:2" x14ac:dyDescent="0.25">
      <c r="A980" s="28"/>
      <c r="B980" s="17"/>
    </row>
    <row r="981" spans="1:2" x14ac:dyDescent="0.25">
      <c r="A981" s="28"/>
      <c r="B981" s="17"/>
    </row>
    <row r="982" spans="1:2" x14ac:dyDescent="0.25">
      <c r="A982" s="28"/>
      <c r="B982" s="17"/>
    </row>
    <row r="983" spans="1:2" x14ac:dyDescent="0.25">
      <c r="A983" s="28"/>
      <c r="B983" s="17"/>
    </row>
    <row r="984" spans="1:2" x14ac:dyDescent="0.25">
      <c r="A984" s="28"/>
      <c r="B984" s="17"/>
    </row>
    <row r="985" spans="1:2" x14ac:dyDescent="0.25">
      <c r="A985" s="28"/>
      <c r="B985" s="17"/>
    </row>
    <row r="986" spans="1:2" x14ac:dyDescent="0.25">
      <c r="A986" s="28"/>
      <c r="B986" s="17"/>
    </row>
    <row r="987" spans="1:2" x14ac:dyDescent="0.25">
      <c r="A987" s="28"/>
      <c r="B987" s="17"/>
    </row>
    <row r="988" spans="1:2" x14ac:dyDescent="0.25">
      <c r="A988" s="28"/>
      <c r="B988" s="17"/>
    </row>
    <row r="989" spans="1:2" x14ac:dyDescent="0.25">
      <c r="A989" s="28"/>
      <c r="B989" s="17"/>
    </row>
    <row r="990" spans="1:2" x14ac:dyDescent="0.25">
      <c r="A990" s="28"/>
      <c r="B990" s="17"/>
    </row>
    <row r="991" spans="1:2" x14ac:dyDescent="0.25">
      <c r="A991" s="28"/>
      <c r="B991" s="17"/>
    </row>
    <row r="992" spans="1:2" x14ac:dyDescent="0.25">
      <c r="A992" s="28"/>
      <c r="B992" s="17"/>
    </row>
    <row r="993" spans="1:2" x14ac:dyDescent="0.25">
      <c r="A993" s="28"/>
      <c r="B993" s="17"/>
    </row>
    <row r="994" spans="1:2" x14ac:dyDescent="0.25">
      <c r="A994" s="28"/>
      <c r="B994" s="17"/>
    </row>
    <row r="995" spans="1:2" x14ac:dyDescent="0.25">
      <c r="A995" s="28"/>
      <c r="B995" s="17"/>
    </row>
    <row r="996" spans="1:2" x14ac:dyDescent="0.25">
      <c r="A996" s="28"/>
      <c r="B996" s="17"/>
    </row>
    <row r="997" spans="1:2" x14ac:dyDescent="0.25">
      <c r="A997" s="28"/>
      <c r="B997" s="17"/>
    </row>
    <row r="998" spans="1:2" x14ac:dyDescent="0.25">
      <c r="A998" s="28"/>
      <c r="B998" s="17"/>
    </row>
    <row r="999" spans="1:2" x14ac:dyDescent="0.25">
      <c r="A999" s="28"/>
      <c r="B999" s="17"/>
    </row>
    <row r="1000" spans="1:2" x14ac:dyDescent="0.25">
      <c r="A1000" s="28"/>
      <c r="B1000" s="17"/>
    </row>
    <row r="1001" spans="1:2" x14ac:dyDescent="0.25">
      <c r="A1001" s="28"/>
      <c r="B1001" s="17"/>
    </row>
    <row r="1002" spans="1:2" x14ac:dyDescent="0.25">
      <c r="A1002" s="28"/>
      <c r="B1002" s="17"/>
    </row>
    <row r="1003" spans="1:2" x14ac:dyDescent="0.25">
      <c r="A1003" s="28"/>
      <c r="B1003" s="17"/>
    </row>
    <row r="1004" spans="1:2" x14ac:dyDescent="0.25">
      <c r="A1004" s="28"/>
      <c r="B1004" s="17"/>
    </row>
    <row r="1005" spans="1:2" x14ac:dyDescent="0.25">
      <c r="A1005" s="28"/>
      <c r="B1005" s="17"/>
    </row>
    <row r="1006" spans="1:2" x14ac:dyDescent="0.25">
      <c r="A1006" s="28"/>
      <c r="B1006" s="17"/>
    </row>
    <row r="1007" spans="1:2" x14ac:dyDescent="0.25">
      <c r="A1007" s="28"/>
      <c r="B1007" s="17"/>
    </row>
    <row r="1008" spans="1:2" x14ac:dyDescent="0.25">
      <c r="A1008" s="28"/>
      <c r="B1008" s="17"/>
    </row>
    <row r="1009" spans="1:2" x14ac:dyDescent="0.25">
      <c r="A1009" s="28"/>
      <c r="B1009" s="17"/>
    </row>
    <row r="1010" spans="1:2" x14ac:dyDescent="0.25">
      <c r="A1010" s="28"/>
      <c r="B1010" s="17"/>
    </row>
    <row r="1011" spans="1:2" x14ac:dyDescent="0.25">
      <c r="A1011" s="28"/>
      <c r="B1011" s="17"/>
    </row>
    <row r="1012" spans="1:2" x14ac:dyDescent="0.25">
      <c r="A1012" s="28"/>
      <c r="B1012" s="17"/>
    </row>
    <row r="1013" spans="1:2" x14ac:dyDescent="0.25">
      <c r="A1013" s="28"/>
      <c r="B1013" s="17"/>
    </row>
    <row r="1014" spans="1:2" x14ac:dyDescent="0.25">
      <c r="A1014" s="28"/>
      <c r="B1014" s="17"/>
    </row>
    <row r="1015" spans="1:2" x14ac:dyDescent="0.25">
      <c r="A1015" s="28"/>
      <c r="B1015" s="17"/>
    </row>
    <row r="1016" spans="1:2" x14ac:dyDescent="0.25">
      <c r="A1016" s="28"/>
      <c r="B1016" s="17"/>
    </row>
    <row r="1017" spans="1:2" x14ac:dyDescent="0.25">
      <c r="A1017" s="28"/>
      <c r="B1017" s="17"/>
    </row>
    <row r="1018" spans="1:2" x14ac:dyDescent="0.25">
      <c r="A1018" s="28"/>
      <c r="B1018" s="17"/>
    </row>
    <row r="1019" spans="1:2" x14ac:dyDescent="0.25">
      <c r="A1019" s="28"/>
      <c r="B1019" s="17"/>
    </row>
    <row r="1020" spans="1:2" x14ac:dyDescent="0.25">
      <c r="A1020" s="28"/>
      <c r="B1020" s="17"/>
    </row>
    <row r="1021" spans="1:2" x14ac:dyDescent="0.25">
      <c r="A1021" s="28"/>
      <c r="B1021" s="17"/>
    </row>
    <row r="1022" spans="1:2" x14ac:dyDescent="0.25">
      <c r="A1022" s="28"/>
      <c r="B1022" s="17"/>
    </row>
    <row r="1023" spans="1:2" x14ac:dyDescent="0.25">
      <c r="A1023" s="28"/>
      <c r="B1023" s="17"/>
    </row>
    <row r="1024" spans="1:2" x14ac:dyDescent="0.25">
      <c r="A1024" s="28"/>
      <c r="B1024" s="17"/>
    </row>
    <row r="1025" spans="1:2" x14ac:dyDescent="0.25">
      <c r="A1025" s="28"/>
      <c r="B1025" s="17"/>
    </row>
    <row r="1026" spans="1:2" x14ac:dyDescent="0.25">
      <c r="A1026" s="28"/>
      <c r="B1026" s="17"/>
    </row>
    <row r="1027" spans="1:2" x14ac:dyDescent="0.25">
      <c r="A1027" s="28"/>
      <c r="B1027" s="17"/>
    </row>
    <row r="1028" spans="1:2" x14ac:dyDescent="0.25">
      <c r="A1028" s="28"/>
      <c r="B1028" s="17"/>
    </row>
    <row r="1029" spans="1:2" x14ac:dyDescent="0.25">
      <c r="A1029" s="28"/>
      <c r="B1029" s="17"/>
    </row>
    <row r="1030" spans="1:2" x14ac:dyDescent="0.25">
      <c r="A1030" s="28"/>
      <c r="B1030" s="17"/>
    </row>
    <row r="1031" spans="1:2" x14ac:dyDescent="0.25">
      <c r="A1031" s="28"/>
      <c r="B1031" s="17"/>
    </row>
    <row r="1032" spans="1:2" x14ac:dyDescent="0.25">
      <c r="A1032" s="28"/>
      <c r="B1032" s="17"/>
    </row>
    <row r="1033" spans="1:2" x14ac:dyDescent="0.25">
      <c r="A1033" s="28"/>
      <c r="B1033" s="17"/>
    </row>
    <row r="1034" spans="1:2" x14ac:dyDescent="0.25">
      <c r="A1034" s="28"/>
      <c r="B1034" s="17"/>
    </row>
    <row r="1035" spans="1:2" x14ac:dyDescent="0.25">
      <c r="A1035" s="28"/>
      <c r="B1035" s="17"/>
    </row>
    <row r="1036" spans="1:2" x14ac:dyDescent="0.25">
      <c r="A1036" s="28"/>
      <c r="B1036" s="17"/>
    </row>
    <row r="1037" spans="1:2" x14ac:dyDescent="0.25">
      <c r="A1037" s="28"/>
      <c r="B1037" s="17"/>
    </row>
    <row r="1038" spans="1:2" x14ac:dyDescent="0.25">
      <c r="A1038" s="28"/>
      <c r="B1038" s="17"/>
    </row>
    <row r="1039" spans="1:2" x14ac:dyDescent="0.25">
      <c r="A1039" s="28"/>
      <c r="B1039" s="17"/>
    </row>
    <row r="1040" spans="1:2" x14ac:dyDescent="0.25">
      <c r="A1040" s="28"/>
      <c r="B1040" s="17"/>
    </row>
    <row r="1041" spans="1:2" x14ac:dyDescent="0.25">
      <c r="A1041" s="28"/>
      <c r="B1041" s="17"/>
    </row>
    <row r="1042" spans="1:2" x14ac:dyDescent="0.25">
      <c r="A1042" s="28"/>
      <c r="B1042" s="17"/>
    </row>
    <row r="1043" spans="1:2" x14ac:dyDescent="0.25">
      <c r="A1043" s="28"/>
      <c r="B1043" s="17"/>
    </row>
    <row r="1044" spans="1:2" x14ac:dyDescent="0.25">
      <c r="A1044" s="28"/>
      <c r="B1044" s="17"/>
    </row>
    <row r="1045" spans="1:2" x14ac:dyDescent="0.25">
      <c r="A1045" s="28"/>
      <c r="B1045" s="17"/>
    </row>
    <row r="1046" spans="1:2" x14ac:dyDescent="0.25">
      <c r="A1046" s="28"/>
      <c r="B1046" s="17"/>
    </row>
    <row r="1047" spans="1:2" x14ac:dyDescent="0.25">
      <c r="A1047" s="28"/>
      <c r="B1047" s="17"/>
    </row>
    <row r="1048" spans="1:2" x14ac:dyDescent="0.25">
      <c r="A1048" s="28"/>
      <c r="B1048" s="17"/>
    </row>
    <row r="1049" spans="1:2" x14ac:dyDescent="0.25">
      <c r="A1049" s="28"/>
      <c r="B1049" s="17"/>
    </row>
    <row r="1050" spans="1:2" x14ac:dyDescent="0.25">
      <c r="A1050" s="28"/>
      <c r="B1050" s="17"/>
    </row>
    <row r="1051" spans="1:2" x14ac:dyDescent="0.25">
      <c r="A1051" s="28"/>
      <c r="B1051" s="17"/>
    </row>
    <row r="1052" spans="1:2" x14ac:dyDescent="0.25">
      <c r="A1052" s="28"/>
      <c r="B1052" s="17"/>
    </row>
    <row r="1053" spans="1:2" x14ac:dyDescent="0.25">
      <c r="A1053" s="28"/>
      <c r="B1053" s="17"/>
    </row>
    <row r="1054" spans="1:2" x14ac:dyDescent="0.25">
      <c r="A1054" s="28"/>
      <c r="B1054" s="17"/>
    </row>
    <row r="1055" spans="1:2" x14ac:dyDescent="0.25">
      <c r="A1055" s="28"/>
      <c r="B1055" s="17"/>
    </row>
    <row r="1056" spans="1:2" x14ac:dyDescent="0.25">
      <c r="A1056" s="28"/>
      <c r="B1056" s="17"/>
    </row>
    <row r="1057" spans="1:2" x14ac:dyDescent="0.25">
      <c r="A1057" s="28"/>
      <c r="B1057" s="17"/>
    </row>
    <row r="1058" spans="1:2" x14ac:dyDescent="0.25">
      <c r="A1058" s="28"/>
      <c r="B1058" s="17"/>
    </row>
    <row r="1059" spans="1:2" x14ac:dyDescent="0.25">
      <c r="A1059" s="28"/>
      <c r="B1059" s="17"/>
    </row>
    <row r="1060" spans="1:2" x14ac:dyDescent="0.25">
      <c r="A1060" s="28"/>
      <c r="B1060" s="17"/>
    </row>
    <row r="1061" spans="1:2" x14ac:dyDescent="0.25">
      <c r="A1061" s="28"/>
      <c r="B1061" s="17"/>
    </row>
    <row r="1062" spans="1:2" x14ac:dyDescent="0.25">
      <c r="A1062" s="28"/>
      <c r="B1062" s="17"/>
    </row>
    <row r="1063" spans="1:2" x14ac:dyDescent="0.25">
      <c r="A1063" s="28"/>
      <c r="B1063" s="17"/>
    </row>
    <row r="1064" spans="1:2" x14ac:dyDescent="0.25">
      <c r="A1064" s="28"/>
      <c r="B1064" s="17"/>
    </row>
    <row r="1065" spans="1:2" x14ac:dyDescent="0.25">
      <c r="A1065" s="28"/>
      <c r="B1065" s="17"/>
    </row>
    <row r="1066" spans="1:2" x14ac:dyDescent="0.25">
      <c r="A1066" s="28"/>
      <c r="B1066" s="17"/>
    </row>
    <row r="1067" spans="1:2" x14ac:dyDescent="0.25">
      <c r="A1067" s="28"/>
      <c r="B1067" s="17"/>
    </row>
    <row r="1068" spans="1:2" x14ac:dyDescent="0.25">
      <c r="A1068" s="28"/>
      <c r="B1068" s="17"/>
    </row>
    <row r="1069" spans="1:2" x14ac:dyDescent="0.25">
      <c r="A1069" s="28"/>
      <c r="B1069" s="17"/>
    </row>
    <row r="1070" spans="1:2" x14ac:dyDescent="0.25">
      <c r="A1070" s="28"/>
      <c r="B1070" s="17"/>
    </row>
    <row r="1071" spans="1:2" x14ac:dyDescent="0.25">
      <c r="A1071" s="28"/>
      <c r="B1071" s="17"/>
    </row>
    <row r="1072" spans="1:2" x14ac:dyDescent="0.25">
      <c r="A1072" s="28"/>
      <c r="B1072" s="17"/>
    </row>
    <row r="1073" spans="1:2" x14ac:dyDescent="0.25">
      <c r="A1073" s="28"/>
      <c r="B1073" s="17"/>
    </row>
    <row r="1074" spans="1:2" x14ac:dyDescent="0.25">
      <c r="A1074" s="28"/>
      <c r="B1074" s="17"/>
    </row>
    <row r="1075" spans="1:2" x14ac:dyDescent="0.25">
      <c r="A1075" s="28"/>
      <c r="B1075" s="17"/>
    </row>
    <row r="1076" spans="1:2" x14ac:dyDescent="0.25">
      <c r="A1076" s="28"/>
      <c r="B1076" s="17"/>
    </row>
    <row r="1077" spans="1:2" x14ac:dyDescent="0.25">
      <c r="A1077" s="28"/>
      <c r="B1077" s="17"/>
    </row>
    <row r="1078" spans="1:2" x14ac:dyDescent="0.25">
      <c r="A1078" s="28"/>
      <c r="B1078" s="17"/>
    </row>
    <row r="1079" spans="1:2" x14ac:dyDescent="0.25">
      <c r="A1079" s="28"/>
      <c r="B1079" s="17"/>
    </row>
    <row r="1080" spans="1:2" x14ac:dyDescent="0.25">
      <c r="A1080" s="28"/>
      <c r="B1080" s="17"/>
    </row>
    <row r="1081" spans="1:2" x14ac:dyDescent="0.25">
      <c r="A1081" s="28"/>
      <c r="B1081" s="17"/>
    </row>
    <row r="1082" spans="1:2" x14ac:dyDescent="0.25">
      <c r="A1082" s="28"/>
      <c r="B1082" s="17"/>
    </row>
    <row r="1083" spans="1:2" x14ac:dyDescent="0.25">
      <c r="A1083" s="28"/>
      <c r="B1083" s="17"/>
    </row>
    <row r="1084" spans="1:2" x14ac:dyDescent="0.25">
      <c r="A1084" s="28"/>
      <c r="B1084" s="17"/>
    </row>
    <row r="1085" spans="1:2" x14ac:dyDescent="0.25">
      <c r="A1085" s="28"/>
      <c r="B1085" s="17"/>
    </row>
    <row r="1086" spans="1:2" x14ac:dyDescent="0.25">
      <c r="A1086" s="28"/>
      <c r="B1086" s="17"/>
    </row>
    <row r="1087" spans="1:2" x14ac:dyDescent="0.25">
      <c r="A1087" s="28"/>
      <c r="B1087" s="17"/>
    </row>
    <row r="1088" spans="1:2" x14ac:dyDescent="0.25">
      <c r="A1088" s="28"/>
      <c r="B1088" s="17"/>
    </row>
    <row r="1089" spans="1:2" x14ac:dyDescent="0.25">
      <c r="A1089" s="28"/>
      <c r="B1089" s="17"/>
    </row>
    <row r="1090" spans="1:2" x14ac:dyDescent="0.25">
      <c r="A1090" s="28"/>
      <c r="B1090" s="17"/>
    </row>
    <row r="1091" spans="1:2" x14ac:dyDescent="0.25">
      <c r="A1091" s="28"/>
      <c r="B1091" s="17"/>
    </row>
    <row r="1092" spans="1:2" x14ac:dyDescent="0.25">
      <c r="A1092" s="28"/>
      <c r="B1092" s="17"/>
    </row>
    <row r="1093" spans="1:2" x14ac:dyDescent="0.25">
      <c r="A1093" s="28"/>
      <c r="B1093" s="17"/>
    </row>
    <row r="1094" spans="1:2" x14ac:dyDescent="0.25">
      <c r="A1094" s="28"/>
      <c r="B1094" s="17"/>
    </row>
    <row r="1095" spans="1:2" x14ac:dyDescent="0.25">
      <c r="A1095" s="28"/>
      <c r="B1095" s="17"/>
    </row>
    <row r="1096" spans="1:2" x14ac:dyDescent="0.25">
      <c r="A1096" s="28"/>
      <c r="B1096" s="17"/>
    </row>
    <row r="1097" spans="1:2" x14ac:dyDescent="0.25">
      <c r="A1097" s="28"/>
      <c r="B1097" s="17"/>
    </row>
    <row r="1098" spans="1:2" x14ac:dyDescent="0.25">
      <c r="A1098" s="28"/>
      <c r="B1098" s="17"/>
    </row>
    <row r="1099" spans="1:2" x14ac:dyDescent="0.25">
      <c r="A1099" s="28"/>
      <c r="B1099" s="17"/>
    </row>
    <row r="1100" spans="1:2" x14ac:dyDescent="0.25">
      <c r="A1100" s="28"/>
      <c r="B1100" s="17"/>
    </row>
    <row r="1101" spans="1:2" x14ac:dyDescent="0.25">
      <c r="A1101" s="28"/>
      <c r="B1101" s="17"/>
    </row>
    <row r="1102" spans="1:2" x14ac:dyDescent="0.25">
      <c r="A1102" s="28"/>
      <c r="B1102" s="17"/>
    </row>
    <row r="1103" spans="1:2" x14ac:dyDescent="0.25">
      <c r="A1103" s="28"/>
      <c r="B1103" s="17"/>
    </row>
    <row r="1104" spans="1:2" x14ac:dyDescent="0.25">
      <c r="A1104" s="28"/>
      <c r="B1104" s="17"/>
    </row>
    <row r="1105" spans="1:2" x14ac:dyDescent="0.25">
      <c r="A1105" s="28"/>
      <c r="B1105" s="17"/>
    </row>
    <row r="1106" spans="1:2" x14ac:dyDescent="0.25">
      <c r="A1106" s="28"/>
      <c r="B1106" s="17"/>
    </row>
    <row r="1107" spans="1:2" x14ac:dyDescent="0.25">
      <c r="A1107" s="28"/>
      <c r="B1107" s="17"/>
    </row>
    <row r="1108" spans="1:2" x14ac:dyDescent="0.25">
      <c r="A1108" s="28"/>
      <c r="B1108" s="17"/>
    </row>
    <row r="1109" spans="1:2" x14ac:dyDescent="0.25">
      <c r="A1109" s="28"/>
      <c r="B1109" s="17"/>
    </row>
    <row r="1110" spans="1:2" x14ac:dyDescent="0.25">
      <c r="A1110" s="28"/>
      <c r="B1110" s="17"/>
    </row>
    <row r="1111" spans="1:2" x14ac:dyDescent="0.25">
      <c r="A1111" s="28"/>
      <c r="B1111" s="17"/>
    </row>
    <row r="1112" spans="1:2" x14ac:dyDescent="0.25">
      <c r="A1112" s="28"/>
      <c r="B1112" s="17"/>
    </row>
    <row r="1113" spans="1:2" x14ac:dyDescent="0.25">
      <c r="A1113" s="28"/>
      <c r="B1113" s="17"/>
    </row>
    <row r="1114" spans="1:2" x14ac:dyDescent="0.25">
      <c r="A1114" s="28"/>
      <c r="B1114" s="17"/>
    </row>
    <row r="1115" spans="1:2" x14ac:dyDescent="0.25">
      <c r="A1115" s="28"/>
      <c r="B1115" s="17"/>
    </row>
    <row r="1116" spans="1:2" x14ac:dyDescent="0.25">
      <c r="A1116" s="28"/>
      <c r="B1116" s="17"/>
    </row>
    <row r="1117" spans="1:2" x14ac:dyDescent="0.25">
      <c r="A1117" s="28"/>
      <c r="B1117" s="17"/>
    </row>
    <row r="1118" spans="1:2" x14ac:dyDescent="0.25">
      <c r="A1118" s="28"/>
      <c r="B1118" s="17"/>
    </row>
    <row r="1119" spans="1:2" x14ac:dyDescent="0.25">
      <c r="A1119" s="28"/>
      <c r="B1119" s="17"/>
    </row>
    <row r="1120" spans="1:2" x14ac:dyDescent="0.25">
      <c r="A1120" s="28"/>
      <c r="B1120" s="17"/>
    </row>
    <row r="1121" spans="1:2" x14ac:dyDescent="0.25">
      <c r="A1121" s="28"/>
      <c r="B1121" s="17"/>
    </row>
    <row r="1122" spans="1:2" x14ac:dyDescent="0.25">
      <c r="A1122" s="28"/>
      <c r="B1122" s="17"/>
    </row>
    <row r="1123" spans="1:2" x14ac:dyDescent="0.25">
      <c r="A1123" s="28"/>
      <c r="B1123" s="17"/>
    </row>
    <row r="1124" spans="1:2" x14ac:dyDescent="0.25">
      <c r="A1124" s="28"/>
      <c r="B1124" s="17"/>
    </row>
    <row r="1125" spans="1:2" x14ac:dyDescent="0.25">
      <c r="A1125" s="28"/>
      <c r="B1125" s="17"/>
    </row>
    <row r="1126" spans="1:2" x14ac:dyDescent="0.25">
      <c r="A1126" s="28"/>
      <c r="B1126" s="17"/>
    </row>
    <row r="1127" spans="1:2" x14ac:dyDescent="0.25">
      <c r="A1127" s="28"/>
      <c r="B1127" s="17"/>
    </row>
    <row r="1128" spans="1:2" x14ac:dyDescent="0.25">
      <c r="A1128" s="28"/>
      <c r="B1128" s="17"/>
    </row>
    <row r="1129" spans="1:2" x14ac:dyDescent="0.25">
      <c r="A1129" s="28"/>
      <c r="B1129" s="17"/>
    </row>
    <row r="1130" spans="1:2" x14ac:dyDescent="0.25">
      <c r="A1130" s="28"/>
      <c r="B1130" s="17"/>
    </row>
    <row r="1131" spans="1:2" x14ac:dyDescent="0.25">
      <c r="A1131" s="28"/>
      <c r="B1131" s="17"/>
    </row>
    <row r="1132" spans="1:2" x14ac:dyDescent="0.25">
      <c r="A1132" s="28"/>
      <c r="B1132" s="17"/>
    </row>
    <row r="1133" spans="1:2" x14ac:dyDescent="0.25">
      <c r="A1133" s="28"/>
      <c r="B1133" s="17"/>
    </row>
    <row r="1134" spans="1:2" x14ac:dyDescent="0.25">
      <c r="A1134" s="28"/>
      <c r="B1134" s="17"/>
    </row>
    <row r="1135" spans="1:2" x14ac:dyDescent="0.25">
      <c r="A1135" s="28"/>
      <c r="B1135" s="17"/>
    </row>
    <row r="1136" spans="1:2" x14ac:dyDescent="0.25">
      <c r="A1136" s="28"/>
      <c r="B1136" s="17"/>
    </row>
    <row r="1137" spans="1:6" x14ac:dyDescent="0.25">
      <c r="A1137" s="28"/>
      <c r="B1137" s="17"/>
    </row>
    <row r="1138" spans="1:6" x14ac:dyDescent="0.25">
      <c r="A1138" s="28"/>
      <c r="B1138" s="17"/>
    </row>
    <row r="1139" spans="1:6" x14ac:dyDescent="0.25">
      <c r="A1139" s="28"/>
      <c r="B1139" s="17"/>
    </row>
    <row r="1142" spans="1:6" x14ac:dyDescent="0.25">
      <c r="B1142" s="17"/>
      <c r="C1142" s="23"/>
      <c r="D1142" s="23"/>
      <c r="E1142" s="23"/>
      <c r="F1142" s="23"/>
    </row>
    <row r="1143" spans="1:6" x14ac:dyDescent="0.25">
      <c r="B1143" s="17"/>
      <c r="C1143" s="23"/>
      <c r="D1143" s="23"/>
      <c r="E1143" s="23"/>
      <c r="F1143" s="23"/>
    </row>
    <row r="1144" spans="1:6" x14ac:dyDescent="0.25">
      <c r="B1144" s="17"/>
    </row>
    <row r="1145" spans="1:6" x14ac:dyDescent="0.25">
      <c r="B1145" s="17"/>
    </row>
    <row r="1146" spans="1:6" x14ac:dyDescent="0.25">
      <c r="B1146" s="17"/>
    </row>
    <row r="1147" spans="1:6" x14ac:dyDescent="0.25">
      <c r="B1147" s="17"/>
    </row>
    <row r="1148" spans="1:6" x14ac:dyDescent="0.25">
      <c r="B1148" s="17"/>
    </row>
    <row r="1149" spans="1:6" x14ac:dyDescent="0.25">
      <c r="B1149" s="17"/>
    </row>
    <row r="1150" spans="1:6" x14ac:dyDescent="0.25">
      <c r="B1150" s="17"/>
    </row>
    <row r="1151" spans="1:6" x14ac:dyDescent="0.25">
      <c r="B1151" s="17"/>
    </row>
    <row r="1152" spans="1:6" x14ac:dyDescent="0.25">
      <c r="B1152" s="17"/>
    </row>
    <row r="1153" spans="2:2" x14ac:dyDescent="0.25">
      <c r="B1153" s="17"/>
    </row>
    <row r="1154" spans="2:2" x14ac:dyDescent="0.25">
      <c r="B1154" s="17"/>
    </row>
    <row r="1155" spans="2:2" x14ac:dyDescent="0.25">
      <c r="B1155" s="17"/>
    </row>
    <row r="1156" spans="2:2" x14ac:dyDescent="0.25">
      <c r="B1156" s="17"/>
    </row>
    <row r="1157" spans="2:2" x14ac:dyDescent="0.25">
      <c r="B1157" s="17"/>
    </row>
    <row r="1158" spans="2:2" x14ac:dyDescent="0.25">
      <c r="B1158" s="17"/>
    </row>
    <row r="1159" spans="2:2" x14ac:dyDescent="0.25">
      <c r="B1159" s="17"/>
    </row>
    <row r="1160" spans="2:2" x14ac:dyDescent="0.25">
      <c r="B1160" s="17"/>
    </row>
    <row r="1161" spans="2:2" x14ac:dyDescent="0.25">
      <c r="B1161" s="17"/>
    </row>
    <row r="1162" spans="2:2" x14ac:dyDescent="0.25">
      <c r="B1162" s="17"/>
    </row>
    <row r="1163" spans="2:2" x14ac:dyDescent="0.25">
      <c r="B1163" s="17"/>
    </row>
    <row r="1164" spans="2:2" x14ac:dyDescent="0.25">
      <c r="B1164" s="17"/>
    </row>
    <row r="1165" spans="2:2" x14ac:dyDescent="0.25">
      <c r="B1165" s="17"/>
    </row>
    <row r="1166" spans="2:2" x14ac:dyDescent="0.25">
      <c r="B1166" s="17"/>
    </row>
    <row r="1167" spans="2:2" x14ac:dyDescent="0.25">
      <c r="B1167" s="17"/>
    </row>
    <row r="1168" spans="2:2" x14ac:dyDescent="0.25">
      <c r="B1168" s="17"/>
    </row>
    <row r="1169" spans="2:2" x14ac:dyDescent="0.25">
      <c r="B1169" s="17"/>
    </row>
    <row r="1170" spans="2:2" x14ac:dyDescent="0.25">
      <c r="B1170" s="17"/>
    </row>
    <row r="1171" spans="2:2" x14ac:dyDescent="0.25">
      <c r="B1171" s="17"/>
    </row>
    <row r="1172" spans="2:2" x14ac:dyDescent="0.25">
      <c r="B1172" s="17"/>
    </row>
    <row r="1173" spans="2:2" x14ac:dyDescent="0.25">
      <c r="B1173" s="17"/>
    </row>
    <row r="1174" spans="2:2" x14ac:dyDescent="0.25">
      <c r="B1174" s="17"/>
    </row>
    <row r="1175" spans="2:2" x14ac:dyDescent="0.25">
      <c r="B1175" s="17"/>
    </row>
    <row r="1176" spans="2:2" x14ac:dyDescent="0.25">
      <c r="B1176" s="17"/>
    </row>
    <row r="1177" spans="2:2" x14ac:dyDescent="0.25">
      <c r="B1177" s="17"/>
    </row>
    <row r="1178" spans="2:2" x14ac:dyDescent="0.25">
      <c r="B1178" s="17"/>
    </row>
    <row r="1179" spans="2:2" x14ac:dyDescent="0.25">
      <c r="B1179" s="17"/>
    </row>
    <row r="1180" spans="2:2" x14ac:dyDescent="0.25">
      <c r="B1180" s="17"/>
    </row>
    <row r="1181" spans="2:2" x14ac:dyDescent="0.25">
      <c r="B1181" s="17"/>
    </row>
    <row r="1182" spans="2:2" x14ac:dyDescent="0.25">
      <c r="B1182" s="17"/>
    </row>
    <row r="1183" spans="2:2" x14ac:dyDescent="0.25">
      <c r="B1183" s="17"/>
    </row>
    <row r="1184" spans="2:2" x14ac:dyDescent="0.25">
      <c r="B1184" s="17"/>
    </row>
    <row r="1185" spans="2:2" x14ac:dyDescent="0.25">
      <c r="B1185" s="17"/>
    </row>
    <row r="1186" spans="2:2" x14ac:dyDescent="0.25">
      <c r="B1186" s="17"/>
    </row>
    <row r="1187" spans="2:2" x14ac:dyDescent="0.25">
      <c r="B1187" s="17"/>
    </row>
    <row r="1188" spans="2:2" x14ac:dyDescent="0.25">
      <c r="B1188" s="17"/>
    </row>
    <row r="1189" spans="2:2" x14ac:dyDescent="0.25">
      <c r="B1189" s="17"/>
    </row>
    <row r="1190" spans="2:2" x14ac:dyDescent="0.25">
      <c r="B1190" s="17"/>
    </row>
    <row r="1191" spans="2:2" x14ac:dyDescent="0.25">
      <c r="B1191" s="17"/>
    </row>
    <row r="1192" spans="2:2" x14ac:dyDescent="0.25">
      <c r="B1192" s="17"/>
    </row>
    <row r="1193" spans="2:2" x14ac:dyDescent="0.25">
      <c r="B1193" s="17"/>
    </row>
    <row r="1194" spans="2:2" x14ac:dyDescent="0.25">
      <c r="B1194" s="17"/>
    </row>
    <row r="1195" spans="2:2" x14ac:dyDescent="0.25">
      <c r="B1195" s="17"/>
    </row>
    <row r="1196" spans="2:2" x14ac:dyDescent="0.25">
      <c r="B1196" s="17"/>
    </row>
    <row r="1197" spans="2:2" x14ac:dyDescent="0.25">
      <c r="B1197" s="17"/>
    </row>
    <row r="1198" spans="2:2" x14ac:dyDescent="0.25">
      <c r="B1198" s="17"/>
    </row>
    <row r="1199" spans="2:2" x14ac:dyDescent="0.25">
      <c r="B1199" s="17"/>
    </row>
    <row r="1200" spans="2:2" x14ac:dyDescent="0.25">
      <c r="B1200" s="17"/>
    </row>
    <row r="1201" spans="2:2" x14ac:dyDescent="0.25">
      <c r="B1201" s="17"/>
    </row>
    <row r="1202" spans="2:2" x14ac:dyDescent="0.25">
      <c r="B1202" s="17"/>
    </row>
    <row r="1203" spans="2:2" x14ac:dyDescent="0.25">
      <c r="B1203" s="17"/>
    </row>
    <row r="1204" spans="2:2" x14ac:dyDescent="0.25">
      <c r="B1204" s="17"/>
    </row>
    <row r="1205" spans="2:2" x14ac:dyDescent="0.25">
      <c r="B1205" s="17"/>
    </row>
    <row r="1206" spans="2:2" x14ac:dyDescent="0.25">
      <c r="B1206" s="17"/>
    </row>
    <row r="1207" spans="2:2" x14ac:dyDescent="0.25">
      <c r="B1207" s="17"/>
    </row>
    <row r="1208" spans="2:2" x14ac:dyDescent="0.25">
      <c r="B1208" s="17"/>
    </row>
    <row r="1209" spans="2:2" x14ac:dyDescent="0.25">
      <c r="B1209" s="17"/>
    </row>
    <row r="1210" spans="2:2" x14ac:dyDescent="0.25">
      <c r="B1210" s="17"/>
    </row>
    <row r="1211" spans="2:2" x14ac:dyDescent="0.25">
      <c r="B1211" s="17"/>
    </row>
    <row r="1212" spans="2:2" x14ac:dyDescent="0.25">
      <c r="B1212" s="17"/>
    </row>
    <row r="1213" spans="2:2" x14ac:dyDescent="0.25">
      <c r="B1213" s="17"/>
    </row>
    <row r="1214" spans="2:2" x14ac:dyDescent="0.25">
      <c r="B1214" s="17"/>
    </row>
    <row r="1215" spans="2:2" x14ac:dyDescent="0.25">
      <c r="B1215" s="17"/>
    </row>
    <row r="1216" spans="2:2" x14ac:dyDescent="0.25">
      <c r="B1216" s="17"/>
    </row>
    <row r="1217" spans="2:2" x14ac:dyDescent="0.25">
      <c r="B1217" s="17"/>
    </row>
    <row r="1218" spans="2:2" x14ac:dyDescent="0.25">
      <c r="B1218" s="17"/>
    </row>
    <row r="1219" spans="2:2" x14ac:dyDescent="0.25">
      <c r="B1219" s="17"/>
    </row>
    <row r="1220" spans="2:2" x14ac:dyDescent="0.25">
      <c r="B1220" s="17"/>
    </row>
    <row r="1221" spans="2:2" x14ac:dyDescent="0.25">
      <c r="B1221" s="17"/>
    </row>
    <row r="1222" spans="2:2" x14ac:dyDescent="0.25">
      <c r="B1222" s="17"/>
    </row>
    <row r="1223" spans="2:2" x14ac:dyDescent="0.25">
      <c r="B1223" s="17"/>
    </row>
    <row r="1224" spans="2:2" x14ac:dyDescent="0.25">
      <c r="B1224" s="17"/>
    </row>
    <row r="1225" spans="2:2" x14ac:dyDescent="0.25">
      <c r="B1225" s="17"/>
    </row>
    <row r="1226" spans="2:2" x14ac:dyDescent="0.25">
      <c r="B1226" s="17"/>
    </row>
    <row r="1227" spans="2:2" x14ac:dyDescent="0.25">
      <c r="B1227" s="17"/>
    </row>
    <row r="1228" spans="2:2" x14ac:dyDescent="0.25">
      <c r="B1228" s="17"/>
    </row>
    <row r="1229" spans="2:2" x14ac:dyDescent="0.25">
      <c r="B1229" s="17"/>
    </row>
    <row r="1230" spans="2:2" x14ac:dyDescent="0.25">
      <c r="B1230" s="17"/>
    </row>
    <row r="1231" spans="2:2" x14ac:dyDescent="0.25">
      <c r="B1231" s="17"/>
    </row>
    <row r="1232" spans="2:2" x14ac:dyDescent="0.25">
      <c r="B1232" s="17"/>
    </row>
    <row r="1233" spans="2:2" x14ac:dyDescent="0.25">
      <c r="B1233" s="17"/>
    </row>
    <row r="1234" spans="2:2" x14ac:dyDescent="0.25">
      <c r="B1234" s="17"/>
    </row>
    <row r="1235" spans="2:2" x14ac:dyDescent="0.25">
      <c r="B1235" s="17"/>
    </row>
    <row r="1236" spans="2:2" x14ac:dyDescent="0.25">
      <c r="B1236" s="17"/>
    </row>
    <row r="1237" spans="2:2" x14ac:dyDescent="0.25">
      <c r="B1237" s="17"/>
    </row>
    <row r="1238" spans="2:2" x14ac:dyDescent="0.25">
      <c r="B1238" s="17"/>
    </row>
    <row r="1239" spans="2:2" x14ac:dyDescent="0.25">
      <c r="B1239" s="17"/>
    </row>
    <row r="1240" spans="2:2" x14ac:dyDescent="0.25">
      <c r="B1240" s="17"/>
    </row>
    <row r="1241" spans="2:2" x14ac:dyDescent="0.25">
      <c r="B1241" s="17"/>
    </row>
    <row r="1242" spans="2:2" x14ac:dyDescent="0.25">
      <c r="B1242" s="17"/>
    </row>
    <row r="1243" spans="2:2" x14ac:dyDescent="0.25">
      <c r="B1243" s="17"/>
    </row>
    <row r="1244" spans="2:2" x14ac:dyDescent="0.25">
      <c r="B1244" s="17"/>
    </row>
    <row r="1245" spans="2:2" x14ac:dyDescent="0.25">
      <c r="B1245" s="17"/>
    </row>
    <row r="1246" spans="2:2" x14ac:dyDescent="0.25">
      <c r="B1246" s="17"/>
    </row>
    <row r="1247" spans="2:2" x14ac:dyDescent="0.25">
      <c r="B1247" s="17"/>
    </row>
    <row r="1248" spans="2:2" x14ac:dyDescent="0.25">
      <c r="B1248" s="17"/>
    </row>
    <row r="1249" spans="2:2" x14ac:dyDescent="0.25">
      <c r="B1249" s="17"/>
    </row>
    <row r="1250" spans="2:2" x14ac:dyDescent="0.25">
      <c r="B1250" s="17"/>
    </row>
    <row r="1251" spans="2:2" x14ac:dyDescent="0.25">
      <c r="B1251" s="17"/>
    </row>
    <row r="1252" spans="2:2" x14ac:dyDescent="0.25">
      <c r="B1252" s="17"/>
    </row>
    <row r="1253" spans="2:2" x14ac:dyDescent="0.25">
      <c r="B1253" s="17"/>
    </row>
    <row r="1254" spans="2:2" x14ac:dyDescent="0.25">
      <c r="B1254" s="17"/>
    </row>
    <row r="1255" spans="2:2" x14ac:dyDescent="0.25">
      <c r="B1255" s="17"/>
    </row>
    <row r="1256" spans="2:2" x14ac:dyDescent="0.25">
      <c r="B1256" s="17"/>
    </row>
    <row r="1257" spans="2:2" x14ac:dyDescent="0.25">
      <c r="B1257" s="17"/>
    </row>
    <row r="1258" spans="2:2" x14ac:dyDescent="0.25">
      <c r="B1258" s="17"/>
    </row>
    <row r="1259" spans="2:2" x14ac:dyDescent="0.25">
      <c r="B1259" s="17"/>
    </row>
    <row r="1260" spans="2:2" x14ac:dyDescent="0.25">
      <c r="B1260" s="17"/>
    </row>
    <row r="1261" spans="2:2" x14ac:dyDescent="0.25">
      <c r="B1261" s="17"/>
    </row>
    <row r="1262" spans="2:2" x14ac:dyDescent="0.25">
      <c r="B1262" s="17"/>
    </row>
    <row r="1263" spans="2:2" x14ac:dyDescent="0.25">
      <c r="B1263" s="17"/>
    </row>
    <row r="1264" spans="2:2" x14ac:dyDescent="0.25">
      <c r="B1264" s="17"/>
    </row>
    <row r="1265" spans="2:2" x14ac:dyDescent="0.25">
      <c r="B1265" s="17"/>
    </row>
    <row r="1266" spans="2:2" x14ac:dyDescent="0.25">
      <c r="B1266" s="17"/>
    </row>
    <row r="1267" spans="2:2" x14ac:dyDescent="0.25">
      <c r="B1267" s="17"/>
    </row>
    <row r="1268" spans="2:2" x14ac:dyDescent="0.25">
      <c r="B1268" s="17"/>
    </row>
    <row r="1269" spans="2:2" x14ac:dyDescent="0.25">
      <c r="B1269" s="17"/>
    </row>
    <row r="1270" spans="2:2" x14ac:dyDescent="0.25">
      <c r="B1270" s="17"/>
    </row>
    <row r="1271" spans="2:2" x14ac:dyDescent="0.25">
      <c r="B1271" s="17"/>
    </row>
    <row r="1272" spans="2:2" x14ac:dyDescent="0.25">
      <c r="B1272" s="17"/>
    </row>
    <row r="1273" spans="2:2" x14ac:dyDescent="0.25">
      <c r="B1273" s="17"/>
    </row>
    <row r="1274" spans="2:2" x14ac:dyDescent="0.25">
      <c r="B1274" s="17"/>
    </row>
    <row r="1275" spans="2:2" x14ac:dyDescent="0.25">
      <c r="B1275" s="17"/>
    </row>
    <row r="1276" spans="2:2" x14ac:dyDescent="0.25">
      <c r="B1276" s="17"/>
    </row>
    <row r="1277" spans="2:2" x14ac:dyDescent="0.25">
      <c r="B1277" s="17"/>
    </row>
    <row r="1278" spans="2:2" x14ac:dyDescent="0.25">
      <c r="B1278" s="17"/>
    </row>
    <row r="1279" spans="2:2" x14ac:dyDescent="0.25">
      <c r="B1279" s="17"/>
    </row>
    <row r="1280" spans="2:2" x14ac:dyDescent="0.25">
      <c r="B1280" s="17"/>
    </row>
    <row r="1281" spans="2:2" x14ac:dyDescent="0.25">
      <c r="B1281" s="17"/>
    </row>
    <row r="1282" spans="2:2" x14ac:dyDescent="0.25">
      <c r="B1282" s="17"/>
    </row>
    <row r="1283" spans="2:2" x14ac:dyDescent="0.25">
      <c r="B1283" s="17"/>
    </row>
    <row r="1284" spans="2:2" x14ac:dyDescent="0.25">
      <c r="B1284" s="17"/>
    </row>
    <row r="1285" spans="2:2" x14ac:dyDescent="0.25">
      <c r="B1285" s="17"/>
    </row>
    <row r="1286" spans="2:2" x14ac:dyDescent="0.25">
      <c r="B1286" s="17"/>
    </row>
    <row r="1287" spans="2:2" x14ac:dyDescent="0.25">
      <c r="B1287" s="17"/>
    </row>
    <row r="1288" spans="2:2" x14ac:dyDescent="0.25">
      <c r="B1288" s="17"/>
    </row>
    <row r="1289" spans="2:2" x14ac:dyDescent="0.25">
      <c r="B1289" s="17"/>
    </row>
    <row r="1290" spans="2:2" x14ac:dyDescent="0.25">
      <c r="B1290" s="17"/>
    </row>
    <row r="1291" spans="2:2" x14ac:dyDescent="0.25">
      <c r="B1291" s="17"/>
    </row>
    <row r="1292" spans="2:2" x14ac:dyDescent="0.25">
      <c r="B1292" s="17"/>
    </row>
    <row r="1293" spans="2:2" x14ac:dyDescent="0.25">
      <c r="B1293" s="17"/>
    </row>
    <row r="1294" spans="2:2" x14ac:dyDescent="0.25">
      <c r="B1294" s="17"/>
    </row>
    <row r="1295" spans="2:2" x14ac:dyDescent="0.25">
      <c r="B1295" s="17"/>
    </row>
    <row r="1296" spans="2:2" x14ac:dyDescent="0.25">
      <c r="B1296" s="17"/>
    </row>
    <row r="1297" spans="2:2" x14ac:dyDescent="0.25">
      <c r="B1297" s="17"/>
    </row>
    <row r="1298" spans="2:2" x14ac:dyDescent="0.25">
      <c r="B1298" s="17"/>
    </row>
    <row r="1299" spans="2:2" x14ac:dyDescent="0.25">
      <c r="B1299" s="17"/>
    </row>
    <row r="1300" spans="2:2" x14ac:dyDescent="0.25">
      <c r="B1300" s="17"/>
    </row>
    <row r="1301" spans="2:2" x14ac:dyDescent="0.25">
      <c r="B1301" s="17"/>
    </row>
    <row r="1302" spans="2:2" x14ac:dyDescent="0.25">
      <c r="B1302" s="17"/>
    </row>
    <row r="1303" spans="2:2" x14ac:dyDescent="0.25">
      <c r="B1303" s="17"/>
    </row>
    <row r="1304" spans="2:2" x14ac:dyDescent="0.25">
      <c r="B1304" s="17"/>
    </row>
    <row r="1305" spans="2:2" x14ac:dyDescent="0.25">
      <c r="B1305" s="17"/>
    </row>
    <row r="1306" spans="2:2" x14ac:dyDescent="0.25">
      <c r="B1306" s="17"/>
    </row>
    <row r="1307" spans="2:2" x14ac:dyDescent="0.25">
      <c r="B1307" s="17"/>
    </row>
    <row r="1308" spans="2:2" x14ac:dyDescent="0.25">
      <c r="B1308" s="17"/>
    </row>
    <row r="1309" spans="2:2" x14ac:dyDescent="0.25">
      <c r="B1309" s="17"/>
    </row>
    <row r="1310" spans="2:2" x14ac:dyDescent="0.25">
      <c r="B1310" s="17"/>
    </row>
    <row r="1311" spans="2:2" x14ac:dyDescent="0.25">
      <c r="B1311" s="17"/>
    </row>
    <row r="1312" spans="2:2" x14ac:dyDescent="0.25">
      <c r="B1312" s="17"/>
    </row>
    <row r="1313" spans="2:2" x14ac:dyDescent="0.25">
      <c r="B1313" s="17"/>
    </row>
    <row r="1314" spans="2:2" x14ac:dyDescent="0.25">
      <c r="B1314" s="17"/>
    </row>
    <row r="1315" spans="2:2" x14ac:dyDescent="0.25">
      <c r="B1315" s="17"/>
    </row>
    <row r="1316" spans="2:2" x14ac:dyDescent="0.25">
      <c r="B1316" s="17"/>
    </row>
    <row r="1317" spans="2:2" x14ac:dyDescent="0.25">
      <c r="B1317" s="17"/>
    </row>
    <row r="1318" spans="2:2" x14ac:dyDescent="0.25">
      <c r="B1318" s="17"/>
    </row>
    <row r="1319" spans="2:2" x14ac:dyDescent="0.25">
      <c r="B1319" s="17"/>
    </row>
    <row r="1320" spans="2:2" x14ac:dyDescent="0.25">
      <c r="B1320" s="17"/>
    </row>
    <row r="1321" spans="2:2" x14ac:dyDescent="0.25">
      <c r="B1321" s="17"/>
    </row>
    <row r="1322" spans="2:2" x14ac:dyDescent="0.25">
      <c r="B1322" s="17"/>
    </row>
    <row r="1323" spans="2:2" x14ac:dyDescent="0.25">
      <c r="B1323" s="17"/>
    </row>
    <row r="1324" spans="2:2" x14ac:dyDescent="0.25">
      <c r="B1324" s="17"/>
    </row>
    <row r="1325" spans="2:2" x14ac:dyDescent="0.25">
      <c r="B1325" s="17"/>
    </row>
    <row r="1326" spans="2:2" x14ac:dyDescent="0.25">
      <c r="B1326" s="17"/>
    </row>
    <row r="1327" spans="2:2" x14ac:dyDescent="0.25">
      <c r="B1327" s="17"/>
    </row>
    <row r="1328" spans="2:2" x14ac:dyDescent="0.25">
      <c r="B1328" s="17"/>
    </row>
    <row r="1329" spans="2:2" x14ac:dyDescent="0.25">
      <c r="B1329" s="17"/>
    </row>
    <row r="1330" spans="2:2" x14ac:dyDescent="0.25">
      <c r="B1330" s="17"/>
    </row>
    <row r="1331" spans="2:2" x14ac:dyDescent="0.25">
      <c r="B1331" s="17"/>
    </row>
    <row r="1332" spans="2:2" x14ac:dyDescent="0.25">
      <c r="B1332" s="17"/>
    </row>
    <row r="1333" spans="2:2" x14ac:dyDescent="0.25">
      <c r="B1333" s="17"/>
    </row>
    <row r="1334" spans="2:2" x14ac:dyDescent="0.25">
      <c r="B1334" s="17"/>
    </row>
    <row r="1335" spans="2:2" x14ac:dyDescent="0.25">
      <c r="B1335" s="17"/>
    </row>
    <row r="1336" spans="2:2" x14ac:dyDescent="0.25">
      <c r="B1336" s="17"/>
    </row>
    <row r="1337" spans="2:2" x14ac:dyDescent="0.25">
      <c r="B1337" s="17"/>
    </row>
    <row r="1338" spans="2:2" x14ac:dyDescent="0.25">
      <c r="B1338" s="17"/>
    </row>
    <row r="1339" spans="2:2" x14ac:dyDescent="0.25">
      <c r="B1339" s="17"/>
    </row>
    <row r="1340" spans="2:2" x14ac:dyDescent="0.25">
      <c r="B1340" s="17"/>
    </row>
    <row r="1341" spans="2:2" x14ac:dyDescent="0.25">
      <c r="B1341" s="17"/>
    </row>
    <row r="1342" spans="2:2" x14ac:dyDescent="0.25">
      <c r="B1342" s="17"/>
    </row>
    <row r="1343" spans="2:2" x14ac:dyDescent="0.25">
      <c r="B1343" s="17"/>
    </row>
    <row r="1344" spans="2:2" x14ac:dyDescent="0.25">
      <c r="B1344" s="17"/>
    </row>
    <row r="1345" spans="2:2" x14ac:dyDescent="0.25">
      <c r="B1345" s="17"/>
    </row>
    <row r="1346" spans="2:2" x14ac:dyDescent="0.25">
      <c r="B1346" s="17"/>
    </row>
    <row r="1347" spans="2:2" x14ac:dyDescent="0.25">
      <c r="B1347" s="17"/>
    </row>
    <row r="1348" spans="2:2" x14ac:dyDescent="0.25">
      <c r="B1348" s="17"/>
    </row>
    <row r="1349" spans="2:2" x14ac:dyDescent="0.25">
      <c r="B1349" s="17"/>
    </row>
    <row r="1350" spans="2:2" x14ac:dyDescent="0.25">
      <c r="B1350" s="17"/>
    </row>
    <row r="1351" spans="2:2" x14ac:dyDescent="0.25">
      <c r="B1351" s="17"/>
    </row>
    <row r="1352" spans="2:2" x14ac:dyDescent="0.25">
      <c r="B1352" s="17"/>
    </row>
    <row r="1353" spans="2:2" x14ac:dyDescent="0.25">
      <c r="B1353" s="17"/>
    </row>
    <row r="1354" spans="2:2" x14ac:dyDescent="0.25">
      <c r="B1354" s="17"/>
    </row>
    <row r="1355" spans="2:2" x14ac:dyDescent="0.25">
      <c r="B1355" s="17"/>
    </row>
    <row r="1356" spans="2:2" x14ac:dyDescent="0.25">
      <c r="B1356" s="17"/>
    </row>
    <row r="1357" spans="2:2" x14ac:dyDescent="0.25">
      <c r="B1357" s="17"/>
    </row>
    <row r="1358" spans="2:2" x14ac:dyDescent="0.25">
      <c r="B1358" s="17"/>
    </row>
    <row r="1359" spans="2:2" x14ac:dyDescent="0.25">
      <c r="B1359" s="17"/>
    </row>
    <row r="1360" spans="2:2" x14ac:dyDescent="0.25">
      <c r="B1360" s="17"/>
    </row>
    <row r="1361" spans="2:2" x14ac:dyDescent="0.25">
      <c r="B1361" s="17"/>
    </row>
    <row r="1362" spans="2:2" x14ac:dyDescent="0.25">
      <c r="B1362" s="17"/>
    </row>
    <row r="1363" spans="2:2" x14ac:dyDescent="0.25">
      <c r="B1363" s="17"/>
    </row>
    <row r="1364" spans="2:2" x14ac:dyDescent="0.25">
      <c r="B1364" s="17"/>
    </row>
    <row r="1365" spans="2:2" x14ac:dyDescent="0.25">
      <c r="B1365" s="17"/>
    </row>
    <row r="1366" spans="2:2" x14ac:dyDescent="0.25">
      <c r="B1366" s="17"/>
    </row>
    <row r="1367" spans="2:2" x14ac:dyDescent="0.25">
      <c r="B1367" s="17"/>
    </row>
    <row r="1368" spans="2:2" x14ac:dyDescent="0.25">
      <c r="B1368" s="17"/>
    </row>
    <row r="1369" spans="2:2" x14ac:dyDescent="0.25">
      <c r="B1369" s="17"/>
    </row>
    <row r="1370" spans="2:2" x14ac:dyDescent="0.25">
      <c r="B1370" s="17"/>
    </row>
    <row r="1371" spans="2:2" x14ac:dyDescent="0.25">
      <c r="B1371" s="17"/>
    </row>
    <row r="1372" spans="2:2" x14ac:dyDescent="0.25">
      <c r="B1372" s="17"/>
    </row>
    <row r="1373" spans="2:2" x14ac:dyDescent="0.25">
      <c r="B1373" s="17"/>
    </row>
    <row r="1374" spans="2:2" x14ac:dyDescent="0.25">
      <c r="B1374" s="17"/>
    </row>
    <row r="1375" spans="2:2" x14ac:dyDescent="0.25">
      <c r="B1375" s="17"/>
    </row>
    <row r="1376" spans="2:2" x14ac:dyDescent="0.25">
      <c r="B1376" s="17"/>
    </row>
    <row r="1377" spans="2:2" x14ac:dyDescent="0.25">
      <c r="B1377" s="17"/>
    </row>
    <row r="1378" spans="2:2" x14ac:dyDescent="0.25">
      <c r="B1378" s="17"/>
    </row>
    <row r="1379" spans="2:2" x14ac:dyDescent="0.25">
      <c r="B1379" s="17"/>
    </row>
    <row r="1380" spans="2:2" x14ac:dyDescent="0.25">
      <c r="B1380" s="17"/>
    </row>
    <row r="1381" spans="2:2" x14ac:dyDescent="0.25">
      <c r="B1381" s="17"/>
    </row>
    <row r="1382" spans="2:2" x14ac:dyDescent="0.25">
      <c r="B1382" s="17"/>
    </row>
    <row r="1383" spans="2:2" x14ac:dyDescent="0.25">
      <c r="B1383" s="17"/>
    </row>
    <row r="1384" spans="2:2" x14ac:dyDescent="0.25">
      <c r="B1384" s="17"/>
    </row>
    <row r="1385" spans="2:2" x14ac:dyDescent="0.25">
      <c r="B1385" s="17"/>
    </row>
    <row r="1386" spans="2:2" x14ac:dyDescent="0.25">
      <c r="B1386" s="17"/>
    </row>
    <row r="1387" spans="2:2" x14ac:dyDescent="0.25">
      <c r="B1387" s="17"/>
    </row>
    <row r="1388" spans="2:2" x14ac:dyDescent="0.25">
      <c r="B1388" s="17"/>
    </row>
    <row r="1389" spans="2:2" x14ac:dyDescent="0.25">
      <c r="B1389" s="17"/>
    </row>
    <row r="1390" spans="2:2" x14ac:dyDescent="0.25">
      <c r="B1390" s="17"/>
    </row>
    <row r="1391" spans="2:2" x14ac:dyDescent="0.25">
      <c r="B1391" s="17"/>
    </row>
    <row r="1392" spans="2:2" x14ac:dyDescent="0.25">
      <c r="B1392" s="17"/>
    </row>
    <row r="1393" spans="2:2" x14ac:dyDescent="0.25">
      <c r="B1393" s="17"/>
    </row>
    <row r="1394" spans="2:2" x14ac:dyDescent="0.25">
      <c r="B1394" s="17"/>
    </row>
    <row r="1395" spans="2:2" x14ac:dyDescent="0.25">
      <c r="B1395" s="17"/>
    </row>
    <row r="1396" spans="2:2" x14ac:dyDescent="0.25">
      <c r="B1396" s="17"/>
    </row>
    <row r="1397" spans="2:2" x14ac:dyDescent="0.25">
      <c r="B1397" s="17"/>
    </row>
    <row r="1398" spans="2:2" x14ac:dyDescent="0.25">
      <c r="B1398" s="17"/>
    </row>
    <row r="1399" spans="2:2" x14ac:dyDescent="0.25">
      <c r="B1399" s="17"/>
    </row>
    <row r="1400" spans="2:2" x14ac:dyDescent="0.25">
      <c r="B1400" s="17"/>
    </row>
    <row r="1401" spans="2:2" x14ac:dyDescent="0.25">
      <c r="B1401" s="17"/>
    </row>
    <row r="1402" spans="2:2" x14ac:dyDescent="0.25">
      <c r="B1402" s="17"/>
    </row>
    <row r="1403" spans="2:2" x14ac:dyDescent="0.25">
      <c r="B1403" s="17"/>
    </row>
    <row r="1404" spans="2:2" x14ac:dyDescent="0.25">
      <c r="B1404" s="17"/>
    </row>
    <row r="1405" spans="2:2" x14ac:dyDescent="0.25">
      <c r="B1405" s="17"/>
    </row>
    <row r="1406" spans="2:2" x14ac:dyDescent="0.25">
      <c r="B1406" s="17"/>
    </row>
    <row r="1407" spans="2:2" x14ac:dyDescent="0.25">
      <c r="B1407" s="17"/>
    </row>
    <row r="1408" spans="2:2" x14ac:dyDescent="0.25">
      <c r="B1408" s="17"/>
    </row>
    <row r="1409" spans="2:2" x14ac:dyDescent="0.25">
      <c r="B1409" s="17"/>
    </row>
    <row r="1410" spans="2:2" x14ac:dyDescent="0.25">
      <c r="B1410" s="17"/>
    </row>
    <row r="1411" spans="2:2" x14ac:dyDescent="0.25">
      <c r="B1411" s="17"/>
    </row>
    <row r="1412" spans="2:2" x14ac:dyDescent="0.25">
      <c r="B1412" s="17"/>
    </row>
    <row r="1413" spans="2:2" x14ac:dyDescent="0.25">
      <c r="B1413" s="17"/>
    </row>
    <row r="1414" spans="2:2" x14ac:dyDescent="0.25">
      <c r="B1414" s="17"/>
    </row>
    <row r="1415" spans="2:2" x14ac:dyDescent="0.25">
      <c r="B1415" s="17"/>
    </row>
    <row r="1416" spans="2:2" x14ac:dyDescent="0.25">
      <c r="B1416" s="17"/>
    </row>
    <row r="1417" spans="2:2" x14ac:dyDescent="0.25">
      <c r="B1417" s="17"/>
    </row>
    <row r="1418" spans="2:2" x14ac:dyDescent="0.25">
      <c r="B1418" s="17"/>
    </row>
    <row r="1419" spans="2:2" x14ac:dyDescent="0.25">
      <c r="B1419" s="17"/>
    </row>
    <row r="1420" spans="2:2" x14ac:dyDescent="0.25">
      <c r="B1420" s="17"/>
    </row>
    <row r="1421" spans="2:2" x14ac:dyDescent="0.25">
      <c r="B1421" s="17"/>
    </row>
    <row r="1422" spans="2:2" x14ac:dyDescent="0.25">
      <c r="B1422" s="17"/>
    </row>
    <row r="1423" spans="2:2" x14ac:dyDescent="0.25">
      <c r="B1423" s="17"/>
    </row>
    <row r="1424" spans="2:2" x14ac:dyDescent="0.25">
      <c r="B1424" s="17"/>
    </row>
    <row r="1425" spans="2:2" x14ac:dyDescent="0.25">
      <c r="B1425" s="17"/>
    </row>
    <row r="1426" spans="2:2" x14ac:dyDescent="0.25">
      <c r="B1426" s="17"/>
    </row>
    <row r="1427" spans="2:2" x14ac:dyDescent="0.25">
      <c r="B1427" s="17"/>
    </row>
    <row r="1428" spans="2:2" x14ac:dyDescent="0.25">
      <c r="B1428" s="17"/>
    </row>
    <row r="1429" spans="2:2" x14ac:dyDescent="0.25">
      <c r="B1429" s="17"/>
    </row>
    <row r="1430" spans="2:2" x14ac:dyDescent="0.25">
      <c r="B1430" s="17"/>
    </row>
    <row r="1431" spans="2:2" x14ac:dyDescent="0.25">
      <c r="B1431" s="17"/>
    </row>
    <row r="1432" spans="2:2" x14ac:dyDescent="0.25">
      <c r="B1432" s="17"/>
    </row>
    <row r="1433" spans="2:2" x14ac:dyDescent="0.25">
      <c r="B1433" s="17"/>
    </row>
    <row r="1434" spans="2:2" x14ac:dyDescent="0.25">
      <c r="B1434" s="17"/>
    </row>
    <row r="1435" spans="2:2" x14ac:dyDescent="0.25">
      <c r="B1435" s="17"/>
    </row>
    <row r="1436" spans="2:2" x14ac:dyDescent="0.25">
      <c r="B1436" s="17"/>
    </row>
    <row r="1437" spans="2:2" x14ac:dyDescent="0.25">
      <c r="B1437" s="17"/>
    </row>
    <row r="1438" spans="2:2" x14ac:dyDescent="0.25">
      <c r="B1438" s="17"/>
    </row>
    <row r="1439" spans="2:2" x14ac:dyDescent="0.25">
      <c r="B1439" s="17"/>
    </row>
    <row r="1440" spans="2:2" x14ac:dyDescent="0.25">
      <c r="B1440" s="17"/>
    </row>
    <row r="1441" spans="2:2" x14ac:dyDescent="0.25">
      <c r="B1441" s="17"/>
    </row>
    <row r="1442" spans="2:2" x14ac:dyDescent="0.25">
      <c r="B1442" s="17"/>
    </row>
    <row r="1443" spans="2:2" x14ac:dyDescent="0.25">
      <c r="B1443" s="17"/>
    </row>
    <row r="1444" spans="2:2" x14ac:dyDescent="0.25">
      <c r="B1444" s="17"/>
    </row>
    <row r="1445" spans="2:2" x14ac:dyDescent="0.25">
      <c r="B1445" s="17"/>
    </row>
    <row r="1446" spans="2:2" x14ac:dyDescent="0.25">
      <c r="B1446" s="17"/>
    </row>
    <row r="1447" spans="2:2" x14ac:dyDescent="0.25">
      <c r="B1447" s="17"/>
    </row>
    <row r="1448" spans="2:2" x14ac:dyDescent="0.25">
      <c r="B1448" s="17"/>
    </row>
    <row r="1449" spans="2:2" x14ac:dyDescent="0.25">
      <c r="B1449" s="17"/>
    </row>
    <row r="1450" spans="2:2" x14ac:dyDescent="0.25">
      <c r="B1450" s="17"/>
    </row>
    <row r="1451" spans="2:2" x14ac:dyDescent="0.25">
      <c r="B1451" s="17"/>
    </row>
    <row r="1452" spans="2:2" x14ac:dyDescent="0.25">
      <c r="B1452" s="17"/>
    </row>
    <row r="1453" spans="2:2" x14ac:dyDescent="0.25">
      <c r="B1453" s="17"/>
    </row>
    <row r="1454" spans="2:2" x14ac:dyDescent="0.25">
      <c r="B1454" s="17"/>
    </row>
    <row r="1455" spans="2:2" x14ac:dyDescent="0.25">
      <c r="B1455" s="17"/>
    </row>
    <row r="1456" spans="2:2" x14ac:dyDescent="0.25">
      <c r="B1456" s="17"/>
    </row>
    <row r="1457" spans="2:2" x14ac:dyDescent="0.25">
      <c r="B1457" s="17"/>
    </row>
    <row r="1458" spans="2:2" x14ac:dyDescent="0.25">
      <c r="B1458" s="17"/>
    </row>
    <row r="1459" spans="2:2" x14ac:dyDescent="0.25">
      <c r="B1459" s="17"/>
    </row>
    <row r="1460" spans="2:2" x14ac:dyDescent="0.25">
      <c r="B1460" s="17"/>
    </row>
    <row r="1461" spans="2:2" x14ac:dyDescent="0.25">
      <c r="B1461" s="17"/>
    </row>
    <row r="1462" spans="2:2" x14ac:dyDescent="0.25">
      <c r="B1462" s="17"/>
    </row>
    <row r="1463" spans="2:2" x14ac:dyDescent="0.25">
      <c r="B1463" s="17"/>
    </row>
    <row r="1464" spans="2:2" x14ac:dyDescent="0.25">
      <c r="B1464" s="17"/>
    </row>
    <row r="1465" spans="2:2" x14ac:dyDescent="0.25">
      <c r="B1465" s="17"/>
    </row>
    <row r="1466" spans="2:2" x14ac:dyDescent="0.25">
      <c r="B1466" s="17"/>
    </row>
    <row r="1467" spans="2:2" x14ac:dyDescent="0.25">
      <c r="B1467" s="17"/>
    </row>
    <row r="1468" spans="2:2" x14ac:dyDescent="0.25">
      <c r="B1468" s="17"/>
    </row>
    <row r="1469" spans="2:2" x14ac:dyDescent="0.25">
      <c r="B1469" s="17"/>
    </row>
    <row r="1470" spans="2:2" x14ac:dyDescent="0.25">
      <c r="B1470" s="17"/>
    </row>
    <row r="1471" spans="2:2" x14ac:dyDescent="0.25">
      <c r="B1471" s="17"/>
    </row>
    <row r="1472" spans="2:2" x14ac:dyDescent="0.25">
      <c r="B1472" s="17"/>
    </row>
    <row r="1473" spans="2:2" x14ac:dyDescent="0.25">
      <c r="B1473" s="17"/>
    </row>
    <row r="1474" spans="2:2" x14ac:dyDescent="0.25">
      <c r="B1474" s="17"/>
    </row>
    <row r="1475" spans="2:2" x14ac:dyDescent="0.25">
      <c r="B1475" s="17"/>
    </row>
    <row r="1476" spans="2:2" x14ac:dyDescent="0.25">
      <c r="B1476" s="17"/>
    </row>
    <row r="1477" spans="2:2" x14ac:dyDescent="0.25">
      <c r="B1477" s="17"/>
    </row>
    <row r="1478" spans="2:2" x14ac:dyDescent="0.25">
      <c r="B1478" s="17"/>
    </row>
    <row r="1479" spans="2:2" x14ac:dyDescent="0.25">
      <c r="B1479" s="17"/>
    </row>
    <row r="1480" spans="2:2" x14ac:dyDescent="0.25">
      <c r="B1480" s="17"/>
    </row>
    <row r="1481" spans="2:2" x14ac:dyDescent="0.25">
      <c r="B1481" s="17"/>
    </row>
    <row r="1482" spans="2:2" x14ac:dyDescent="0.25">
      <c r="B1482" s="17"/>
    </row>
    <row r="1483" spans="2:2" x14ac:dyDescent="0.25">
      <c r="B1483" s="17"/>
    </row>
    <row r="1484" spans="2:2" x14ac:dyDescent="0.25">
      <c r="B1484" s="17"/>
    </row>
    <row r="1485" spans="2:2" x14ac:dyDescent="0.25">
      <c r="B1485" s="17"/>
    </row>
    <row r="1486" spans="2:2" x14ac:dyDescent="0.25">
      <c r="B1486" s="17"/>
    </row>
    <row r="1487" spans="2:2" x14ac:dyDescent="0.25">
      <c r="B1487" s="17"/>
    </row>
    <row r="1488" spans="2:2" x14ac:dyDescent="0.25">
      <c r="B1488" s="17"/>
    </row>
    <row r="1489" spans="2:2" x14ac:dyDescent="0.25">
      <c r="B1489" s="17"/>
    </row>
    <row r="1490" spans="2:2" x14ac:dyDescent="0.25">
      <c r="B1490" s="17"/>
    </row>
    <row r="1491" spans="2:2" x14ac:dyDescent="0.25">
      <c r="B1491" s="17"/>
    </row>
    <row r="1492" spans="2:2" x14ac:dyDescent="0.25">
      <c r="B1492" s="17"/>
    </row>
    <row r="1493" spans="2:2" x14ac:dyDescent="0.25">
      <c r="B1493" s="17"/>
    </row>
    <row r="1494" spans="2:2" x14ac:dyDescent="0.25">
      <c r="B1494" s="17"/>
    </row>
    <row r="1495" spans="2:2" x14ac:dyDescent="0.25">
      <c r="B1495" s="17"/>
    </row>
    <row r="1496" spans="2:2" x14ac:dyDescent="0.25">
      <c r="B1496" s="17"/>
    </row>
    <row r="1497" spans="2:2" x14ac:dyDescent="0.25">
      <c r="B1497" s="17"/>
    </row>
    <row r="1498" spans="2:2" x14ac:dyDescent="0.25">
      <c r="B1498" s="17"/>
    </row>
    <row r="1499" spans="2:2" x14ac:dyDescent="0.25">
      <c r="B1499" s="17"/>
    </row>
    <row r="1500" spans="2:2" x14ac:dyDescent="0.25">
      <c r="B1500" s="17"/>
    </row>
    <row r="1501" spans="2:2" x14ac:dyDescent="0.25">
      <c r="B1501" s="17"/>
    </row>
    <row r="1502" spans="2:2" x14ac:dyDescent="0.25">
      <c r="B1502" s="17"/>
    </row>
    <row r="1503" spans="2:2" x14ac:dyDescent="0.25">
      <c r="B1503" s="17"/>
    </row>
    <row r="1504" spans="2:2" x14ac:dyDescent="0.25">
      <c r="B1504" s="17"/>
    </row>
    <row r="1505" spans="2:2" x14ac:dyDescent="0.25">
      <c r="B1505" s="17"/>
    </row>
    <row r="1506" spans="2:2" x14ac:dyDescent="0.25">
      <c r="B1506" s="17"/>
    </row>
    <row r="1507" spans="2:2" x14ac:dyDescent="0.25">
      <c r="B1507" s="17"/>
    </row>
    <row r="1508" spans="2:2" x14ac:dyDescent="0.25">
      <c r="B1508" s="17"/>
    </row>
    <row r="1509" spans="2:2" x14ac:dyDescent="0.25">
      <c r="B1509" s="17"/>
    </row>
    <row r="1510" spans="2:2" x14ac:dyDescent="0.25">
      <c r="B1510" s="17"/>
    </row>
    <row r="1511" spans="2:2" x14ac:dyDescent="0.25">
      <c r="B1511" s="17"/>
    </row>
    <row r="1512" spans="2:2" x14ac:dyDescent="0.25">
      <c r="B1512" s="17"/>
    </row>
    <row r="1513" spans="2:2" x14ac:dyDescent="0.25">
      <c r="B1513" s="17"/>
    </row>
    <row r="1514" spans="2:2" x14ac:dyDescent="0.25">
      <c r="B1514" s="17"/>
    </row>
    <row r="1515" spans="2:2" x14ac:dyDescent="0.25">
      <c r="B1515" s="17"/>
    </row>
    <row r="1516" spans="2:2" x14ac:dyDescent="0.25">
      <c r="B1516" s="17"/>
    </row>
    <row r="1517" spans="2:2" x14ac:dyDescent="0.25">
      <c r="B1517" s="17"/>
    </row>
    <row r="1518" spans="2:2" x14ac:dyDescent="0.25">
      <c r="B1518" s="17"/>
    </row>
    <row r="1519" spans="2:2" x14ac:dyDescent="0.25">
      <c r="B1519" s="17"/>
    </row>
    <row r="1520" spans="2:2" x14ac:dyDescent="0.25">
      <c r="B1520" s="17"/>
    </row>
    <row r="1521" spans="2:2" x14ac:dyDescent="0.25">
      <c r="B1521" s="17"/>
    </row>
    <row r="1522" spans="2:2" x14ac:dyDescent="0.25">
      <c r="B1522" s="17"/>
    </row>
    <row r="1523" spans="2:2" x14ac:dyDescent="0.25">
      <c r="B1523" s="17"/>
    </row>
    <row r="1524" spans="2:2" x14ac:dyDescent="0.25">
      <c r="B1524" s="17"/>
    </row>
    <row r="1525" spans="2:2" x14ac:dyDescent="0.25">
      <c r="B1525" s="17"/>
    </row>
    <row r="1526" spans="2:2" x14ac:dyDescent="0.25">
      <c r="B1526" s="17"/>
    </row>
    <row r="1527" spans="2:2" x14ac:dyDescent="0.25">
      <c r="B1527" s="17"/>
    </row>
    <row r="1528" spans="2:2" x14ac:dyDescent="0.25">
      <c r="B1528" s="17"/>
    </row>
    <row r="1529" spans="2:2" x14ac:dyDescent="0.25">
      <c r="B1529" s="17"/>
    </row>
    <row r="1530" spans="2:2" x14ac:dyDescent="0.25">
      <c r="B1530" s="17"/>
    </row>
    <row r="1531" spans="2:2" x14ac:dyDescent="0.25">
      <c r="B1531" s="17"/>
    </row>
    <row r="1532" spans="2:2" x14ac:dyDescent="0.25">
      <c r="B1532" s="17"/>
    </row>
    <row r="1533" spans="2:2" x14ac:dyDescent="0.25">
      <c r="B1533" s="17"/>
    </row>
    <row r="1534" spans="2:2" x14ac:dyDescent="0.25">
      <c r="B1534" s="17"/>
    </row>
    <row r="1535" spans="2:2" x14ac:dyDescent="0.25">
      <c r="B1535" s="17"/>
    </row>
    <row r="1536" spans="2:2" x14ac:dyDescent="0.25">
      <c r="B1536" s="17"/>
    </row>
    <row r="1537" spans="2:2" x14ac:dyDescent="0.25">
      <c r="B1537" s="17"/>
    </row>
    <row r="1538" spans="2:2" x14ac:dyDescent="0.25">
      <c r="B1538" s="17"/>
    </row>
    <row r="1539" spans="2:2" x14ac:dyDescent="0.25">
      <c r="B1539" s="17"/>
    </row>
    <row r="1540" spans="2:2" x14ac:dyDescent="0.25">
      <c r="B1540" s="17"/>
    </row>
    <row r="1541" spans="2:2" x14ac:dyDescent="0.25">
      <c r="B1541" s="17"/>
    </row>
    <row r="1542" spans="2:2" x14ac:dyDescent="0.25">
      <c r="B1542" s="17"/>
    </row>
    <row r="1543" spans="2:2" x14ac:dyDescent="0.25">
      <c r="B1543" s="17"/>
    </row>
    <row r="1544" spans="2:2" x14ac:dyDescent="0.25">
      <c r="B1544" s="17"/>
    </row>
    <row r="1545" spans="2:2" x14ac:dyDescent="0.25">
      <c r="B1545" s="17"/>
    </row>
    <row r="1546" spans="2:2" x14ac:dyDescent="0.25">
      <c r="B1546" s="17"/>
    </row>
    <row r="1547" spans="2:2" x14ac:dyDescent="0.25">
      <c r="B1547" s="17"/>
    </row>
    <row r="1548" spans="2:2" x14ac:dyDescent="0.25">
      <c r="B1548" s="17"/>
    </row>
    <row r="1549" spans="2:2" x14ac:dyDescent="0.25">
      <c r="B1549" s="17"/>
    </row>
    <row r="1550" spans="2:2" x14ac:dyDescent="0.25">
      <c r="B1550" s="17"/>
    </row>
    <row r="1551" spans="2:2" x14ac:dyDescent="0.25">
      <c r="B1551" s="17"/>
    </row>
    <row r="1552" spans="2:2" x14ac:dyDescent="0.25">
      <c r="B1552" s="17"/>
    </row>
    <row r="1553" spans="2:2" x14ac:dyDescent="0.25">
      <c r="B1553" s="17"/>
    </row>
    <row r="1554" spans="2:2" x14ac:dyDescent="0.25">
      <c r="B1554" s="17"/>
    </row>
    <row r="1555" spans="2:2" x14ac:dyDescent="0.25">
      <c r="B1555" s="17"/>
    </row>
    <row r="1556" spans="2:2" x14ac:dyDescent="0.25">
      <c r="B1556" s="17"/>
    </row>
    <row r="1557" spans="2:2" x14ac:dyDescent="0.25">
      <c r="B1557" s="17"/>
    </row>
    <row r="1558" spans="2:2" x14ac:dyDescent="0.25">
      <c r="B1558" s="17"/>
    </row>
    <row r="1559" spans="2:2" x14ac:dyDescent="0.25">
      <c r="B1559" s="17"/>
    </row>
    <row r="1560" spans="2:2" x14ac:dyDescent="0.25">
      <c r="B1560" s="17"/>
    </row>
    <row r="1561" spans="2:2" x14ac:dyDescent="0.25">
      <c r="B1561" s="17"/>
    </row>
    <row r="1562" spans="2:2" x14ac:dyDescent="0.25">
      <c r="B1562" s="17"/>
    </row>
    <row r="1563" spans="2:2" x14ac:dyDescent="0.25">
      <c r="B1563" s="17"/>
    </row>
    <row r="1564" spans="2:2" x14ac:dyDescent="0.25">
      <c r="B1564" s="17"/>
    </row>
    <row r="1565" spans="2:2" x14ac:dyDescent="0.25">
      <c r="B1565" s="17"/>
    </row>
    <row r="1566" spans="2:2" x14ac:dyDescent="0.25">
      <c r="B1566" s="17"/>
    </row>
    <row r="1567" spans="2:2" x14ac:dyDescent="0.25">
      <c r="B1567" s="17"/>
    </row>
    <row r="1568" spans="2:2" x14ac:dyDescent="0.25">
      <c r="B1568" s="17"/>
    </row>
    <row r="1569" spans="2:2" x14ac:dyDescent="0.25">
      <c r="B1569" s="17"/>
    </row>
    <row r="1570" spans="2:2" x14ac:dyDescent="0.25">
      <c r="B1570" s="17"/>
    </row>
    <row r="1571" spans="2:2" x14ac:dyDescent="0.25">
      <c r="B1571" s="17"/>
    </row>
    <row r="1572" spans="2:2" x14ac:dyDescent="0.25">
      <c r="B1572" s="17"/>
    </row>
    <row r="1573" spans="2:2" x14ac:dyDescent="0.25">
      <c r="B1573" s="17"/>
    </row>
    <row r="1574" spans="2:2" x14ac:dyDescent="0.25">
      <c r="B1574" s="17"/>
    </row>
    <row r="1575" spans="2:2" x14ac:dyDescent="0.25">
      <c r="B1575" s="17"/>
    </row>
    <row r="1576" spans="2:2" x14ac:dyDescent="0.25">
      <c r="B1576" s="17"/>
    </row>
    <row r="1577" spans="2:2" x14ac:dyDescent="0.25">
      <c r="B1577" s="17"/>
    </row>
    <row r="1578" spans="2:2" x14ac:dyDescent="0.25">
      <c r="B1578" s="17"/>
    </row>
    <row r="1579" spans="2:2" x14ac:dyDescent="0.25">
      <c r="B1579" s="17"/>
    </row>
    <row r="1580" spans="2:2" x14ac:dyDescent="0.25">
      <c r="B1580" s="17"/>
    </row>
    <row r="1581" spans="2:2" x14ac:dyDescent="0.25">
      <c r="B1581" s="17"/>
    </row>
    <row r="1582" spans="2:2" x14ac:dyDescent="0.25">
      <c r="B1582" s="17"/>
    </row>
    <row r="1583" spans="2:2" x14ac:dyDescent="0.25">
      <c r="B1583" s="17"/>
    </row>
    <row r="1584" spans="2:2" x14ac:dyDescent="0.25">
      <c r="B1584" s="17"/>
    </row>
    <row r="1585" spans="2:2" x14ac:dyDescent="0.25">
      <c r="B1585" s="17"/>
    </row>
    <row r="1586" spans="2:2" x14ac:dyDescent="0.25">
      <c r="B1586" s="17"/>
    </row>
    <row r="1587" spans="2:2" x14ac:dyDescent="0.25">
      <c r="B1587" s="17"/>
    </row>
    <row r="1588" spans="2:2" x14ac:dyDescent="0.25">
      <c r="B1588" s="17"/>
    </row>
    <row r="1589" spans="2:2" x14ac:dyDescent="0.25">
      <c r="B1589" s="17"/>
    </row>
    <row r="1590" spans="2:2" x14ac:dyDescent="0.25">
      <c r="B1590" s="17"/>
    </row>
    <row r="1591" spans="2:2" x14ac:dyDescent="0.25">
      <c r="B1591" s="17"/>
    </row>
    <row r="1592" spans="2:2" x14ac:dyDescent="0.25">
      <c r="B1592" s="17"/>
    </row>
    <row r="1593" spans="2:2" x14ac:dyDescent="0.25">
      <c r="B1593" s="17"/>
    </row>
    <row r="1594" spans="2:2" x14ac:dyDescent="0.25">
      <c r="B1594" s="17"/>
    </row>
    <row r="1595" spans="2:2" x14ac:dyDescent="0.25">
      <c r="B1595" s="17"/>
    </row>
    <row r="1596" spans="2:2" x14ac:dyDescent="0.25">
      <c r="B1596" s="17"/>
    </row>
    <row r="1597" spans="2:2" x14ac:dyDescent="0.25">
      <c r="B1597" s="17"/>
    </row>
    <row r="1598" spans="2:2" x14ac:dyDescent="0.25">
      <c r="B1598" s="17"/>
    </row>
    <row r="1599" spans="2:2" x14ac:dyDescent="0.25">
      <c r="B1599" s="17"/>
    </row>
    <row r="1600" spans="2:2" x14ac:dyDescent="0.25">
      <c r="B1600" s="17"/>
    </row>
    <row r="1601" spans="2:2" x14ac:dyDescent="0.25">
      <c r="B1601" s="17"/>
    </row>
    <row r="1602" spans="2:2" x14ac:dyDescent="0.25">
      <c r="B1602" s="17"/>
    </row>
    <row r="1603" spans="2:2" x14ac:dyDescent="0.25">
      <c r="B1603" s="17"/>
    </row>
    <row r="1604" spans="2:2" x14ac:dyDescent="0.25">
      <c r="B1604" s="17"/>
    </row>
    <row r="1605" spans="2:2" x14ac:dyDescent="0.25">
      <c r="B1605" s="17"/>
    </row>
    <row r="1606" spans="2:2" x14ac:dyDescent="0.25">
      <c r="B1606" s="17"/>
    </row>
    <row r="1607" spans="2:2" x14ac:dyDescent="0.25">
      <c r="B1607" s="17"/>
    </row>
    <row r="1608" spans="2:2" x14ac:dyDescent="0.25">
      <c r="B1608" s="17"/>
    </row>
    <row r="1609" spans="2:2" x14ac:dyDescent="0.25">
      <c r="B1609" s="17"/>
    </row>
    <row r="1610" spans="2:2" x14ac:dyDescent="0.25">
      <c r="B1610" s="17"/>
    </row>
    <row r="1611" spans="2:2" x14ac:dyDescent="0.25">
      <c r="B1611" s="17"/>
    </row>
    <row r="1612" spans="2:2" x14ac:dyDescent="0.25">
      <c r="B1612" s="17"/>
    </row>
    <row r="1613" spans="2:2" x14ac:dyDescent="0.25">
      <c r="B1613" s="17"/>
    </row>
    <row r="1614" spans="2:2" x14ac:dyDescent="0.25">
      <c r="B1614" s="17"/>
    </row>
    <row r="1615" spans="2:2" x14ac:dyDescent="0.25">
      <c r="B1615" s="17"/>
    </row>
    <row r="1616" spans="2:2" x14ac:dyDescent="0.25">
      <c r="B1616" s="17"/>
    </row>
    <row r="1617" spans="2:2" x14ac:dyDescent="0.25">
      <c r="B1617" s="17"/>
    </row>
    <row r="1618" spans="2:2" x14ac:dyDescent="0.25">
      <c r="B1618" s="17"/>
    </row>
    <row r="1619" spans="2:2" x14ac:dyDescent="0.25">
      <c r="B1619" s="17"/>
    </row>
    <row r="1620" spans="2:2" x14ac:dyDescent="0.25">
      <c r="B1620" s="17"/>
    </row>
    <row r="1621" spans="2:2" x14ac:dyDescent="0.25">
      <c r="B1621" s="17"/>
    </row>
    <row r="1622" spans="2:2" x14ac:dyDescent="0.25">
      <c r="B1622" s="17"/>
    </row>
    <row r="1623" spans="2:2" x14ac:dyDescent="0.25">
      <c r="B1623" s="17"/>
    </row>
    <row r="1624" spans="2:2" x14ac:dyDescent="0.25">
      <c r="B1624" s="17"/>
    </row>
    <row r="1625" spans="2:2" x14ac:dyDescent="0.25">
      <c r="B1625" s="17"/>
    </row>
    <row r="1626" spans="2:2" x14ac:dyDescent="0.25">
      <c r="B1626" s="17"/>
    </row>
    <row r="1627" spans="2:2" x14ac:dyDescent="0.25">
      <c r="B1627" s="17"/>
    </row>
    <row r="1628" spans="2:2" x14ac:dyDescent="0.25">
      <c r="B1628" s="17"/>
    </row>
    <row r="1629" spans="2:2" x14ac:dyDescent="0.25">
      <c r="B1629" s="17"/>
    </row>
    <row r="1630" spans="2:2" x14ac:dyDescent="0.25">
      <c r="B1630" s="17"/>
    </row>
    <row r="1631" spans="2:2" x14ac:dyDescent="0.25">
      <c r="B1631" s="17"/>
    </row>
    <row r="1632" spans="2:2" x14ac:dyDescent="0.25">
      <c r="B1632" s="17"/>
    </row>
    <row r="1633" spans="2:2" x14ac:dyDescent="0.25">
      <c r="B1633" s="17"/>
    </row>
    <row r="1634" spans="2:2" x14ac:dyDescent="0.25">
      <c r="B1634" s="17"/>
    </row>
    <row r="1635" spans="2:2" x14ac:dyDescent="0.25">
      <c r="B1635" s="17"/>
    </row>
    <row r="1636" spans="2:2" x14ac:dyDescent="0.25">
      <c r="B1636" s="17"/>
    </row>
    <row r="1637" spans="2:2" x14ac:dyDescent="0.25">
      <c r="B1637" s="17"/>
    </row>
    <row r="1638" spans="2:2" x14ac:dyDescent="0.25">
      <c r="B1638" s="17"/>
    </row>
    <row r="1639" spans="2:2" x14ac:dyDescent="0.25">
      <c r="B1639" s="17"/>
    </row>
    <row r="1640" spans="2:2" x14ac:dyDescent="0.25">
      <c r="B1640" s="17"/>
    </row>
    <row r="1641" spans="2:2" x14ac:dyDescent="0.25">
      <c r="B1641" s="17"/>
    </row>
    <row r="1642" spans="2:2" x14ac:dyDescent="0.25">
      <c r="B1642" s="17"/>
    </row>
    <row r="1643" spans="2:2" x14ac:dyDescent="0.25">
      <c r="B1643" s="17"/>
    </row>
    <row r="1644" spans="2:2" x14ac:dyDescent="0.25">
      <c r="B1644" s="17"/>
    </row>
    <row r="1645" spans="2:2" x14ac:dyDescent="0.25">
      <c r="B1645" s="17"/>
    </row>
    <row r="1646" spans="2:2" x14ac:dyDescent="0.25">
      <c r="B1646" s="17"/>
    </row>
    <row r="1647" spans="2:2" x14ac:dyDescent="0.25">
      <c r="B1647" s="17"/>
    </row>
    <row r="1648" spans="2:2" x14ac:dyDescent="0.25">
      <c r="B1648" s="17"/>
    </row>
    <row r="1649" spans="2:2" x14ac:dyDescent="0.25">
      <c r="B1649" s="17"/>
    </row>
    <row r="1650" spans="2:2" x14ac:dyDescent="0.25">
      <c r="B1650" s="17"/>
    </row>
    <row r="1651" spans="2:2" x14ac:dyDescent="0.25">
      <c r="B1651" s="17"/>
    </row>
    <row r="1652" spans="2:2" x14ac:dyDescent="0.25">
      <c r="B1652" s="17"/>
    </row>
    <row r="1653" spans="2:2" x14ac:dyDescent="0.25">
      <c r="B1653" s="17"/>
    </row>
    <row r="1654" spans="2:2" x14ac:dyDescent="0.25">
      <c r="B1654" s="17"/>
    </row>
    <row r="1655" spans="2:2" x14ac:dyDescent="0.25">
      <c r="B1655" s="17"/>
    </row>
    <row r="1656" spans="2:2" x14ac:dyDescent="0.25">
      <c r="B1656" s="17"/>
    </row>
    <row r="1657" spans="2:2" x14ac:dyDescent="0.25">
      <c r="B1657" s="17"/>
    </row>
    <row r="1658" spans="2:2" x14ac:dyDescent="0.25">
      <c r="B1658" s="17"/>
    </row>
    <row r="1659" spans="2:2" x14ac:dyDescent="0.25">
      <c r="B1659" s="17"/>
    </row>
    <row r="1660" spans="2:2" x14ac:dyDescent="0.25">
      <c r="B1660" s="17"/>
    </row>
    <row r="1661" spans="2:2" x14ac:dyDescent="0.25">
      <c r="B1661" s="17"/>
    </row>
    <row r="1662" spans="2:2" x14ac:dyDescent="0.25">
      <c r="B1662" s="17"/>
    </row>
    <row r="1663" spans="2:2" x14ac:dyDescent="0.25">
      <c r="B1663" s="17"/>
    </row>
    <row r="1664" spans="2:2" x14ac:dyDescent="0.25">
      <c r="B1664" s="17"/>
    </row>
    <row r="1665" spans="2:2" x14ac:dyDescent="0.25">
      <c r="B1665" s="17"/>
    </row>
    <row r="1666" spans="2:2" x14ac:dyDescent="0.25">
      <c r="B1666" s="17"/>
    </row>
    <row r="1667" spans="2:2" x14ac:dyDescent="0.25">
      <c r="B1667" s="17"/>
    </row>
    <row r="1668" spans="2:2" x14ac:dyDescent="0.25">
      <c r="B1668" s="17"/>
    </row>
    <row r="1669" spans="2:2" x14ac:dyDescent="0.25">
      <c r="B1669" s="17"/>
    </row>
    <row r="1670" spans="2:2" x14ac:dyDescent="0.25">
      <c r="B1670" s="17"/>
    </row>
    <row r="1671" spans="2:2" x14ac:dyDescent="0.25">
      <c r="B1671" s="17"/>
    </row>
    <row r="1672" spans="2:2" x14ac:dyDescent="0.25">
      <c r="B1672" s="17"/>
    </row>
    <row r="1673" spans="2:2" x14ac:dyDescent="0.25">
      <c r="B1673" s="17"/>
    </row>
    <row r="1674" spans="2:2" x14ac:dyDescent="0.25">
      <c r="B1674" s="17"/>
    </row>
    <row r="1675" spans="2:2" x14ac:dyDescent="0.25">
      <c r="B1675" s="17"/>
    </row>
    <row r="1676" spans="2:2" x14ac:dyDescent="0.25">
      <c r="B1676" s="17"/>
    </row>
    <row r="1677" spans="2:2" x14ac:dyDescent="0.25">
      <c r="B1677" s="17"/>
    </row>
    <row r="1678" spans="2:2" x14ac:dyDescent="0.25">
      <c r="B1678" s="17"/>
    </row>
    <row r="1679" spans="2:2" x14ac:dyDescent="0.25">
      <c r="B1679" s="17"/>
    </row>
    <row r="1680" spans="2:2" x14ac:dyDescent="0.25">
      <c r="B1680" s="17"/>
    </row>
    <row r="1681" spans="2:2" x14ac:dyDescent="0.25">
      <c r="B1681" s="17"/>
    </row>
    <row r="1682" spans="2:2" x14ac:dyDescent="0.25">
      <c r="B1682" s="17"/>
    </row>
    <row r="1683" spans="2:2" x14ac:dyDescent="0.25">
      <c r="B1683" s="17"/>
    </row>
    <row r="1684" spans="2:2" x14ac:dyDescent="0.25">
      <c r="B1684" s="17"/>
    </row>
    <row r="1685" spans="2:2" x14ac:dyDescent="0.25">
      <c r="B1685" s="17"/>
    </row>
    <row r="1686" spans="2:2" x14ac:dyDescent="0.25">
      <c r="B1686" s="17"/>
    </row>
    <row r="1687" spans="2:2" x14ac:dyDescent="0.25">
      <c r="B1687" s="17"/>
    </row>
    <row r="1688" spans="2:2" x14ac:dyDescent="0.25">
      <c r="B1688" s="17"/>
    </row>
    <row r="1689" spans="2:2" x14ac:dyDescent="0.25">
      <c r="B1689" s="17"/>
    </row>
    <row r="1690" spans="2:2" x14ac:dyDescent="0.25">
      <c r="B1690" s="17"/>
    </row>
    <row r="1691" spans="2:2" x14ac:dyDescent="0.25">
      <c r="B1691" s="17"/>
    </row>
    <row r="1692" spans="2:2" x14ac:dyDescent="0.25">
      <c r="B1692" s="17"/>
    </row>
    <row r="1693" spans="2:2" x14ac:dyDescent="0.25">
      <c r="B1693" s="17"/>
    </row>
    <row r="1694" spans="2:2" x14ac:dyDescent="0.25">
      <c r="B1694" s="17"/>
    </row>
    <row r="1695" spans="2:2" x14ac:dyDescent="0.25">
      <c r="B1695" s="17"/>
    </row>
    <row r="1696" spans="2:2" x14ac:dyDescent="0.25">
      <c r="B1696" s="17"/>
    </row>
    <row r="1697" spans="2:2" x14ac:dyDescent="0.25">
      <c r="B1697" s="17"/>
    </row>
    <row r="1698" spans="2:2" x14ac:dyDescent="0.25">
      <c r="B1698" s="17"/>
    </row>
    <row r="1699" spans="2:2" x14ac:dyDescent="0.25">
      <c r="B1699" s="17"/>
    </row>
    <row r="1700" spans="2:2" x14ac:dyDescent="0.25">
      <c r="B1700" s="17"/>
    </row>
    <row r="1701" spans="2:2" x14ac:dyDescent="0.25">
      <c r="B1701" s="17"/>
    </row>
    <row r="1702" spans="2:2" x14ac:dyDescent="0.25">
      <c r="B1702" s="17"/>
    </row>
    <row r="1703" spans="2:2" x14ac:dyDescent="0.25">
      <c r="B1703" s="17"/>
    </row>
    <row r="1704" spans="2:2" x14ac:dyDescent="0.25">
      <c r="B1704" s="17"/>
    </row>
    <row r="1705" spans="2:2" x14ac:dyDescent="0.25">
      <c r="B1705" s="17"/>
    </row>
    <row r="1706" spans="2:2" x14ac:dyDescent="0.25">
      <c r="B1706" s="17"/>
    </row>
    <row r="1707" spans="2:2" x14ac:dyDescent="0.25">
      <c r="B1707" s="17"/>
    </row>
    <row r="1708" spans="2:2" x14ac:dyDescent="0.25">
      <c r="B1708" s="17"/>
    </row>
    <row r="1709" spans="2:2" x14ac:dyDescent="0.25">
      <c r="B1709" s="17"/>
    </row>
    <row r="1710" spans="2:2" x14ac:dyDescent="0.25">
      <c r="B1710" s="17"/>
    </row>
    <row r="1711" spans="2:2" x14ac:dyDescent="0.25">
      <c r="B1711" s="17"/>
    </row>
    <row r="1712" spans="2:2" x14ac:dyDescent="0.25">
      <c r="B1712" s="17"/>
    </row>
    <row r="1713" spans="2:2" x14ac:dyDescent="0.25">
      <c r="B1713" s="17"/>
    </row>
    <row r="1714" spans="2:2" x14ac:dyDescent="0.25">
      <c r="B1714" s="17"/>
    </row>
    <row r="1715" spans="2:2" x14ac:dyDescent="0.25">
      <c r="B1715" s="17"/>
    </row>
    <row r="1716" spans="2:2" x14ac:dyDescent="0.25">
      <c r="B1716" s="17"/>
    </row>
    <row r="1717" spans="2:2" x14ac:dyDescent="0.25">
      <c r="B1717" s="17"/>
    </row>
    <row r="1718" spans="2:2" x14ac:dyDescent="0.25">
      <c r="B1718" s="17"/>
    </row>
    <row r="1719" spans="2:2" x14ac:dyDescent="0.25">
      <c r="B1719" s="17"/>
    </row>
    <row r="1720" spans="2:2" x14ac:dyDescent="0.25">
      <c r="B1720" s="17"/>
    </row>
    <row r="1721" spans="2:2" x14ac:dyDescent="0.25">
      <c r="B1721" s="17"/>
    </row>
    <row r="1722" spans="2:2" x14ac:dyDescent="0.25">
      <c r="B1722" s="17"/>
    </row>
    <row r="1723" spans="2:2" x14ac:dyDescent="0.25">
      <c r="B1723" s="17"/>
    </row>
    <row r="1724" spans="2:2" x14ac:dyDescent="0.25">
      <c r="B1724" s="17"/>
    </row>
    <row r="1725" spans="2:2" x14ac:dyDescent="0.25">
      <c r="B1725" s="17"/>
    </row>
    <row r="1726" spans="2:2" x14ac:dyDescent="0.25">
      <c r="B1726" s="17"/>
    </row>
    <row r="1727" spans="2:2" x14ac:dyDescent="0.25">
      <c r="B1727" s="17"/>
    </row>
    <row r="1728" spans="2:2" x14ac:dyDescent="0.25">
      <c r="B1728" s="17"/>
    </row>
    <row r="1729" spans="2:2" x14ac:dyDescent="0.25">
      <c r="B1729" s="17"/>
    </row>
    <row r="1730" spans="2:2" x14ac:dyDescent="0.25">
      <c r="B1730" s="17"/>
    </row>
    <row r="1731" spans="2:2" x14ac:dyDescent="0.25">
      <c r="B1731" s="17"/>
    </row>
    <row r="1732" spans="2:2" x14ac:dyDescent="0.25">
      <c r="B1732" s="17"/>
    </row>
    <row r="1733" spans="2:2" x14ac:dyDescent="0.25">
      <c r="B1733" s="17"/>
    </row>
    <row r="1734" spans="2:2" x14ac:dyDescent="0.25">
      <c r="B1734" s="17"/>
    </row>
    <row r="1735" spans="2:2" x14ac:dyDescent="0.25">
      <c r="B1735" s="17"/>
    </row>
    <row r="1736" spans="2:2" x14ac:dyDescent="0.25">
      <c r="B1736" s="17"/>
    </row>
    <row r="1737" spans="2:2" x14ac:dyDescent="0.25">
      <c r="B1737" s="17"/>
    </row>
    <row r="1738" spans="2:2" x14ac:dyDescent="0.25">
      <c r="B1738" s="17"/>
    </row>
    <row r="1739" spans="2:2" x14ac:dyDescent="0.25">
      <c r="B1739" s="17"/>
    </row>
    <row r="1740" spans="2:2" x14ac:dyDescent="0.25">
      <c r="B1740" s="17"/>
    </row>
    <row r="1741" spans="2:2" x14ac:dyDescent="0.25">
      <c r="B1741" s="17"/>
    </row>
    <row r="1742" spans="2:2" x14ac:dyDescent="0.25">
      <c r="B1742" s="17"/>
    </row>
    <row r="1743" spans="2:2" x14ac:dyDescent="0.25">
      <c r="B1743" s="17"/>
    </row>
    <row r="1744" spans="2:2" x14ac:dyDescent="0.25">
      <c r="B1744" s="17"/>
    </row>
    <row r="1745" spans="2:2" x14ac:dyDescent="0.25">
      <c r="B1745" s="17"/>
    </row>
    <row r="1746" spans="2:2" x14ac:dyDescent="0.25">
      <c r="B1746" s="17"/>
    </row>
    <row r="1747" spans="2:2" x14ac:dyDescent="0.25">
      <c r="B1747" s="17"/>
    </row>
    <row r="1748" spans="2:2" x14ac:dyDescent="0.25">
      <c r="B1748" s="17"/>
    </row>
    <row r="1749" spans="2:2" x14ac:dyDescent="0.25">
      <c r="B1749" s="17"/>
    </row>
    <row r="1750" spans="2:2" x14ac:dyDescent="0.25">
      <c r="B1750" s="17"/>
    </row>
    <row r="1751" spans="2:2" x14ac:dyDescent="0.25">
      <c r="B1751" s="17"/>
    </row>
    <row r="1752" spans="2:2" x14ac:dyDescent="0.25">
      <c r="B1752" s="17"/>
    </row>
    <row r="1753" spans="2:2" x14ac:dyDescent="0.25">
      <c r="B1753" s="17"/>
    </row>
    <row r="1754" spans="2:2" x14ac:dyDescent="0.25">
      <c r="B1754" s="17"/>
    </row>
    <row r="1755" spans="2:2" x14ac:dyDescent="0.25">
      <c r="B1755" s="17"/>
    </row>
    <row r="1756" spans="2:2" x14ac:dyDescent="0.25">
      <c r="B1756" s="17"/>
    </row>
    <row r="1757" spans="2:2" x14ac:dyDescent="0.25">
      <c r="B1757" s="17"/>
    </row>
    <row r="1758" spans="2:2" x14ac:dyDescent="0.25">
      <c r="B1758" s="17"/>
    </row>
    <row r="1759" spans="2:2" x14ac:dyDescent="0.25">
      <c r="B1759" s="17"/>
    </row>
    <row r="1760" spans="2:2" x14ac:dyDescent="0.25">
      <c r="B1760" s="17"/>
    </row>
    <row r="1761" spans="2:2" x14ac:dyDescent="0.25">
      <c r="B1761" s="17"/>
    </row>
    <row r="1762" spans="2:2" x14ac:dyDescent="0.25">
      <c r="B1762" s="17"/>
    </row>
    <row r="1763" spans="2:2" x14ac:dyDescent="0.25">
      <c r="B1763" s="17"/>
    </row>
    <row r="1764" spans="2:2" x14ac:dyDescent="0.25">
      <c r="B1764" s="17"/>
    </row>
    <row r="1765" spans="2:2" x14ac:dyDescent="0.25">
      <c r="B1765" s="17"/>
    </row>
    <row r="1766" spans="2:2" x14ac:dyDescent="0.25">
      <c r="B1766" s="17"/>
    </row>
    <row r="1767" spans="2:2" x14ac:dyDescent="0.25">
      <c r="B1767" s="17"/>
    </row>
    <row r="1768" spans="2:2" x14ac:dyDescent="0.25">
      <c r="B1768" s="17"/>
    </row>
    <row r="1769" spans="2:2" x14ac:dyDescent="0.25">
      <c r="B1769" s="17"/>
    </row>
    <row r="1770" spans="2:2" x14ac:dyDescent="0.25">
      <c r="B1770" s="17"/>
    </row>
    <row r="1771" spans="2:2" x14ac:dyDescent="0.25">
      <c r="B1771" s="17"/>
    </row>
    <row r="1772" spans="2:2" x14ac:dyDescent="0.25">
      <c r="B1772" s="17"/>
    </row>
    <row r="1773" spans="2:2" x14ac:dyDescent="0.25">
      <c r="B1773" s="17"/>
    </row>
    <row r="1774" spans="2:2" x14ac:dyDescent="0.25">
      <c r="B1774" s="17"/>
    </row>
    <row r="1775" spans="2:2" x14ac:dyDescent="0.25">
      <c r="B1775" s="17"/>
    </row>
    <row r="1776" spans="2:2" x14ac:dyDescent="0.25">
      <c r="B1776" s="17"/>
    </row>
    <row r="1777" spans="2:2" x14ac:dyDescent="0.25">
      <c r="B1777" s="17"/>
    </row>
    <row r="1778" spans="2:2" x14ac:dyDescent="0.25">
      <c r="B1778" s="17"/>
    </row>
    <row r="1779" spans="2:2" x14ac:dyDescent="0.25">
      <c r="B1779" s="17"/>
    </row>
    <row r="1780" spans="2:2" x14ac:dyDescent="0.25">
      <c r="B1780" s="17"/>
    </row>
    <row r="1781" spans="2:2" x14ac:dyDescent="0.25">
      <c r="B1781" s="17"/>
    </row>
    <row r="1782" spans="2:2" x14ac:dyDescent="0.25">
      <c r="B1782" s="17"/>
    </row>
    <row r="1783" spans="2:2" x14ac:dyDescent="0.25">
      <c r="B1783" s="17"/>
    </row>
    <row r="1784" spans="2:2" x14ac:dyDescent="0.25">
      <c r="B1784" s="17"/>
    </row>
    <row r="1785" spans="2:2" x14ac:dyDescent="0.25">
      <c r="B1785" s="17"/>
    </row>
    <row r="1786" spans="2:2" x14ac:dyDescent="0.25">
      <c r="B1786" s="17"/>
    </row>
    <row r="1787" spans="2:2" x14ac:dyDescent="0.25">
      <c r="B1787" s="17"/>
    </row>
    <row r="1788" spans="2:2" x14ac:dyDescent="0.25">
      <c r="B1788" s="17"/>
    </row>
    <row r="1789" spans="2:2" x14ac:dyDescent="0.25">
      <c r="B1789" s="17"/>
    </row>
    <row r="1790" spans="2:2" x14ac:dyDescent="0.25">
      <c r="B1790" s="17"/>
    </row>
    <row r="1791" spans="2:2" x14ac:dyDescent="0.25">
      <c r="B1791" s="17"/>
    </row>
    <row r="1792" spans="2:2" x14ac:dyDescent="0.25">
      <c r="B1792" s="17"/>
    </row>
    <row r="1793" spans="2:2" x14ac:dyDescent="0.25">
      <c r="B1793" s="17"/>
    </row>
    <row r="1794" spans="2:2" x14ac:dyDescent="0.25">
      <c r="B1794" s="17"/>
    </row>
    <row r="1795" spans="2:2" x14ac:dyDescent="0.25">
      <c r="B1795" s="17"/>
    </row>
    <row r="1796" spans="2:2" x14ac:dyDescent="0.25">
      <c r="B1796" s="17"/>
    </row>
    <row r="1797" spans="2:2" x14ac:dyDescent="0.25">
      <c r="B1797" s="17"/>
    </row>
    <row r="1798" spans="2:2" x14ac:dyDescent="0.25">
      <c r="B1798" s="17"/>
    </row>
    <row r="1799" spans="2:2" x14ac:dyDescent="0.25">
      <c r="B1799" s="17"/>
    </row>
    <row r="1800" spans="2:2" x14ac:dyDescent="0.25">
      <c r="B1800" s="17"/>
    </row>
    <row r="1801" spans="2:2" x14ac:dyDescent="0.25">
      <c r="B1801" s="17"/>
    </row>
    <row r="1802" spans="2:2" x14ac:dyDescent="0.25">
      <c r="B1802" s="17"/>
    </row>
    <row r="1803" spans="2:2" x14ac:dyDescent="0.25">
      <c r="B1803" s="17"/>
    </row>
    <row r="1804" spans="2:2" x14ac:dyDescent="0.25">
      <c r="B1804" s="17"/>
    </row>
    <row r="1805" spans="2:2" x14ac:dyDescent="0.25">
      <c r="B1805" s="17"/>
    </row>
    <row r="1806" spans="2:2" x14ac:dyDescent="0.25">
      <c r="B1806" s="17"/>
    </row>
    <row r="1807" spans="2:2" x14ac:dyDescent="0.25">
      <c r="B1807" s="17"/>
    </row>
    <row r="1808" spans="2:2" x14ac:dyDescent="0.25">
      <c r="B1808" s="17"/>
    </row>
    <row r="1809" spans="2:2" x14ac:dyDescent="0.25">
      <c r="B1809" s="17"/>
    </row>
    <row r="1810" spans="2:2" x14ac:dyDescent="0.25">
      <c r="B1810" s="17"/>
    </row>
    <row r="1811" spans="2:2" x14ac:dyDescent="0.25">
      <c r="B1811" s="17"/>
    </row>
    <row r="1812" spans="2:2" x14ac:dyDescent="0.25">
      <c r="B1812" s="17"/>
    </row>
    <row r="1813" spans="2:2" x14ac:dyDescent="0.25">
      <c r="B1813" s="17"/>
    </row>
    <row r="1814" spans="2:2" x14ac:dyDescent="0.25">
      <c r="B1814" s="17"/>
    </row>
    <row r="1815" spans="2:2" x14ac:dyDescent="0.25">
      <c r="B1815" s="17"/>
    </row>
    <row r="1816" spans="2:2" x14ac:dyDescent="0.25">
      <c r="B1816" s="17"/>
    </row>
  </sheetData>
  <autoFilter ref="A1:G395" xr:uid="{85C93E3C-4684-4B94-9E4D-CFD1E41590C8}"/>
  <conditionalFormatting sqref="B2:B113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{06339AB0-961A-42CF-8868-C2E50B5B3880}</x14:id>
        </ext>
      </extLst>
    </cfRule>
  </conditionalFormatting>
  <conditionalFormatting sqref="B1142:B18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{8EB30606-9412-445F-858B-D4901572EEF6}</x14:id>
        </ext>
      </extLst>
    </cfRule>
  </conditionalFormatting>
  <pageMargins left="0.7" right="0.7" top="0.75" bottom="0.75" header="0.3" footer="0.3"/>
  <pageSetup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339AB0-961A-42CF-8868-C2E50B5B38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B2:B1139</xm:sqref>
        </x14:conditionalFormatting>
        <x14:conditionalFormatting xmlns:xm="http://schemas.microsoft.com/office/excel/2006/main">
          <x14:cfRule type="dataBar" id="{8EB30606-9412-445F-858B-D4901572EEF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B1142:B1816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5DB0-A495-4361-8F9A-BF1064B7F589}">
  <dimension ref="A1:Y1816"/>
  <sheetViews>
    <sheetView topLeftCell="G166" zoomScale="70" zoomScaleNormal="70" workbookViewId="0">
      <selection activeCell="S212" activeCellId="10" sqref="S103:V103 S114:V114 S125:V125 S136:V136 S147:V147 S158:V158 S169:V169 S180:V180 S191:V191 S201:V201 S212:V212 S222:V222"/>
      <pivotSelection pane="bottomRight" showHeader="1" extendable="1" axis="axisRow" dimension="1" start="114" min="108" max="119" activeRow="211" activeCol="18" previousRow="211" previousCol="18" click="1" r:id="rId2">
        <pivotArea dataOnly="0" fieldPosition="0">
          <references count="1">
            <reference field="4" count="1">
              <x v="5"/>
            </reference>
          </references>
        </pivotArea>
      </pivotSelection>
    </sheetView>
  </sheetViews>
  <sheetFormatPr defaultRowHeight="15" x14ac:dyDescent="0.25"/>
  <cols>
    <col min="1" max="1" width="15" customWidth="1"/>
    <col min="9" max="9" width="15.42578125" customWidth="1"/>
    <col min="14" max="14" width="19.140625" bestFit="1" customWidth="1"/>
    <col min="15" max="15" width="21.7109375" style="14" bestFit="1" customWidth="1"/>
    <col min="16" max="16" width="13" style="14" bestFit="1" customWidth="1"/>
    <col min="17" max="17" width="15" style="14" bestFit="1" customWidth="1"/>
    <col min="18" max="18" width="17.7109375" bestFit="1" customWidth="1"/>
    <col min="19" max="19" width="17.85546875" bestFit="1" customWidth="1"/>
    <col min="20" max="20" width="23.85546875" bestFit="1" customWidth="1"/>
    <col min="21" max="21" width="22.5703125" bestFit="1" customWidth="1"/>
    <col min="22" max="22" width="24" bestFit="1" customWidth="1"/>
    <col min="23" max="23" width="24" customWidth="1"/>
    <col min="24" max="24" width="22.85546875" bestFit="1" customWidth="1"/>
    <col min="25" max="25" width="17.7109375" bestFit="1" customWidth="1"/>
    <col min="26" max="26" width="18.85546875" bestFit="1" customWidth="1"/>
    <col min="27" max="28" width="17.7109375" bestFit="1" customWidth="1"/>
    <col min="29" max="29" width="18.85546875" bestFit="1" customWidth="1"/>
    <col min="30" max="30" width="17.42578125" bestFit="1" customWidth="1"/>
    <col min="31" max="31" width="17.7109375" bestFit="1" customWidth="1"/>
    <col min="32" max="32" width="18.85546875" bestFit="1" customWidth="1"/>
    <col min="33" max="34" width="17.7109375" bestFit="1" customWidth="1"/>
    <col min="35" max="39" width="18.85546875" bestFit="1" customWidth="1"/>
    <col min="40" max="41" width="17.7109375" bestFit="1" customWidth="1"/>
    <col min="42" max="43" width="18.85546875" bestFit="1" customWidth="1"/>
    <col min="44" max="47" width="17.7109375" bestFit="1" customWidth="1"/>
    <col min="48" max="48" width="18.85546875" bestFit="1" customWidth="1"/>
    <col min="49" max="56" width="17.7109375" bestFit="1" customWidth="1"/>
    <col min="57" max="58" width="18.85546875" bestFit="1" customWidth="1"/>
    <col min="59" max="61" width="17.7109375" bestFit="1" customWidth="1"/>
    <col min="62" max="63" width="18.85546875" bestFit="1" customWidth="1"/>
    <col min="64" max="65" width="16" bestFit="1" customWidth="1"/>
    <col min="66" max="76" width="17.7109375" bestFit="1" customWidth="1"/>
    <col min="77" max="78" width="16" bestFit="1" customWidth="1"/>
    <col min="79" max="79" width="13" bestFit="1" customWidth="1"/>
    <col min="80" max="80" width="13.85546875" bestFit="1" customWidth="1"/>
    <col min="81" max="94" width="17.7109375" bestFit="1" customWidth="1"/>
    <col min="95" max="96" width="18.85546875" bestFit="1" customWidth="1"/>
    <col min="97" max="100" width="17.7109375" bestFit="1" customWidth="1"/>
    <col min="101" max="102" width="18.85546875" bestFit="1" customWidth="1"/>
    <col min="103" max="107" width="17.7109375" bestFit="1" customWidth="1"/>
    <col min="108" max="109" width="17.42578125" bestFit="1" customWidth="1"/>
    <col min="110" max="116" width="18.85546875" bestFit="1" customWidth="1"/>
    <col min="117" max="118" width="17.7109375" bestFit="1" customWidth="1"/>
    <col min="119" max="120" width="18.85546875" bestFit="1" customWidth="1"/>
    <col min="121" max="122" width="17.7109375" bestFit="1" customWidth="1"/>
    <col min="123" max="123" width="18.85546875" bestFit="1" customWidth="1"/>
    <col min="124" max="129" width="17.7109375" bestFit="1" customWidth="1"/>
    <col min="130" max="131" width="18.85546875" bestFit="1" customWidth="1"/>
    <col min="132" max="132" width="17.7109375" bestFit="1" customWidth="1"/>
    <col min="133" max="134" width="18.85546875" bestFit="1" customWidth="1"/>
    <col min="135" max="142" width="17.7109375" bestFit="1" customWidth="1"/>
  </cols>
  <sheetData>
    <row r="1" spans="1:17" x14ac:dyDescent="0.25">
      <c r="A1" t="s">
        <v>84</v>
      </c>
      <c r="B1" t="s">
        <v>86</v>
      </c>
      <c r="C1" t="s">
        <v>88</v>
      </c>
      <c r="D1" t="s">
        <v>172</v>
      </c>
      <c r="E1" t="s">
        <v>173</v>
      </c>
      <c r="F1" t="s">
        <v>21</v>
      </c>
      <c r="G1" t="s">
        <v>164</v>
      </c>
      <c r="J1" t="s">
        <v>90</v>
      </c>
      <c r="K1" t="s">
        <v>89</v>
      </c>
    </row>
    <row r="2" spans="1:17" x14ac:dyDescent="0.25">
      <c r="A2" s="28">
        <v>44848</v>
      </c>
      <c r="B2" s="17">
        <v>-7.1118769999999997E-4</v>
      </c>
      <c r="C2" t="str">
        <f t="shared" ref="C2" si="0">IF(B2&gt;0,"Green","Red")</f>
        <v>Red</v>
      </c>
      <c r="D2">
        <f>VLOOKUP(A2,Recession!$A$1:$C$395,3,FALSE)</f>
        <v>32.020000000000003</v>
      </c>
      <c r="E2">
        <f>IF(D2&gt;28.95,10,IF(D2&gt;24.46,9,IF(D2&gt;21.81,8,IF(D2&gt;19.71,7,IF(D2&gt;17.73,6,IF(D2&gt;16.13,5,IF(D2&gt;14.61,4,IF(D2&gt;13.19,3,IF(D2&gt;12.04,2,1)))))))))</f>
        <v>10</v>
      </c>
      <c r="F2">
        <f>IF(B2&gt;0,1,0)</f>
        <v>0</v>
      </c>
      <c r="G2">
        <f>MONTH(A2)</f>
        <v>10</v>
      </c>
    </row>
    <row r="3" spans="1:17" x14ac:dyDescent="0.25">
      <c r="A3" s="28">
        <v>44834</v>
      </c>
      <c r="B3" s="17">
        <v>-9.339567E-2</v>
      </c>
      <c r="C3" t="str">
        <f t="shared" ref="C3:C66" si="1">IF(B3&gt;0,"Green","Red")</f>
        <v>Red</v>
      </c>
      <c r="D3">
        <f>VLOOKUP(A3,Recession!$A$1:$C$395,3,FALSE)</f>
        <v>26.299999</v>
      </c>
      <c r="E3">
        <f>IF(D3&gt;28.95,10,IF(D3&gt;24.46,9,IF(D3&gt;21.81,8,IF(D3&gt;19.71,7,IF(D3&gt;17.73,6,IF(D3&gt;16.13,5,IF(D3&gt;14.61,4,IF(D3&gt;13.19,3,IF(D3&gt;12.04,2,1)))))))))</f>
        <v>9</v>
      </c>
      <c r="F3">
        <f>IF(B3&gt;0,1,0)</f>
        <v>0</v>
      </c>
      <c r="G3">
        <f>MONTH(A3)</f>
        <v>9</v>
      </c>
      <c r="I3" t="s">
        <v>27</v>
      </c>
      <c r="J3">
        <v>2.2000000000000002</v>
      </c>
      <c r="K3">
        <v>1.2</v>
      </c>
    </row>
    <row r="4" spans="1:17" x14ac:dyDescent="0.25">
      <c r="A4" s="28">
        <v>44804</v>
      </c>
      <c r="B4" s="17">
        <v>-4.2440128258508597E-2</v>
      </c>
      <c r="C4" t="str">
        <f t="shared" si="1"/>
        <v>Red</v>
      </c>
      <c r="D4">
        <f>VLOOKUP(A4,Recession!$A$1:$C$395,3,FALSE)</f>
        <v>25.870000999999998</v>
      </c>
      <c r="E4">
        <f t="shared" ref="E4:E67" si="2">IF(D4&gt;28.95,10,IF(D4&gt;24.46,9,IF(D4&gt;21.81,8,IF(D4&gt;19.71,7,IF(D4&gt;17.73,6,IF(D4&gt;16.13,5,IF(D4&gt;14.61,4,IF(D4&gt;13.19,3,IF(D4&gt;12.04,2,1)))))))))</f>
        <v>9</v>
      </c>
      <c r="F4">
        <f t="shared" ref="F4:F67" si="3">IF(B4&gt;0,1,0)</f>
        <v>0</v>
      </c>
      <c r="G4">
        <f t="shared" ref="G4:G67" si="4">MONTH(A4)</f>
        <v>8</v>
      </c>
      <c r="I4" t="s">
        <v>26</v>
      </c>
      <c r="J4">
        <v>2</v>
      </c>
      <c r="K4">
        <v>1</v>
      </c>
      <c r="N4" s="29" t="s">
        <v>109</v>
      </c>
      <c r="O4" s="36" t="s">
        <v>108</v>
      </c>
      <c r="P4" s="21"/>
      <c r="Q4" s="21"/>
    </row>
    <row r="5" spans="1:17" x14ac:dyDescent="0.25">
      <c r="A5" s="28">
        <v>44771</v>
      </c>
      <c r="B5" s="17">
        <v>9.1116391659653406E-2</v>
      </c>
      <c r="C5" t="str">
        <f t="shared" si="1"/>
        <v>Green</v>
      </c>
      <c r="D5">
        <f>VLOOKUP(A5,Recession!$A$1:$C$395,3,FALSE)</f>
        <v>21.33</v>
      </c>
      <c r="E5">
        <f t="shared" si="2"/>
        <v>7</v>
      </c>
      <c r="F5">
        <f t="shared" si="3"/>
        <v>1</v>
      </c>
      <c r="G5">
        <f t="shared" si="4"/>
        <v>7</v>
      </c>
      <c r="I5" t="s">
        <v>25</v>
      </c>
      <c r="J5">
        <v>2.6</v>
      </c>
      <c r="K5">
        <v>1.8</v>
      </c>
      <c r="N5" s="29" t="s">
        <v>91</v>
      </c>
      <c r="O5" s="21" t="s">
        <v>90</v>
      </c>
      <c r="P5" s="21" t="s">
        <v>89</v>
      </c>
      <c r="Q5" s="21" t="s">
        <v>92</v>
      </c>
    </row>
    <row r="6" spans="1:17" x14ac:dyDescent="0.25">
      <c r="A6" s="28">
        <v>44742</v>
      </c>
      <c r="B6" s="17">
        <v>-8.3919999812243101E-2</v>
      </c>
      <c r="C6" t="str">
        <f t="shared" si="1"/>
        <v>Red</v>
      </c>
      <c r="D6">
        <f>VLOOKUP(A6,Recession!$A$1:$C$395,3,FALSE)</f>
        <v>28.709999</v>
      </c>
      <c r="E6">
        <f t="shared" si="2"/>
        <v>9</v>
      </c>
      <c r="F6">
        <f t="shared" si="3"/>
        <v>0</v>
      </c>
      <c r="G6">
        <f t="shared" si="4"/>
        <v>6</v>
      </c>
      <c r="I6" s="17" t="s">
        <v>76</v>
      </c>
      <c r="J6" s="17">
        <v>0.1455939</v>
      </c>
      <c r="K6" s="17">
        <v>0.19465650000000001</v>
      </c>
      <c r="N6" s="30" t="s">
        <v>138</v>
      </c>
      <c r="O6" s="21">
        <v>0.29352482880987218</v>
      </c>
      <c r="P6" s="21">
        <v>-0.2808958250957071</v>
      </c>
      <c r="Q6" s="21">
        <v>1.2629003714165109E-2</v>
      </c>
    </row>
    <row r="7" spans="1:17" x14ac:dyDescent="0.25">
      <c r="A7" s="28">
        <v>44712</v>
      </c>
      <c r="B7" s="17">
        <v>5.3177568506868103E-5</v>
      </c>
      <c r="C7" t="str">
        <f t="shared" si="1"/>
        <v>Green</v>
      </c>
      <c r="D7">
        <f>VLOOKUP(A7,Recession!$A$1:$C$395,3,FALSE)</f>
        <v>26.190000999999999</v>
      </c>
      <c r="E7">
        <f t="shared" si="2"/>
        <v>9</v>
      </c>
      <c r="F7">
        <f t="shared" si="3"/>
        <v>1</v>
      </c>
      <c r="G7">
        <f t="shared" si="4"/>
        <v>5</v>
      </c>
      <c r="I7" s="17" t="s">
        <v>133</v>
      </c>
      <c r="J7" s="17">
        <v>7.6628349999999998E-2</v>
      </c>
      <c r="K7" s="17">
        <v>4.1984729999999998E-2</v>
      </c>
      <c r="N7" s="32" t="s">
        <v>122</v>
      </c>
      <c r="O7" s="21"/>
      <c r="P7" s="21">
        <v>-4.05228758169935E-2</v>
      </c>
      <c r="Q7" s="21">
        <v>-4.05228758169935E-2</v>
      </c>
    </row>
    <row r="8" spans="1:17" x14ac:dyDescent="0.25">
      <c r="A8" s="28">
        <v>44680</v>
      </c>
      <c r="B8" s="17">
        <v>-8.7956711705729301E-2</v>
      </c>
      <c r="C8" t="str">
        <f t="shared" si="1"/>
        <v>Red</v>
      </c>
      <c r="D8">
        <f>VLOOKUP(A8,Recession!$A$1:$C$395,3,FALSE)</f>
        <v>33.400002000000001</v>
      </c>
      <c r="E8">
        <f t="shared" si="2"/>
        <v>10</v>
      </c>
      <c r="F8">
        <f t="shared" si="3"/>
        <v>0</v>
      </c>
      <c r="G8">
        <f t="shared" si="4"/>
        <v>4</v>
      </c>
      <c r="I8" t="s">
        <v>78</v>
      </c>
      <c r="J8" s="17">
        <v>0.2183908</v>
      </c>
      <c r="K8" s="17">
        <v>0.19465650000000001</v>
      </c>
      <c r="N8" s="32" t="s">
        <v>123</v>
      </c>
      <c r="O8" s="21"/>
      <c r="P8" s="21">
        <v>-5.1089918256130698E-2</v>
      </c>
      <c r="Q8" s="21">
        <v>-5.1089918256130698E-2</v>
      </c>
    </row>
    <row r="9" spans="1:17" x14ac:dyDescent="0.25">
      <c r="A9" s="28">
        <v>44651</v>
      </c>
      <c r="B9" s="17">
        <v>3.5773288410591901E-2</v>
      </c>
      <c r="C9" t="str">
        <f t="shared" si="1"/>
        <v>Green</v>
      </c>
      <c r="D9">
        <f>VLOOKUP(A9,Recession!$A$1:$C$395,3,FALSE)</f>
        <v>20.559999000000001</v>
      </c>
      <c r="E9">
        <f t="shared" si="2"/>
        <v>7</v>
      </c>
      <c r="F9">
        <f t="shared" si="3"/>
        <v>1</v>
      </c>
      <c r="G9">
        <f t="shared" si="4"/>
        <v>3</v>
      </c>
      <c r="I9" t="s">
        <v>152</v>
      </c>
      <c r="J9" s="17">
        <v>0.1455939</v>
      </c>
      <c r="K9" s="17">
        <v>8.3969470000000004E-2</v>
      </c>
      <c r="N9" s="32" t="s">
        <v>124</v>
      </c>
      <c r="O9" s="21">
        <v>8.2555635319454507E-2</v>
      </c>
      <c r="P9" s="21"/>
      <c r="Q9" s="21">
        <v>8.2555635319454507E-2</v>
      </c>
    </row>
    <row r="10" spans="1:17" x14ac:dyDescent="0.25">
      <c r="A10" s="28">
        <v>44620</v>
      </c>
      <c r="B10" s="17">
        <v>-3.1360492102910101E-2</v>
      </c>
      <c r="C10" t="str">
        <f t="shared" si="1"/>
        <v>Red</v>
      </c>
      <c r="D10">
        <f>VLOOKUP(A10,Recession!$A$1:$C$395,3,FALSE)</f>
        <v>30.15</v>
      </c>
      <c r="E10">
        <f t="shared" si="2"/>
        <v>10</v>
      </c>
      <c r="F10">
        <f t="shared" si="3"/>
        <v>0</v>
      </c>
      <c r="G10">
        <f t="shared" si="4"/>
        <v>2</v>
      </c>
      <c r="I10" t="s">
        <v>157</v>
      </c>
      <c r="J10" s="17">
        <v>3.7219364891055741E-2</v>
      </c>
      <c r="K10" s="23">
        <v>-3.9228379945631275E-2</v>
      </c>
      <c r="N10" s="32" t="s">
        <v>125</v>
      </c>
      <c r="O10" s="21">
        <v>2.6525198938992099E-2</v>
      </c>
      <c r="P10" s="21"/>
      <c r="Q10" s="21">
        <v>2.6525198938992099E-2</v>
      </c>
    </row>
    <row r="11" spans="1:17" x14ac:dyDescent="0.25">
      <c r="A11" s="28">
        <v>44592</v>
      </c>
      <c r="B11" s="17">
        <v>-5.2585165005310602E-2</v>
      </c>
      <c r="C11" t="str">
        <f t="shared" si="1"/>
        <v>Red</v>
      </c>
      <c r="D11">
        <f>VLOOKUP(A11,Recession!$A$1:$C$395,3,FALSE)</f>
        <v>24.83</v>
      </c>
      <c r="E11">
        <f t="shared" si="2"/>
        <v>9</v>
      </c>
      <c r="F11">
        <f t="shared" si="3"/>
        <v>0</v>
      </c>
      <c r="G11">
        <f t="shared" si="4"/>
        <v>1</v>
      </c>
      <c r="I11" t="s">
        <v>26</v>
      </c>
      <c r="J11" s="17">
        <v>3.0688978344087799E-2</v>
      </c>
      <c r="K11" s="23">
        <v>-2.7150915654315301E-2</v>
      </c>
      <c r="N11" s="32" t="s">
        <v>126</v>
      </c>
      <c r="O11" s="21">
        <v>7.8165439276485699E-2</v>
      </c>
      <c r="P11" s="21"/>
      <c r="Q11" s="21">
        <v>7.8165439276485699E-2</v>
      </c>
    </row>
    <row r="12" spans="1:17" x14ac:dyDescent="0.25">
      <c r="A12" s="28">
        <v>44561</v>
      </c>
      <c r="B12" s="17">
        <v>4.3612913509962797E-2</v>
      </c>
      <c r="C12" t="str">
        <f t="shared" si="1"/>
        <v>Green</v>
      </c>
      <c r="D12">
        <f>VLOOKUP(A12,Recession!$A$1:$C$395,3,FALSE)</f>
        <v>17.219999000000001</v>
      </c>
      <c r="E12">
        <f t="shared" si="2"/>
        <v>5</v>
      </c>
      <c r="F12">
        <f t="shared" si="3"/>
        <v>1</v>
      </c>
      <c r="G12">
        <f t="shared" si="4"/>
        <v>12</v>
      </c>
      <c r="I12" t="s">
        <v>27</v>
      </c>
      <c r="J12" s="17">
        <v>3.6934777772802192E-2</v>
      </c>
      <c r="K12" s="23">
        <v>4.0609143290987325E-2</v>
      </c>
      <c r="N12" s="32" t="s">
        <v>127</v>
      </c>
      <c r="O12" s="21">
        <v>2.9957457761686799E-3</v>
      </c>
      <c r="P12" s="21"/>
      <c r="Q12" s="21">
        <v>2.9957457761686799E-3</v>
      </c>
    </row>
    <row r="13" spans="1:17" x14ac:dyDescent="0.25">
      <c r="A13" s="28">
        <v>44530</v>
      </c>
      <c r="B13" s="17">
        <v>-8.3337062251199693E-3</v>
      </c>
      <c r="C13" t="str">
        <f t="shared" si="1"/>
        <v>Red</v>
      </c>
      <c r="D13">
        <f>VLOOKUP(A13,Recession!$A$1:$C$395,3,FALSE)</f>
        <v>27.190000999999999</v>
      </c>
      <c r="E13">
        <f t="shared" si="2"/>
        <v>9</v>
      </c>
      <c r="F13">
        <f t="shared" si="3"/>
        <v>0</v>
      </c>
      <c r="G13">
        <f t="shared" si="4"/>
        <v>11</v>
      </c>
      <c r="N13" s="32" t="s">
        <v>128</v>
      </c>
      <c r="O13" s="21"/>
      <c r="P13" s="21">
        <v>-5.3166069295101502E-2</v>
      </c>
      <c r="Q13" s="21">
        <v>-5.3166069295101502E-2</v>
      </c>
    </row>
    <row r="14" spans="1:17" x14ac:dyDescent="0.25">
      <c r="A14" s="28">
        <v>44498</v>
      </c>
      <c r="B14" s="17">
        <v>6.9143836459647501E-2</v>
      </c>
      <c r="C14" t="str">
        <f t="shared" si="1"/>
        <v>Green</v>
      </c>
      <c r="D14">
        <f>VLOOKUP(A14,Recession!$A$1:$C$395,3,FALSE)</f>
        <v>16.260000000000002</v>
      </c>
      <c r="E14">
        <f t="shared" si="2"/>
        <v>5</v>
      </c>
      <c r="F14">
        <f t="shared" si="3"/>
        <v>1</v>
      </c>
      <c r="G14">
        <f t="shared" si="4"/>
        <v>10</v>
      </c>
      <c r="N14" s="32" t="s">
        <v>129</v>
      </c>
      <c r="O14" s="21">
        <v>7.57097791798111E-3</v>
      </c>
      <c r="P14" s="21"/>
      <c r="Q14" s="21">
        <v>7.57097791798111E-3</v>
      </c>
    </row>
    <row r="15" spans="1:17" x14ac:dyDescent="0.25">
      <c r="A15" s="28">
        <v>44469</v>
      </c>
      <c r="B15" s="17">
        <v>-4.75691688617867E-2</v>
      </c>
      <c r="C15" t="str">
        <f t="shared" si="1"/>
        <v>Red</v>
      </c>
      <c r="D15">
        <f>VLOOKUP(A15,Recession!$A$1:$C$395,3,FALSE)</f>
        <v>23.139999</v>
      </c>
      <c r="E15">
        <f t="shared" si="2"/>
        <v>8</v>
      </c>
      <c r="F15">
        <f t="shared" si="3"/>
        <v>0</v>
      </c>
      <c r="G15">
        <f t="shared" si="4"/>
        <v>9</v>
      </c>
      <c r="N15" s="32" t="s">
        <v>107</v>
      </c>
      <c r="O15" s="21"/>
      <c r="P15" s="21">
        <v>-3.0056355666875399E-2</v>
      </c>
      <c r="Q15" s="21">
        <v>-3.0056355666875399E-2</v>
      </c>
    </row>
    <row r="16" spans="1:17" x14ac:dyDescent="0.25">
      <c r="A16" s="28">
        <v>44439</v>
      </c>
      <c r="B16" s="17">
        <v>2.8990416217415299E-2</v>
      </c>
      <c r="C16" t="str">
        <f t="shared" si="1"/>
        <v>Green</v>
      </c>
      <c r="D16">
        <f>VLOOKUP(A16,Recession!$A$1:$C$395,3,FALSE)</f>
        <v>16.48</v>
      </c>
      <c r="E16">
        <f t="shared" si="2"/>
        <v>5</v>
      </c>
      <c r="F16">
        <f t="shared" si="3"/>
        <v>1</v>
      </c>
      <c r="G16">
        <f t="shared" si="4"/>
        <v>8</v>
      </c>
      <c r="I16">
        <v>12.04</v>
      </c>
      <c r="N16" s="32" t="s">
        <v>130</v>
      </c>
      <c r="O16" s="21">
        <v>6.5203357004519E-2</v>
      </c>
      <c r="P16" s="21"/>
      <c r="Q16" s="21">
        <v>6.5203357004519E-2</v>
      </c>
    </row>
    <row r="17" spans="1:17" x14ac:dyDescent="0.25">
      <c r="A17" s="28">
        <v>44407</v>
      </c>
      <c r="B17" s="17">
        <v>2.2748054915648699E-2</v>
      </c>
      <c r="C17" t="str">
        <f t="shared" si="1"/>
        <v>Green</v>
      </c>
      <c r="D17">
        <f>VLOOKUP(A17,Recession!$A$1:$C$395,3,FALSE)</f>
        <v>18.239999999999998</v>
      </c>
      <c r="E17">
        <f t="shared" si="2"/>
        <v>6</v>
      </c>
      <c r="F17">
        <f t="shared" si="3"/>
        <v>1</v>
      </c>
      <c r="G17">
        <f t="shared" si="4"/>
        <v>7</v>
      </c>
      <c r="I17">
        <v>13.19</v>
      </c>
      <c r="N17" s="32" t="s">
        <v>131</v>
      </c>
      <c r="O17" s="21"/>
      <c r="P17" s="21">
        <v>-0.10606060606060599</v>
      </c>
      <c r="Q17" s="21">
        <v>-0.10606060606060599</v>
      </c>
    </row>
    <row r="18" spans="1:17" x14ac:dyDescent="0.25">
      <c r="A18" s="28">
        <v>44377</v>
      </c>
      <c r="B18" s="17">
        <v>2.2214009634219802E-2</v>
      </c>
      <c r="C18" t="str">
        <f t="shared" si="1"/>
        <v>Green</v>
      </c>
      <c r="D18">
        <f>VLOOKUP(A18,Recession!$A$1:$C$395,3,FALSE)</f>
        <v>15.83</v>
      </c>
      <c r="E18">
        <f t="shared" si="2"/>
        <v>4</v>
      </c>
      <c r="F18">
        <f t="shared" si="3"/>
        <v>1</v>
      </c>
      <c r="G18">
        <f t="shared" si="4"/>
        <v>6</v>
      </c>
      <c r="I18">
        <v>14.61</v>
      </c>
      <c r="N18" s="32" t="s">
        <v>93</v>
      </c>
      <c r="O18" s="21">
        <v>3.0508474576271101E-2</v>
      </c>
      <c r="P18" s="21"/>
      <c r="Q18" s="21">
        <v>3.0508474576271101E-2</v>
      </c>
    </row>
    <row r="19" spans="1:17" x14ac:dyDescent="0.25">
      <c r="A19" s="28">
        <v>44344</v>
      </c>
      <c r="B19" s="17">
        <v>5.4864885732810497E-3</v>
      </c>
      <c r="C19" t="str">
        <f t="shared" si="1"/>
        <v>Green</v>
      </c>
      <c r="D19">
        <f>VLOOKUP(A19,Recession!$A$1:$C$395,3,FALSE)</f>
        <v>16.760000000000002</v>
      </c>
      <c r="E19">
        <f t="shared" si="2"/>
        <v>5</v>
      </c>
      <c r="F19">
        <f t="shared" si="3"/>
        <v>1</v>
      </c>
      <c r="G19">
        <f t="shared" si="4"/>
        <v>5</v>
      </c>
      <c r="I19">
        <v>16.13</v>
      </c>
      <c r="N19" s="30" t="s">
        <v>139</v>
      </c>
      <c r="O19" s="21">
        <v>0.20540614163354931</v>
      </c>
      <c r="P19" s="21">
        <v>-0.10012645212567679</v>
      </c>
      <c r="Q19" s="21">
        <v>0.10527968950787252</v>
      </c>
    </row>
    <row r="20" spans="1:17" x14ac:dyDescent="0.25">
      <c r="A20" s="28">
        <v>44316</v>
      </c>
      <c r="B20" s="17">
        <v>5.2425321267266303E-2</v>
      </c>
      <c r="C20" t="str">
        <f t="shared" si="1"/>
        <v>Green</v>
      </c>
      <c r="D20">
        <f>VLOOKUP(A20,Recession!$A$1:$C$395,3,FALSE)</f>
        <v>18.610001</v>
      </c>
      <c r="E20">
        <f t="shared" si="2"/>
        <v>6</v>
      </c>
      <c r="F20">
        <f t="shared" si="3"/>
        <v>1</v>
      </c>
      <c r="G20">
        <f t="shared" si="4"/>
        <v>4</v>
      </c>
      <c r="I20">
        <v>17.73</v>
      </c>
      <c r="N20" s="32" t="s">
        <v>122</v>
      </c>
      <c r="O20" s="21">
        <v>1.3157894736843801E-3</v>
      </c>
      <c r="P20" s="21"/>
      <c r="Q20" s="21">
        <v>1.3157894736843801E-3</v>
      </c>
    </row>
    <row r="21" spans="1:17" x14ac:dyDescent="0.25">
      <c r="A21" s="28">
        <v>44286</v>
      </c>
      <c r="B21" s="17">
        <v>4.24386327378838E-2</v>
      </c>
      <c r="C21" t="str">
        <f t="shared" si="1"/>
        <v>Green</v>
      </c>
      <c r="D21">
        <f>VLOOKUP(A21,Recession!$A$1:$C$395,3,FALSE)</f>
        <v>19.399999999999999</v>
      </c>
      <c r="E21">
        <f t="shared" si="2"/>
        <v>6</v>
      </c>
      <c r="F21">
        <f t="shared" si="3"/>
        <v>1</v>
      </c>
      <c r="G21">
        <f t="shared" si="4"/>
        <v>3</v>
      </c>
      <c r="I21">
        <v>19.71</v>
      </c>
      <c r="N21" s="32" t="s">
        <v>123</v>
      </c>
      <c r="O21" s="21"/>
      <c r="P21" s="21">
        <v>-3.9421813403416703E-2</v>
      </c>
      <c r="Q21" s="21">
        <v>-3.9421813403416703E-2</v>
      </c>
    </row>
    <row r="22" spans="1:17" x14ac:dyDescent="0.25">
      <c r="A22" s="28">
        <v>44253</v>
      </c>
      <c r="B22" s="17">
        <v>2.60914513496475E-2</v>
      </c>
      <c r="C22" t="str">
        <f t="shared" si="1"/>
        <v>Green</v>
      </c>
      <c r="D22">
        <f>VLOOKUP(A22,Recession!$A$1:$C$395,3,FALSE)</f>
        <v>27.950001</v>
      </c>
      <c r="E22">
        <f t="shared" si="2"/>
        <v>9</v>
      </c>
      <c r="F22">
        <f t="shared" si="3"/>
        <v>1</v>
      </c>
      <c r="G22">
        <f t="shared" si="4"/>
        <v>2</v>
      </c>
      <c r="I22">
        <v>21.81</v>
      </c>
      <c r="N22" s="32" t="s">
        <v>124</v>
      </c>
      <c r="O22" s="21">
        <v>3.0095759233926201E-2</v>
      </c>
      <c r="P22" s="21"/>
      <c r="Q22" s="21">
        <v>3.0095759233926201E-2</v>
      </c>
    </row>
    <row r="23" spans="1:17" x14ac:dyDescent="0.25">
      <c r="A23" s="28">
        <v>44225</v>
      </c>
      <c r="B23" s="17">
        <v>-1.11366607232312E-2</v>
      </c>
      <c r="C23" t="str">
        <f t="shared" si="1"/>
        <v>Red</v>
      </c>
      <c r="D23">
        <f>VLOOKUP(A23,Recession!$A$1:$C$395,3,FALSE)</f>
        <v>33.090000000000003</v>
      </c>
      <c r="E23">
        <f t="shared" si="2"/>
        <v>10</v>
      </c>
      <c r="F23">
        <f t="shared" si="3"/>
        <v>0</v>
      </c>
      <c r="G23">
        <f t="shared" si="4"/>
        <v>1</v>
      </c>
      <c r="I23">
        <v>24.46</v>
      </c>
      <c r="N23" s="32" t="s">
        <v>125</v>
      </c>
      <c r="O23" s="21"/>
      <c r="P23" s="21">
        <v>-2.3240371845949501E-2</v>
      </c>
      <c r="Q23" s="21">
        <v>-2.3240371845949501E-2</v>
      </c>
    </row>
    <row r="24" spans="1:17" x14ac:dyDescent="0.25">
      <c r="A24" s="28">
        <v>44196</v>
      </c>
      <c r="B24" s="17">
        <v>3.7121458940645703E-2</v>
      </c>
      <c r="C24" t="str">
        <f t="shared" si="1"/>
        <v>Green</v>
      </c>
      <c r="D24">
        <f>VLOOKUP(A24,Recession!$A$1:$C$395,3,FALSE)</f>
        <v>22.75</v>
      </c>
      <c r="E24">
        <f t="shared" si="2"/>
        <v>8</v>
      </c>
      <c r="F24">
        <f t="shared" si="3"/>
        <v>1</v>
      </c>
      <c r="G24">
        <f t="shared" si="4"/>
        <v>12</v>
      </c>
      <c r="I24">
        <v>28.95</v>
      </c>
      <c r="N24" s="32" t="s">
        <v>126</v>
      </c>
      <c r="O24" s="21"/>
      <c r="P24" s="21">
        <v>-3.5350101971448097E-2</v>
      </c>
      <c r="Q24" s="21">
        <v>-3.5350101971448097E-2</v>
      </c>
    </row>
    <row r="25" spans="1:17" x14ac:dyDescent="0.25">
      <c r="A25" s="28">
        <v>44165</v>
      </c>
      <c r="B25" s="17">
        <v>0.10754563548003</v>
      </c>
      <c r="C25" t="str">
        <f t="shared" si="1"/>
        <v>Green</v>
      </c>
      <c r="D25">
        <f>VLOOKUP(A25,Recession!$A$1:$C$395,3,FALSE)</f>
        <v>20.57</v>
      </c>
      <c r="E25">
        <f t="shared" si="2"/>
        <v>7</v>
      </c>
      <c r="F25">
        <f t="shared" si="3"/>
        <v>1</v>
      </c>
      <c r="G25">
        <f t="shared" si="4"/>
        <v>11</v>
      </c>
      <c r="N25" s="32" t="s">
        <v>127</v>
      </c>
      <c r="O25" s="21"/>
      <c r="P25" s="21">
        <v>-2.11416490486249E-3</v>
      </c>
      <c r="Q25" s="21">
        <v>-2.11416490486249E-3</v>
      </c>
    </row>
    <row r="26" spans="1:17" x14ac:dyDescent="0.25">
      <c r="A26" s="28">
        <v>44134</v>
      </c>
      <c r="B26" s="17">
        <v>-2.7665786202795101E-2</v>
      </c>
      <c r="C26" t="str">
        <f t="shared" si="1"/>
        <v>Red</v>
      </c>
      <c r="D26">
        <f>VLOOKUP(A26,Recession!$A$1:$C$395,3,FALSE)</f>
        <v>38.020000000000003</v>
      </c>
      <c r="E26">
        <f t="shared" si="2"/>
        <v>10</v>
      </c>
      <c r="F26">
        <f t="shared" si="3"/>
        <v>0</v>
      </c>
      <c r="G26">
        <f t="shared" si="4"/>
        <v>10</v>
      </c>
      <c r="N26" s="32" t="s">
        <v>128</v>
      </c>
      <c r="O26" s="21">
        <v>6.21468926553672E-2</v>
      </c>
      <c r="P26" s="21"/>
      <c r="Q26" s="21">
        <v>6.21468926553672E-2</v>
      </c>
    </row>
    <row r="27" spans="1:17" x14ac:dyDescent="0.25">
      <c r="A27" s="28">
        <v>44104</v>
      </c>
      <c r="B27" s="17">
        <v>-3.9227970289931399E-2</v>
      </c>
      <c r="C27" t="str">
        <f t="shared" si="1"/>
        <v>Red</v>
      </c>
      <c r="D27">
        <f>VLOOKUP(A27,Recession!$A$1:$C$395,3,FALSE)</f>
        <v>26.370000999999998</v>
      </c>
      <c r="E27">
        <f t="shared" si="2"/>
        <v>9</v>
      </c>
      <c r="F27">
        <f t="shared" si="3"/>
        <v>0</v>
      </c>
      <c r="G27">
        <f t="shared" si="4"/>
        <v>9</v>
      </c>
      <c r="N27" s="32" t="s">
        <v>129</v>
      </c>
      <c r="O27" s="21">
        <v>1.1968085106382999E-2</v>
      </c>
      <c r="P27" s="21"/>
      <c r="Q27" s="21">
        <v>1.1968085106382999E-2</v>
      </c>
    </row>
    <row r="28" spans="1:17" x14ac:dyDescent="0.25">
      <c r="A28" s="28">
        <v>44074</v>
      </c>
      <c r="B28" s="17">
        <v>7.0064667087246499E-2</v>
      </c>
      <c r="C28" t="str">
        <f t="shared" si="1"/>
        <v>Green</v>
      </c>
      <c r="D28">
        <f>VLOOKUP(A28,Recession!$A$1:$C$395,3,FALSE)</f>
        <v>26.41</v>
      </c>
      <c r="E28">
        <f t="shared" si="2"/>
        <v>9</v>
      </c>
      <c r="F28">
        <f t="shared" si="3"/>
        <v>1</v>
      </c>
      <c r="G28">
        <f t="shared" si="4"/>
        <v>8</v>
      </c>
      <c r="N28" s="32" t="s">
        <v>107</v>
      </c>
      <c r="O28" s="21">
        <v>2.36530880420498E-2</v>
      </c>
      <c r="P28" s="21"/>
      <c r="Q28" s="21">
        <v>2.36530880420498E-2</v>
      </c>
    </row>
    <row r="29" spans="1:17" x14ac:dyDescent="0.25">
      <c r="A29" s="28">
        <v>44043</v>
      </c>
      <c r="B29" s="17">
        <v>5.5101321441235702E-2</v>
      </c>
      <c r="C29" t="str">
        <f t="shared" si="1"/>
        <v>Green</v>
      </c>
      <c r="D29">
        <f>VLOOKUP(A29,Recession!$A$1:$C$395,3,FALSE)</f>
        <v>24.459999</v>
      </c>
      <c r="E29">
        <f t="shared" si="2"/>
        <v>8</v>
      </c>
      <c r="F29">
        <f t="shared" si="3"/>
        <v>1</v>
      </c>
      <c r="G29">
        <f t="shared" si="4"/>
        <v>7</v>
      </c>
      <c r="N29" s="32" t="s">
        <v>130</v>
      </c>
      <c r="O29" s="21">
        <v>2.95250962772786E-2</v>
      </c>
      <c r="P29" s="21"/>
      <c r="Q29" s="21">
        <v>2.95250962772786E-2</v>
      </c>
    </row>
    <row r="30" spans="1:17" x14ac:dyDescent="0.25">
      <c r="A30" s="28">
        <v>44012</v>
      </c>
      <c r="B30" s="17">
        <v>1.8388396357494698E-2</v>
      </c>
      <c r="C30" t="str">
        <f t="shared" si="1"/>
        <v>Green</v>
      </c>
      <c r="D30">
        <f>VLOOKUP(A30,Recession!$A$1:$C$395,3,FALSE)</f>
        <v>30.43</v>
      </c>
      <c r="E30">
        <f t="shared" si="2"/>
        <v>10</v>
      </c>
      <c r="F30">
        <f t="shared" si="3"/>
        <v>1</v>
      </c>
      <c r="G30">
        <f t="shared" si="4"/>
        <v>6</v>
      </c>
      <c r="N30" s="32" t="s">
        <v>131</v>
      </c>
      <c r="O30" s="21">
        <v>1.24675802701013E-3</v>
      </c>
      <c r="P30" s="21"/>
      <c r="Q30" s="21">
        <v>1.24675802701013E-3</v>
      </c>
    </row>
    <row r="31" spans="1:17" x14ac:dyDescent="0.25">
      <c r="A31" s="28">
        <v>43980</v>
      </c>
      <c r="B31" s="17">
        <v>4.52818196760656E-2</v>
      </c>
      <c r="C31" t="str">
        <f t="shared" si="1"/>
        <v>Green</v>
      </c>
      <c r="D31">
        <f>VLOOKUP(A31,Recession!$A$1:$C$395,3,FALSE)</f>
        <v>27.51</v>
      </c>
      <c r="E31">
        <f t="shared" si="2"/>
        <v>9</v>
      </c>
      <c r="F31">
        <f t="shared" si="3"/>
        <v>1</v>
      </c>
      <c r="G31">
        <f t="shared" si="4"/>
        <v>5</v>
      </c>
      <c r="N31" s="32" t="s">
        <v>93</v>
      </c>
      <c r="O31" s="21">
        <v>4.5454672817849998E-2</v>
      </c>
      <c r="P31" s="21"/>
      <c r="Q31" s="21">
        <v>4.5454672817849998E-2</v>
      </c>
    </row>
    <row r="32" spans="1:17" x14ac:dyDescent="0.25">
      <c r="A32" s="28">
        <v>43951</v>
      </c>
      <c r="B32" s="17">
        <v>0.12684403825663801</v>
      </c>
      <c r="C32" t="str">
        <f t="shared" si="1"/>
        <v>Green</v>
      </c>
      <c r="D32">
        <f>VLOOKUP(A32,Recession!$A$1:$C$395,3,FALSE)</f>
        <v>34.150002000000001</v>
      </c>
      <c r="E32">
        <f t="shared" si="2"/>
        <v>10</v>
      </c>
      <c r="F32">
        <f t="shared" si="3"/>
        <v>1</v>
      </c>
      <c r="G32">
        <f t="shared" si="4"/>
        <v>4</v>
      </c>
      <c r="N32" s="30" t="s">
        <v>153</v>
      </c>
      <c r="O32" s="21">
        <v>0.25778299598002907</v>
      </c>
      <c r="P32" s="21">
        <v>-9.8504105389968094E-2</v>
      </c>
      <c r="Q32" s="21">
        <v>0.15927889059006095</v>
      </c>
    </row>
    <row r="33" spans="1:17" x14ac:dyDescent="0.25">
      <c r="A33" s="28">
        <v>43921</v>
      </c>
      <c r="B33" s="17">
        <v>-0.12511928245982301</v>
      </c>
      <c r="C33" t="str">
        <f t="shared" si="1"/>
        <v>Red</v>
      </c>
      <c r="D33">
        <f>VLOOKUP(A33,Recession!$A$1:$C$395,3,FALSE)</f>
        <v>53.540000999999997</v>
      </c>
      <c r="E33">
        <f t="shared" si="2"/>
        <v>10</v>
      </c>
      <c r="F33">
        <f t="shared" si="3"/>
        <v>0</v>
      </c>
      <c r="G33">
        <f t="shared" si="4"/>
        <v>3</v>
      </c>
      <c r="N33" s="32" t="s">
        <v>122</v>
      </c>
      <c r="O33" s="21">
        <v>6.0205580029368599E-2</v>
      </c>
      <c r="P33" s="21"/>
      <c r="Q33" s="21">
        <v>6.0205580029368599E-2</v>
      </c>
    </row>
    <row r="34" spans="1:17" x14ac:dyDescent="0.25">
      <c r="A34" s="28">
        <v>43889</v>
      </c>
      <c r="B34" s="17">
        <v>-8.4110483679465706E-2</v>
      </c>
      <c r="C34" t="str">
        <f t="shared" si="1"/>
        <v>Red</v>
      </c>
      <c r="D34">
        <f>VLOOKUP(A34,Recession!$A$1:$C$395,3,FALSE)</f>
        <v>40.110000999999997</v>
      </c>
      <c r="E34">
        <f t="shared" si="2"/>
        <v>10</v>
      </c>
      <c r="F34">
        <f t="shared" si="3"/>
        <v>0</v>
      </c>
      <c r="G34">
        <f t="shared" si="4"/>
        <v>2</v>
      </c>
      <c r="N34" s="32" t="s">
        <v>123</v>
      </c>
      <c r="O34" s="21">
        <v>6.4634810710988396E-3</v>
      </c>
      <c r="P34" s="21"/>
      <c r="Q34" s="21">
        <v>6.4634810710988396E-3</v>
      </c>
    </row>
    <row r="35" spans="1:17" x14ac:dyDescent="0.25">
      <c r="A35" s="28">
        <v>43861</v>
      </c>
      <c r="B35" s="17">
        <v>-1.6280925822201901E-3</v>
      </c>
      <c r="C35" t="str">
        <f t="shared" si="1"/>
        <v>Red</v>
      </c>
      <c r="D35">
        <f>VLOOKUP(A35,Recession!$A$1:$C$395,3,FALSE)</f>
        <v>18.84</v>
      </c>
      <c r="E35">
        <f t="shared" si="2"/>
        <v>6</v>
      </c>
      <c r="F35">
        <f t="shared" si="3"/>
        <v>0</v>
      </c>
      <c r="G35">
        <f t="shared" si="4"/>
        <v>1</v>
      </c>
      <c r="N35" s="32" t="s">
        <v>124</v>
      </c>
      <c r="O35" s="21"/>
      <c r="P35" s="21">
        <v>-1.46788538843511E-2</v>
      </c>
      <c r="Q35" s="21">
        <v>-1.46788538843511E-2</v>
      </c>
    </row>
    <row r="36" spans="1:17" x14ac:dyDescent="0.25">
      <c r="A36" s="28">
        <v>43830</v>
      </c>
      <c r="B36" s="17">
        <v>2.85898189647169E-2</v>
      </c>
      <c r="C36" t="str">
        <f t="shared" si="1"/>
        <v>Green</v>
      </c>
      <c r="D36">
        <f>VLOOKUP(A36,Recession!$A$1:$C$395,3,FALSE)</f>
        <v>13.78</v>
      </c>
      <c r="E36">
        <f t="shared" si="2"/>
        <v>3</v>
      </c>
      <c r="F36">
        <f t="shared" si="3"/>
        <v>1</v>
      </c>
      <c r="G36">
        <f t="shared" si="4"/>
        <v>12</v>
      </c>
      <c r="N36" s="32" t="s">
        <v>125</v>
      </c>
      <c r="O36" s="21">
        <v>4.4227188081936701E-2</v>
      </c>
      <c r="P36" s="21"/>
      <c r="Q36" s="21">
        <v>4.4227188081936701E-2</v>
      </c>
    </row>
    <row r="37" spans="1:17" x14ac:dyDescent="0.25">
      <c r="A37" s="28">
        <v>43798</v>
      </c>
      <c r="B37" s="17">
        <v>3.4047037421886202E-2</v>
      </c>
      <c r="C37" t="str">
        <f t="shared" si="1"/>
        <v>Green</v>
      </c>
      <c r="D37">
        <f>VLOOKUP(A37,Recession!$A$1:$C$395,3,FALSE)</f>
        <v>12.62</v>
      </c>
      <c r="E37">
        <f t="shared" si="2"/>
        <v>2</v>
      </c>
      <c r="F37">
        <f t="shared" si="3"/>
        <v>1</v>
      </c>
      <c r="G37">
        <f t="shared" si="4"/>
        <v>11</v>
      </c>
      <c r="N37" s="32" t="s">
        <v>126</v>
      </c>
      <c r="O37" s="21"/>
      <c r="P37" s="21">
        <v>-4.05706642888988E-2</v>
      </c>
      <c r="Q37" s="21">
        <v>-4.05706642888988E-2</v>
      </c>
    </row>
    <row r="38" spans="1:17" x14ac:dyDescent="0.25">
      <c r="A38" s="28">
        <v>43769</v>
      </c>
      <c r="B38" s="17">
        <v>2.0431770730503101E-2</v>
      </c>
      <c r="C38" t="str">
        <f t="shared" si="1"/>
        <v>Green</v>
      </c>
      <c r="D38">
        <f>VLOOKUP(A38,Recession!$A$1:$C$395,3,FALSE)</f>
        <v>13.22</v>
      </c>
      <c r="E38">
        <f t="shared" si="2"/>
        <v>3</v>
      </c>
      <c r="F38">
        <f t="shared" si="3"/>
        <v>1</v>
      </c>
      <c r="G38">
        <f t="shared" si="4"/>
        <v>10</v>
      </c>
      <c r="N38" s="32" t="s">
        <v>127</v>
      </c>
      <c r="O38" s="21"/>
      <c r="P38" s="21">
        <v>-2.6022351301115201E-2</v>
      </c>
      <c r="Q38" s="21">
        <v>-2.6022351301115201E-2</v>
      </c>
    </row>
    <row r="39" spans="1:17" x14ac:dyDescent="0.25">
      <c r="A39" s="28">
        <v>43738</v>
      </c>
      <c r="B39" s="17">
        <v>1.71811778292086E-2</v>
      </c>
      <c r="C39" t="str">
        <f t="shared" si="1"/>
        <v>Green</v>
      </c>
      <c r="D39">
        <f>VLOOKUP(A39,Recession!$A$1:$C$395,3,FALSE)</f>
        <v>16.239999999999998</v>
      </c>
      <c r="E39">
        <f t="shared" si="2"/>
        <v>5</v>
      </c>
      <c r="F39">
        <f t="shared" si="3"/>
        <v>1</v>
      </c>
      <c r="G39">
        <f t="shared" si="4"/>
        <v>9</v>
      </c>
      <c r="N39" s="32" t="s">
        <v>128</v>
      </c>
      <c r="O39" s="21">
        <v>6.8702341064042799E-2</v>
      </c>
      <c r="P39" s="21"/>
      <c r="Q39" s="21">
        <v>6.8702341064042799E-2</v>
      </c>
    </row>
    <row r="40" spans="1:17" x14ac:dyDescent="0.25">
      <c r="A40" s="28">
        <v>43707</v>
      </c>
      <c r="B40" s="17">
        <v>-1.8091627281326701E-2</v>
      </c>
      <c r="C40" t="str">
        <f t="shared" si="1"/>
        <v>Red</v>
      </c>
      <c r="D40">
        <f>VLOOKUP(A40,Recession!$A$1:$C$395,3,FALSE)</f>
        <v>18.98</v>
      </c>
      <c r="E40">
        <f t="shared" si="2"/>
        <v>6</v>
      </c>
      <c r="F40">
        <f t="shared" si="3"/>
        <v>0</v>
      </c>
      <c r="G40">
        <f t="shared" si="4"/>
        <v>8</v>
      </c>
      <c r="N40" s="32" t="s">
        <v>129</v>
      </c>
      <c r="O40" s="21">
        <v>3.92857589285713E-2</v>
      </c>
      <c r="P40" s="21"/>
      <c r="Q40" s="21">
        <v>3.92857589285713E-2</v>
      </c>
    </row>
    <row r="41" spans="1:17" x14ac:dyDescent="0.25">
      <c r="A41" s="28">
        <v>43677</v>
      </c>
      <c r="B41" s="17">
        <v>1.31281521499778E-2</v>
      </c>
      <c r="C41" t="str">
        <f t="shared" si="1"/>
        <v>Green</v>
      </c>
      <c r="D41">
        <f>VLOOKUP(A41,Recession!$A$1:$C$395,3,FALSE)</f>
        <v>16.120000999999998</v>
      </c>
      <c r="E41">
        <f t="shared" si="2"/>
        <v>4</v>
      </c>
      <c r="F41">
        <f t="shared" si="3"/>
        <v>1</v>
      </c>
      <c r="G41">
        <f t="shared" si="4"/>
        <v>7</v>
      </c>
      <c r="N41" s="32" t="s">
        <v>107</v>
      </c>
      <c r="O41" s="21"/>
      <c r="P41" s="21">
        <v>-8.5914944763087998E-4</v>
      </c>
      <c r="Q41" s="21">
        <v>-8.5914944763087998E-4</v>
      </c>
    </row>
    <row r="42" spans="1:17" x14ac:dyDescent="0.25">
      <c r="A42" s="28">
        <v>43644</v>
      </c>
      <c r="B42" s="17">
        <v>6.8930163925612103E-2</v>
      </c>
      <c r="C42" t="str">
        <f t="shared" si="1"/>
        <v>Green</v>
      </c>
      <c r="D42">
        <f>VLOOKUP(A42,Recession!$A$1:$C$395,3,FALSE)</f>
        <v>15.08</v>
      </c>
      <c r="E42">
        <f t="shared" si="2"/>
        <v>4</v>
      </c>
      <c r="F42">
        <f t="shared" si="3"/>
        <v>1</v>
      </c>
      <c r="G42">
        <f t="shared" si="4"/>
        <v>6</v>
      </c>
      <c r="N42" s="32" t="s">
        <v>130</v>
      </c>
      <c r="O42" s="21"/>
      <c r="P42" s="21">
        <v>-1.37574806534825E-2</v>
      </c>
      <c r="Q42" s="21">
        <v>-1.37574806534825E-2</v>
      </c>
    </row>
    <row r="43" spans="1:17" x14ac:dyDescent="0.25">
      <c r="A43" s="28">
        <v>43616</v>
      </c>
      <c r="B43" s="17">
        <v>-6.5777731189286898E-2</v>
      </c>
      <c r="C43" t="str">
        <f t="shared" si="1"/>
        <v>Red</v>
      </c>
      <c r="D43">
        <f>VLOOKUP(A43,Recession!$A$1:$C$395,3,FALSE)</f>
        <v>18.709999</v>
      </c>
      <c r="E43">
        <f t="shared" si="2"/>
        <v>6</v>
      </c>
      <c r="F43">
        <f t="shared" si="3"/>
        <v>0</v>
      </c>
      <c r="G43">
        <f t="shared" si="4"/>
        <v>5</v>
      </c>
      <c r="N43" s="32" t="s">
        <v>131</v>
      </c>
      <c r="O43" s="21"/>
      <c r="P43" s="21">
        <v>-2.6156058144896099E-3</v>
      </c>
      <c r="Q43" s="21">
        <v>-2.6156058144896099E-3</v>
      </c>
    </row>
    <row r="44" spans="1:17" x14ac:dyDescent="0.25">
      <c r="A44" s="28">
        <v>43585</v>
      </c>
      <c r="B44" s="17">
        <v>3.9313498395682697E-2</v>
      </c>
      <c r="C44" t="str">
        <f t="shared" si="1"/>
        <v>Green</v>
      </c>
      <c r="D44">
        <f>VLOOKUP(A44,Recession!$A$1:$C$395,3,FALSE)</f>
        <v>13.12</v>
      </c>
      <c r="E44">
        <f t="shared" si="2"/>
        <v>2</v>
      </c>
      <c r="F44">
        <f t="shared" si="3"/>
        <v>1</v>
      </c>
      <c r="G44">
        <f t="shared" si="4"/>
        <v>4</v>
      </c>
      <c r="N44" s="32" t="s">
        <v>93</v>
      </c>
      <c r="O44" s="21">
        <v>3.8898646805010803E-2</v>
      </c>
      <c r="P44" s="21"/>
      <c r="Q44" s="21">
        <v>3.8898646805010803E-2</v>
      </c>
    </row>
    <row r="45" spans="1:17" x14ac:dyDescent="0.25">
      <c r="A45" s="28">
        <v>43553</v>
      </c>
      <c r="B45" s="17">
        <v>1.7924256211817102E-2</v>
      </c>
      <c r="C45" t="str">
        <f t="shared" si="1"/>
        <v>Green</v>
      </c>
      <c r="D45">
        <f>VLOOKUP(A45,Recession!$A$1:$C$395,3,FALSE)</f>
        <v>13.71</v>
      </c>
      <c r="E45">
        <f t="shared" si="2"/>
        <v>3</v>
      </c>
      <c r="F45">
        <f t="shared" si="3"/>
        <v>1</v>
      </c>
      <c r="G45">
        <f t="shared" si="4"/>
        <v>3</v>
      </c>
      <c r="N45" s="30" t="s">
        <v>154</v>
      </c>
      <c r="O45" s="21">
        <v>0.2321302216571717</v>
      </c>
      <c r="P45" s="21">
        <v>-0.11449821257338239</v>
      </c>
      <c r="Q45" s="21">
        <v>0.1176320090837893</v>
      </c>
    </row>
    <row r="46" spans="1:17" x14ac:dyDescent="0.25">
      <c r="A46" s="28">
        <v>43524</v>
      </c>
      <c r="B46" s="17">
        <v>2.9728889126352302E-2</v>
      </c>
      <c r="C46" t="str">
        <f t="shared" si="1"/>
        <v>Green</v>
      </c>
      <c r="D46">
        <f>VLOOKUP(A46,Recession!$A$1:$C$395,3,FALSE)</f>
        <v>14.78</v>
      </c>
      <c r="E46">
        <f t="shared" si="2"/>
        <v>4</v>
      </c>
      <c r="F46">
        <f t="shared" si="3"/>
        <v>1</v>
      </c>
      <c r="G46">
        <f t="shared" si="4"/>
        <v>2</v>
      </c>
      <c r="N46" s="32" t="s">
        <v>122</v>
      </c>
      <c r="O46" s="21">
        <v>1.5565797223390901E-2</v>
      </c>
      <c r="P46" s="21"/>
      <c r="Q46" s="21">
        <v>1.5565797223390901E-2</v>
      </c>
    </row>
    <row r="47" spans="1:17" x14ac:dyDescent="0.25">
      <c r="A47" s="28">
        <v>43496</v>
      </c>
      <c r="B47" s="17">
        <v>7.8684401655036804E-2</v>
      </c>
      <c r="C47" t="str">
        <f t="shared" si="1"/>
        <v>Green</v>
      </c>
      <c r="D47">
        <f>VLOOKUP(A47,Recession!$A$1:$C$395,3,FALSE)</f>
        <v>16.57</v>
      </c>
      <c r="E47">
        <f t="shared" si="2"/>
        <v>5</v>
      </c>
      <c r="F47">
        <f t="shared" si="3"/>
        <v>1</v>
      </c>
      <c r="G47">
        <f t="shared" si="4"/>
        <v>1</v>
      </c>
      <c r="N47" s="32" t="s">
        <v>123</v>
      </c>
      <c r="O47" s="21"/>
      <c r="P47" s="21">
        <v>-3.6453978312095098E-2</v>
      </c>
      <c r="Q47" s="21">
        <v>-3.6453978312095098E-2</v>
      </c>
    </row>
    <row r="48" spans="1:17" x14ac:dyDescent="0.25">
      <c r="A48" s="28">
        <v>43465</v>
      </c>
      <c r="B48" s="17">
        <v>-9.1776894596563893E-2</v>
      </c>
      <c r="C48" t="str">
        <f t="shared" si="1"/>
        <v>Red</v>
      </c>
      <c r="D48">
        <f>VLOOKUP(A48,Recession!$A$1:$C$395,3,FALSE)</f>
        <v>25.42</v>
      </c>
      <c r="E48">
        <f t="shared" si="2"/>
        <v>9</v>
      </c>
      <c r="F48">
        <f t="shared" si="3"/>
        <v>0</v>
      </c>
      <c r="G48">
        <f t="shared" si="4"/>
        <v>12</v>
      </c>
      <c r="N48" s="32" t="s">
        <v>124</v>
      </c>
      <c r="O48" s="21">
        <v>4.7721453138434899E-2</v>
      </c>
      <c r="P48" s="21"/>
      <c r="Q48" s="21">
        <v>4.7721453138434899E-2</v>
      </c>
    </row>
    <row r="49" spans="1:17" x14ac:dyDescent="0.25">
      <c r="A49" s="28">
        <v>43434</v>
      </c>
      <c r="B49" s="17">
        <v>1.7859356788849E-2</v>
      </c>
      <c r="C49" t="str">
        <f t="shared" si="1"/>
        <v>Green</v>
      </c>
      <c r="D49">
        <f>VLOOKUP(A49,Recession!$A$1:$C$395,3,FALSE)</f>
        <v>18.07</v>
      </c>
      <c r="E49">
        <f t="shared" si="2"/>
        <v>6</v>
      </c>
      <c r="F49">
        <f t="shared" si="3"/>
        <v>1</v>
      </c>
      <c r="G49">
        <f t="shared" si="4"/>
        <v>11</v>
      </c>
      <c r="N49" s="32" t="s">
        <v>125</v>
      </c>
      <c r="O49" s="21"/>
      <c r="P49" s="21">
        <v>-4.3085800447853803E-2</v>
      </c>
      <c r="Q49" s="21">
        <v>-4.3085800447853803E-2</v>
      </c>
    </row>
    <row r="50" spans="1:17" x14ac:dyDescent="0.25">
      <c r="A50" s="28">
        <v>43404</v>
      </c>
      <c r="B50" s="17">
        <v>-6.9403356024429499E-2</v>
      </c>
      <c r="C50" t="str">
        <f t="shared" si="1"/>
        <v>Red</v>
      </c>
      <c r="D50">
        <f>VLOOKUP(A50,Recession!$A$1:$C$395,3,FALSE)</f>
        <v>21.23</v>
      </c>
      <c r="E50">
        <f t="shared" si="2"/>
        <v>7</v>
      </c>
      <c r="F50">
        <f t="shared" si="3"/>
        <v>0</v>
      </c>
      <c r="G50">
        <f t="shared" si="4"/>
        <v>10</v>
      </c>
      <c r="N50" s="32" t="s">
        <v>126</v>
      </c>
      <c r="O50" s="21">
        <v>2.3156132075471601E-2</v>
      </c>
      <c r="P50" s="21"/>
      <c r="Q50" s="21">
        <v>2.3156132075471601E-2</v>
      </c>
    </row>
    <row r="51" spans="1:17" x14ac:dyDescent="0.25">
      <c r="A51" s="28">
        <v>43371</v>
      </c>
      <c r="B51" s="17">
        <v>4.29428710266144E-3</v>
      </c>
      <c r="C51" t="str">
        <f t="shared" si="1"/>
        <v>Green</v>
      </c>
      <c r="D51">
        <f>VLOOKUP(A51,Recession!$A$1:$C$395,3,FALSE)</f>
        <v>12.12</v>
      </c>
      <c r="E51">
        <f t="shared" si="2"/>
        <v>2</v>
      </c>
      <c r="F51">
        <f t="shared" si="3"/>
        <v>1</v>
      </c>
      <c r="G51">
        <f t="shared" si="4"/>
        <v>9</v>
      </c>
      <c r="N51" s="32" t="s">
        <v>127</v>
      </c>
      <c r="O51" s="21">
        <v>4.6102177447519897E-2</v>
      </c>
      <c r="P51" s="21"/>
      <c r="Q51" s="21">
        <v>4.6102177447519897E-2</v>
      </c>
    </row>
    <row r="52" spans="1:17" x14ac:dyDescent="0.25">
      <c r="A52" s="28">
        <v>43343</v>
      </c>
      <c r="B52" s="17">
        <v>3.0263211466054599E-2</v>
      </c>
      <c r="C52" t="str">
        <f t="shared" si="1"/>
        <v>Green</v>
      </c>
      <c r="D52">
        <f>VLOOKUP(A52,Recession!$A$1:$C$395,3,FALSE)</f>
        <v>12.86</v>
      </c>
      <c r="E52">
        <f t="shared" si="2"/>
        <v>2</v>
      </c>
      <c r="F52">
        <f t="shared" si="3"/>
        <v>1</v>
      </c>
      <c r="G52">
        <f t="shared" si="4"/>
        <v>8</v>
      </c>
      <c r="N52" s="32" t="s">
        <v>128</v>
      </c>
      <c r="O52" s="21">
        <v>1.7628245898567499E-2</v>
      </c>
      <c r="P52" s="21"/>
      <c r="Q52" s="21">
        <v>1.7628245898567499E-2</v>
      </c>
    </row>
    <row r="53" spans="1:17" x14ac:dyDescent="0.25">
      <c r="A53" s="28">
        <v>43312</v>
      </c>
      <c r="B53" s="17">
        <v>3.6021556221367303E-2</v>
      </c>
      <c r="C53" t="str">
        <f t="shared" si="1"/>
        <v>Green</v>
      </c>
      <c r="D53">
        <f>VLOOKUP(A53,Recession!$A$1:$C$395,3,FALSE)</f>
        <v>12.83</v>
      </c>
      <c r="E53">
        <f t="shared" si="2"/>
        <v>2</v>
      </c>
      <c r="F53">
        <f t="shared" si="3"/>
        <v>1</v>
      </c>
      <c r="G53">
        <f t="shared" si="4"/>
        <v>7</v>
      </c>
      <c r="N53" s="32" t="s">
        <v>129</v>
      </c>
      <c r="O53" s="21"/>
      <c r="P53" s="21">
        <v>-1.4566889763779499E-2</v>
      </c>
      <c r="Q53" s="21">
        <v>-1.4566889763779499E-2</v>
      </c>
    </row>
    <row r="54" spans="1:17" x14ac:dyDescent="0.25">
      <c r="A54" s="28">
        <v>43280</v>
      </c>
      <c r="B54" s="17">
        <v>4.8424360241865498E-3</v>
      </c>
      <c r="C54" t="str">
        <f t="shared" si="1"/>
        <v>Green</v>
      </c>
      <c r="D54">
        <f>VLOOKUP(A54,Recession!$A$1:$C$395,3,FALSE)</f>
        <v>16.09</v>
      </c>
      <c r="E54">
        <f t="shared" si="2"/>
        <v>4</v>
      </c>
      <c r="F54">
        <f t="shared" si="3"/>
        <v>1</v>
      </c>
      <c r="G54">
        <f t="shared" si="4"/>
        <v>6</v>
      </c>
      <c r="N54" s="32" t="s">
        <v>107</v>
      </c>
      <c r="O54" s="21"/>
      <c r="P54" s="21">
        <v>-1.9576507408049899E-2</v>
      </c>
      <c r="Q54" s="21">
        <v>-1.9576507408049899E-2</v>
      </c>
    </row>
    <row r="55" spans="1:17" x14ac:dyDescent="0.25">
      <c r="A55" s="28">
        <v>43251</v>
      </c>
      <c r="B55" s="17">
        <v>2.1608341965291902E-2</v>
      </c>
      <c r="C55" t="str">
        <f t="shared" si="1"/>
        <v>Green</v>
      </c>
      <c r="D55">
        <f>VLOOKUP(A55,Recession!$A$1:$C$395,3,FALSE)</f>
        <v>15.43</v>
      </c>
      <c r="E55">
        <f t="shared" si="2"/>
        <v>4</v>
      </c>
      <c r="F55">
        <f t="shared" si="3"/>
        <v>1</v>
      </c>
      <c r="G55">
        <f t="shared" si="4"/>
        <v>5</v>
      </c>
      <c r="N55" s="32" t="s">
        <v>130</v>
      </c>
      <c r="O55" s="21"/>
      <c r="P55" s="21">
        <v>-8.1503664160409396E-4</v>
      </c>
      <c r="Q55" s="21">
        <v>-8.1503664160409396E-4</v>
      </c>
    </row>
    <row r="56" spans="1:17" x14ac:dyDescent="0.25">
      <c r="A56" s="28">
        <v>43220</v>
      </c>
      <c r="B56" s="17">
        <v>2.7187751316435399E-3</v>
      </c>
      <c r="C56" t="str">
        <f t="shared" si="1"/>
        <v>Green</v>
      </c>
      <c r="D56">
        <f>VLOOKUP(A56,Recession!$A$1:$C$395,3,FALSE)</f>
        <v>15.93</v>
      </c>
      <c r="E56">
        <f t="shared" si="2"/>
        <v>4</v>
      </c>
      <c r="F56">
        <f t="shared" si="3"/>
        <v>1</v>
      </c>
      <c r="G56">
        <f t="shared" si="4"/>
        <v>4</v>
      </c>
      <c r="N56" s="32" t="s">
        <v>131</v>
      </c>
      <c r="O56" s="21">
        <v>4.64926590538337E-2</v>
      </c>
      <c r="P56" s="21"/>
      <c r="Q56" s="21">
        <v>4.64926590538337E-2</v>
      </c>
    </row>
    <row r="57" spans="1:17" x14ac:dyDescent="0.25">
      <c r="A57" s="28">
        <v>43188</v>
      </c>
      <c r="B57" s="17">
        <v>-2.6884498624825101E-2</v>
      </c>
      <c r="C57" t="str">
        <f t="shared" si="1"/>
        <v>Red</v>
      </c>
      <c r="D57">
        <f>VLOOKUP(A57,Recession!$A$1:$C$395,3,FALSE)</f>
        <v>19.969999000000001</v>
      </c>
      <c r="E57">
        <f t="shared" si="2"/>
        <v>7</v>
      </c>
      <c r="F57">
        <f t="shared" si="3"/>
        <v>0</v>
      </c>
      <c r="G57">
        <f t="shared" si="4"/>
        <v>3</v>
      </c>
      <c r="N57" s="32" t="s">
        <v>93</v>
      </c>
      <c r="O57" s="21">
        <v>3.5463756819953202E-2</v>
      </c>
      <c r="P57" s="21"/>
      <c r="Q57" s="21">
        <v>3.5463756819953202E-2</v>
      </c>
    </row>
    <row r="58" spans="1:17" x14ac:dyDescent="0.25">
      <c r="A58" s="28">
        <v>43159</v>
      </c>
      <c r="B58" s="17">
        <v>-3.8947372061896898E-2</v>
      </c>
      <c r="C58" t="str">
        <f t="shared" si="1"/>
        <v>Red</v>
      </c>
      <c r="D58">
        <f>VLOOKUP(A58,Recession!$A$1:$C$395,3,FALSE)</f>
        <v>19.850000000000001</v>
      </c>
      <c r="E58">
        <f t="shared" si="2"/>
        <v>7</v>
      </c>
      <c r="F58">
        <f t="shared" si="3"/>
        <v>0</v>
      </c>
      <c r="G58">
        <f t="shared" si="4"/>
        <v>2</v>
      </c>
      <c r="N58" s="30" t="s">
        <v>140</v>
      </c>
      <c r="O58" s="21">
        <v>9.4647326872920393E-2</v>
      </c>
      <c r="P58" s="21">
        <v>-0.27412921769001924</v>
      </c>
      <c r="Q58" s="21">
        <v>-0.17948189081709881</v>
      </c>
    </row>
    <row r="59" spans="1:17" x14ac:dyDescent="0.25">
      <c r="A59" s="28">
        <v>43131</v>
      </c>
      <c r="B59" s="17">
        <v>5.6178704444133101E-2</v>
      </c>
      <c r="C59" t="str">
        <f t="shared" si="1"/>
        <v>Green</v>
      </c>
      <c r="D59">
        <f>VLOOKUP(A59,Recession!$A$1:$C$395,3,FALSE)</f>
        <v>13.54</v>
      </c>
      <c r="E59">
        <f t="shared" si="2"/>
        <v>3</v>
      </c>
      <c r="F59">
        <f t="shared" si="3"/>
        <v>1</v>
      </c>
      <c r="G59">
        <f t="shared" si="4"/>
        <v>1</v>
      </c>
      <c r="N59" s="32" t="s">
        <v>122</v>
      </c>
      <c r="O59" s="21"/>
      <c r="P59" s="21">
        <v>-1.71114269264355E-2</v>
      </c>
      <c r="Q59" s="21">
        <v>-1.71114269264355E-2</v>
      </c>
    </row>
    <row r="60" spans="1:17" x14ac:dyDescent="0.25">
      <c r="A60" s="28">
        <v>43098</v>
      </c>
      <c r="B60" s="17">
        <v>9.8316304826040497E-3</v>
      </c>
      <c r="C60" t="str">
        <f t="shared" si="1"/>
        <v>Green</v>
      </c>
      <c r="D60">
        <f>VLOOKUP(A60,Recession!$A$1:$C$395,3,FALSE)</f>
        <v>11.04</v>
      </c>
      <c r="E60">
        <f t="shared" si="2"/>
        <v>1</v>
      </c>
      <c r="F60">
        <f t="shared" si="3"/>
        <v>1</v>
      </c>
      <c r="G60">
        <f t="shared" si="4"/>
        <v>12</v>
      </c>
      <c r="N60" s="32" t="s">
        <v>123</v>
      </c>
      <c r="O60" s="21"/>
      <c r="P60" s="21">
        <v>-3.7490295936312097E-2</v>
      </c>
      <c r="Q60" s="21">
        <v>-3.7490295936312097E-2</v>
      </c>
    </row>
    <row r="61" spans="1:17" x14ac:dyDescent="0.25">
      <c r="A61" s="28">
        <v>43069</v>
      </c>
      <c r="B61" s="17">
        <v>2.8082627664458602E-2</v>
      </c>
      <c r="C61" t="str">
        <f t="shared" si="1"/>
        <v>Green</v>
      </c>
      <c r="D61">
        <f>VLOOKUP(A61,Recession!$A$1:$C$395,3,FALSE)</f>
        <v>11.28</v>
      </c>
      <c r="E61">
        <f t="shared" si="2"/>
        <v>1</v>
      </c>
      <c r="F61">
        <f t="shared" si="3"/>
        <v>1</v>
      </c>
      <c r="G61">
        <f t="shared" si="4"/>
        <v>11</v>
      </c>
      <c r="N61" s="32" t="s">
        <v>124</v>
      </c>
      <c r="O61" s="21"/>
      <c r="P61" s="21">
        <v>-1.43269161891124E-3</v>
      </c>
      <c r="Q61" s="21">
        <v>-1.43269161891124E-3</v>
      </c>
    </row>
    <row r="62" spans="1:17" x14ac:dyDescent="0.25">
      <c r="A62" s="28">
        <v>43039</v>
      </c>
      <c r="B62" s="17">
        <v>2.21881353303497E-2</v>
      </c>
      <c r="C62" t="str">
        <f t="shared" si="1"/>
        <v>Green</v>
      </c>
      <c r="D62">
        <f>VLOOKUP(A62,Recession!$A$1:$C$395,3,FALSE)</f>
        <v>10.18</v>
      </c>
      <c r="E62">
        <f t="shared" si="2"/>
        <v>1</v>
      </c>
      <c r="F62">
        <f t="shared" si="3"/>
        <v>1</v>
      </c>
      <c r="G62">
        <f t="shared" si="4"/>
        <v>10</v>
      </c>
      <c r="N62" s="32" t="s">
        <v>125</v>
      </c>
      <c r="O62" s="21"/>
      <c r="P62" s="21">
        <v>-4.0799821757527499E-2</v>
      </c>
      <c r="Q62" s="21">
        <v>-4.0799821757527499E-2</v>
      </c>
    </row>
    <row r="63" spans="1:17" x14ac:dyDescent="0.25">
      <c r="A63" s="28">
        <v>43007</v>
      </c>
      <c r="B63" s="17">
        <v>1.9302978533243701E-2</v>
      </c>
      <c r="C63" t="str">
        <f t="shared" si="1"/>
        <v>Green</v>
      </c>
      <c r="D63">
        <f>VLOOKUP(A63,Recession!$A$1:$C$395,3,FALSE)</f>
        <v>9.51</v>
      </c>
      <c r="E63">
        <f t="shared" si="2"/>
        <v>1</v>
      </c>
      <c r="F63">
        <f t="shared" si="3"/>
        <v>1</v>
      </c>
      <c r="G63">
        <f t="shared" si="4"/>
        <v>9</v>
      </c>
      <c r="N63" s="32" t="s">
        <v>126</v>
      </c>
      <c r="O63" s="21"/>
      <c r="P63" s="21">
        <v>-1.8883836413164001E-2</v>
      </c>
      <c r="Q63" s="21">
        <v>-1.8883836413164001E-2</v>
      </c>
    </row>
    <row r="64" spans="1:17" x14ac:dyDescent="0.25">
      <c r="A64" s="28">
        <v>42978</v>
      </c>
      <c r="B64" s="17">
        <v>5.4643281108557296E-4</v>
      </c>
      <c r="C64" t="str">
        <f t="shared" si="1"/>
        <v>Green</v>
      </c>
      <c r="D64">
        <f>VLOOKUP(A64,Recession!$A$1:$C$395,3,FALSE)</f>
        <v>10.59</v>
      </c>
      <c r="E64">
        <f t="shared" si="2"/>
        <v>1</v>
      </c>
      <c r="F64">
        <f t="shared" si="3"/>
        <v>1</v>
      </c>
      <c r="G64">
        <f t="shared" si="4"/>
        <v>8</v>
      </c>
      <c r="N64" s="32" t="s">
        <v>127</v>
      </c>
      <c r="O64" s="21"/>
      <c r="P64" s="21">
        <v>-6.5745118601575597E-3</v>
      </c>
      <c r="Q64" s="21">
        <v>-6.5745118601575597E-3</v>
      </c>
    </row>
    <row r="65" spans="1:17" x14ac:dyDescent="0.25">
      <c r="A65" s="28">
        <v>42947</v>
      </c>
      <c r="B65" s="17">
        <v>1.9348826118030599E-2</v>
      </c>
      <c r="C65" t="str">
        <f t="shared" si="1"/>
        <v>Green</v>
      </c>
      <c r="D65">
        <f>VLOOKUP(A65,Recession!$A$1:$C$395,3,FALSE)</f>
        <v>10.26</v>
      </c>
      <c r="E65">
        <f t="shared" si="2"/>
        <v>1</v>
      </c>
      <c r="F65">
        <f t="shared" si="3"/>
        <v>1</v>
      </c>
      <c r="G65">
        <f t="shared" si="4"/>
        <v>7</v>
      </c>
      <c r="N65" s="32" t="s">
        <v>128</v>
      </c>
      <c r="O65" s="21">
        <v>3.7981957836524798E-2</v>
      </c>
      <c r="P65" s="21"/>
      <c r="Q65" s="21">
        <v>3.7981957836524798E-2</v>
      </c>
    </row>
    <row r="66" spans="1:17" x14ac:dyDescent="0.25">
      <c r="A66" s="28">
        <v>42916</v>
      </c>
      <c r="B66" s="17">
        <v>4.8137750908554501E-3</v>
      </c>
      <c r="C66" t="str">
        <f t="shared" si="1"/>
        <v>Green</v>
      </c>
      <c r="D66">
        <f>VLOOKUP(A66,Recession!$A$1:$C$395,3,FALSE)</f>
        <v>11.18</v>
      </c>
      <c r="E66">
        <f t="shared" si="2"/>
        <v>1</v>
      </c>
      <c r="F66">
        <f t="shared" si="3"/>
        <v>1</v>
      </c>
      <c r="G66">
        <f t="shared" si="4"/>
        <v>6</v>
      </c>
      <c r="N66" s="32" t="s">
        <v>129</v>
      </c>
      <c r="O66" s="21"/>
      <c r="P66" s="21">
        <v>-3.6684540411342302E-2</v>
      </c>
      <c r="Q66" s="21">
        <v>-3.6684540411342302E-2</v>
      </c>
    </row>
    <row r="67" spans="1:17" x14ac:dyDescent="0.25">
      <c r="A67" s="28">
        <v>42886</v>
      </c>
      <c r="B67" s="17">
        <v>1.1576251391341301E-2</v>
      </c>
      <c r="C67" t="str">
        <f t="shared" ref="C67:C130" si="5">IF(B67&gt;0,"Green","Red")</f>
        <v>Green</v>
      </c>
      <c r="D67">
        <f>VLOOKUP(A67,Recession!$A$1:$C$395,3,FALSE)</f>
        <v>10.41</v>
      </c>
      <c r="E67">
        <f t="shared" si="2"/>
        <v>1</v>
      </c>
      <c r="F67">
        <f t="shared" si="3"/>
        <v>1</v>
      </c>
      <c r="G67">
        <f t="shared" si="4"/>
        <v>5</v>
      </c>
      <c r="N67" s="32" t="s">
        <v>107</v>
      </c>
      <c r="O67" s="21">
        <v>4.0095923261390901E-2</v>
      </c>
      <c r="P67" s="21"/>
      <c r="Q67" s="21">
        <v>4.0095923261390901E-2</v>
      </c>
    </row>
    <row r="68" spans="1:17" x14ac:dyDescent="0.25">
      <c r="A68" s="28">
        <v>42853</v>
      </c>
      <c r="B68" s="17">
        <v>9.0912085493182193E-3</v>
      </c>
      <c r="C68" t="str">
        <f t="shared" si="5"/>
        <v>Green</v>
      </c>
      <c r="D68">
        <f>VLOOKUP(A68,Recession!$A$1:$C$395,3,FALSE)</f>
        <v>10.82</v>
      </c>
      <c r="E68">
        <f t="shared" ref="E68:E131" si="6">IF(D68&gt;28.95,10,IF(D68&gt;24.46,9,IF(D68&gt;21.81,8,IF(D68&gt;19.71,7,IF(D68&gt;17.73,6,IF(D68&gt;16.13,5,IF(D68&gt;14.61,4,IF(D68&gt;13.19,3,IF(D68&gt;12.04,2,1)))))))))</f>
        <v>1</v>
      </c>
      <c r="F68">
        <f t="shared" ref="F68:F131" si="7">IF(B68&gt;0,1,0)</f>
        <v>1</v>
      </c>
      <c r="G68">
        <f t="shared" ref="G68:G131" si="8">MONTH(A68)</f>
        <v>4</v>
      </c>
      <c r="N68" s="32" t="s">
        <v>130</v>
      </c>
      <c r="O68" s="21"/>
      <c r="P68" s="21">
        <v>-1.29114636170802E-3</v>
      </c>
      <c r="Q68" s="21">
        <v>-1.29114636170802E-3</v>
      </c>
    </row>
    <row r="69" spans="1:17" x14ac:dyDescent="0.25">
      <c r="A69" s="28">
        <v>42825</v>
      </c>
      <c r="B69" s="17">
        <v>-3.891971880845E-4</v>
      </c>
      <c r="C69" t="str">
        <f t="shared" si="5"/>
        <v>Red</v>
      </c>
      <c r="D69">
        <f>VLOOKUP(A69,Recession!$A$1:$C$395,3,FALSE)</f>
        <v>12.37</v>
      </c>
      <c r="E69">
        <f t="shared" si="6"/>
        <v>2</v>
      </c>
      <c r="F69">
        <f t="shared" si="7"/>
        <v>0</v>
      </c>
      <c r="G69">
        <f t="shared" si="8"/>
        <v>3</v>
      </c>
      <c r="N69" s="32" t="s">
        <v>131</v>
      </c>
      <c r="O69" s="21"/>
      <c r="P69" s="21">
        <v>-0.113860946404461</v>
      </c>
      <c r="Q69" s="21">
        <v>-0.113860946404461</v>
      </c>
    </row>
    <row r="70" spans="1:17" x14ac:dyDescent="0.25">
      <c r="A70" s="28">
        <v>42794</v>
      </c>
      <c r="B70" s="17">
        <v>3.7198160337279101E-2</v>
      </c>
      <c r="C70" t="str">
        <f t="shared" si="5"/>
        <v>Green</v>
      </c>
      <c r="D70">
        <f>VLOOKUP(A70,Recession!$A$1:$C$395,3,FALSE)</f>
        <v>12.92</v>
      </c>
      <c r="E70">
        <f t="shared" si="6"/>
        <v>2</v>
      </c>
      <c r="F70">
        <f t="shared" si="7"/>
        <v>1</v>
      </c>
      <c r="G70">
        <f t="shared" si="8"/>
        <v>2</v>
      </c>
      <c r="N70" s="32" t="s">
        <v>93</v>
      </c>
      <c r="O70" s="21">
        <v>1.6569445775004701E-2</v>
      </c>
      <c r="P70" s="21"/>
      <c r="Q70" s="21">
        <v>1.6569445775004701E-2</v>
      </c>
    </row>
    <row r="71" spans="1:17" x14ac:dyDescent="0.25">
      <c r="A71" s="28">
        <v>42766</v>
      </c>
      <c r="B71" s="17">
        <v>1.7884358171464498E-2</v>
      </c>
      <c r="C71" t="str">
        <f t="shared" si="5"/>
        <v>Green</v>
      </c>
      <c r="D71">
        <f>VLOOKUP(A71,Recession!$A$1:$C$395,3,FALSE)</f>
        <v>11.99</v>
      </c>
      <c r="E71">
        <f t="shared" si="6"/>
        <v>1</v>
      </c>
      <c r="F71">
        <f t="shared" si="7"/>
        <v>1</v>
      </c>
      <c r="G71">
        <f t="shared" si="8"/>
        <v>1</v>
      </c>
      <c r="N71" s="30" t="s">
        <v>141</v>
      </c>
      <c r="O71" s="21">
        <v>0.163046912762875</v>
      </c>
      <c r="P71" s="21">
        <v>-0.48495344227897991</v>
      </c>
      <c r="Q71" s="21">
        <v>-0.32190652951610493</v>
      </c>
    </row>
    <row r="72" spans="1:17" x14ac:dyDescent="0.25">
      <c r="A72" s="28">
        <v>42734</v>
      </c>
      <c r="B72" s="17">
        <v>1.82007621968951E-2</v>
      </c>
      <c r="C72" t="str">
        <f t="shared" si="5"/>
        <v>Green</v>
      </c>
      <c r="D72">
        <f>VLOOKUP(A72,Recession!$A$1:$C$395,3,FALSE)</f>
        <v>14.04</v>
      </c>
      <c r="E72">
        <f t="shared" si="6"/>
        <v>3</v>
      </c>
      <c r="F72">
        <f t="shared" si="7"/>
        <v>1</v>
      </c>
      <c r="G72">
        <f t="shared" si="8"/>
        <v>12</v>
      </c>
      <c r="N72" s="32" t="s">
        <v>122</v>
      </c>
      <c r="O72" s="21"/>
      <c r="P72" s="21">
        <v>-1.0046160634152E-2</v>
      </c>
      <c r="Q72" s="21">
        <v>-1.0046160634152E-2</v>
      </c>
    </row>
    <row r="73" spans="1:17" x14ac:dyDescent="0.25">
      <c r="A73" s="28">
        <v>42704</v>
      </c>
      <c r="B73" s="17">
        <v>3.4174522187570402E-2</v>
      </c>
      <c r="C73" t="str">
        <f t="shared" si="5"/>
        <v>Green</v>
      </c>
      <c r="D73">
        <f>VLOOKUP(A73,Recession!$A$1:$C$395,3,FALSE)</f>
        <v>13.33</v>
      </c>
      <c r="E73">
        <f t="shared" si="6"/>
        <v>3</v>
      </c>
      <c r="F73">
        <f t="shared" si="7"/>
        <v>1</v>
      </c>
      <c r="G73">
        <f t="shared" si="8"/>
        <v>11</v>
      </c>
      <c r="N73" s="32" t="s">
        <v>123</v>
      </c>
      <c r="O73" s="21"/>
      <c r="P73" s="21">
        <v>-3.62430361395871E-3</v>
      </c>
      <c r="Q73" s="21">
        <v>-3.62430361395871E-3</v>
      </c>
    </row>
    <row r="74" spans="1:17" x14ac:dyDescent="0.25">
      <c r="A74" s="28">
        <v>42674</v>
      </c>
      <c r="B74" s="17">
        <v>-1.94256792795575E-2</v>
      </c>
      <c r="C74" t="str">
        <f t="shared" si="5"/>
        <v>Red</v>
      </c>
      <c r="D74">
        <f>VLOOKUP(A74,Recession!$A$1:$C$395,3,FALSE)</f>
        <v>17.059999000000001</v>
      </c>
      <c r="E74">
        <f t="shared" si="6"/>
        <v>5</v>
      </c>
      <c r="F74">
        <f t="shared" si="7"/>
        <v>0</v>
      </c>
      <c r="G74">
        <f t="shared" si="8"/>
        <v>10</v>
      </c>
      <c r="N74" s="32" t="s">
        <v>124</v>
      </c>
      <c r="O74" s="21"/>
      <c r="P74" s="21">
        <v>-2.3279962343795799E-2</v>
      </c>
      <c r="Q74" s="21">
        <v>-2.3279962343795799E-2</v>
      </c>
    </row>
    <row r="75" spans="1:17" x14ac:dyDescent="0.25">
      <c r="A75" s="28">
        <v>42643</v>
      </c>
      <c r="B75" s="17">
        <v>-1.23445084432539E-3</v>
      </c>
      <c r="C75" t="str">
        <f t="shared" si="5"/>
        <v>Red</v>
      </c>
      <c r="D75">
        <f>VLOOKUP(A75,Recession!$A$1:$C$395,3,FALSE)</f>
        <v>13.29</v>
      </c>
      <c r="E75">
        <f t="shared" si="6"/>
        <v>3</v>
      </c>
      <c r="F75">
        <f t="shared" si="7"/>
        <v>0</v>
      </c>
      <c r="G75">
        <f t="shared" si="8"/>
        <v>9</v>
      </c>
      <c r="N75" s="32" t="s">
        <v>125</v>
      </c>
      <c r="O75" s="21"/>
      <c r="P75" s="21">
        <v>-3.9050913841745701E-2</v>
      </c>
      <c r="Q75" s="21">
        <v>-3.9050913841745701E-2</v>
      </c>
    </row>
    <row r="76" spans="1:17" x14ac:dyDescent="0.25">
      <c r="A76" s="28">
        <v>42613</v>
      </c>
      <c r="B76" s="17">
        <v>-1.2192431360480401E-3</v>
      </c>
      <c r="C76" t="str">
        <f t="shared" si="5"/>
        <v>Red</v>
      </c>
      <c r="D76">
        <f>VLOOKUP(A76,Recession!$A$1:$C$395,3,FALSE)</f>
        <v>13.42</v>
      </c>
      <c r="E76">
        <f t="shared" si="6"/>
        <v>3</v>
      </c>
      <c r="F76">
        <f t="shared" si="7"/>
        <v>0</v>
      </c>
      <c r="G76">
        <f t="shared" si="8"/>
        <v>8</v>
      </c>
      <c r="N76" s="32" t="s">
        <v>126</v>
      </c>
      <c r="O76" s="21"/>
      <c r="P76" s="21">
        <v>-3.3551091430651901E-2</v>
      </c>
      <c r="Q76" s="21">
        <v>-3.3551091430651901E-2</v>
      </c>
    </row>
    <row r="77" spans="1:17" x14ac:dyDescent="0.25">
      <c r="A77" s="28">
        <v>42580</v>
      </c>
      <c r="B77" s="17">
        <v>3.5609801125254401E-2</v>
      </c>
      <c r="C77" t="str">
        <f t="shared" si="5"/>
        <v>Green</v>
      </c>
      <c r="D77">
        <f>VLOOKUP(A77,Recession!$A$1:$C$395,3,FALSE)</f>
        <v>11.87</v>
      </c>
      <c r="E77">
        <f t="shared" si="6"/>
        <v>1</v>
      </c>
      <c r="F77">
        <f t="shared" si="7"/>
        <v>1</v>
      </c>
      <c r="G77">
        <f t="shared" si="8"/>
        <v>7</v>
      </c>
      <c r="N77" s="32" t="s">
        <v>127</v>
      </c>
      <c r="O77" s="21"/>
      <c r="P77" s="21">
        <v>-1.46654332569367E-2</v>
      </c>
      <c r="Q77" s="21">
        <v>-1.46654332569367E-2</v>
      </c>
    </row>
    <row r="78" spans="1:17" x14ac:dyDescent="0.25">
      <c r="A78" s="28">
        <v>42551</v>
      </c>
      <c r="B78" s="17">
        <v>9.1092112097812495E-4</v>
      </c>
      <c r="C78" t="str">
        <f t="shared" si="5"/>
        <v>Green</v>
      </c>
      <c r="D78">
        <f>VLOOKUP(A78,Recession!$A$1:$C$395,3,FALSE)</f>
        <v>15.63</v>
      </c>
      <c r="E78">
        <f t="shared" si="6"/>
        <v>4</v>
      </c>
      <c r="F78">
        <f t="shared" si="7"/>
        <v>1</v>
      </c>
      <c r="G78">
        <f t="shared" si="8"/>
        <v>6</v>
      </c>
      <c r="N78" s="32" t="s">
        <v>128</v>
      </c>
      <c r="O78" s="21"/>
      <c r="P78" s="21">
        <v>-7.7790720930232607E-2</v>
      </c>
      <c r="Q78" s="21">
        <v>-7.7790720930232607E-2</v>
      </c>
    </row>
    <row r="79" spans="1:17" x14ac:dyDescent="0.25">
      <c r="A79" s="28">
        <v>42521</v>
      </c>
      <c r="B79" s="17">
        <v>1.53246023575726E-2</v>
      </c>
      <c r="C79" t="str">
        <f t="shared" si="5"/>
        <v>Green</v>
      </c>
      <c r="D79">
        <f>VLOOKUP(A79,Recession!$A$1:$C$395,3,FALSE)</f>
        <v>14.19</v>
      </c>
      <c r="E79">
        <f t="shared" si="6"/>
        <v>3</v>
      </c>
      <c r="F79">
        <f t="shared" si="7"/>
        <v>1</v>
      </c>
      <c r="G79">
        <f t="shared" si="8"/>
        <v>5</v>
      </c>
      <c r="N79" s="32" t="s">
        <v>129</v>
      </c>
      <c r="O79" s="21"/>
      <c r="P79" s="21">
        <v>-9.0278605227048295E-2</v>
      </c>
      <c r="Q79" s="21">
        <v>-9.0278605227048295E-2</v>
      </c>
    </row>
    <row r="80" spans="1:17" x14ac:dyDescent="0.25">
      <c r="A80" s="28">
        <v>42489</v>
      </c>
      <c r="B80" s="17">
        <v>2.6993984808731902E-3</v>
      </c>
      <c r="C80" t="str">
        <f t="shared" si="5"/>
        <v>Green</v>
      </c>
      <c r="D80">
        <f>VLOOKUP(A80,Recession!$A$1:$C$395,3,FALSE)</f>
        <v>15.7</v>
      </c>
      <c r="E80">
        <f t="shared" si="6"/>
        <v>4</v>
      </c>
      <c r="F80">
        <f t="shared" si="7"/>
        <v>1</v>
      </c>
      <c r="G80">
        <f t="shared" si="8"/>
        <v>4</v>
      </c>
      <c r="N80" s="32" t="s">
        <v>107</v>
      </c>
      <c r="O80" s="21"/>
      <c r="P80" s="21">
        <v>-0.119334729886771</v>
      </c>
      <c r="Q80" s="21">
        <v>-0.119334729886771</v>
      </c>
    </row>
    <row r="81" spans="1:24" x14ac:dyDescent="0.25">
      <c r="A81" s="28">
        <v>42460</v>
      </c>
      <c r="B81" s="17">
        <v>6.5991114577365104E-2</v>
      </c>
      <c r="C81" t="str">
        <f t="shared" si="5"/>
        <v>Green</v>
      </c>
      <c r="D81">
        <f>VLOOKUP(A81,Recession!$A$1:$C$395,3,FALSE)</f>
        <v>13.95</v>
      </c>
      <c r="E81">
        <f t="shared" si="6"/>
        <v>3</v>
      </c>
      <c r="F81">
        <f t="shared" si="7"/>
        <v>1</v>
      </c>
      <c r="G81">
        <f t="shared" si="8"/>
        <v>3</v>
      </c>
      <c r="N81" s="32" t="s">
        <v>130</v>
      </c>
      <c r="O81" s="21">
        <v>0.163046912762875</v>
      </c>
      <c r="P81" s="21"/>
      <c r="Q81" s="21">
        <v>0.163046912762875</v>
      </c>
    </row>
    <row r="82" spans="1:24" x14ac:dyDescent="0.25">
      <c r="A82" s="28">
        <v>42429</v>
      </c>
      <c r="B82" s="17">
        <v>-4.12836043029907E-3</v>
      </c>
      <c r="C82" t="str">
        <f t="shared" si="5"/>
        <v>Red</v>
      </c>
      <c r="D82">
        <f>VLOOKUP(A82,Recession!$A$1:$C$395,3,FALSE)</f>
        <v>20.549999</v>
      </c>
      <c r="E82">
        <f t="shared" si="6"/>
        <v>7</v>
      </c>
      <c r="F82">
        <f t="shared" si="7"/>
        <v>0</v>
      </c>
      <c r="G82">
        <f t="shared" si="8"/>
        <v>2</v>
      </c>
      <c r="N82" s="32" t="s">
        <v>131</v>
      </c>
      <c r="O82" s="21"/>
      <c r="P82" s="21">
        <v>-5.3179985028958501E-2</v>
      </c>
      <c r="Q82" s="21">
        <v>-5.3179985028958501E-2</v>
      </c>
    </row>
    <row r="83" spans="1:24" x14ac:dyDescent="0.25">
      <c r="A83" s="28">
        <v>42398</v>
      </c>
      <c r="B83" s="17">
        <v>-5.0735321972946397E-2</v>
      </c>
      <c r="C83" t="str">
        <f t="shared" si="5"/>
        <v>Red</v>
      </c>
      <c r="D83">
        <f>VLOOKUP(A83,Recession!$A$1:$C$395,3,FALSE)</f>
        <v>20.200001</v>
      </c>
      <c r="E83">
        <f t="shared" si="6"/>
        <v>7</v>
      </c>
      <c r="F83">
        <f t="shared" si="7"/>
        <v>0</v>
      </c>
      <c r="G83">
        <f t="shared" si="8"/>
        <v>1</v>
      </c>
      <c r="N83" s="32" t="s">
        <v>93</v>
      </c>
      <c r="O83" s="21"/>
      <c r="P83" s="21">
        <v>-2.0151536084728701E-2</v>
      </c>
      <c r="Q83" s="21">
        <v>-2.0151536084728701E-2</v>
      </c>
    </row>
    <row r="84" spans="1:24" x14ac:dyDescent="0.25">
      <c r="A84" s="28">
        <v>42369</v>
      </c>
      <c r="B84" s="17">
        <v>-1.7530185176314401E-2</v>
      </c>
      <c r="C84" t="str">
        <f t="shared" si="5"/>
        <v>Red</v>
      </c>
      <c r="D84">
        <f>VLOOKUP(A84,Recession!$A$1:$C$395,3,FALSE)</f>
        <v>18.209999</v>
      </c>
      <c r="E84">
        <f t="shared" si="6"/>
        <v>6</v>
      </c>
      <c r="F84">
        <f t="shared" si="7"/>
        <v>0</v>
      </c>
      <c r="G84">
        <f t="shared" si="8"/>
        <v>12</v>
      </c>
      <c r="N84" s="30" t="s">
        <v>142</v>
      </c>
      <c r="O84" s="21">
        <v>0.42643088772134108</v>
      </c>
      <c r="P84" s="21">
        <v>-0.13487812833539761</v>
      </c>
      <c r="Q84" s="21">
        <v>0.29155275938594349</v>
      </c>
    </row>
    <row r="85" spans="1:24" x14ac:dyDescent="0.25">
      <c r="A85" s="28">
        <v>42338</v>
      </c>
      <c r="B85" s="17">
        <v>5.0486926072412796E-4</v>
      </c>
      <c r="C85" t="str">
        <f t="shared" si="5"/>
        <v>Green</v>
      </c>
      <c r="D85">
        <f>VLOOKUP(A85,Recession!$A$1:$C$395,3,FALSE)</f>
        <v>16.129999000000002</v>
      </c>
      <c r="E85">
        <f t="shared" si="6"/>
        <v>4</v>
      </c>
      <c r="F85">
        <f t="shared" si="7"/>
        <v>1</v>
      </c>
      <c r="G85">
        <f t="shared" si="8"/>
        <v>11</v>
      </c>
      <c r="N85" s="32" t="s">
        <v>122</v>
      </c>
      <c r="O85" s="21">
        <v>0.122812211867334</v>
      </c>
      <c r="P85" s="21"/>
      <c r="Q85" s="21">
        <v>0.122812211867334</v>
      </c>
    </row>
    <row r="86" spans="1:24" x14ac:dyDescent="0.25">
      <c r="A86" s="28">
        <v>42307</v>
      </c>
      <c r="B86" s="17">
        <v>8.2983117760394104E-2</v>
      </c>
      <c r="C86" t="str">
        <f t="shared" si="5"/>
        <v>Green</v>
      </c>
      <c r="D86">
        <f>VLOOKUP(A86,Recession!$A$1:$C$395,3,FALSE)</f>
        <v>15.07</v>
      </c>
      <c r="E86">
        <f t="shared" si="6"/>
        <v>4</v>
      </c>
      <c r="F86">
        <f t="shared" si="7"/>
        <v>1</v>
      </c>
      <c r="G86">
        <f t="shared" si="8"/>
        <v>10</v>
      </c>
      <c r="N86" s="32" t="s">
        <v>123</v>
      </c>
      <c r="O86" s="21">
        <v>5.9885591326880101E-2</v>
      </c>
      <c r="P86" s="21"/>
      <c r="Q86" s="21">
        <v>5.9885591326880101E-2</v>
      </c>
    </row>
    <row r="87" spans="1:24" x14ac:dyDescent="0.25">
      <c r="A87" s="28">
        <v>42277</v>
      </c>
      <c r="B87" s="17">
        <v>-2.6442831573227101E-2</v>
      </c>
      <c r="C87" t="str">
        <f t="shared" si="5"/>
        <v>Red</v>
      </c>
      <c r="D87">
        <f>VLOOKUP(A87,Recession!$A$1:$C$395,3,FALSE)</f>
        <v>24.5</v>
      </c>
      <c r="E87">
        <f t="shared" si="6"/>
        <v>9</v>
      </c>
      <c r="F87">
        <f t="shared" si="7"/>
        <v>0</v>
      </c>
      <c r="G87">
        <f t="shared" si="8"/>
        <v>9</v>
      </c>
      <c r="N87" s="32" t="s">
        <v>124</v>
      </c>
      <c r="O87" s="21">
        <v>2.1693897374379E-2</v>
      </c>
      <c r="P87" s="21"/>
      <c r="Q87" s="21">
        <v>2.1693897374379E-2</v>
      </c>
    </row>
    <row r="88" spans="1:24" x14ac:dyDescent="0.25">
      <c r="A88" s="28">
        <v>42247</v>
      </c>
      <c r="B88" s="17">
        <v>-6.2580818167202804E-2</v>
      </c>
      <c r="C88" t="str">
        <f t="shared" si="5"/>
        <v>Red</v>
      </c>
      <c r="D88">
        <f>VLOOKUP(A88,Recession!$A$1:$C$395,3,FALSE)</f>
        <v>28.43</v>
      </c>
      <c r="E88">
        <f t="shared" si="6"/>
        <v>9</v>
      </c>
      <c r="F88">
        <f t="shared" si="7"/>
        <v>0</v>
      </c>
      <c r="G88">
        <f t="shared" si="8"/>
        <v>8</v>
      </c>
      <c r="N88" s="32" t="s">
        <v>125</v>
      </c>
      <c r="O88" s="21">
        <v>4.7264898665248398E-2</v>
      </c>
      <c r="P88" s="21"/>
      <c r="Q88" s="21">
        <v>4.7264898665248398E-2</v>
      </c>
    </row>
    <row r="89" spans="1:24" x14ac:dyDescent="0.25">
      <c r="A89" s="28">
        <v>42216</v>
      </c>
      <c r="B89" s="17">
        <v>1.9742029696721501E-2</v>
      </c>
      <c r="C89" t="str">
        <f t="shared" si="5"/>
        <v>Green</v>
      </c>
      <c r="D89">
        <f>VLOOKUP(A89,Recession!$A$1:$C$395,3,FALSE)</f>
        <v>12.12</v>
      </c>
      <c r="E89">
        <f t="shared" si="6"/>
        <v>2</v>
      </c>
      <c r="F89">
        <f t="shared" si="7"/>
        <v>1</v>
      </c>
      <c r="G89">
        <f t="shared" si="8"/>
        <v>7</v>
      </c>
      <c r="N89" s="32" t="s">
        <v>126</v>
      </c>
      <c r="O89" s="21">
        <v>4.4100788862515797E-2</v>
      </c>
      <c r="P89" s="21"/>
      <c r="Q89" s="21">
        <v>4.4100788862515797E-2</v>
      </c>
    </row>
    <row r="90" spans="1:24" x14ac:dyDescent="0.25">
      <c r="A90" s="28">
        <v>42185</v>
      </c>
      <c r="B90" s="17">
        <v>-2.10116723759005E-2</v>
      </c>
      <c r="C90" t="str">
        <f t="shared" si="5"/>
        <v>Red</v>
      </c>
      <c r="D90">
        <f>VLOOKUP(A90,Recession!$A$1:$C$395,3,FALSE)</f>
        <v>18.23</v>
      </c>
      <c r="E90">
        <f t="shared" si="6"/>
        <v>6</v>
      </c>
      <c r="F90">
        <f t="shared" si="7"/>
        <v>0</v>
      </c>
      <c r="G90">
        <f t="shared" si="8"/>
        <v>6</v>
      </c>
      <c r="N90" s="32" t="s">
        <v>127</v>
      </c>
      <c r="O90" s="21">
        <v>4.43225442825552E-2</v>
      </c>
      <c r="P90" s="21"/>
      <c r="Q90" s="21">
        <v>4.43225442825552E-2</v>
      </c>
    </row>
    <row r="91" spans="1:24" x14ac:dyDescent="0.25">
      <c r="A91" s="28">
        <v>42153</v>
      </c>
      <c r="B91" s="17">
        <v>1.04913823933168E-2</v>
      </c>
      <c r="C91" t="str">
        <f t="shared" si="5"/>
        <v>Green</v>
      </c>
      <c r="D91">
        <f>VLOOKUP(A91,Recession!$A$1:$C$395,3,FALSE)</f>
        <v>13.84</v>
      </c>
      <c r="E91">
        <f t="shared" si="6"/>
        <v>3</v>
      </c>
      <c r="F91">
        <f t="shared" si="7"/>
        <v>1</v>
      </c>
      <c r="G91">
        <f t="shared" si="8"/>
        <v>5</v>
      </c>
      <c r="N91" s="32" t="s">
        <v>128</v>
      </c>
      <c r="O91" s="21"/>
      <c r="P91" s="21">
        <v>-6.7654184942658194E-2</v>
      </c>
      <c r="Q91" s="21">
        <v>-6.7654184942658194E-2</v>
      </c>
    </row>
    <row r="92" spans="1:24" x14ac:dyDescent="0.25">
      <c r="A92" s="28">
        <v>42124</v>
      </c>
      <c r="B92" s="17">
        <v>8.5208197301247495E-3</v>
      </c>
      <c r="C92" t="str">
        <f t="shared" si="5"/>
        <v>Green</v>
      </c>
      <c r="D92">
        <f>VLOOKUP(A92,Recession!$A$1:$C$395,3,FALSE)</f>
        <v>14.55</v>
      </c>
      <c r="E92">
        <f t="shared" si="6"/>
        <v>3</v>
      </c>
      <c r="F92">
        <f t="shared" si="7"/>
        <v>1</v>
      </c>
      <c r="G92">
        <f t="shared" si="8"/>
        <v>4</v>
      </c>
      <c r="N92" s="32" t="s">
        <v>129</v>
      </c>
      <c r="O92" s="21"/>
      <c r="P92" s="21">
        <v>-2.10704563380282E-2</v>
      </c>
      <c r="Q92" s="21">
        <v>-2.10704563380282E-2</v>
      </c>
    </row>
    <row r="93" spans="1:24" x14ac:dyDescent="0.25">
      <c r="A93" s="28">
        <v>42094</v>
      </c>
      <c r="B93" s="17">
        <v>-1.7396106913756301E-2</v>
      </c>
      <c r="C93" t="str">
        <f t="shared" si="5"/>
        <v>Red</v>
      </c>
      <c r="D93">
        <f>VLOOKUP(A93,Recession!$A$1:$C$395,3,FALSE)</f>
        <v>15.29</v>
      </c>
      <c r="E93">
        <f t="shared" si="6"/>
        <v>4</v>
      </c>
      <c r="F93">
        <f t="shared" si="7"/>
        <v>0</v>
      </c>
      <c r="G93">
        <f t="shared" si="8"/>
        <v>3</v>
      </c>
      <c r="N93" s="32" t="s">
        <v>107</v>
      </c>
      <c r="O93" s="21"/>
      <c r="P93" s="21">
        <v>-3.4645420165012299E-2</v>
      </c>
      <c r="Q93" s="21">
        <v>-3.4645420165012299E-2</v>
      </c>
    </row>
    <row r="94" spans="1:24" x14ac:dyDescent="0.25">
      <c r="A94" s="28">
        <v>42062</v>
      </c>
      <c r="B94" s="17">
        <v>5.4892511014553898E-2</v>
      </c>
      <c r="C94" t="str">
        <f t="shared" si="5"/>
        <v>Green</v>
      </c>
      <c r="D94">
        <f>VLOOKUP(A94,Recession!$A$1:$C$395,3,FALSE)</f>
        <v>13.34</v>
      </c>
      <c r="E94">
        <f t="shared" si="6"/>
        <v>3</v>
      </c>
      <c r="F94">
        <f t="shared" si="7"/>
        <v>1</v>
      </c>
      <c r="G94">
        <f t="shared" si="8"/>
        <v>2</v>
      </c>
      <c r="N94" s="32" t="s">
        <v>130</v>
      </c>
      <c r="O94" s="21">
        <v>6.16429929065343E-2</v>
      </c>
      <c r="P94" s="21"/>
      <c r="Q94" s="21">
        <v>6.16429929065343E-2</v>
      </c>
    </row>
    <row r="95" spans="1:24" x14ac:dyDescent="0.25">
      <c r="A95" s="28">
        <v>42034</v>
      </c>
      <c r="B95" s="17">
        <v>-3.1040805790470201E-2</v>
      </c>
      <c r="C95" t="str">
        <f t="shared" si="5"/>
        <v>Red</v>
      </c>
      <c r="D95">
        <f>VLOOKUP(A95,Recession!$A$1:$C$395,3,FALSE)</f>
        <v>20.969999000000001</v>
      </c>
      <c r="E95">
        <f t="shared" si="6"/>
        <v>7</v>
      </c>
      <c r="F95">
        <f t="shared" si="7"/>
        <v>0</v>
      </c>
      <c r="G95">
        <f t="shared" si="8"/>
        <v>1</v>
      </c>
      <c r="N95" s="32" t="s">
        <v>131</v>
      </c>
      <c r="O95" s="21">
        <v>2.47079624358943E-2</v>
      </c>
      <c r="P95" s="21"/>
      <c r="Q95" s="21">
        <v>2.47079624358943E-2</v>
      </c>
      <c r="X95" t="s">
        <v>167</v>
      </c>
    </row>
    <row r="96" spans="1:24" x14ac:dyDescent="0.25">
      <c r="A96" s="28">
        <v>42004</v>
      </c>
      <c r="B96" s="17">
        <v>-4.1885878779204201E-3</v>
      </c>
      <c r="C96" t="str">
        <f t="shared" si="5"/>
        <v>Red</v>
      </c>
      <c r="D96">
        <f>VLOOKUP(A96,Recession!$A$1:$C$395,3,FALSE)</f>
        <v>19.200001</v>
      </c>
      <c r="E96">
        <f t="shared" si="6"/>
        <v>6</v>
      </c>
      <c r="F96">
        <f t="shared" si="7"/>
        <v>0</v>
      </c>
      <c r="G96">
        <f t="shared" si="8"/>
        <v>12</v>
      </c>
      <c r="N96" s="32" t="s">
        <v>93</v>
      </c>
      <c r="O96" s="21"/>
      <c r="P96" s="21">
        <v>-1.15080668896989E-2</v>
      </c>
      <c r="Q96" s="21">
        <v>-1.15080668896989E-2</v>
      </c>
      <c r="X96" s="14">
        <f>_xlfn.STDEV.S(T98:T109)</f>
        <v>2.8782838137187339E-2</v>
      </c>
    </row>
    <row r="97" spans="1:25" x14ac:dyDescent="0.25">
      <c r="A97" s="28">
        <v>41971</v>
      </c>
      <c r="B97" s="17">
        <v>2.4533588760364801E-2</v>
      </c>
      <c r="C97" t="str">
        <f t="shared" si="5"/>
        <v>Green</v>
      </c>
      <c r="D97">
        <f>VLOOKUP(A97,Recession!$A$1:$C$395,3,FALSE)</f>
        <v>13.33</v>
      </c>
      <c r="E97">
        <f t="shared" si="6"/>
        <v>3</v>
      </c>
      <c r="F97">
        <f t="shared" si="7"/>
        <v>1</v>
      </c>
      <c r="G97">
        <f t="shared" si="8"/>
        <v>11</v>
      </c>
      <c r="N97" s="30" t="s">
        <v>143</v>
      </c>
      <c r="O97" s="21">
        <v>0.26505973192677823</v>
      </c>
      <c r="P97" s="21">
        <v>-7.9950146512591386E-2</v>
      </c>
      <c r="Q97" s="21">
        <v>0.18510958541418684</v>
      </c>
      <c r="S97" s="29" t="s">
        <v>91</v>
      </c>
      <c r="T97" t="s">
        <v>165</v>
      </c>
      <c r="U97" t="s">
        <v>166</v>
      </c>
      <c r="V97" t="s">
        <v>169</v>
      </c>
      <c r="W97" t="s">
        <v>168</v>
      </c>
    </row>
    <row r="98" spans="1:25" x14ac:dyDescent="0.25">
      <c r="A98" s="28">
        <v>41943</v>
      </c>
      <c r="B98" s="17">
        <v>2.32014607867723E-2</v>
      </c>
      <c r="C98" t="str">
        <f t="shared" si="5"/>
        <v>Green</v>
      </c>
      <c r="D98">
        <f>VLOOKUP(A98,Recession!$A$1:$C$395,3,FALSE)</f>
        <v>14.03</v>
      </c>
      <c r="E98">
        <f t="shared" si="6"/>
        <v>3</v>
      </c>
      <c r="F98">
        <f t="shared" si="7"/>
        <v>1</v>
      </c>
      <c r="G98">
        <f t="shared" si="8"/>
        <v>10</v>
      </c>
      <c r="N98" s="32" t="s">
        <v>122</v>
      </c>
      <c r="O98" s="21">
        <v>0.118305785157871</v>
      </c>
      <c r="P98" s="21"/>
      <c r="Q98" s="21">
        <v>0.118305785157871</v>
      </c>
      <c r="S98" s="30">
        <v>1</v>
      </c>
      <c r="T98" s="23">
        <v>1.1167190157289114E-3</v>
      </c>
      <c r="U98" s="23">
        <v>4.2001385514881896E-2</v>
      </c>
      <c r="V98" s="35">
        <v>0.54545454545454541</v>
      </c>
      <c r="W98" s="38">
        <f>GETPIVOTDATA("Average of Returns",$S$97,"Month",1)/GETPIVOTDATA("StdDev of Returns",$S$97,"Month",1)</f>
        <v>2.6587670907504621E-2</v>
      </c>
      <c r="X98" s="13">
        <f>GETPIVOTDATA("Average of Returns",$S$97,"Month",1)/$X$96</f>
        <v>3.8798085526045252E-2</v>
      </c>
    </row>
    <row r="99" spans="1:25" x14ac:dyDescent="0.25">
      <c r="A99" s="28">
        <v>41912</v>
      </c>
      <c r="B99" s="17">
        <v>-1.5513837223063799E-2</v>
      </c>
      <c r="C99" t="str">
        <f t="shared" si="5"/>
        <v>Red</v>
      </c>
      <c r="D99">
        <f>VLOOKUP(A99,Recession!$A$1:$C$395,3,FALSE)</f>
        <v>16.309999000000001</v>
      </c>
      <c r="E99">
        <f t="shared" si="6"/>
        <v>5</v>
      </c>
      <c r="F99">
        <f t="shared" si="7"/>
        <v>0</v>
      </c>
      <c r="G99">
        <f t="shared" si="8"/>
        <v>9</v>
      </c>
      <c r="N99" s="32" t="s">
        <v>123</v>
      </c>
      <c r="O99" s="21"/>
      <c r="P99" s="21">
        <v>-1.14019630041448E-2</v>
      </c>
      <c r="Q99" s="21">
        <v>-1.14019630041448E-2</v>
      </c>
      <c r="S99" s="37">
        <v>1</v>
      </c>
      <c r="T99" s="23">
        <v>2.2180464247971675E-2</v>
      </c>
      <c r="U99" s="23">
        <v>8.0688838055413981E-3</v>
      </c>
      <c r="V99" s="35">
        <v>1</v>
      </c>
      <c r="W99" s="35">
        <f t="shared" ref="W99:W107" si="9">GETPIVOTDATA("Average of Returns",$S$97,"VIX buckets",S99,"Month",1)/GETPIVOTDATA("StdDev of Returns",$S$97,"VIX buckets",S99,"Month",1)</f>
        <v>2.7488887908807147</v>
      </c>
      <c r="X99" s="13">
        <f>GETPIVOTDATA("Average of Returns",$S$97,"Month",2)/$X$96</f>
        <v>1.3065902712608215E-2</v>
      </c>
      <c r="Y99" s="16">
        <f>GETPIVOTDATA("Average of Returns",$S$97,"VIX buckets",1,"Month",1)/GETPIVOTDATA("StdDev of Returns",$S$97,"VIX buckets",1,"Month",1)</f>
        <v>2.7488887908807147</v>
      </c>
    </row>
    <row r="100" spans="1:25" x14ac:dyDescent="0.25">
      <c r="A100" s="28">
        <v>41880</v>
      </c>
      <c r="B100" s="17">
        <v>3.7655295489735098E-2</v>
      </c>
      <c r="C100" t="str">
        <f t="shared" si="5"/>
        <v>Green</v>
      </c>
      <c r="D100">
        <f>VLOOKUP(A100,Recession!$A$1:$C$395,3,FALSE)</f>
        <v>12.09</v>
      </c>
      <c r="E100">
        <f t="shared" si="6"/>
        <v>2</v>
      </c>
      <c r="F100">
        <f t="shared" si="7"/>
        <v>1</v>
      </c>
      <c r="G100">
        <f t="shared" si="8"/>
        <v>8</v>
      </c>
      <c r="N100" s="32" t="s">
        <v>124</v>
      </c>
      <c r="O100" s="21">
        <v>3.0688978344087799E-2</v>
      </c>
      <c r="P100" s="21"/>
      <c r="Q100" s="21">
        <v>3.0688978344087799E-2</v>
      </c>
      <c r="S100" s="37">
        <v>2</v>
      </c>
      <c r="T100" s="23">
        <v>9.9599201965546186E-3</v>
      </c>
      <c r="U100" s="23">
        <v>2.5851525006253918E-2</v>
      </c>
      <c r="V100" s="35">
        <v>0.75</v>
      </c>
      <c r="W100" s="35">
        <f t="shared" si="9"/>
        <v>0.38527399037949006</v>
      </c>
      <c r="X100" s="13">
        <f>GETPIVOTDATA("Average of Returns",$S$97,"Month",3)/$X$96</f>
        <v>0.36421490927524297</v>
      </c>
    </row>
    <row r="101" spans="1:25" x14ac:dyDescent="0.25">
      <c r="A101" s="28">
        <v>41851</v>
      </c>
      <c r="B101" s="17">
        <v>-1.50798305819199E-2</v>
      </c>
      <c r="C101" t="str">
        <f t="shared" si="5"/>
        <v>Red</v>
      </c>
      <c r="D101">
        <f>VLOOKUP(A101,Recession!$A$1:$C$395,3,FALSE)</f>
        <v>16.950001</v>
      </c>
      <c r="E101">
        <f t="shared" si="6"/>
        <v>5</v>
      </c>
      <c r="F101">
        <f t="shared" si="7"/>
        <v>0</v>
      </c>
      <c r="G101">
        <f t="shared" si="8"/>
        <v>7</v>
      </c>
      <c r="N101" s="32" t="s">
        <v>125</v>
      </c>
      <c r="O101" s="21"/>
      <c r="P101" s="21">
        <v>-1.0995407540977199E-2</v>
      </c>
      <c r="Q101" s="21">
        <v>-1.0995407540977199E-2</v>
      </c>
      <c r="S101" s="37">
        <v>3</v>
      </c>
      <c r="T101" s="23">
        <v>5.3303400481855799E-2</v>
      </c>
      <c r="U101" s="23">
        <v>4.0662938593976706E-3</v>
      </c>
      <c r="V101" s="35">
        <v>1</v>
      </c>
      <c r="W101" s="35">
        <f t="shared" si="9"/>
        <v>13.108595277408577</v>
      </c>
      <c r="X101" s="13">
        <f>GETPIVOTDATA("Average of Returns",$S$97,"Month",4)/$X$96</f>
        <v>0.60391732570770817</v>
      </c>
    </row>
    <row r="102" spans="1:25" x14ac:dyDescent="0.25">
      <c r="A102" s="28">
        <v>41820</v>
      </c>
      <c r="B102" s="17">
        <v>1.90583316589206E-2</v>
      </c>
      <c r="C102" t="str">
        <f t="shared" si="5"/>
        <v>Green</v>
      </c>
      <c r="D102">
        <f>VLOOKUP(A102,Recession!$A$1:$C$395,3,FALSE)</f>
        <v>11.57</v>
      </c>
      <c r="E102">
        <f t="shared" si="6"/>
        <v>1</v>
      </c>
      <c r="F102">
        <f t="shared" si="7"/>
        <v>1</v>
      </c>
      <c r="G102">
        <f t="shared" si="8"/>
        <v>6</v>
      </c>
      <c r="N102" s="32" t="s">
        <v>126</v>
      </c>
      <c r="O102" s="21"/>
      <c r="P102" s="21">
        <v>-1.4364413758012701E-2</v>
      </c>
      <c r="Q102" s="21">
        <v>-1.4364413758012701E-2</v>
      </c>
      <c r="S102" s="37">
        <v>5</v>
      </c>
      <c r="T102" s="23">
        <v>2.5345679400117168E-2</v>
      </c>
      <c r="U102" s="23">
        <v>4.9796857588907437E-2</v>
      </c>
      <c r="V102" s="35">
        <v>0.66666666666666663</v>
      </c>
      <c r="W102" s="35">
        <f t="shared" si="9"/>
        <v>0.5089815025951171</v>
      </c>
      <c r="X102" s="13">
        <f>GETPIVOTDATA("Average of Returns",$S$97,"Month",5)/$X$96</f>
        <v>0.31662778952401233</v>
      </c>
    </row>
    <row r="103" spans="1:25" x14ac:dyDescent="0.25">
      <c r="A103" s="28">
        <v>41789</v>
      </c>
      <c r="B103" s="17">
        <v>2.1030280012995999E-2</v>
      </c>
      <c r="C103" t="str">
        <f t="shared" si="5"/>
        <v>Green</v>
      </c>
      <c r="D103">
        <f>VLOOKUP(A103,Recession!$A$1:$C$395,3,FALSE)</f>
        <v>11.4</v>
      </c>
      <c r="E103">
        <f t="shared" si="6"/>
        <v>1</v>
      </c>
      <c r="F103">
        <f t="shared" si="7"/>
        <v>1</v>
      </c>
      <c r="G103">
        <f t="shared" si="8"/>
        <v>5</v>
      </c>
      <c r="N103" s="32" t="s">
        <v>127</v>
      </c>
      <c r="O103" s="21">
        <v>4.0926322619285298E-2</v>
      </c>
      <c r="P103" s="21"/>
      <c r="Q103" s="21">
        <v>4.0926322619285298E-2</v>
      </c>
      <c r="S103" s="37">
        <v>9</v>
      </c>
      <c r="T103" s="23">
        <v>-3.8239029264310602E-2</v>
      </c>
      <c r="U103" s="23">
        <v>4.027077296091075E-2</v>
      </c>
      <c r="V103" s="35">
        <v>0.16666666666666666</v>
      </c>
      <c r="W103" s="35">
        <f t="shared" si="9"/>
        <v>-0.94954793396758785</v>
      </c>
      <c r="X103" s="13">
        <f>GETPIVOTDATA("Average of Returns",$S$97,"Month",6)/$X$96</f>
        <v>-0.10586255600182343</v>
      </c>
    </row>
    <row r="104" spans="1:25" x14ac:dyDescent="0.25">
      <c r="A104" s="28">
        <v>41759</v>
      </c>
      <c r="B104" s="17">
        <v>6.2007889650528298E-3</v>
      </c>
      <c r="C104" t="str">
        <f t="shared" si="5"/>
        <v>Green</v>
      </c>
      <c r="D104">
        <f>VLOOKUP(A104,Recession!$A$1:$C$395,3,FALSE)</f>
        <v>13.41</v>
      </c>
      <c r="E104">
        <f t="shared" si="6"/>
        <v>3</v>
      </c>
      <c r="F104">
        <f t="shared" si="7"/>
        <v>1</v>
      </c>
      <c r="G104">
        <f t="shared" si="8"/>
        <v>4</v>
      </c>
      <c r="N104" s="32" t="s">
        <v>128</v>
      </c>
      <c r="O104" s="21"/>
      <c r="P104" s="21">
        <v>-8.0552072118834604E-3</v>
      </c>
      <c r="Q104" s="21">
        <v>-8.0552072118834604E-3</v>
      </c>
      <c r="S104" s="37">
        <v>7</v>
      </c>
      <c r="T104" s="23">
        <v>-9.1364063696223602E-3</v>
      </c>
      <c r="U104" s="23">
        <v>3.6019192685829662E-2</v>
      </c>
      <c r="V104" s="35">
        <v>0.4</v>
      </c>
      <c r="W104" s="35">
        <f t="shared" si="9"/>
        <v>-0.2536538353125477</v>
      </c>
      <c r="X104" s="13">
        <f>GETPIVOTDATA("Average of Returns",$S$97,"Month",7)/$X$96</f>
        <v>0.48638690206131874</v>
      </c>
    </row>
    <row r="105" spans="1:25" x14ac:dyDescent="0.25">
      <c r="A105" s="28">
        <v>41729</v>
      </c>
      <c r="B105" s="17">
        <v>6.93216560793575E-3</v>
      </c>
      <c r="C105" t="str">
        <f t="shared" si="5"/>
        <v>Green</v>
      </c>
      <c r="D105">
        <f>VLOOKUP(A105,Recession!$A$1:$C$395,3,FALSE)</f>
        <v>13.88</v>
      </c>
      <c r="E105">
        <f t="shared" si="6"/>
        <v>3</v>
      </c>
      <c r="F105">
        <f t="shared" si="7"/>
        <v>1</v>
      </c>
      <c r="G105">
        <f t="shared" si="8"/>
        <v>3</v>
      </c>
      <c r="N105" s="32" t="s">
        <v>129</v>
      </c>
      <c r="O105" s="21"/>
      <c r="P105" s="21">
        <v>-5.1237237988452904E-3</v>
      </c>
      <c r="Q105" s="21">
        <v>-5.1237237988452904E-3</v>
      </c>
      <c r="S105" s="37">
        <v>10</v>
      </c>
      <c r="T105" s="23">
        <v>-4.1402898737165933E-2</v>
      </c>
      <c r="U105" s="23">
        <v>3.9180166578511769E-2</v>
      </c>
      <c r="V105" s="35">
        <v>0</v>
      </c>
      <c r="W105" s="35">
        <f t="shared" si="9"/>
        <v>-1.0567310543256652</v>
      </c>
      <c r="X105" s="13">
        <f>GETPIVOTDATA("Average of Returns",$S$97,"Month",8)/$X$96</f>
        <v>-0.21050291692039302</v>
      </c>
    </row>
    <row r="106" spans="1:25" x14ac:dyDescent="0.25">
      <c r="A106" s="28">
        <v>41698</v>
      </c>
      <c r="B106" s="17">
        <v>4.3117029976595299E-2</v>
      </c>
      <c r="C106" t="str">
        <f t="shared" si="5"/>
        <v>Green</v>
      </c>
      <c r="D106">
        <f>VLOOKUP(A106,Recession!$A$1:$C$395,3,FALSE)</f>
        <v>14</v>
      </c>
      <c r="E106">
        <f t="shared" si="6"/>
        <v>3</v>
      </c>
      <c r="F106">
        <f t="shared" si="7"/>
        <v>1</v>
      </c>
      <c r="G106">
        <f t="shared" si="8"/>
        <v>2</v>
      </c>
      <c r="N106" s="32" t="s">
        <v>107</v>
      </c>
      <c r="O106" s="21">
        <v>2.2641083562682698E-2</v>
      </c>
      <c r="P106" s="21"/>
      <c r="Q106" s="21">
        <v>2.2641083562682698E-2</v>
      </c>
      <c r="S106" s="37">
        <v>8</v>
      </c>
      <c r="T106" s="23">
        <v>3.4636577086329501E-2</v>
      </c>
      <c r="U106" s="23" t="e">
        <v>#DIV/0!</v>
      </c>
      <c r="V106" s="35">
        <v>1</v>
      </c>
      <c r="W106" s="35" t="e">
        <f t="shared" si="9"/>
        <v>#DIV/0!</v>
      </c>
      <c r="X106" s="13">
        <f>GETPIVOTDATA("Average of Returns",$S$97,"Month",9)/$X$96</f>
        <v>-0.27919671935772694</v>
      </c>
    </row>
    <row r="107" spans="1:25" x14ac:dyDescent="0.25">
      <c r="A107" s="28">
        <v>41670</v>
      </c>
      <c r="B107" s="17">
        <v>-3.5582905675162597E-2</v>
      </c>
      <c r="C107" t="str">
        <f t="shared" si="5"/>
        <v>Red</v>
      </c>
      <c r="D107">
        <f>VLOOKUP(A107,Recession!$A$1:$C$395,3,FALSE)</f>
        <v>18.41</v>
      </c>
      <c r="E107">
        <f t="shared" si="6"/>
        <v>6</v>
      </c>
      <c r="F107">
        <f t="shared" si="7"/>
        <v>0</v>
      </c>
      <c r="G107">
        <f t="shared" si="8"/>
        <v>1</v>
      </c>
      <c r="N107" s="32" t="s">
        <v>130</v>
      </c>
      <c r="O107" s="21"/>
      <c r="P107" s="21">
        <v>-2.2234854090362102E-2</v>
      </c>
      <c r="Q107" s="21">
        <v>-2.2234854090362102E-2</v>
      </c>
      <c r="S107" s="37">
        <v>6</v>
      </c>
      <c r="T107" s="23">
        <v>1.8066935427205902E-2</v>
      </c>
      <c r="U107" s="23">
        <v>3.8107767292044376E-2</v>
      </c>
      <c r="V107" s="35">
        <v>0.6</v>
      </c>
      <c r="W107" s="35">
        <f t="shared" si="9"/>
        <v>0.47410112717303365</v>
      </c>
      <c r="X107" s="13">
        <f>GETPIVOTDATA("Average of Returns",$S$97,"Month",10)/$X$96</f>
        <v>0.49482921655488982</v>
      </c>
    </row>
    <row r="108" spans="1:25" x14ac:dyDescent="0.25">
      <c r="A108" s="28">
        <v>41639</v>
      </c>
      <c r="B108" s="17">
        <v>2.35627915504928E-2</v>
      </c>
      <c r="C108" t="str">
        <f t="shared" si="5"/>
        <v>Green</v>
      </c>
      <c r="D108">
        <f>VLOOKUP(A108,Recession!$A$1:$C$395,3,FALSE)</f>
        <v>13.72</v>
      </c>
      <c r="E108">
        <f t="shared" si="6"/>
        <v>3</v>
      </c>
      <c r="F108">
        <f t="shared" si="7"/>
        <v>1</v>
      </c>
      <c r="G108">
        <f t="shared" si="8"/>
        <v>12</v>
      </c>
      <c r="N108" s="32" t="s">
        <v>131</v>
      </c>
      <c r="O108" s="21"/>
      <c r="P108" s="21">
        <v>-7.7745771083658202E-3</v>
      </c>
      <c r="Q108" s="21">
        <v>-7.7745771083658202E-3</v>
      </c>
      <c r="S108" s="30">
        <v>2</v>
      </c>
      <c r="T108" s="23">
        <v>3.7607376289323924E-4</v>
      </c>
      <c r="U108" s="23">
        <v>4.2582768529308847E-2</v>
      </c>
      <c r="V108" s="35">
        <v>0.60606060606060608</v>
      </c>
      <c r="W108" s="38">
        <f>GETPIVOTDATA("Average of Returns",$S$97,"Month",2)/GETPIVOTDATA("StdDev of Returns",$S$97,"Month",2)</f>
        <v>8.8315949357401537E-3</v>
      </c>
      <c r="X108" s="13">
        <f>GETPIVOTDATA("Average of Returns",$S$97,"Month",11)/$X$96</f>
        <v>0.63086942607410679</v>
      </c>
    </row>
    <row r="109" spans="1:25" x14ac:dyDescent="0.25">
      <c r="A109" s="28">
        <v>41607</v>
      </c>
      <c r="B109" s="17">
        <v>2.80494716351865E-2</v>
      </c>
      <c r="C109" t="str">
        <f t="shared" si="5"/>
        <v>Green</v>
      </c>
      <c r="D109">
        <f>VLOOKUP(A109,Recession!$A$1:$C$395,3,FALSE)</f>
        <v>13.7</v>
      </c>
      <c r="E109">
        <f t="shared" si="6"/>
        <v>3</v>
      </c>
      <c r="F109">
        <f t="shared" si="7"/>
        <v>1</v>
      </c>
      <c r="G109">
        <f t="shared" si="8"/>
        <v>11</v>
      </c>
      <c r="N109" s="32" t="s">
        <v>93</v>
      </c>
      <c r="O109" s="21">
        <v>5.2497562242851403E-2</v>
      </c>
      <c r="P109" s="21"/>
      <c r="Q109" s="21">
        <v>5.2497562242851403E-2</v>
      </c>
      <c r="S109" s="37">
        <v>1</v>
      </c>
      <c r="T109" s="23">
        <v>3.6074149761991602E-2</v>
      </c>
      <c r="U109" s="23" t="e">
        <v>#DIV/0!</v>
      </c>
      <c r="V109" s="35">
        <v>1</v>
      </c>
      <c r="W109" s="39" t="e">
        <f t="shared" ref="W109:W118" si="10">GETPIVOTDATA("Average of Returns",$S$97,"VIX buckets",S109,"Month",2)/GETPIVOTDATA("StdDev of Returns",$S$97,"VIX buckets",S109,"Month",2)</f>
        <v>#DIV/0!</v>
      </c>
      <c r="X109" s="13">
        <f>GETPIVOTDATA("Average of Returns",$S$97,"Month",12)/$X$96</f>
        <v>0.52795478190264555</v>
      </c>
    </row>
    <row r="110" spans="1:25" x14ac:dyDescent="0.25">
      <c r="A110" s="28">
        <v>41578</v>
      </c>
      <c r="B110" s="17">
        <v>4.45957526180061E-2</v>
      </c>
      <c r="C110" t="str">
        <f t="shared" si="5"/>
        <v>Green</v>
      </c>
      <c r="D110">
        <f>VLOOKUP(A110,Recession!$A$1:$C$395,3,FALSE)</f>
        <v>13.75</v>
      </c>
      <c r="E110">
        <f t="shared" si="6"/>
        <v>3</v>
      </c>
      <c r="F110">
        <f t="shared" si="7"/>
        <v>1</v>
      </c>
      <c r="G110">
        <f t="shared" si="8"/>
        <v>10</v>
      </c>
      <c r="N110" s="30" t="s">
        <v>144</v>
      </c>
      <c r="O110" s="21">
        <v>7.5376002879288195E-2</v>
      </c>
      <c r="P110" s="21">
        <v>-0.19293411681855638</v>
      </c>
      <c r="Q110" s="21">
        <v>-0.11755811393926817</v>
      </c>
      <c r="S110" s="37">
        <v>2</v>
      </c>
      <c r="T110" s="23">
        <v>1.6759572850134699E-2</v>
      </c>
      <c r="U110" s="23">
        <v>1.5573677485841609E-2</v>
      </c>
      <c r="V110" s="35">
        <v>1</v>
      </c>
      <c r="W110" s="39">
        <f t="shared" si="10"/>
        <v>1.0761474202461951</v>
      </c>
    </row>
    <row r="111" spans="1:25" x14ac:dyDescent="0.25">
      <c r="A111" s="28">
        <v>41547</v>
      </c>
      <c r="B111" s="17">
        <v>2.9749523177239098E-2</v>
      </c>
      <c r="C111" t="str">
        <f t="shared" si="5"/>
        <v>Green</v>
      </c>
      <c r="D111">
        <f>VLOOKUP(A111,Recession!$A$1:$C$395,3,FALSE)</f>
        <v>16.600000000000001</v>
      </c>
      <c r="E111">
        <f t="shared" si="6"/>
        <v>5</v>
      </c>
      <c r="F111">
        <f t="shared" si="7"/>
        <v>1</v>
      </c>
      <c r="G111">
        <f t="shared" si="8"/>
        <v>9</v>
      </c>
      <c r="N111" s="32" t="s">
        <v>122</v>
      </c>
      <c r="O111" s="21"/>
      <c r="P111" s="21">
        <v>-5.0530430397640297E-2</v>
      </c>
      <c r="Q111" s="21">
        <v>-5.0530430397640297E-2</v>
      </c>
      <c r="S111" s="37">
        <v>3</v>
      </c>
      <c r="T111" s="23">
        <v>3.6739504754912895E-2</v>
      </c>
      <c r="U111" s="23">
        <v>2.204485698492915E-2</v>
      </c>
      <c r="V111" s="35">
        <v>1</v>
      </c>
      <c r="W111" s="39">
        <f t="shared" si="10"/>
        <v>1.6665794103372802</v>
      </c>
    </row>
    <row r="112" spans="1:25" x14ac:dyDescent="0.25">
      <c r="A112" s="28">
        <v>41516</v>
      </c>
      <c r="B112" s="17">
        <v>-3.1298019033866899E-2</v>
      </c>
      <c r="C112" t="str">
        <f t="shared" si="5"/>
        <v>Red</v>
      </c>
      <c r="D112">
        <f>VLOOKUP(A112,Recession!$A$1:$C$395,3,FALSE)</f>
        <v>17.010000000000002</v>
      </c>
      <c r="E112">
        <f t="shared" si="6"/>
        <v>5</v>
      </c>
      <c r="F112">
        <f t="shared" si="7"/>
        <v>0</v>
      </c>
      <c r="G112">
        <f t="shared" si="8"/>
        <v>8</v>
      </c>
      <c r="N112" s="32" t="s">
        <v>123</v>
      </c>
      <c r="O112" s="21"/>
      <c r="P112" s="21">
        <v>-2.1660286402629601E-2</v>
      </c>
      <c r="Q112" s="21">
        <v>-2.1660286402629601E-2</v>
      </c>
      <c r="S112" s="37">
        <v>4</v>
      </c>
      <c r="T112" s="23">
        <v>-2.7754083901450994E-3</v>
      </c>
      <c r="U112" s="23">
        <v>2.8019579019043724E-2</v>
      </c>
      <c r="V112" s="35">
        <v>0.5</v>
      </c>
      <c r="W112" s="39">
        <f t="shared" si="10"/>
        <v>-9.9052465715447457E-2</v>
      </c>
    </row>
    <row r="113" spans="1:23" x14ac:dyDescent="0.25">
      <c r="A113" s="28">
        <v>41486</v>
      </c>
      <c r="B113" s="17">
        <v>4.9462079815224998E-2</v>
      </c>
      <c r="C113" t="str">
        <f t="shared" si="5"/>
        <v>Green</v>
      </c>
      <c r="D113">
        <f>VLOOKUP(A113,Recession!$A$1:$C$395,3,FALSE)</f>
        <v>13.45</v>
      </c>
      <c r="E113">
        <f t="shared" si="6"/>
        <v>3</v>
      </c>
      <c r="F113">
        <f t="shared" si="7"/>
        <v>1</v>
      </c>
      <c r="G113">
        <f t="shared" si="8"/>
        <v>7</v>
      </c>
      <c r="N113" s="32" t="s">
        <v>124</v>
      </c>
      <c r="O113" s="21"/>
      <c r="P113" s="21">
        <v>-1.402526547786E-2</v>
      </c>
      <c r="Q113" s="21">
        <v>-1.402526547786E-2</v>
      </c>
      <c r="S113" s="37">
        <v>5</v>
      </c>
      <c r="T113" s="23">
        <v>8.2616218138844549E-3</v>
      </c>
      <c r="U113" s="23">
        <v>1.8779628436116427E-3</v>
      </c>
      <c r="V113" s="35">
        <v>1</v>
      </c>
      <c r="W113" s="39">
        <f t="shared" si="10"/>
        <v>4.3992466847724989</v>
      </c>
    </row>
    <row r="114" spans="1:23" x14ac:dyDescent="0.25">
      <c r="A114" s="28">
        <v>41453</v>
      </c>
      <c r="B114" s="17">
        <v>-1.4999301636062799E-2</v>
      </c>
      <c r="C114" t="str">
        <f t="shared" si="5"/>
        <v>Red</v>
      </c>
      <c r="D114">
        <f>VLOOKUP(A114,Recession!$A$1:$C$395,3,FALSE)</f>
        <v>16.860001</v>
      </c>
      <c r="E114">
        <f t="shared" si="6"/>
        <v>5</v>
      </c>
      <c r="F114">
        <f t="shared" si="7"/>
        <v>0</v>
      </c>
      <c r="G114">
        <f t="shared" si="8"/>
        <v>6</v>
      </c>
      <c r="N114" s="32" t="s">
        <v>125</v>
      </c>
      <c r="O114" s="21">
        <v>2.0325137580279299E-4</v>
      </c>
      <c r="P114" s="21"/>
      <c r="Q114" s="21">
        <v>2.0325137580279299E-4</v>
      </c>
      <c r="S114" s="37">
        <v>9</v>
      </c>
      <c r="T114" s="23">
        <v>-3.3310759989542776E-2</v>
      </c>
      <c r="U114" s="23">
        <v>4.8340532369571712E-2</v>
      </c>
      <c r="V114" s="35">
        <v>0.25</v>
      </c>
      <c r="W114" s="39">
        <f t="shared" si="10"/>
        <v>-0.68908550147682002</v>
      </c>
    </row>
    <row r="115" spans="1:23" x14ac:dyDescent="0.25">
      <c r="A115" s="28">
        <v>41425</v>
      </c>
      <c r="B115" s="17">
        <v>2.07628117210461E-2</v>
      </c>
      <c r="C115" t="str">
        <f t="shared" si="5"/>
        <v>Green</v>
      </c>
      <c r="D115">
        <f>VLOOKUP(A115,Recession!$A$1:$C$395,3,FALSE)</f>
        <v>16.299999</v>
      </c>
      <c r="E115">
        <f t="shared" si="6"/>
        <v>5</v>
      </c>
      <c r="F115">
        <f t="shared" si="7"/>
        <v>1</v>
      </c>
      <c r="G115">
        <f t="shared" si="8"/>
        <v>5</v>
      </c>
      <c r="N115" s="32" t="s">
        <v>126</v>
      </c>
      <c r="O115" s="21"/>
      <c r="P115" s="21">
        <v>-2.3567644787329499E-2</v>
      </c>
      <c r="Q115" s="21">
        <v>-2.3567644787329499E-2</v>
      </c>
      <c r="S115" s="37">
        <v>7</v>
      </c>
      <c r="T115" s="23">
        <v>1.8733642146805591E-3</v>
      </c>
      <c r="U115" s="23">
        <v>4.0340804495336141E-2</v>
      </c>
      <c r="V115" s="35">
        <v>0.4</v>
      </c>
      <c r="W115" s="39">
        <f t="shared" si="10"/>
        <v>4.6438444600110575E-2</v>
      </c>
    </row>
    <row r="116" spans="1:23" x14ac:dyDescent="0.25">
      <c r="A116" s="28">
        <v>41394</v>
      </c>
      <c r="B116" s="17">
        <v>1.80857678592523E-2</v>
      </c>
      <c r="C116" t="str">
        <f t="shared" si="5"/>
        <v>Green</v>
      </c>
      <c r="D116">
        <f>VLOOKUP(A116,Recession!$A$1:$C$395,3,FALSE)</f>
        <v>13.52</v>
      </c>
      <c r="E116">
        <f t="shared" si="6"/>
        <v>3</v>
      </c>
      <c r="F116">
        <f t="shared" si="7"/>
        <v>1</v>
      </c>
      <c r="G116">
        <f t="shared" si="8"/>
        <v>4</v>
      </c>
      <c r="N116" s="32" t="s">
        <v>127</v>
      </c>
      <c r="O116" s="21">
        <v>4.5359965292551999E-2</v>
      </c>
      <c r="P116" s="21"/>
      <c r="Q116" s="21">
        <v>4.5359965292551999E-2</v>
      </c>
      <c r="S116" s="37">
        <v>10</v>
      </c>
      <c r="T116" s="23">
        <v>-6.0601445464199301E-2</v>
      </c>
      <c r="U116" s="23">
        <v>4.3748920222684229E-2</v>
      </c>
      <c r="V116" s="35">
        <v>0</v>
      </c>
      <c r="W116" s="39">
        <f t="shared" si="10"/>
        <v>-1.3852100841743034</v>
      </c>
    </row>
    <row r="117" spans="1:23" x14ac:dyDescent="0.25">
      <c r="A117" s="28">
        <v>41361</v>
      </c>
      <c r="B117" s="17">
        <v>3.5987723516956102E-2</v>
      </c>
      <c r="C117" t="str">
        <f t="shared" si="5"/>
        <v>Green</v>
      </c>
      <c r="D117">
        <f>VLOOKUP(A117,Recession!$A$1:$C$395,3,FALSE)</f>
        <v>12.7</v>
      </c>
      <c r="E117">
        <f t="shared" si="6"/>
        <v>2</v>
      </c>
      <c r="F117">
        <f t="shared" si="7"/>
        <v>1</v>
      </c>
      <c r="G117">
        <f t="shared" si="8"/>
        <v>3</v>
      </c>
      <c r="N117" s="32" t="s">
        <v>128</v>
      </c>
      <c r="O117" s="21"/>
      <c r="P117" s="21">
        <v>-1.62221830347676E-2</v>
      </c>
      <c r="Q117" s="21">
        <v>-1.62221830347676E-2</v>
      </c>
      <c r="S117" s="37">
        <v>8</v>
      </c>
      <c r="T117" s="23">
        <v>-5.7845203727687842E-3</v>
      </c>
      <c r="U117" s="23">
        <v>2.025657689812297E-2</v>
      </c>
      <c r="V117" s="35">
        <v>0.5</v>
      </c>
      <c r="W117" s="39">
        <f t="shared" si="10"/>
        <v>-0.28556258058116391</v>
      </c>
    </row>
    <row r="118" spans="1:23" x14ac:dyDescent="0.25">
      <c r="A118" s="28">
        <v>41333</v>
      </c>
      <c r="B118" s="17">
        <v>1.10606491952592E-2</v>
      </c>
      <c r="C118" t="str">
        <f t="shared" si="5"/>
        <v>Green</v>
      </c>
      <c r="D118">
        <f>VLOOKUP(A118,Recession!$A$1:$C$395,3,FALSE)</f>
        <v>15.51</v>
      </c>
      <c r="E118">
        <f t="shared" si="6"/>
        <v>4</v>
      </c>
      <c r="F118">
        <f t="shared" si="7"/>
        <v>1</v>
      </c>
      <c r="G118">
        <f t="shared" si="8"/>
        <v>2</v>
      </c>
      <c r="N118" s="32" t="s">
        <v>129</v>
      </c>
      <c r="O118" s="21"/>
      <c r="P118" s="21">
        <v>-2.1041993344299199E-2</v>
      </c>
      <c r="Q118" s="21">
        <v>-2.1041993344299199E-2</v>
      </c>
      <c r="S118" s="37">
        <v>6</v>
      </c>
      <c r="T118" s="23">
        <v>4.2877227542030598E-2</v>
      </c>
      <c r="U118" s="23">
        <v>1.9070214779900729E-2</v>
      </c>
      <c r="V118" s="35">
        <v>1</v>
      </c>
      <c r="W118" s="39">
        <f t="shared" si="10"/>
        <v>2.2483872382612882</v>
      </c>
    </row>
    <row r="119" spans="1:23" x14ac:dyDescent="0.25">
      <c r="A119" s="28">
        <v>41305</v>
      </c>
      <c r="B119" s="17">
        <v>5.0428096519578497E-2</v>
      </c>
      <c r="C119" t="str">
        <f t="shared" si="5"/>
        <v>Green</v>
      </c>
      <c r="D119">
        <f>VLOOKUP(A119,Recession!$A$1:$C$395,3,FALSE)</f>
        <v>14.28</v>
      </c>
      <c r="E119">
        <f t="shared" si="6"/>
        <v>3</v>
      </c>
      <c r="F119">
        <f t="shared" si="7"/>
        <v>1</v>
      </c>
      <c r="G119">
        <f t="shared" si="8"/>
        <v>1</v>
      </c>
      <c r="N119" s="32" t="s">
        <v>107</v>
      </c>
      <c r="O119" s="21"/>
      <c r="P119" s="21">
        <v>-2.4800868806474901E-3</v>
      </c>
      <c r="Q119" s="21">
        <v>-2.4800868806474901E-3</v>
      </c>
      <c r="S119" s="30">
        <v>3</v>
      </c>
      <c r="T119" s="23">
        <v>1.048313878081969E-2</v>
      </c>
      <c r="U119" s="23">
        <v>4.3409681884999982E-2</v>
      </c>
      <c r="V119" s="35">
        <v>0.63636363636363635</v>
      </c>
      <c r="W119" s="38">
        <f>GETPIVOTDATA("Average of Returns",$S$97,"Month",3)/GETPIVOTDATA("StdDev of Returns",$S$97,"Month",3)</f>
        <v>0.24149310304994634</v>
      </c>
    </row>
    <row r="120" spans="1:23" x14ac:dyDescent="0.25">
      <c r="A120" s="28">
        <v>41274</v>
      </c>
      <c r="B120" s="17">
        <v>7.0682304638645102E-3</v>
      </c>
      <c r="C120" t="str">
        <f t="shared" si="5"/>
        <v>Green</v>
      </c>
      <c r="D120">
        <f>VLOOKUP(A120,Recession!$A$1:$C$395,3,FALSE)</f>
        <v>18.02</v>
      </c>
      <c r="E120">
        <f t="shared" si="6"/>
        <v>6</v>
      </c>
      <c r="F120">
        <f t="shared" si="7"/>
        <v>1</v>
      </c>
      <c r="G120">
        <f t="shared" si="8"/>
        <v>12</v>
      </c>
      <c r="N120" s="32" t="s">
        <v>130</v>
      </c>
      <c r="O120" s="21"/>
      <c r="P120" s="21">
        <v>-4.3406226493382702E-2</v>
      </c>
      <c r="Q120" s="21">
        <v>-4.3406226493382702E-2</v>
      </c>
      <c r="S120" s="37">
        <v>1</v>
      </c>
      <c r="T120" s="23">
        <v>1.10958104592496E-2</v>
      </c>
      <c r="U120" s="23" t="e">
        <v>#DIV/0!</v>
      </c>
      <c r="V120" s="35">
        <v>1</v>
      </c>
      <c r="W120" s="39" t="e">
        <f>GETPIVOTDATA("Average of Returns",$S$97,"VIX buckets",S120,"Month",3)/GETPIVOTDATA("StdDev of Returns",$S$97,"VIX buckets",S120,"Month",3)</f>
        <v>#DIV/0!</v>
      </c>
    </row>
    <row r="121" spans="1:23" x14ac:dyDescent="0.25">
      <c r="A121" s="28">
        <v>41243</v>
      </c>
      <c r="B121" s="17">
        <v>2.8467170173434001E-3</v>
      </c>
      <c r="C121" t="str">
        <f t="shared" si="5"/>
        <v>Green</v>
      </c>
      <c r="D121">
        <f>VLOOKUP(A121,Recession!$A$1:$C$395,3,FALSE)</f>
        <v>15.87</v>
      </c>
      <c r="E121">
        <f t="shared" si="6"/>
        <v>4</v>
      </c>
      <c r="F121">
        <f t="shared" si="7"/>
        <v>1</v>
      </c>
      <c r="G121">
        <f t="shared" si="8"/>
        <v>11</v>
      </c>
      <c r="N121" s="32" t="s">
        <v>131</v>
      </c>
      <c r="O121" s="21">
        <v>2.6965628198641001E-2</v>
      </c>
      <c r="P121" s="21"/>
      <c r="Q121" s="21">
        <v>2.6965628198641001E-2</v>
      </c>
      <c r="S121" s="37">
        <v>2</v>
      </c>
      <c r="T121" s="23">
        <v>1.8098608048933668E-2</v>
      </c>
      <c r="U121" s="23">
        <v>1.8195848759396411E-2</v>
      </c>
      <c r="V121" s="35">
        <v>0.66666666666666663</v>
      </c>
      <c r="W121" s="39">
        <f t="shared" ref="W121:W129" si="11">GETPIVOTDATA("Average of Returns",$S$97,"VIX buckets",S121,"Month",3)/GETPIVOTDATA("StdDev of Returns",$S$97,"VIX buckets",S121,"Month",3)</f>
        <v>0.99465588488074641</v>
      </c>
    </row>
    <row r="122" spans="1:23" x14ac:dyDescent="0.25">
      <c r="A122" s="28">
        <v>41213</v>
      </c>
      <c r="B122" s="17">
        <v>-1.9789409878227401E-2</v>
      </c>
      <c r="C122" t="str">
        <f t="shared" si="5"/>
        <v>Red</v>
      </c>
      <c r="D122">
        <f>VLOOKUP(A122,Recession!$A$1:$C$395,3,FALSE)</f>
        <v>18.600000000000001</v>
      </c>
      <c r="E122">
        <f t="shared" si="6"/>
        <v>6</v>
      </c>
      <c r="F122">
        <f t="shared" si="7"/>
        <v>0</v>
      </c>
      <c r="G122">
        <f t="shared" si="8"/>
        <v>10</v>
      </c>
      <c r="N122" s="32" t="s">
        <v>93</v>
      </c>
      <c r="O122" s="21">
        <v>2.84715801229241E-3</v>
      </c>
      <c r="P122" s="21"/>
      <c r="Q122" s="21">
        <v>2.84715801229241E-3</v>
      </c>
      <c r="S122" s="37">
        <v>3</v>
      </c>
      <c r="T122" s="23">
        <v>1.9811814817464753E-2</v>
      </c>
      <c r="U122" s="23">
        <v>3.1120694993207236E-2</v>
      </c>
      <c r="V122" s="35">
        <v>0.8</v>
      </c>
      <c r="W122" s="39">
        <f t="shared" si="11"/>
        <v>0.63661222288863117</v>
      </c>
    </row>
    <row r="123" spans="1:23" x14ac:dyDescent="0.25">
      <c r="A123" s="28">
        <v>41180</v>
      </c>
      <c r="B123" s="17">
        <v>2.4236153696477001E-2</v>
      </c>
      <c r="C123" t="str">
        <f t="shared" si="5"/>
        <v>Green</v>
      </c>
      <c r="D123">
        <f>VLOOKUP(A123,Recession!$A$1:$C$395,3,FALSE)</f>
        <v>15.73</v>
      </c>
      <c r="E123">
        <f t="shared" si="6"/>
        <v>4</v>
      </c>
      <c r="F123">
        <f t="shared" si="7"/>
        <v>1</v>
      </c>
      <c r="G123">
        <f t="shared" si="8"/>
        <v>9</v>
      </c>
      <c r="N123" s="30" t="s">
        <v>145</v>
      </c>
      <c r="O123" s="21">
        <v>0.22594414086790643</v>
      </c>
      <c r="P123" s="21">
        <v>-0.20269653397926413</v>
      </c>
      <c r="Q123" s="21">
        <v>2.324760688864233E-2</v>
      </c>
      <c r="S123" s="37">
        <v>4</v>
      </c>
      <c r="T123" s="23">
        <v>7.9720635045349483E-3</v>
      </c>
      <c r="U123" s="23">
        <v>2.442618613962232E-2</v>
      </c>
      <c r="V123" s="35">
        <v>0.66666666666666663</v>
      </c>
      <c r="W123" s="39">
        <f t="shared" si="11"/>
        <v>0.32637364912254013</v>
      </c>
    </row>
    <row r="124" spans="1:23" x14ac:dyDescent="0.25">
      <c r="A124" s="28">
        <v>41152</v>
      </c>
      <c r="B124" s="17">
        <v>1.9763369680148201E-2</v>
      </c>
      <c r="C124" t="str">
        <f t="shared" si="5"/>
        <v>Green</v>
      </c>
      <c r="D124">
        <f>VLOOKUP(A124,Recession!$A$1:$C$395,3,FALSE)</f>
        <v>17.469999000000001</v>
      </c>
      <c r="E124">
        <f t="shared" si="6"/>
        <v>5</v>
      </c>
      <c r="F124">
        <f t="shared" si="7"/>
        <v>1</v>
      </c>
      <c r="G124">
        <f t="shared" si="8"/>
        <v>8</v>
      </c>
      <c r="N124" s="32" t="s">
        <v>122</v>
      </c>
      <c r="O124" s="21"/>
      <c r="P124" s="21">
        <v>-6.1514175846775501E-2</v>
      </c>
      <c r="Q124" s="21">
        <v>-6.1514175846775501E-2</v>
      </c>
      <c r="S124" s="37">
        <v>5</v>
      </c>
      <c r="T124" s="23">
        <v>1.590947411118836E-2</v>
      </c>
      <c r="U124" s="23">
        <v>3.4563056282596434E-2</v>
      </c>
      <c r="V124" s="35">
        <v>0.6</v>
      </c>
      <c r="W124" s="39">
        <f t="shared" si="11"/>
        <v>0.46030287313449397</v>
      </c>
    </row>
    <row r="125" spans="1:23" x14ac:dyDescent="0.25">
      <c r="A125" s="28">
        <v>41121</v>
      </c>
      <c r="B125" s="17">
        <v>1.25975741261544E-2</v>
      </c>
      <c r="C125" t="str">
        <f t="shared" si="5"/>
        <v>Green</v>
      </c>
      <c r="D125">
        <f>VLOOKUP(A125,Recession!$A$1:$C$395,3,FALSE)</f>
        <v>18.93</v>
      </c>
      <c r="E125">
        <f t="shared" si="6"/>
        <v>6</v>
      </c>
      <c r="F125">
        <f t="shared" si="7"/>
        <v>1</v>
      </c>
      <c r="G125">
        <f t="shared" si="8"/>
        <v>7</v>
      </c>
      <c r="N125" s="32" t="s">
        <v>123</v>
      </c>
      <c r="O125" s="21"/>
      <c r="P125" s="21">
        <v>-2.4761893557423E-2</v>
      </c>
      <c r="Q125" s="21">
        <v>-2.4761893557423E-2</v>
      </c>
      <c r="S125" s="37">
        <v>9</v>
      </c>
      <c r="T125" s="23">
        <v>-3.5082167077712667E-2</v>
      </c>
      <c r="U125" s="23">
        <v>4.1185495936433079E-2</v>
      </c>
      <c r="V125" s="35">
        <v>0</v>
      </c>
      <c r="W125" s="39">
        <f t="shared" si="11"/>
        <v>-0.85180878073823674</v>
      </c>
    </row>
    <row r="126" spans="1:23" x14ac:dyDescent="0.25">
      <c r="A126" s="28">
        <v>41089</v>
      </c>
      <c r="B126" s="17">
        <v>3.95549821345915E-2</v>
      </c>
      <c r="C126" t="str">
        <f t="shared" si="5"/>
        <v>Green</v>
      </c>
      <c r="D126">
        <f>VLOOKUP(A126,Recession!$A$1:$C$395,3,FALSE)</f>
        <v>17.079999999999998</v>
      </c>
      <c r="E126">
        <f t="shared" si="6"/>
        <v>5</v>
      </c>
      <c r="F126">
        <f t="shared" si="7"/>
        <v>1</v>
      </c>
      <c r="G126">
        <f t="shared" si="8"/>
        <v>6</v>
      </c>
      <c r="N126" s="32" t="s">
        <v>124</v>
      </c>
      <c r="O126" s="21">
        <v>2.49310429120972E-2</v>
      </c>
      <c r="P126" s="21"/>
      <c r="Q126" s="21">
        <v>2.49310429120972E-2</v>
      </c>
      <c r="S126" s="37">
        <v>7</v>
      </c>
      <c r="T126" s="23">
        <v>-3.1506843947022248E-3</v>
      </c>
      <c r="U126" s="23">
        <v>3.934397340869742E-2</v>
      </c>
      <c r="V126" s="35">
        <v>0.5</v>
      </c>
      <c r="W126" s="39">
        <f t="shared" si="11"/>
        <v>-8.0080483025279064E-2</v>
      </c>
    </row>
    <row r="127" spans="1:23" x14ac:dyDescent="0.25">
      <c r="A127" s="28">
        <v>41060</v>
      </c>
      <c r="B127" s="17">
        <v>-6.2650725633177598E-2</v>
      </c>
      <c r="C127" t="str">
        <f t="shared" si="5"/>
        <v>Red</v>
      </c>
      <c r="D127">
        <f>VLOOKUP(A127,Recession!$A$1:$C$395,3,FALSE)</f>
        <v>24.059999000000001</v>
      </c>
      <c r="E127">
        <f t="shared" si="6"/>
        <v>8</v>
      </c>
      <c r="F127">
        <f t="shared" si="7"/>
        <v>0</v>
      </c>
      <c r="G127">
        <f t="shared" si="8"/>
        <v>5</v>
      </c>
      <c r="N127" s="32" t="s">
        <v>125</v>
      </c>
      <c r="O127" s="21">
        <v>8.5416467721292105E-2</v>
      </c>
      <c r="P127" s="21"/>
      <c r="Q127" s="21">
        <v>8.5416467721292105E-2</v>
      </c>
      <c r="S127" s="37">
        <v>10</v>
      </c>
      <c r="T127" s="23">
        <v>-1.0452417423725624E-2</v>
      </c>
      <c r="U127" s="23">
        <v>0.1065148974806521</v>
      </c>
      <c r="V127" s="35">
        <v>0.66666666666666663</v>
      </c>
      <c r="W127" s="39">
        <f t="shared" si="11"/>
        <v>-9.8131037732297061E-2</v>
      </c>
    </row>
    <row r="128" spans="1:23" x14ac:dyDescent="0.25">
      <c r="A128" s="28">
        <v>41029</v>
      </c>
      <c r="B128" s="17">
        <v>-7.4974527092703802E-3</v>
      </c>
      <c r="C128" t="str">
        <f t="shared" si="5"/>
        <v>Red</v>
      </c>
      <c r="D128">
        <f>VLOOKUP(A128,Recession!$A$1:$C$395,3,FALSE)</f>
        <v>17.149999999999999</v>
      </c>
      <c r="E128">
        <f t="shared" si="6"/>
        <v>5</v>
      </c>
      <c r="F128">
        <f t="shared" si="7"/>
        <v>0</v>
      </c>
      <c r="G128">
        <f t="shared" si="8"/>
        <v>4</v>
      </c>
      <c r="N128" s="32" t="s">
        <v>126</v>
      </c>
      <c r="O128" s="21">
        <v>4.2341835333228302E-3</v>
      </c>
      <c r="P128" s="21"/>
      <c r="Q128" s="21">
        <v>4.2341835333228302E-3</v>
      </c>
      <c r="S128" s="37">
        <v>8</v>
      </c>
      <c r="T128" s="23">
        <v>3.571143684872357E-2</v>
      </c>
      <c r="U128" s="23">
        <v>5.7933921220350619E-2</v>
      </c>
      <c r="V128" s="35">
        <v>0.75</v>
      </c>
      <c r="W128" s="39">
        <f t="shared" si="11"/>
        <v>0.61641670538570603</v>
      </c>
    </row>
    <row r="129" spans="1:23" x14ac:dyDescent="0.25">
      <c r="A129" s="28">
        <v>40998</v>
      </c>
      <c r="B129" s="17">
        <v>3.1332314530530599E-2</v>
      </c>
      <c r="C129" t="str">
        <f t="shared" si="5"/>
        <v>Green</v>
      </c>
      <c r="D129">
        <f>VLOOKUP(A129,Recession!$A$1:$C$395,3,FALSE)</f>
        <v>15.5</v>
      </c>
      <c r="E129">
        <f t="shared" si="6"/>
        <v>4</v>
      </c>
      <c r="F129">
        <f t="shared" si="7"/>
        <v>1</v>
      </c>
      <c r="G129">
        <f t="shared" si="8"/>
        <v>3</v>
      </c>
      <c r="N129" s="32" t="s">
        <v>127</v>
      </c>
      <c r="O129" s="21"/>
      <c r="P129" s="21">
        <v>-1.7585345898505699E-2</v>
      </c>
      <c r="Q129" s="21">
        <v>-1.7585345898505699E-2</v>
      </c>
      <c r="S129" s="37">
        <v>6</v>
      </c>
      <c r="T129" s="23">
        <v>1.6435962204881846E-2</v>
      </c>
      <c r="U129" s="23">
        <v>2.2960660782611306E-2</v>
      </c>
      <c r="V129" s="35">
        <v>0.66666666666666663</v>
      </c>
      <c r="W129" s="39">
        <f t="shared" si="11"/>
        <v>0.71583141097268499</v>
      </c>
    </row>
    <row r="130" spans="1:23" x14ac:dyDescent="0.25">
      <c r="A130" s="28">
        <v>40968</v>
      </c>
      <c r="B130" s="17">
        <v>4.0589464130841697E-2</v>
      </c>
      <c r="C130" t="str">
        <f t="shared" si="5"/>
        <v>Green</v>
      </c>
      <c r="D130">
        <f>VLOOKUP(A130,Recession!$A$1:$C$395,3,FALSE)</f>
        <v>18.43</v>
      </c>
      <c r="E130">
        <f t="shared" si="6"/>
        <v>6</v>
      </c>
      <c r="F130">
        <f t="shared" si="7"/>
        <v>1</v>
      </c>
      <c r="G130">
        <f t="shared" si="8"/>
        <v>2</v>
      </c>
      <c r="N130" s="32" t="s">
        <v>128</v>
      </c>
      <c r="O130" s="21">
        <v>5.3909777597715799E-2</v>
      </c>
      <c r="P130" s="21"/>
      <c r="Q130" s="21">
        <v>5.3909777597715799E-2</v>
      </c>
      <c r="S130" s="30">
        <v>4</v>
      </c>
      <c r="T130" s="23">
        <v>1.738245463408801E-2</v>
      </c>
      <c r="U130" s="23">
        <v>4.2911859086622151E-2</v>
      </c>
      <c r="V130" s="35">
        <v>0.75757575757575757</v>
      </c>
      <c r="W130" s="38">
        <f>GETPIVOTDATA("Average of Returns",$S$97,"Month",4)/GETPIVOTDATA("StdDev of Returns",$S$97,"Month",4)</f>
        <v>0.40507344599076162</v>
      </c>
    </row>
    <row r="131" spans="1:23" x14ac:dyDescent="0.25">
      <c r="A131" s="28">
        <v>40939</v>
      </c>
      <c r="B131" s="17">
        <v>4.3583062218506302E-2</v>
      </c>
      <c r="C131" t="str">
        <f t="shared" ref="C131:C194" si="12">IF(B131&gt;0,"Green","Red")</f>
        <v>Green</v>
      </c>
      <c r="D131">
        <f>VLOOKUP(A131,Recession!$A$1:$C$395,3,FALSE)</f>
        <v>19.440000999999999</v>
      </c>
      <c r="E131">
        <f t="shared" si="6"/>
        <v>6</v>
      </c>
      <c r="F131">
        <f t="shared" si="7"/>
        <v>1</v>
      </c>
      <c r="G131">
        <f t="shared" si="8"/>
        <v>1</v>
      </c>
      <c r="N131" s="32" t="s">
        <v>129</v>
      </c>
      <c r="O131" s="21">
        <v>2.5923728645212502E-2</v>
      </c>
      <c r="P131" s="21"/>
      <c r="Q131" s="21">
        <v>2.5923728645212502E-2</v>
      </c>
      <c r="S131" s="37">
        <v>1</v>
      </c>
      <c r="T131" s="23">
        <v>1.6402406693686308E-2</v>
      </c>
      <c r="U131" s="23">
        <v>1.0126075108731735E-2</v>
      </c>
      <c r="V131" s="35">
        <v>1</v>
      </c>
      <c r="W131" s="39">
        <f>GETPIVOTDATA("Average of Returns",$S$97,"VIX buckets",S131,"Month",4)/GETPIVOTDATA("StdDev of Returns",$S$97,"VIX buckets",S131,"Month",4)</f>
        <v>1.6198187864064408</v>
      </c>
    </row>
    <row r="132" spans="1:23" x14ac:dyDescent="0.25">
      <c r="A132" s="28">
        <v>40907</v>
      </c>
      <c r="B132" s="17">
        <v>8.5327639481440603E-3</v>
      </c>
      <c r="C132" t="str">
        <f t="shared" si="12"/>
        <v>Green</v>
      </c>
      <c r="D132">
        <f>VLOOKUP(A132,Recession!$A$1:$C$395,3,FALSE)</f>
        <v>23.4</v>
      </c>
      <c r="E132">
        <f t="shared" ref="E132:E195" si="13">IF(D132&gt;28.95,10,IF(D132&gt;24.46,9,IF(D132&gt;21.81,8,IF(D132&gt;19.71,7,IF(D132&gt;17.73,6,IF(D132&gt;16.13,5,IF(D132&gt;14.61,4,IF(D132&gt;13.19,3,IF(D132&gt;12.04,2,1)))))))))</f>
        <v>8</v>
      </c>
      <c r="F132">
        <f t="shared" ref="F132:F195" si="14">IF(B132&gt;0,1,0)</f>
        <v>1</v>
      </c>
      <c r="G132">
        <f t="shared" ref="G132:G195" si="15">MONTH(A132)</f>
        <v>12</v>
      </c>
      <c r="N132" s="32" t="s">
        <v>107</v>
      </c>
      <c r="O132" s="21"/>
      <c r="P132" s="21">
        <v>-7.2611094272329001E-3</v>
      </c>
      <c r="Q132" s="21">
        <v>-7.2611094272329001E-3</v>
      </c>
      <c r="S132" s="37">
        <v>2</v>
      </c>
      <c r="T132" s="23">
        <v>6.9483440905932486E-3</v>
      </c>
      <c r="U132" s="23">
        <v>4.5771240166555462E-2</v>
      </c>
      <c r="V132" s="35">
        <v>0.5</v>
      </c>
      <c r="W132" s="39">
        <f t="shared" ref="W132:W140" si="16">GETPIVOTDATA("Average of Returns",$S$97,"VIX buckets",S132,"Month",4)/GETPIVOTDATA("StdDev of Returns",$S$97,"VIX buckets",S132,"Month",4)</f>
        <v>0.15180589525888194</v>
      </c>
    </row>
    <row r="133" spans="1:23" x14ac:dyDescent="0.25">
      <c r="A133" s="28">
        <v>40877</v>
      </c>
      <c r="B133" s="17">
        <v>-5.0587151935872496E-3</v>
      </c>
      <c r="C133" t="str">
        <f t="shared" si="12"/>
        <v>Red</v>
      </c>
      <c r="D133">
        <f>VLOOKUP(A133,Recession!$A$1:$C$395,3,FALSE)</f>
        <v>27.799999</v>
      </c>
      <c r="E133">
        <f t="shared" si="13"/>
        <v>9</v>
      </c>
      <c r="F133">
        <f t="shared" si="14"/>
        <v>0</v>
      </c>
      <c r="G133">
        <f t="shared" si="15"/>
        <v>11</v>
      </c>
      <c r="N133" s="32" t="s">
        <v>130</v>
      </c>
      <c r="O133" s="21"/>
      <c r="P133" s="21">
        <v>-9.1574009249327001E-2</v>
      </c>
      <c r="Q133" s="21">
        <v>-9.1574009249327001E-2</v>
      </c>
      <c r="S133" s="37">
        <v>3</v>
      </c>
      <c r="T133" s="23">
        <v>1.7525742209367135E-2</v>
      </c>
      <c r="U133" s="23">
        <v>1.5078383477080633E-2</v>
      </c>
      <c r="V133" s="35">
        <v>1</v>
      </c>
      <c r="W133" s="39">
        <f t="shared" si="16"/>
        <v>1.162309092085801</v>
      </c>
    </row>
    <row r="134" spans="1:23" x14ac:dyDescent="0.25">
      <c r="A134" s="28">
        <v>40847</v>
      </c>
      <c r="B134" s="17">
        <v>0.10772303853581</v>
      </c>
      <c r="C134" t="str">
        <f t="shared" si="12"/>
        <v>Green</v>
      </c>
      <c r="D134">
        <f>VLOOKUP(A134,Recession!$A$1:$C$395,3,FALSE)</f>
        <v>29.959999</v>
      </c>
      <c r="E134">
        <f t="shared" si="13"/>
        <v>10</v>
      </c>
      <c r="F134">
        <f t="shared" si="14"/>
        <v>1</v>
      </c>
      <c r="G134">
        <f t="shared" si="15"/>
        <v>10</v>
      </c>
      <c r="N134" s="32" t="s">
        <v>131</v>
      </c>
      <c r="O134" s="21">
        <v>1.66397741998974E-2</v>
      </c>
      <c r="P134" s="21"/>
      <c r="Q134" s="21">
        <v>1.66397741998974E-2</v>
      </c>
      <c r="S134" s="37">
        <v>4</v>
      </c>
      <c r="T134" s="23">
        <v>9.188184816107137E-3</v>
      </c>
      <c r="U134" s="23">
        <v>1.8346064690193609E-2</v>
      </c>
      <c r="V134" s="35">
        <v>0.83333333333333337</v>
      </c>
      <c r="W134" s="39">
        <f t="shared" si="16"/>
        <v>0.50082592486542532</v>
      </c>
    </row>
    <row r="135" spans="1:23" x14ac:dyDescent="0.25">
      <c r="A135" s="28">
        <v>40816</v>
      </c>
      <c r="B135" s="17">
        <v>-7.1761988303760099E-2</v>
      </c>
      <c r="C135" t="str">
        <f t="shared" si="12"/>
        <v>Red</v>
      </c>
      <c r="D135">
        <f>VLOOKUP(A135,Recession!$A$1:$C$395,3,FALSE)</f>
        <v>42.959999000000003</v>
      </c>
      <c r="E135">
        <f t="shared" si="13"/>
        <v>10</v>
      </c>
      <c r="F135">
        <f t="shared" si="14"/>
        <v>0</v>
      </c>
      <c r="G135">
        <f t="shared" si="15"/>
        <v>9</v>
      </c>
      <c r="N135" s="32" t="s">
        <v>93</v>
      </c>
      <c r="O135" s="21">
        <v>1.48891662583686E-2</v>
      </c>
      <c r="P135" s="21"/>
      <c r="Q135" s="21">
        <v>1.48891662583686E-2</v>
      </c>
      <c r="S135" s="37">
        <v>5</v>
      </c>
      <c r="T135" s="23">
        <v>-1.214410228578454E-2</v>
      </c>
      <c r="U135" s="23">
        <v>6.5713548507015246E-3</v>
      </c>
      <c r="V135" s="35">
        <v>0</v>
      </c>
      <c r="W135" s="39">
        <f t="shared" si="16"/>
        <v>-1.8480362971858226</v>
      </c>
    </row>
    <row r="136" spans="1:23" x14ac:dyDescent="0.25">
      <c r="A136" s="28">
        <v>40786</v>
      </c>
      <c r="B136" s="17">
        <v>-5.6791107463597598E-2</v>
      </c>
      <c r="C136" t="str">
        <f t="shared" si="12"/>
        <v>Red</v>
      </c>
      <c r="D136">
        <f>VLOOKUP(A136,Recession!$A$1:$C$395,3,FALSE)</f>
        <v>31.620000999999998</v>
      </c>
      <c r="E136">
        <f t="shared" si="13"/>
        <v>10</v>
      </c>
      <c r="F136">
        <f t="shared" si="14"/>
        <v>0</v>
      </c>
      <c r="G136">
        <f t="shared" si="15"/>
        <v>8</v>
      </c>
      <c r="N136" s="30" t="s">
        <v>146</v>
      </c>
      <c r="O136" s="21">
        <v>0.13504753337223629</v>
      </c>
      <c r="P136" s="21">
        <v>-0.22947892298774855</v>
      </c>
      <c r="Q136" s="21">
        <v>-9.4431389615512257E-2</v>
      </c>
      <c r="S136" s="37">
        <v>9</v>
      </c>
      <c r="T136" s="23">
        <v>2.7987544707541268E-2</v>
      </c>
      <c r="U136" s="23">
        <v>5.4491586555376441E-2</v>
      </c>
      <c r="V136" s="35">
        <v>0.66666666666666663</v>
      </c>
      <c r="W136" s="39">
        <f t="shared" si="16"/>
        <v>0.513612219367099</v>
      </c>
    </row>
    <row r="137" spans="1:23" x14ac:dyDescent="0.25">
      <c r="A137" s="28">
        <v>40753</v>
      </c>
      <c r="B137" s="17">
        <v>-2.1474425791951999E-2</v>
      </c>
      <c r="C137" t="str">
        <f t="shared" si="12"/>
        <v>Red</v>
      </c>
      <c r="D137">
        <f>VLOOKUP(A137,Recession!$A$1:$C$395,3,FALSE)</f>
        <v>25.25</v>
      </c>
      <c r="E137">
        <f t="shared" si="13"/>
        <v>9</v>
      </c>
      <c r="F137">
        <f t="shared" si="14"/>
        <v>0</v>
      </c>
      <c r="G137">
        <f t="shared" si="15"/>
        <v>7</v>
      </c>
      <c r="N137" s="32" t="s">
        <v>122</v>
      </c>
      <c r="O137" s="21"/>
      <c r="P137" s="21">
        <v>-4.5742429498469003E-2</v>
      </c>
      <c r="Q137" s="21">
        <v>-4.5742429498469003E-2</v>
      </c>
      <c r="S137" s="37">
        <v>7</v>
      </c>
      <c r="T137" s="23">
        <v>4.9018213365360594E-2</v>
      </c>
      <c r="U137" s="23">
        <v>3.006265000990431E-2</v>
      </c>
      <c r="V137" s="35">
        <v>1</v>
      </c>
      <c r="W137" s="39">
        <f t="shared" si="16"/>
        <v>1.6305353436643566</v>
      </c>
    </row>
    <row r="138" spans="1:23" x14ac:dyDescent="0.25">
      <c r="A138" s="28">
        <v>40724</v>
      </c>
      <c r="B138" s="17">
        <v>-1.8257461265697099E-2</v>
      </c>
      <c r="C138" t="str">
        <f t="shared" si="12"/>
        <v>Red</v>
      </c>
      <c r="D138">
        <f>VLOOKUP(A138,Recession!$A$1:$C$395,3,FALSE)</f>
        <v>16.52</v>
      </c>
      <c r="E138">
        <f t="shared" si="13"/>
        <v>5</v>
      </c>
      <c r="F138">
        <f t="shared" si="14"/>
        <v>0</v>
      </c>
      <c r="G138">
        <f t="shared" si="15"/>
        <v>6</v>
      </c>
      <c r="N138" s="32" t="s">
        <v>123</v>
      </c>
      <c r="O138" s="21">
        <v>1.32767345439582E-2</v>
      </c>
      <c r="P138" s="21"/>
      <c r="Q138" s="21">
        <v>1.32767345439582E-2</v>
      </c>
      <c r="S138" s="37">
        <v>10</v>
      </c>
      <c r="T138" s="23">
        <v>4.4270802137691134E-2</v>
      </c>
      <c r="U138" s="23">
        <v>0.11568924331308085</v>
      </c>
      <c r="V138" s="35">
        <v>0.66666666666666663</v>
      </c>
      <c r="W138" s="39">
        <f t="shared" si="16"/>
        <v>0.38266999480569241</v>
      </c>
    </row>
    <row r="139" spans="1:23" x14ac:dyDescent="0.25">
      <c r="A139" s="28">
        <v>40694</v>
      </c>
      <c r="B139" s="17">
        <v>-1.3500952766930601E-2</v>
      </c>
      <c r="C139" t="str">
        <f t="shared" si="12"/>
        <v>Red</v>
      </c>
      <c r="D139">
        <f>VLOOKUP(A139,Recession!$A$1:$C$395,3,FALSE)</f>
        <v>15.45</v>
      </c>
      <c r="E139">
        <f t="shared" si="13"/>
        <v>4</v>
      </c>
      <c r="F139">
        <f t="shared" si="14"/>
        <v>0</v>
      </c>
      <c r="G139">
        <f t="shared" si="15"/>
        <v>5</v>
      </c>
      <c r="N139" s="32" t="s">
        <v>124</v>
      </c>
      <c r="O139" s="21">
        <v>3.60325729859809E-2</v>
      </c>
      <c r="P139" s="21"/>
      <c r="Q139" s="21">
        <v>3.60325729859809E-2</v>
      </c>
      <c r="S139" s="37">
        <v>8</v>
      </c>
      <c r="T139" s="23">
        <v>-2.3329198137674399E-2</v>
      </c>
      <c r="U139" s="23">
        <v>5.3865171477427941E-2</v>
      </c>
      <c r="V139" s="35">
        <v>0.5</v>
      </c>
      <c r="W139" s="39">
        <f t="shared" si="16"/>
        <v>-0.4331035713392361</v>
      </c>
    </row>
    <row r="140" spans="1:23" x14ac:dyDescent="0.25">
      <c r="A140" s="28">
        <v>40662</v>
      </c>
      <c r="B140" s="17">
        <v>2.8495380443795099E-2</v>
      </c>
      <c r="C140" t="str">
        <f t="shared" si="12"/>
        <v>Green</v>
      </c>
      <c r="D140">
        <f>VLOOKUP(A140,Recession!$A$1:$C$395,3,FALSE)</f>
        <v>14.75</v>
      </c>
      <c r="E140">
        <f t="shared" si="13"/>
        <v>4</v>
      </c>
      <c r="F140">
        <f t="shared" si="14"/>
        <v>1</v>
      </c>
      <c r="G140">
        <f t="shared" si="15"/>
        <v>4</v>
      </c>
      <c r="N140" s="32" t="s">
        <v>125</v>
      </c>
      <c r="O140" s="21"/>
      <c r="P140" s="21">
        <v>-2.3455897058823401E-2</v>
      </c>
      <c r="Q140" s="21">
        <v>-2.3455897058823401E-2</v>
      </c>
      <c r="S140" s="37">
        <v>6</v>
      </c>
      <c r="T140" s="23">
        <v>8.6193271896529474E-3</v>
      </c>
      <c r="U140" s="23">
        <v>4.0302334968910392E-2</v>
      </c>
      <c r="V140" s="35">
        <v>0.66666666666666663</v>
      </c>
      <c r="W140" s="39">
        <f t="shared" si="16"/>
        <v>0.21386669522502802</v>
      </c>
    </row>
    <row r="141" spans="1:23" x14ac:dyDescent="0.25">
      <c r="A141" s="28">
        <v>40633</v>
      </c>
      <c r="B141" s="17">
        <v>-1.0473132038185699E-3</v>
      </c>
      <c r="C141" t="str">
        <f t="shared" si="12"/>
        <v>Red</v>
      </c>
      <c r="D141">
        <f>VLOOKUP(A141,Recession!$A$1:$C$395,3,FALSE)</f>
        <v>17.739999999999998</v>
      </c>
      <c r="E141">
        <f t="shared" si="13"/>
        <v>6</v>
      </c>
      <c r="F141">
        <f t="shared" si="14"/>
        <v>0</v>
      </c>
      <c r="G141">
        <f t="shared" si="15"/>
        <v>3</v>
      </c>
      <c r="N141" s="32" t="s">
        <v>126</v>
      </c>
      <c r="O141" s="21"/>
      <c r="P141" s="21">
        <v>-1.6565168534976599E-3</v>
      </c>
      <c r="Q141" s="21">
        <v>-1.6565168534976599E-3</v>
      </c>
      <c r="S141" s="30">
        <v>5</v>
      </c>
      <c r="T141" s="23">
        <v>9.1134464156050685E-3</v>
      </c>
      <c r="U141" s="23">
        <v>3.6381448547218996E-2</v>
      </c>
      <c r="V141" s="35">
        <v>0.72727272727272729</v>
      </c>
      <c r="W141" s="38">
        <f>GETPIVOTDATA("Average of Returns",$S$97,"Month",5)/GETPIVOTDATA("StdDev of Returns",$S$97,"Month",5)</f>
        <v>0.25049707418265238</v>
      </c>
    </row>
    <row r="142" spans="1:23" x14ac:dyDescent="0.25">
      <c r="A142" s="28">
        <v>40602</v>
      </c>
      <c r="B142" s="17">
        <v>3.1956564052952198E-2</v>
      </c>
      <c r="C142" t="str">
        <f t="shared" si="12"/>
        <v>Green</v>
      </c>
      <c r="D142">
        <f>VLOOKUP(A142,Recession!$A$1:$C$395,3,FALSE)</f>
        <v>18.350000000000001</v>
      </c>
      <c r="E142">
        <f t="shared" si="13"/>
        <v>6</v>
      </c>
      <c r="F142">
        <f t="shared" si="14"/>
        <v>1</v>
      </c>
      <c r="G142">
        <f t="shared" si="15"/>
        <v>2</v>
      </c>
      <c r="N142" s="32" t="s">
        <v>127</v>
      </c>
      <c r="O142" s="21"/>
      <c r="P142" s="21">
        <v>-1.04079420893868E-2</v>
      </c>
      <c r="Q142" s="21">
        <v>-1.04079420893868E-2</v>
      </c>
      <c r="S142" s="37">
        <v>1</v>
      </c>
      <c r="T142" s="23">
        <v>1.630326570216865E-2</v>
      </c>
      <c r="U142" s="23">
        <v>6.685007747903743E-3</v>
      </c>
      <c r="V142" s="35">
        <v>1</v>
      </c>
      <c r="W142" s="39">
        <f>GETPIVOTDATA("Average of Returns",$S$97,"VIX buckets",S142,"Month",5)/GETPIVOTDATA("StdDev of Returns",$S$97,"VIX buckets",S142,"Month",5)</f>
        <v>2.4387803749787667</v>
      </c>
    </row>
    <row r="143" spans="1:23" x14ac:dyDescent="0.25">
      <c r="A143" s="28">
        <v>40574</v>
      </c>
      <c r="B143" s="17">
        <v>2.2645573980086799E-2</v>
      </c>
      <c r="C143" t="str">
        <f t="shared" si="12"/>
        <v>Green</v>
      </c>
      <c r="D143">
        <f>VLOOKUP(A143,Recession!$A$1:$C$395,3,FALSE)</f>
        <v>19.530000999999999</v>
      </c>
      <c r="E143">
        <f t="shared" si="13"/>
        <v>6</v>
      </c>
      <c r="F143">
        <f t="shared" si="14"/>
        <v>1</v>
      </c>
      <c r="G143">
        <f t="shared" si="15"/>
        <v>1</v>
      </c>
      <c r="N143" s="32" t="s">
        <v>128</v>
      </c>
      <c r="O143" s="21"/>
      <c r="P143" s="21">
        <v>-2.2102658679073999E-3</v>
      </c>
      <c r="Q143" s="21">
        <v>-2.2102658679073999E-3</v>
      </c>
      <c r="S143" s="37">
        <v>2</v>
      </c>
      <c r="T143" s="23">
        <v>2.7086027998019971E-2</v>
      </c>
      <c r="U143" s="23">
        <v>1.2859298849592547E-2</v>
      </c>
      <c r="V143" s="35">
        <v>1</v>
      </c>
      <c r="W143" s="39">
        <f t="shared" ref="W143:W151" si="17">GETPIVOTDATA("Average of Returns",$S$97,"VIX buckets",S143,"Month",5)/GETPIVOTDATA("StdDev of Returns",$S$97,"VIX buckets",S143,"Month",5)</f>
        <v>2.1063378582945216</v>
      </c>
    </row>
    <row r="144" spans="1:23" x14ac:dyDescent="0.25">
      <c r="A144" s="28">
        <v>40543</v>
      </c>
      <c r="B144" s="17">
        <v>6.5300040489854702E-2</v>
      </c>
      <c r="C144" t="str">
        <f t="shared" si="12"/>
        <v>Green</v>
      </c>
      <c r="D144">
        <f>VLOOKUP(A144,Recession!$A$1:$C$395,3,FALSE)</f>
        <v>17.75</v>
      </c>
      <c r="E144">
        <f t="shared" si="13"/>
        <v>6</v>
      </c>
      <c r="F144">
        <f t="shared" si="14"/>
        <v>1</v>
      </c>
      <c r="G144">
        <f t="shared" si="15"/>
        <v>12</v>
      </c>
      <c r="N144" s="32" t="s">
        <v>129</v>
      </c>
      <c r="O144" s="21"/>
      <c r="P144" s="21">
        <v>-6.2098969784585498E-2</v>
      </c>
      <c r="Q144" s="21">
        <v>-6.2098969784585498E-2</v>
      </c>
      <c r="S144" s="37">
        <v>3</v>
      </c>
      <c r="T144" s="23">
        <v>1.5889890179873765E-2</v>
      </c>
      <c r="U144" s="23">
        <v>1.1142339267451177E-2</v>
      </c>
      <c r="V144" s="35">
        <v>1</v>
      </c>
      <c r="W144" s="39">
        <f t="shared" si="17"/>
        <v>1.4260820639603982</v>
      </c>
    </row>
    <row r="145" spans="1:23" x14ac:dyDescent="0.25">
      <c r="A145" s="28">
        <v>40512</v>
      </c>
      <c r="B145" s="17">
        <v>-2.29024979894321E-3</v>
      </c>
      <c r="C145" t="str">
        <f t="shared" si="12"/>
        <v>Red</v>
      </c>
      <c r="D145">
        <f>VLOOKUP(A145,Recession!$A$1:$C$395,3,FALSE)</f>
        <v>23.540001</v>
      </c>
      <c r="E145">
        <f t="shared" si="13"/>
        <v>8</v>
      </c>
      <c r="F145">
        <f t="shared" si="14"/>
        <v>0</v>
      </c>
      <c r="G145">
        <f t="shared" si="15"/>
        <v>11</v>
      </c>
      <c r="N145" s="32" t="s">
        <v>107</v>
      </c>
      <c r="O145" s="21"/>
      <c r="P145" s="21">
        <v>-5.3831752961708897E-2</v>
      </c>
      <c r="Q145" s="21">
        <v>-5.3831752961708897E-2</v>
      </c>
      <c r="S145" s="37">
        <v>4</v>
      </c>
      <c r="T145" s="23">
        <v>1.632984392798692E-2</v>
      </c>
      <c r="U145" s="23">
        <v>1.9199668848263584E-2</v>
      </c>
      <c r="V145" s="35">
        <v>0.8</v>
      </c>
      <c r="W145" s="39">
        <f t="shared" si="17"/>
        <v>0.85052737404185952</v>
      </c>
    </row>
    <row r="146" spans="1:23" x14ac:dyDescent="0.25">
      <c r="A146" s="28">
        <v>40480</v>
      </c>
      <c r="B146" s="17">
        <v>3.68559943970765E-2</v>
      </c>
      <c r="C146" t="str">
        <f t="shared" si="12"/>
        <v>Green</v>
      </c>
      <c r="D146">
        <f>VLOOKUP(A146,Recession!$A$1:$C$395,3,FALSE)</f>
        <v>21.200001</v>
      </c>
      <c r="E146">
        <f t="shared" si="13"/>
        <v>7</v>
      </c>
      <c r="F146">
        <f t="shared" si="14"/>
        <v>1</v>
      </c>
      <c r="G146">
        <f t="shared" si="15"/>
        <v>10</v>
      </c>
      <c r="N146" s="32" t="s">
        <v>130</v>
      </c>
      <c r="O146" s="21">
        <v>4.9147865381304903E-2</v>
      </c>
      <c r="P146" s="21"/>
      <c r="Q146" s="21">
        <v>4.9147865381304903E-2</v>
      </c>
      <c r="S146" s="37">
        <v>5</v>
      </c>
      <c r="T146" s="23">
        <v>2.1830393577494712E-2</v>
      </c>
      <c r="U146" s="23">
        <v>5.1551910348755614E-2</v>
      </c>
      <c r="V146" s="35">
        <v>0.75</v>
      </c>
      <c r="W146" s="39">
        <f t="shared" si="17"/>
        <v>0.4234642989912335</v>
      </c>
    </row>
    <row r="147" spans="1:23" x14ac:dyDescent="0.25">
      <c r="A147" s="28">
        <v>40451</v>
      </c>
      <c r="B147" s="17">
        <v>8.7551102944020104E-2</v>
      </c>
      <c r="C147" t="str">
        <f t="shared" si="12"/>
        <v>Green</v>
      </c>
      <c r="D147">
        <f>VLOOKUP(A147,Recession!$A$1:$C$395,3,FALSE)</f>
        <v>23.700001</v>
      </c>
      <c r="E147">
        <f t="shared" si="13"/>
        <v>8</v>
      </c>
      <c r="F147">
        <f t="shared" si="14"/>
        <v>1</v>
      </c>
      <c r="G147">
        <f t="shared" si="15"/>
        <v>9</v>
      </c>
      <c r="N147" s="32" t="s">
        <v>131</v>
      </c>
      <c r="O147" s="21">
        <v>3.6590360460992302E-2</v>
      </c>
      <c r="P147" s="21"/>
      <c r="Q147" s="21">
        <v>3.6590360460992302E-2</v>
      </c>
      <c r="S147" s="37">
        <v>9</v>
      </c>
      <c r="T147" s="23">
        <v>1.8361490656817792E-2</v>
      </c>
      <c r="U147" s="23">
        <v>3.7161958667632514E-2</v>
      </c>
      <c r="V147" s="35">
        <v>0.75</v>
      </c>
      <c r="W147" s="39">
        <f t="shared" si="17"/>
        <v>0.49409372689525011</v>
      </c>
    </row>
    <row r="148" spans="1:23" x14ac:dyDescent="0.25">
      <c r="A148" s="28">
        <v>40421</v>
      </c>
      <c r="B148" s="17">
        <v>-4.7449184040287203E-2</v>
      </c>
      <c r="C148" t="str">
        <f t="shared" si="12"/>
        <v>Red</v>
      </c>
      <c r="D148">
        <f>VLOOKUP(A148,Recession!$A$1:$C$395,3,FALSE)</f>
        <v>26.049999</v>
      </c>
      <c r="E148">
        <f t="shared" si="13"/>
        <v>9</v>
      </c>
      <c r="F148">
        <f t="shared" si="14"/>
        <v>0</v>
      </c>
      <c r="G148">
        <f t="shared" si="15"/>
        <v>8</v>
      </c>
      <c r="N148" s="32" t="s">
        <v>93</v>
      </c>
      <c r="O148" s="21"/>
      <c r="P148" s="21">
        <v>-3.00751488733699E-2</v>
      </c>
      <c r="Q148" s="21">
        <v>-3.00751488733699E-2</v>
      </c>
      <c r="S148" s="37">
        <v>7</v>
      </c>
      <c r="T148" s="23">
        <v>-1.3953852298760274E-2</v>
      </c>
      <c r="U148" s="23">
        <v>6.8905734640796858E-3</v>
      </c>
      <c r="V148" s="35">
        <v>0</v>
      </c>
      <c r="W148" s="39">
        <f t="shared" si="17"/>
        <v>-2.0250640054127875</v>
      </c>
    </row>
    <row r="149" spans="1:23" x14ac:dyDescent="0.25">
      <c r="A149" s="28">
        <v>40389</v>
      </c>
      <c r="B149" s="17">
        <v>6.8777849911552294E-2</v>
      </c>
      <c r="C149" t="str">
        <f t="shared" si="12"/>
        <v>Green</v>
      </c>
      <c r="D149">
        <f>VLOOKUP(A149,Recession!$A$1:$C$395,3,FALSE)</f>
        <v>23.5</v>
      </c>
      <c r="E149">
        <f t="shared" si="13"/>
        <v>8</v>
      </c>
      <c r="F149">
        <f t="shared" si="14"/>
        <v>1</v>
      </c>
      <c r="G149">
        <f t="shared" si="15"/>
        <v>7</v>
      </c>
      <c r="N149" s="30" t="s">
        <v>147</v>
      </c>
      <c r="O149" s="21">
        <v>0.32525480984353089</v>
      </c>
      <c r="P149" s="21">
        <v>-0.17070121058574111</v>
      </c>
      <c r="Q149" s="21">
        <v>0.15455359925778978</v>
      </c>
      <c r="S149" s="37">
        <v>10</v>
      </c>
      <c r="T149" s="23">
        <v>-8.1975841910334496E-2</v>
      </c>
      <c r="U149" s="23" t="e">
        <v>#DIV/0!</v>
      </c>
      <c r="V149" s="35">
        <v>0</v>
      </c>
      <c r="W149" s="39" t="e">
        <f t="shared" si="17"/>
        <v>#DIV/0!</v>
      </c>
    </row>
    <row r="150" spans="1:23" x14ac:dyDescent="0.25">
      <c r="A150" s="28">
        <v>40359</v>
      </c>
      <c r="B150" s="17">
        <v>-5.3882442026415102E-2</v>
      </c>
      <c r="C150" t="str">
        <f t="shared" si="12"/>
        <v>Red</v>
      </c>
      <c r="D150">
        <f>VLOOKUP(A150,Recession!$A$1:$C$395,3,FALSE)</f>
        <v>34.540000999999997</v>
      </c>
      <c r="E150">
        <f t="shared" si="13"/>
        <v>10</v>
      </c>
      <c r="F150">
        <f t="shared" si="14"/>
        <v>0</v>
      </c>
      <c r="G150">
        <f t="shared" si="15"/>
        <v>6</v>
      </c>
      <c r="N150" s="32" t="s">
        <v>122</v>
      </c>
      <c r="O150" s="21"/>
      <c r="P150" s="21">
        <v>-1.7543867379587099E-2</v>
      </c>
      <c r="Q150" s="21">
        <v>-1.7543867379587099E-2</v>
      </c>
      <c r="S150" s="37">
        <v>8</v>
      </c>
      <c r="T150" s="23">
        <v>-2.6491863008840533E-2</v>
      </c>
      <c r="U150" s="23">
        <v>3.4101586834238987E-2</v>
      </c>
      <c r="V150" s="35">
        <v>0.33333333333333331</v>
      </c>
      <c r="W150" s="39">
        <f t="shared" si="17"/>
        <v>-0.77685132769956411</v>
      </c>
    </row>
    <row r="151" spans="1:23" x14ac:dyDescent="0.25">
      <c r="A151" s="28">
        <v>40326</v>
      </c>
      <c r="B151" s="17">
        <v>-8.1975841910334496E-2</v>
      </c>
      <c r="C151" t="str">
        <f t="shared" si="12"/>
        <v>Red</v>
      </c>
      <c r="D151">
        <f>VLOOKUP(A151,Recession!$A$1:$C$395,3,FALSE)</f>
        <v>32.07</v>
      </c>
      <c r="E151">
        <f t="shared" si="13"/>
        <v>10</v>
      </c>
      <c r="F151">
        <f t="shared" si="14"/>
        <v>0</v>
      </c>
      <c r="G151">
        <f t="shared" si="15"/>
        <v>5</v>
      </c>
      <c r="N151" s="32" t="s">
        <v>123</v>
      </c>
      <c r="O151" s="21"/>
      <c r="P151" s="21">
        <v>-6.0548180057339203E-2</v>
      </c>
      <c r="Q151" s="21">
        <v>-6.0548180057339203E-2</v>
      </c>
      <c r="S151" s="37">
        <v>6</v>
      </c>
      <c r="T151" s="23">
        <v>1.35930110935983E-2</v>
      </c>
      <c r="U151" s="23">
        <v>5.6931240062249547E-2</v>
      </c>
      <c r="V151" s="35">
        <v>0.75</v>
      </c>
      <c r="W151" s="39">
        <f t="shared" si="17"/>
        <v>0.23876190082519685</v>
      </c>
    </row>
    <row r="152" spans="1:23" x14ac:dyDescent="0.25">
      <c r="A152" s="28">
        <v>40298</v>
      </c>
      <c r="B152" s="17">
        <v>1.47592298837911E-2</v>
      </c>
      <c r="C152" t="str">
        <f t="shared" si="12"/>
        <v>Green</v>
      </c>
      <c r="D152">
        <f>VLOOKUP(A152,Recession!$A$1:$C$395,3,FALSE)</f>
        <v>22.049999</v>
      </c>
      <c r="E152">
        <f t="shared" si="13"/>
        <v>8</v>
      </c>
      <c r="F152">
        <f t="shared" si="14"/>
        <v>1</v>
      </c>
      <c r="G152">
        <f t="shared" si="15"/>
        <v>4</v>
      </c>
      <c r="N152" s="32" t="s">
        <v>124</v>
      </c>
      <c r="O152" s="21"/>
      <c r="P152" s="21">
        <v>-1.0167111571327801E-2</v>
      </c>
      <c r="Q152" s="21">
        <v>-1.0167111571327801E-2</v>
      </c>
      <c r="S152" s="30">
        <v>6</v>
      </c>
      <c r="T152" s="23">
        <v>-3.047024814189414E-3</v>
      </c>
      <c r="U152" s="23">
        <v>3.6684013758209615E-2</v>
      </c>
      <c r="V152" s="35">
        <v>0.5757575757575758</v>
      </c>
      <c r="W152" s="38">
        <f>GETPIVOTDATA("Average of Returns",$S$97,"Month",6)/GETPIVOTDATA("StdDev of Returns",$S$97,"Month",6)</f>
        <v>-8.3061380204272547E-2</v>
      </c>
    </row>
    <row r="153" spans="1:23" x14ac:dyDescent="0.25">
      <c r="A153" s="28">
        <v>40268</v>
      </c>
      <c r="B153" s="17">
        <v>5.8796426031891801E-2</v>
      </c>
      <c r="C153" t="str">
        <f t="shared" si="12"/>
        <v>Green</v>
      </c>
      <c r="D153">
        <f>VLOOKUP(A153,Recession!$A$1:$C$395,3,FALSE)</f>
        <v>17.59</v>
      </c>
      <c r="E153">
        <f t="shared" si="13"/>
        <v>5</v>
      </c>
      <c r="F153">
        <f t="shared" si="14"/>
        <v>1</v>
      </c>
      <c r="G153">
        <f t="shared" si="15"/>
        <v>3</v>
      </c>
      <c r="N153" s="32" t="s">
        <v>125</v>
      </c>
      <c r="O153" s="21">
        <v>4.0014317970831902E-2</v>
      </c>
      <c r="P153" s="21"/>
      <c r="Q153" s="21">
        <v>4.0014317970831902E-2</v>
      </c>
      <c r="S153" s="37">
        <v>1</v>
      </c>
      <c r="T153" s="23">
        <v>9.1526333518172857E-3</v>
      </c>
      <c r="U153" s="23">
        <v>1.0257998512298935E-2</v>
      </c>
      <c r="V153" s="35">
        <v>0.8</v>
      </c>
      <c r="W153" s="39">
        <f>GETPIVOTDATA("Average of Returns",$S$97,"VIX buckets",S153,"Month",6)/GETPIVOTDATA("StdDev of Returns",$S$97,"VIX buckets",S153,"Month",6)</f>
        <v>0.89224358346744148</v>
      </c>
    </row>
    <row r="154" spans="1:23" x14ac:dyDescent="0.25">
      <c r="A154" s="28">
        <v>40235</v>
      </c>
      <c r="B154" s="17">
        <v>2.8513688940531301E-2</v>
      </c>
      <c r="C154" t="str">
        <f t="shared" si="12"/>
        <v>Green</v>
      </c>
      <c r="D154">
        <f>VLOOKUP(A154,Recession!$A$1:$C$395,3,FALSE)</f>
        <v>19.5</v>
      </c>
      <c r="E154">
        <f t="shared" si="13"/>
        <v>6</v>
      </c>
      <c r="F154">
        <f t="shared" si="14"/>
        <v>1</v>
      </c>
      <c r="G154">
        <f t="shared" si="15"/>
        <v>2</v>
      </c>
      <c r="N154" s="32" t="s">
        <v>126</v>
      </c>
      <c r="O154" s="21"/>
      <c r="P154" s="21">
        <v>-3.9161842336622503E-2</v>
      </c>
      <c r="Q154" s="21">
        <v>-3.9161842336622503E-2</v>
      </c>
      <c r="S154" s="37">
        <v>2</v>
      </c>
      <c r="T154" s="23">
        <v>8.6596227782509403E-5</v>
      </c>
      <c r="U154" s="23" t="e">
        <v>#DIV/0!</v>
      </c>
      <c r="V154" s="35">
        <v>1</v>
      </c>
      <c r="W154" s="39" t="e">
        <f t="shared" ref="W154:W162" si="18">GETPIVOTDATA("Average of Returns",$S$97,"VIX buckets",S154,"Month",6)/GETPIVOTDATA("StdDev of Returns",$S$97,"VIX buckets",S154,"Month",6)</f>
        <v>#DIV/0!</v>
      </c>
    </row>
    <row r="155" spans="1:23" x14ac:dyDescent="0.25">
      <c r="A155" s="28">
        <v>40207</v>
      </c>
      <c r="B155" s="17">
        <v>-3.6974246154947397E-2</v>
      </c>
      <c r="C155" t="str">
        <f t="shared" si="12"/>
        <v>Red</v>
      </c>
      <c r="D155">
        <f>VLOOKUP(A155,Recession!$A$1:$C$395,3,FALSE)</f>
        <v>24.620000999999998</v>
      </c>
      <c r="E155">
        <f t="shared" si="13"/>
        <v>9</v>
      </c>
      <c r="F155">
        <f t="shared" si="14"/>
        <v>0</v>
      </c>
      <c r="G155">
        <f t="shared" si="15"/>
        <v>1</v>
      </c>
      <c r="N155" s="32" t="s">
        <v>127</v>
      </c>
      <c r="O155" s="21"/>
      <c r="P155" s="21">
        <v>-2.02895607871709E-2</v>
      </c>
      <c r="Q155" s="21">
        <v>-2.02895607871709E-2</v>
      </c>
      <c r="S155" s="37">
        <v>3</v>
      </c>
      <c r="T155" s="23">
        <v>9.6229231093078341E-4</v>
      </c>
      <c r="U155" s="23">
        <v>1.7709430335153726E-2</v>
      </c>
      <c r="V155" s="35">
        <v>0.66666666666666663</v>
      </c>
      <c r="W155" s="39">
        <f t="shared" si="18"/>
        <v>5.4337846713262458E-2</v>
      </c>
    </row>
    <row r="156" spans="1:23" x14ac:dyDescent="0.25">
      <c r="A156" s="28">
        <v>40178</v>
      </c>
      <c r="B156" s="17">
        <v>1.7770571188400398E-2</v>
      </c>
      <c r="C156" t="str">
        <f t="shared" si="12"/>
        <v>Green</v>
      </c>
      <c r="D156">
        <f>VLOOKUP(A156,Recession!$A$1:$C$395,3,FALSE)</f>
        <v>21.68</v>
      </c>
      <c r="E156">
        <f t="shared" si="13"/>
        <v>7</v>
      </c>
      <c r="F156">
        <f t="shared" si="14"/>
        <v>1</v>
      </c>
      <c r="G156">
        <f t="shared" si="15"/>
        <v>12</v>
      </c>
      <c r="N156" s="32" t="s">
        <v>128</v>
      </c>
      <c r="O156" s="21"/>
      <c r="P156" s="21">
        <v>-2.2990648453693599E-2</v>
      </c>
      <c r="Q156" s="21">
        <v>-2.2990648453693599E-2</v>
      </c>
      <c r="S156" s="37">
        <v>4</v>
      </c>
      <c r="T156" s="23">
        <v>1.0203390215024257E-2</v>
      </c>
      <c r="U156" s="23">
        <v>3.2988390030875621E-2</v>
      </c>
      <c r="V156" s="35">
        <v>0.66666666666666663</v>
      </c>
      <c r="W156" s="39">
        <f t="shared" si="18"/>
        <v>0.30930246081952928</v>
      </c>
    </row>
    <row r="157" spans="1:23" x14ac:dyDescent="0.25">
      <c r="A157" s="28">
        <v>40147</v>
      </c>
      <c r="B157" s="17">
        <v>5.7364061981373601E-2</v>
      </c>
      <c r="C157" t="str">
        <f t="shared" si="12"/>
        <v>Green</v>
      </c>
      <c r="D157">
        <f>VLOOKUP(A157,Recession!$A$1:$C$395,3,FALSE)</f>
        <v>24.51</v>
      </c>
      <c r="E157">
        <f t="shared" si="13"/>
        <v>9</v>
      </c>
      <c r="F157">
        <f t="shared" si="14"/>
        <v>1</v>
      </c>
      <c r="G157">
        <f t="shared" si="15"/>
        <v>11</v>
      </c>
      <c r="N157" s="32" t="s">
        <v>129</v>
      </c>
      <c r="O157" s="21">
        <v>0.115977275785873</v>
      </c>
      <c r="P157" s="21"/>
      <c r="Q157" s="21">
        <v>0.115977275785873</v>
      </c>
      <c r="S157" s="37">
        <v>5</v>
      </c>
      <c r="T157" s="23">
        <v>-2.8795257423339998E-3</v>
      </c>
      <c r="U157" s="23">
        <v>2.8326461220998952E-2</v>
      </c>
      <c r="V157" s="35">
        <v>0.25</v>
      </c>
      <c r="W157" s="39">
        <f t="shared" si="18"/>
        <v>-0.10165497623823733</v>
      </c>
    </row>
    <row r="158" spans="1:23" x14ac:dyDescent="0.25">
      <c r="A158" s="28">
        <v>40116</v>
      </c>
      <c r="B158" s="17">
        <v>-1.9762000860415501E-2</v>
      </c>
      <c r="C158" t="str">
        <f t="shared" si="12"/>
        <v>Red</v>
      </c>
      <c r="D158">
        <f>VLOOKUP(A158,Recession!$A$1:$C$395,3,FALSE)</f>
        <v>30.690000999999999</v>
      </c>
      <c r="E158">
        <f t="shared" si="13"/>
        <v>10</v>
      </c>
      <c r="F158">
        <f t="shared" si="14"/>
        <v>0</v>
      </c>
      <c r="G158">
        <f t="shared" si="15"/>
        <v>10</v>
      </c>
      <c r="N158" s="32" t="s">
        <v>107</v>
      </c>
      <c r="O158" s="21">
        <v>7.6143919736526601E-3</v>
      </c>
      <c r="P158" s="21"/>
      <c r="Q158" s="21">
        <v>7.6143919736526601E-3</v>
      </c>
      <c r="S158" s="37">
        <v>9</v>
      </c>
      <c r="T158" s="23">
        <v>-5.2059842566504588E-2</v>
      </c>
      <c r="U158" s="23">
        <v>4.561634288358362E-2</v>
      </c>
      <c r="V158" s="35">
        <v>0.33333333333333331</v>
      </c>
      <c r="W158" s="39">
        <f t="shared" si="18"/>
        <v>-1.1412541925898196</v>
      </c>
    </row>
    <row r="159" spans="1:23" x14ac:dyDescent="0.25">
      <c r="A159" s="28">
        <v>40086</v>
      </c>
      <c r="B159" s="17">
        <v>3.5723345788458698E-2</v>
      </c>
      <c r="C159" t="str">
        <f t="shared" si="12"/>
        <v>Green</v>
      </c>
      <c r="D159">
        <f>VLOOKUP(A159,Recession!$A$1:$C$395,3,FALSE)</f>
        <v>25.610001</v>
      </c>
      <c r="E159">
        <f t="shared" si="13"/>
        <v>9</v>
      </c>
      <c r="F159">
        <f t="shared" si="14"/>
        <v>1</v>
      </c>
      <c r="G159">
        <f t="shared" si="15"/>
        <v>9</v>
      </c>
      <c r="N159" s="32" t="s">
        <v>130</v>
      </c>
      <c r="O159" s="21">
        <v>0.110446796386759</v>
      </c>
      <c r="P159" s="21"/>
      <c r="Q159" s="21">
        <v>0.110446796386759</v>
      </c>
      <c r="S159" s="37">
        <v>7</v>
      </c>
      <c r="T159" s="23">
        <v>4.8945473295845851E-2</v>
      </c>
      <c r="U159" s="23">
        <v>7.7680738851508861E-3</v>
      </c>
      <c r="V159" s="35">
        <v>1</v>
      </c>
      <c r="W159" s="39">
        <f t="shared" si="18"/>
        <v>6.3008506380723155</v>
      </c>
    </row>
    <row r="160" spans="1:23" x14ac:dyDescent="0.25">
      <c r="A160" s="28">
        <v>40056</v>
      </c>
      <c r="B160" s="17">
        <v>3.3560189240494899E-2</v>
      </c>
      <c r="C160" t="str">
        <f t="shared" si="12"/>
        <v>Green</v>
      </c>
      <c r="D160">
        <f>VLOOKUP(A160,Recession!$A$1:$C$395,3,FALSE)</f>
        <v>26.01</v>
      </c>
      <c r="E160">
        <f t="shared" si="13"/>
        <v>9</v>
      </c>
      <c r="F160">
        <f t="shared" si="14"/>
        <v>1</v>
      </c>
      <c r="G160">
        <f t="shared" si="15"/>
        <v>8</v>
      </c>
      <c r="N160" s="32" t="s">
        <v>131</v>
      </c>
      <c r="O160" s="21">
        <v>3.5970669787835301E-2</v>
      </c>
      <c r="P160" s="21"/>
      <c r="Q160" s="21">
        <v>3.5970669787835301E-2</v>
      </c>
      <c r="S160" s="37">
        <v>10</v>
      </c>
      <c r="T160" s="23">
        <v>-1.7747022834460204E-2</v>
      </c>
      <c r="U160" s="23">
        <v>5.1103199903299645E-2</v>
      </c>
      <c r="V160" s="35">
        <v>0.5</v>
      </c>
      <c r="W160" s="39">
        <f t="shared" si="18"/>
        <v>-0.34727811307397816</v>
      </c>
    </row>
    <row r="161" spans="1:23" x14ac:dyDescent="0.25">
      <c r="A161" s="28">
        <v>40025</v>
      </c>
      <c r="B161" s="17">
        <v>7.4141727016716605E-2</v>
      </c>
      <c r="C161" t="str">
        <f t="shared" si="12"/>
        <v>Green</v>
      </c>
      <c r="D161">
        <f>VLOOKUP(A161,Recession!$A$1:$C$395,3,FALSE)</f>
        <v>25.92</v>
      </c>
      <c r="E161">
        <f t="shared" si="13"/>
        <v>9</v>
      </c>
      <c r="F161">
        <f t="shared" si="14"/>
        <v>1</v>
      </c>
      <c r="G161">
        <f t="shared" si="15"/>
        <v>7</v>
      </c>
      <c r="N161" s="32" t="s">
        <v>93</v>
      </c>
      <c r="O161" s="21">
        <v>1.5231357938579E-2</v>
      </c>
      <c r="P161" s="21"/>
      <c r="Q161" s="21">
        <v>1.5231357938579E-2</v>
      </c>
      <c r="S161" s="37">
        <v>8</v>
      </c>
      <c r="T161" s="23">
        <v>-8.5962384902803599E-2</v>
      </c>
      <c r="U161" s="23" t="e">
        <v>#DIV/0!</v>
      </c>
      <c r="V161" s="35">
        <v>0</v>
      </c>
      <c r="W161" s="39" t="e">
        <f t="shared" si="18"/>
        <v>#DIV/0!</v>
      </c>
    </row>
    <row r="162" spans="1:23" x14ac:dyDescent="0.25">
      <c r="A162" s="28">
        <v>39994</v>
      </c>
      <c r="B162" s="17">
        <v>1.9582653030303401E-4</v>
      </c>
      <c r="C162" t="str">
        <f t="shared" si="12"/>
        <v>Green</v>
      </c>
      <c r="D162">
        <f>VLOOKUP(A162,Recession!$A$1:$C$395,3,FALSE)</f>
        <v>26.35</v>
      </c>
      <c r="E162">
        <f t="shared" si="13"/>
        <v>9</v>
      </c>
      <c r="F162">
        <f t="shared" si="14"/>
        <v>1</v>
      </c>
      <c r="G162">
        <f t="shared" si="15"/>
        <v>6</v>
      </c>
      <c r="N162" s="30" t="s">
        <v>155</v>
      </c>
      <c r="O162" s="21">
        <v>0.23144349092845204</v>
      </c>
      <c r="P162" s="21">
        <v>-6.6717984122901836E-2</v>
      </c>
      <c r="Q162" s="21">
        <v>0.16472550680555018</v>
      </c>
      <c r="S162" s="37">
        <v>6</v>
      </c>
      <c r="T162" s="23">
        <v>-3.2076142381959011E-3</v>
      </c>
      <c r="U162" s="23">
        <v>3.3336509937929956E-2</v>
      </c>
      <c r="V162" s="35">
        <v>0.5</v>
      </c>
      <c r="W162" s="39">
        <f t="shared" si="18"/>
        <v>-9.6219257629794913E-2</v>
      </c>
    </row>
    <row r="163" spans="1:23" x14ac:dyDescent="0.25">
      <c r="A163" s="28">
        <v>39962</v>
      </c>
      <c r="B163" s="17">
        <v>5.3081446255385502E-2</v>
      </c>
      <c r="C163" t="str">
        <f t="shared" si="12"/>
        <v>Green</v>
      </c>
      <c r="D163">
        <f>VLOOKUP(A163,Recession!$A$1:$C$395,3,FALSE)</f>
        <v>28.92</v>
      </c>
      <c r="E163">
        <f t="shared" si="13"/>
        <v>9</v>
      </c>
      <c r="F163">
        <f t="shared" si="14"/>
        <v>1</v>
      </c>
      <c r="G163">
        <f t="shared" si="15"/>
        <v>5</v>
      </c>
      <c r="N163" s="32" t="s">
        <v>122</v>
      </c>
      <c r="O163" s="21">
        <v>3.3134272135482798E-2</v>
      </c>
      <c r="P163" s="21"/>
      <c r="Q163" s="21">
        <v>3.3134272135482798E-2</v>
      </c>
      <c r="S163" s="30">
        <v>7</v>
      </c>
      <c r="T163" s="23">
        <v>1.3999595474078929E-2</v>
      </c>
      <c r="U163" s="23">
        <v>3.8687577970344895E-2</v>
      </c>
      <c r="V163" s="35">
        <v>0.60606060606060608</v>
      </c>
      <c r="W163" s="38">
        <f>GETPIVOTDATA("Average of Returns",$S$97,"Month",7)/GETPIVOTDATA("StdDev of Returns",$S$97,"Month",7)</f>
        <v>0.36186280476927268</v>
      </c>
    </row>
    <row r="164" spans="1:23" x14ac:dyDescent="0.25">
      <c r="A164" s="28">
        <v>39933</v>
      </c>
      <c r="B164" s="17">
        <v>9.3925079862164695E-2</v>
      </c>
      <c r="C164" t="str">
        <f t="shared" si="12"/>
        <v>Green</v>
      </c>
      <c r="D164">
        <f>VLOOKUP(A164,Recession!$A$1:$C$395,3,FALSE)</f>
        <v>36.5</v>
      </c>
      <c r="E164">
        <f t="shared" si="13"/>
        <v>10</v>
      </c>
      <c r="F164">
        <f t="shared" si="14"/>
        <v>1</v>
      </c>
      <c r="G164">
        <f t="shared" si="15"/>
        <v>4</v>
      </c>
      <c r="N164" s="32" t="s">
        <v>123</v>
      </c>
      <c r="O164" s="21">
        <v>1.8995147577526302E-2</v>
      </c>
      <c r="P164" s="21"/>
      <c r="Q164" s="21">
        <v>1.8995147577526302E-2</v>
      </c>
      <c r="S164" s="37">
        <v>1</v>
      </c>
      <c r="T164" s="23">
        <v>2.3417955263955459E-2</v>
      </c>
      <c r="U164" s="23">
        <v>1.7422264929228035E-2</v>
      </c>
      <c r="V164" s="35">
        <v>0.8</v>
      </c>
      <c r="W164" s="39">
        <f>GETPIVOTDATA("Average of Returns",$S$97,"VIX buckets",S164,"Month",7)/GETPIVOTDATA("StdDev of Returns",$S$97,"VIX buckets",S164,"Month",7)</f>
        <v>1.3441395455230911</v>
      </c>
    </row>
    <row r="165" spans="1:23" x14ac:dyDescent="0.25">
      <c r="A165" s="28">
        <v>39903</v>
      </c>
      <c r="B165" s="17">
        <v>8.5404461622494696E-2</v>
      </c>
      <c r="C165" t="str">
        <f t="shared" si="12"/>
        <v>Green</v>
      </c>
      <c r="D165">
        <f>VLOOKUP(A165,Recession!$A$1:$C$395,3,FALSE)</f>
        <v>44.139999000000003</v>
      </c>
      <c r="E165">
        <f t="shared" si="13"/>
        <v>10</v>
      </c>
      <c r="F165">
        <f t="shared" si="14"/>
        <v>1</v>
      </c>
      <c r="G165">
        <f t="shared" si="15"/>
        <v>3</v>
      </c>
      <c r="N165" s="32" t="s">
        <v>124</v>
      </c>
      <c r="O165" s="21">
        <v>3.30947525745608E-2</v>
      </c>
      <c r="P165" s="21"/>
      <c r="Q165" s="21">
        <v>3.30947525745608E-2</v>
      </c>
      <c r="S165" s="37">
        <v>2</v>
      </c>
      <c r="T165" s="23">
        <v>3.1712423323698967E-2</v>
      </c>
      <c r="U165" s="23">
        <v>1.0501282442563983E-2</v>
      </c>
      <c r="V165" s="35">
        <v>1</v>
      </c>
      <c r="W165" s="39">
        <f t="shared" ref="W165:W173" si="19">GETPIVOTDATA("Average of Returns",$S$97,"VIX buckets",S165,"Month",7)/GETPIVOTDATA("StdDev of Returns",$S$97,"VIX buckets",S165,"Month",7)</f>
        <v>3.0198619546848504</v>
      </c>
    </row>
    <row r="166" spans="1:23" x14ac:dyDescent="0.25">
      <c r="A166" s="28">
        <v>39871</v>
      </c>
      <c r="B166" s="17">
        <v>-0.109931197571492</v>
      </c>
      <c r="C166" t="str">
        <f t="shared" si="12"/>
        <v>Red</v>
      </c>
      <c r="D166">
        <f>VLOOKUP(A166,Recession!$A$1:$C$395,3,FALSE)</f>
        <v>46.349997999999999</v>
      </c>
      <c r="E166">
        <f t="shared" si="13"/>
        <v>10</v>
      </c>
      <c r="F166">
        <f t="shared" si="14"/>
        <v>0</v>
      </c>
      <c r="G166">
        <f t="shared" si="15"/>
        <v>2</v>
      </c>
      <c r="N166" s="32" t="s">
        <v>125</v>
      </c>
      <c r="O166" s="21">
        <v>7.4986829727328605E-2</v>
      </c>
      <c r="P166" s="21"/>
      <c r="Q166" s="21">
        <v>7.4986829727328605E-2</v>
      </c>
      <c r="S166" s="37">
        <v>3</v>
      </c>
      <c r="T166" s="23">
        <v>4.0619060100361454E-2</v>
      </c>
      <c r="U166" s="23">
        <v>1.2505918413092657E-2</v>
      </c>
      <c r="V166" s="35">
        <v>1</v>
      </c>
      <c r="W166" s="39">
        <f t="shared" si="19"/>
        <v>3.2479869737385041</v>
      </c>
    </row>
    <row r="167" spans="1:23" x14ac:dyDescent="0.25">
      <c r="A167" s="28">
        <v>39843</v>
      </c>
      <c r="B167" s="17">
        <v>-8.5657342928314395E-2</v>
      </c>
      <c r="C167" t="str">
        <f t="shared" si="12"/>
        <v>Red</v>
      </c>
      <c r="D167">
        <f>VLOOKUP(A167,Recession!$A$1:$C$395,3,FALSE)</f>
        <v>44.84</v>
      </c>
      <c r="E167">
        <f t="shared" si="13"/>
        <v>10</v>
      </c>
      <c r="F167">
        <f t="shared" si="14"/>
        <v>0</v>
      </c>
      <c r="G167">
        <f t="shared" si="15"/>
        <v>1</v>
      </c>
      <c r="N167" s="32" t="s">
        <v>126</v>
      </c>
      <c r="O167" s="21"/>
      <c r="P167" s="21">
        <v>-1.24064592035834E-2</v>
      </c>
      <c r="Q167" s="21">
        <v>-1.24064592035834E-2</v>
      </c>
      <c r="S167" s="37">
        <v>4</v>
      </c>
      <c r="T167" s="23">
        <v>7.1957136829722814E-3</v>
      </c>
      <c r="U167" s="23">
        <v>3.2554066586171437E-2</v>
      </c>
      <c r="V167" s="35">
        <v>0.75</v>
      </c>
      <c r="W167" s="39">
        <f t="shared" si="19"/>
        <v>0.22103885743199073</v>
      </c>
    </row>
    <row r="168" spans="1:23" x14ac:dyDescent="0.25">
      <c r="A168" s="28">
        <v>39813</v>
      </c>
      <c r="B168" s="17">
        <v>7.8215768970539799E-3</v>
      </c>
      <c r="C168" t="str">
        <f t="shared" si="12"/>
        <v>Green</v>
      </c>
      <c r="D168">
        <f>VLOOKUP(A168,Recession!$A$1:$C$395,3,FALSE)</f>
        <v>40</v>
      </c>
      <c r="E168">
        <f t="shared" si="13"/>
        <v>10</v>
      </c>
      <c r="F168">
        <f t="shared" si="14"/>
        <v>1</v>
      </c>
      <c r="G168">
        <f t="shared" si="15"/>
        <v>12</v>
      </c>
      <c r="N168" s="32" t="s">
        <v>127</v>
      </c>
      <c r="O168" s="21">
        <v>3.2329577143479102E-2</v>
      </c>
      <c r="P168" s="21"/>
      <c r="Q168" s="21">
        <v>3.2329577143479102E-2</v>
      </c>
      <c r="S168" s="37">
        <v>5</v>
      </c>
      <c r="T168" s="23">
        <v>-1.50798305819199E-2</v>
      </c>
      <c r="U168" s="23" t="e">
        <v>#DIV/0!</v>
      </c>
      <c r="V168" s="35">
        <v>0</v>
      </c>
      <c r="W168" s="39" t="e">
        <f t="shared" si="19"/>
        <v>#DIV/0!</v>
      </c>
    </row>
    <row r="169" spans="1:23" x14ac:dyDescent="0.25">
      <c r="A169" s="28">
        <v>39780</v>
      </c>
      <c r="B169" s="17">
        <v>-7.4849042580645203E-2</v>
      </c>
      <c r="C169" t="str">
        <f t="shared" si="12"/>
        <v>Red</v>
      </c>
      <c r="D169">
        <f>VLOOKUP(A169,Recession!$A$1:$C$395,3,FALSE)</f>
        <v>55.279998999999997</v>
      </c>
      <c r="E169">
        <f t="shared" si="13"/>
        <v>10</v>
      </c>
      <c r="F169">
        <f t="shared" si="14"/>
        <v>0</v>
      </c>
      <c r="G169">
        <f t="shared" si="15"/>
        <v>11</v>
      </c>
      <c r="N169" s="32" t="s">
        <v>128</v>
      </c>
      <c r="O169" s="21"/>
      <c r="P169" s="21">
        <v>-3.0303036448956201E-2</v>
      </c>
      <c r="Q169" s="21">
        <v>-3.0303036448956201E-2</v>
      </c>
      <c r="S169" s="37">
        <v>9</v>
      </c>
      <c r="T169" s="23">
        <v>2.2514704950203279E-3</v>
      </c>
      <c r="U169" s="23">
        <v>4.8647500857267309E-2</v>
      </c>
      <c r="V169" s="35">
        <v>0.25</v>
      </c>
      <c r="W169" s="39">
        <f t="shared" si="19"/>
        <v>4.6281318779893443E-2</v>
      </c>
    </row>
    <row r="170" spans="1:23" x14ac:dyDescent="0.25">
      <c r="A170" s="28">
        <v>39752</v>
      </c>
      <c r="B170" s="17">
        <v>-0.16942452376742001</v>
      </c>
      <c r="C170" t="str">
        <f t="shared" si="12"/>
        <v>Red</v>
      </c>
      <c r="D170">
        <f>VLOOKUP(A170,Recession!$A$1:$C$395,3,FALSE)</f>
        <v>59.889999000000003</v>
      </c>
      <c r="E170">
        <f t="shared" si="13"/>
        <v>10</v>
      </c>
      <c r="F170">
        <f t="shared" si="14"/>
        <v>0</v>
      </c>
      <c r="G170">
        <f t="shared" si="15"/>
        <v>10</v>
      </c>
      <c r="N170" s="32" t="s">
        <v>129</v>
      </c>
      <c r="O170" s="21">
        <v>1.1318873170753901E-2</v>
      </c>
      <c r="P170" s="21"/>
      <c r="Q170" s="21">
        <v>1.1318873170753901E-2</v>
      </c>
      <c r="S170" s="37">
        <v>7</v>
      </c>
      <c r="T170" s="23">
        <v>2.7391523357643621E-2</v>
      </c>
      <c r="U170" s="23">
        <v>5.2600275964055775E-2</v>
      </c>
      <c r="V170" s="35">
        <v>0.4</v>
      </c>
      <c r="W170" s="39">
        <f t="shared" si="19"/>
        <v>0.52074866254240815</v>
      </c>
    </row>
    <row r="171" spans="1:23" x14ac:dyDescent="0.25">
      <c r="A171" s="28">
        <v>39721</v>
      </c>
      <c r="B171" s="17">
        <v>-9.0791433779084593E-2</v>
      </c>
      <c r="C171" t="str">
        <f t="shared" si="12"/>
        <v>Red</v>
      </c>
      <c r="D171">
        <f>VLOOKUP(A171,Recession!$A$1:$C$395,3,FALSE)</f>
        <v>39.389999000000003</v>
      </c>
      <c r="E171">
        <f t="shared" si="13"/>
        <v>10</v>
      </c>
      <c r="F171">
        <f t="shared" si="14"/>
        <v>0</v>
      </c>
      <c r="G171">
        <f t="shared" si="15"/>
        <v>9</v>
      </c>
      <c r="N171" s="32" t="s">
        <v>107</v>
      </c>
      <c r="O171" s="21">
        <v>1.01582302977457E-2</v>
      </c>
      <c r="P171" s="21"/>
      <c r="Q171" s="21">
        <v>1.01582302977457E-2</v>
      </c>
      <c r="S171" s="37">
        <v>10</v>
      </c>
      <c r="T171" s="23">
        <v>-7.9004274966125304E-2</v>
      </c>
      <c r="U171" s="23" t="e">
        <v>#DIV/0!</v>
      </c>
      <c r="V171" s="35">
        <v>0</v>
      </c>
      <c r="W171" s="39" t="e">
        <f t="shared" si="19"/>
        <v>#DIV/0!</v>
      </c>
    </row>
    <row r="172" spans="1:23" x14ac:dyDescent="0.25">
      <c r="A172" s="28">
        <v>39689</v>
      </c>
      <c r="B172" s="17">
        <v>1.2190464532379999E-2</v>
      </c>
      <c r="C172" t="str">
        <f t="shared" si="12"/>
        <v>Green</v>
      </c>
      <c r="D172">
        <f>VLOOKUP(A172,Recession!$A$1:$C$395,3,FALSE)</f>
        <v>20.65</v>
      </c>
      <c r="E172">
        <f t="shared" si="13"/>
        <v>7</v>
      </c>
      <c r="F172">
        <f t="shared" si="14"/>
        <v>1</v>
      </c>
      <c r="G172">
        <f t="shared" si="15"/>
        <v>8</v>
      </c>
      <c r="N172" s="32" t="s">
        <v>130</v>
      </c>
      <c r="O172" s="21"/>
      <c r="P172" s="21">
        <v>-1.5174347526823499E-2</v>
      </c>
      <c r="Q172" s="21">
        <v>-1.5174347526823499E-2</v>
      </c>
      <c r="S172" s="37">
        <v>8</v>
      </c>
      <c r="T172" s="23">
        <v>2.0509480485558874E-2</v>
      </c>
      <c r="U172" s="23">
        <v>4.9003540154126793E-2</v>
      </c>
      <c r="V172" s="35">
        <v>0.5</v>
      </c>
      <c r="W172" s="39">
        <f t="shared" si="19"/>
        <v>0.41853058821979183</v>
      </c>
    </row>
    <row r="173" spans="1:23" x14ac:dyDescent="0.25">
      <c r="A173" s="28">
        <v>39660</v>
      </c>
      <c r="B173" s="17">
        <v>-9.8593710937500099E-3</v>
      </c>
      <c r="C173" t="str">
        <f t="shared" si="12"/>
        <v>Red</v>
      </c>
      <c r="D173">
        <f>VLOOKUP(A173,Recession!$A$1:$C$395,3,FALSE)</f>
        <v>22.940000999999999</v>
      </c>
      <c r="E173">
        <f t="shared" si="13"/>
        <v>8</v>
      </c>
      <c r="F173">
        <f t="shared" si="14"/>
        <v>0</v>
      </c>
      <c r="G173">
        <f t="shared" si="15"/>
        <v>7</v>
      </c>
      <c r="N173" s="32" t="s">
        <v>131</v>
      </c>
      <c r="O173" s="21">
        <v>1.7425808301574801E-2</v>
      </c>
      <c r="P173" s="21"/>
      <c r="Q173" s="21">
        <v>1.7425808301574801E-2</v>
      </c>
      <c r="S173" s="37">
        <v>6</v>
      </c>
      <c r="T173" s="23">
        <v>1.4553285646571757E-3</v>
      </c>
      <c r="U173" s="23">
        <v>3.1747916197052341E-2</v>
      </c>
      <c r="V173" s="35">
        <v>0.75</v>
      </c>
      <c r="W173" s="39">
        <f t="shared" si="19"/>
        <v>4.5840128707165251E-2</v>
      </c>
    </row>
    <row r="174" spans="1:23" x14ac:dyDescent="0.25">
      <c r="A174" s="28">
        <v>39629</v>
      </c>
      <c r="B174" s="17">
        <v>-8.5962384902803599E-2</v>
      </c>
      <c r="C174" t="str">
        <f t="shared" si="12"/>
        <v>Red</v>
      </c>
      <c r="D174">
        <f>VLOOKUP(A174,Recession!$A$1:$C$395,3,FALSE)</f>
        <v>23.950001</v>
      </c>
      <c r="E174">
        <f t="shared" si="13"/>
        <v>8</v>
      </c>
      <c r="F174">
        <f t="shared" si="14"/>
        <v>0</v>
      </c>
      <c r="G174">
        <f t="shared" si="15"/>
        <v>6</v>
      </c>
      <c r="N174" s="32" t="s">
        <v>93</v>
      </c>
      <c r="O174" s="21"/>
      <c r="P174" s="21">
        <v>-8.8341409435387392E-3</v>
      </c>
      <c r="Q174" s="21">
        <v>-8.8341409435387392E-3</v>
      </c>
      <c r="S174" s="30">
        <v>8</v>
      </c>
      <c r="T174" s="23">
        <v>-6.0588713851254666E-3</v>
      </c>
      <c r="U174" s="23">
        <v>4.5871922031113128E-2</v>
      </c>
      <c r="V174" s="35">
        <v>0.54545454545454541</v>
      </c>
      <c r="W174" s="38">
        <f>GETPIVOTDATA("Average of Returns",$S$97,"Month",8)/GETPIVOTDATA("StdDev of Returns",$S$97,"Month",8)</f>
        <v>-0.13208235270839472</v>
      </c>
    </row>
    <row r="175" spans="1:23" x14ac:dyDescent="0.25">
      <c r="A175" s="28">
        <v>39598</v>
      </c>
      <c r="B175" s="17">
        <v>1.06741816575771E-2</v>
      </c>
      <c r="C175" t="str">
        <f t="shared" si="12"/>
        <v>Green</v>
      </c>
      <c r="D175">
        <f>VLOOKUP(A175,Recession!$A$1:$C$395,3,FALSE)</f>
        <v>17.829999999999998</v>
      </c>
      <c r="E175">
        <f t="shared" si="13"/>
        <v>6</v>
      </c>
      <c r="F175">
        <f t="shared" si="14"/>
        <v>1</v>
      </c>
      <c r="G175">
        <f t="shared" si="15"/>
        <v>5</v>
      </c>
      <c r="N175" s="30" t="s">
        <v>148</v>
      </c>
      <c r="O175" s="21">
        <v>0.21848792137538456</v>
      </c>
      <c r="P175" s="21">
        <v>-9.62456194654394E-2</v>
      </c>
      <c r="Q175" s="21">
        <v>0.12224230190994517</v>
      </c>
      <c r="S175" s="37">
        <v>1</v>
      </c>
      <c r="T175" s="23">
        <v>1.8064212556312673E-2</v>
      </c>
      <c r="U175" s="23">
        <v>2.077145341043073E-2</v>
      </c>
      <c r="V175" s="35">
        <v>0.75</v>
      </c>
      <c r="W175" s="39">
        <f>GETPIVOTDATA("Average of Returns",$S$97,"VIX buckets",S175,"Month",8)/GETPIVOTDATA("StdDev of Returns",$S$97,"VIX buckets",S175,"Month",8)</f>
        <v>0.86966531418747173</v>
      </c>
    </row>
    <row r="176" spans="1:23" x14ac:dyDescent="0.25">
      <c r="A176" s="28">
        <v>39568</v>
      </c>
      <c r="B176" s="17">
        <v>4.7546697913198897E-2</v>
      </c>
      <c r="C176" t="str">
        <f t="shared" si="12"/>
        <v>Green</v>
      </c>
      <c r="D176">
        <f>VLOOKUP(A176,Recession!$A$1:$C$395,3,FALSE)</f>
        <v>20.790001</v>
      </c>
      <c r="E176">
        <f t="shared" si="13"/>
        <v>7</v>
      </c>
      <c r="F176">
        <f t="shared" si="14"/>
        <v>1</v>
      </c>
      <c r="G176">
        <f t="shared" si="15"/>
        <v>4</v>
      </c>
      <c r="N176" s="32" t="s">
        <v>122</v>
      </c>
      <c r="O176" s="21">
        <v>4.0432268573479903E-2</v>
      </c>
      <c r="P176" s="21"/>
      <c r="Q176" s="21">
        <v>4.0432268573479903E-2</v>
      </c>
      <c r="S176" s="37">
        <v>2</v>
      </c>
      <c r="T176" s="23">
        <v>1.9492648778410303E-2</v>
      </c>
      <c r="U176" s="23">
        <v>2.1544192938054631E-2</v>
      </c>
      <c r="V176" s="35">
        <v>0.75</v>
      </c>
      <c r="W176" s="39">
        <f t="shared" ref="W176:W184" si="20">GETPIVOTDATA("Average of Returns",$S$97,"VIX buckets",S176,"Month",8)/GETPIVOTDATA("StdDev of Returns",$S$97,"VIX buckets",S176,"Month",8)</f>
        <v>0.90477507486388231</v>
      </c>
    </row>
    <row r="177" spans="1:23" x14ac:dyDescent="0.25">
      <c r="A177" s="28">
        <v>39538</v>
      </c>
      <c r="B177" s="17">
        <v>-5.95962361452984E-3</v>
      </c>
      <c r="C177" t="str">
        <f t="shared" si="12"/>
        <v>Red</v>
      </c>
      <c r="D177">
        <f>VLOOKUP(A177,Recession!$A$1:$C$395,3,FALSE)</f>
        <v>25.610001</v>
      </c>
      <c r="E177">
        <f t="shared" si="13"/>
        <v>9</v>
      </c>
      <c r="F177">
        <f t="shared" si="14"/>
        <v>0</v>
      </c>
      <c r="G177">
        <f t="shared" si="15"/>
        <v>3</v>
      </c>
      <c r="N177" s="32" t="s">
        <v>123</v>
      </c>
      <c r="O177" s="21">
        <v>4.1817402681285899E-2</v>
      </c>
      <c r="P177" s="21"/>
      <c r="Q177" s="21">
        <v>4.1817402681285899E-2</v>
      </c>
      <c r="S177" s="37">
        <v>3</v>
      </c>
      <c r="T177" s="23">
        <v>-1.8559962902895469E-3</v>
      </c>
      <c r="U177" s="23">
        <v>2.1830123217207311E-2</v>
      </c>
      <c r="V177" s="35">
        <v>0.33333333333333331</v>
      </c>
      <c r="W177" s="39">
        <f t="shared" si="20"/>
        <v>-8.5019964011315424E-2</v>
      </c>
    </row>
    <row r="178" spans="1:23" x14ac:dyDescent="0.25">
      <c r="A178" s="28">
        <v>39507</v>
      </c>
      <c r="B178" s="17">
        <v>-3.4761192772624502E-2</v>
      </c>
      <c r="C178" t="str">
        <f t="shared" si="12"/>
        <v>Red</v>
      </c>
      <c r="D178">
        <f>VLOOKUP(A178,Recession!$A$1:$C$395,3,FALSE)</f>
        <v>26.540001</v>
      </c>
      <c r="E178">
        <f t="shared" si="13"/>
        <v>9</v>
      </c>
      <c r="F178">
        <f t="shared" si="14"/>
        <v>0</v>
      </c>
      <c r="G178">
        <f t="shared" si="15"/>
        <v>2</v>
      </c>
      <c r="N178" s="32" t="s">
        <v>124</v>
      </c>
      <c r="O178" s="21"/>
      <c r="P178" s="21">
        <v>-3.33432595272838E-2</v>
      </c>
      <c r="Q178" s="21">
        <v>-3.33432595272838E-2</v>
      </c>
      <c r="S178" s="37">
        <v>4</v>
      </c>
      <c r="T178" s="23">
        <v>2.28734984055223E-3</v>
      </c>
      <c r="U178" s="23" t="e">
        <v>#DIV/0!</v>
      </c>
      <c r="V178" s="35">
        <v>1</v>
      </c>
      <c r="W178" s="39" t="e">
        <f t="shared" si="20"/>
        <v>#DIV/0!</v>
      </c>
    </row>
    <row r="179" spans="1:23" x14ac:dyDescent="0.25">
      <c r="A179" s="28">
        <v>39478</v>
      </c>
      <c r="B179" s="17">
        <v>-6.1163431935936402E-2</v>
      </c>
      <c r="C179" t="str">
        <f t="shared" si="12"/>
        <v>Red</v>
      </c>
      <c r="D179">
        <f>VLOOKUP(A179,Recession!$A$1:$C$395,3,FALSE)</f>
        <v>26.200001</v>
      </c>
      <c r="E179">
        <f t="shared" si="13"/>
        <v>9</v>
      </c>
      <c r="F179">
        <f t="shared" si="14"/>
        <v>0</v>
      </c>
      <c r="G179">
        <f t="shared" si="15"/>
        <v>1</v>
      </c>
      <c r="N179" s="32" t="s">
        <v>125</v>
      </c>
      <c r="O179" s="21">
        <v>9.4247435537442303E-3</v>
      </c>
      <c r="P179" s="21"/>
      <c r="Q179" s="21">
        <v>9.4247435537442303E-3</v>
      </c>
      <c r="S179" s="37">
        <v>5</v>
      </c>
      <c r="T179" s="23">
        <v>1.9393761431770379E-2</v>
      </c>
      <c r="U179" s="23">
        <v>3.3046772237164776E-2</v>
      </c>
      <c r="V179" s="35">
        <v>0.8</v>
      </c>
      <c r="W179" s="39">
        <f t="shared" si="20"/>
        <v>0.5868579627864513</v>
      </c>
    </row>
    <row r="180" spans="1:23" x14ac:dyDescent="0.25">
      <c r="A180" s="28">
        <v>39447</v>
      </c>
      <c r="B180" s="17">
        <v>-8.6285090339686104E-3</v>
      </c>
      <c r="C180" t="str">
        <f t="shared" si="12"/>
        <v>Red</v>
      </c>
      <c r="D180">
        <f>VLOOKUP(A180,Recession!$A$1:$C$395,3,FALSE)</f>
        <v>22.5</v>
      </c>
      <c r="E180">
        <f t="shared" si="13"/>
        <v>8</v>
      </c>
      <c r="F180">
        <f t="shared" si="14"/>
        <v>0</v>
      </c>
      <c r="G180">
        <f t="shared" si="15"/>
        <v>12</v>
      </c>
      <c r="N180" s="32" t="s">
        <v>126</v>
      </c>
      <c r="O180" s="21">
        <v>3.1761261289926499E-3</v>
      </c>
      <c r="P180" s="21"/>
      <c r="Q180" s="21">
        <v>3.1761261289926499E-3</v>
      </c>
      <c r="S180" s="37">
        <v>9</v>
      </c>
      <c r="T180" s="23">
        <v>-2.4345616076481596E-2</v>
      </c>
      <c r="U180" s="23">
        <v>5.3646242040201006E-2</v>
      </c>
      <c r="V180" s="35">
        <v>0.2857142857142857</v>
      </c>
      <c r="W180" s="39">
        <f t="shared" si="20"/>
        <v>-0.45381773542008152</v>
      </c>
    </row>
    <row r="181" spans="1:23" x14ac:dyDescent="0.25">
      <c r="A181" s="28">
        <v>39416</v>
      </c>
      <c r="B181" s="17">
        <v>-4.4043417224814398E-2</v>
      </c>
      <c r="C181" t="str">
        <f t="shared" si="12"/>
        <v>Red</v>
      </c>
      <c r="D181">
        <f>VLOOKUP(A181,Recession!$A$1:$C$395,3,FALSE)</f>
        <v>22.870000999999998</v>
      </c>
      <c r="E181">
        <f t="shared" si="13"/>
        <v>8</v>
      </c>
      <c r="F181">
        <f t="shared" si="14"/>
        <v>0</v>
      </c>
      <c r="G181">
        <f t="shared" si="15"/>
        <v>11</v>
      </c>
      <c r="N181" s="32" t="s">
        <v>127</v>
      </c>
      <c r="O181" s="21">
        <v>4.3256010935977897E-2</v>
      </c>
      <c r="P181" s="21"/>
      <c r="Q181" s="21">
        <v>4.3256010935977897E-2</v>
      </c>
      <c r="S181" s="37">
        <v>7</v>
      </c>
      <c r="T181" s="23">
        <v>1.2190464532379999E-2</v>
      </c>
      <c r="U181" s="23" t="e">
        <v>#DIV/0!</v>
      </c>
      <c r="V181" s="35">
        <v>1</v>
      </c>
      <c r="W181" s="39" t="e">
        <f t="shared" si="20"/>
        <v>#DIV/0!</v>
      </c>
    </row>
    <row r="182" spans="1:23" x14ac:dyDescent="0.25">
      <c r="A182" s="28">
        <v>39386</v>
      </c>
      <c r="B182" s="17">
        <v>1.48223383003112E-2</v>
      </c>
      <c r="C182" t="str">
        <f t="shared" si="12"/>
        <v>Green</v>
      </c>
      <c r="D182">
        <f>VLOOKUP(A182,Recession!$A$1:$C$395,3,FALSE)</f>
        <v>18.530000999999999</v>
      </c>
      <c r="E182">
        <f t="shared" si="13"/>
        <v>6</v>
      </c>
      <c r="F182">
        <f t="shared" si="14"/>
        <v>1</v>
      </c>
      <c r="G182">
        <f t="shared" si="15"/>
        <v>10</v>
      </c>
      <c r="N182" s="32" t="s">
        <v>128</v>
      </c>
      <c r="O182" s="21"/>
      <c r="P182" s="21">
        <v>-5.4113747714807899E-3</v>
      </c>
      <c r="Q182" s="21">
        <v>-5.4113747714807899E-3</v>
      </c>
      <c r="S182" s="37">
        <v>10</v>
      </c>
      <c r="T182" s="23">
        <v>-7.3005144188942647E-2</v>
      </c>
      <c r="U182" s="23">
        <v>6.3461017888538362E-2</v>
      </c>
      <c r="V182" s="35">
        <v>0.25</v>
      </c>
      <c r="W182" s="39">
        <f t="shared" si="20"/>
        <v>-1.1503935268918535</v>
      </c>
    </row>
    <row r="183" spans="1:23" x14ac:dyDescent="0.25">
      <c r="A183" s="28">
        <v>39353</v>
      </c>
      <c r="B183" s="17">
        <v>3.5794008343299502E-2</v>
      </c>
      <c r="C183" t="str">
        <f t="shared" si="12"/>
        <v>Green</v>
      </c>
      <c r="D183">
        <f>VLOOKUP(A183,Recession!$A$1:$C$395,3,FALSE)</f>
        <v>18</v>
      </c>
      <c r="E183">
        <f t="shared" si="13"/>
        <v>6</v>
      </c>
      <c r="F183">
        <f t="shared" si="14"/>
        <v>1</v>
      </c>
      <c r="G183">
        <f t="shared" si="15"/>
        <v>9</v>
      </c>
      <c r="N183" s="32" t="s">
        <v>129</v>
      </c>
      <c r="O183" s="21"/>
      <c r="P183" s="21">
        <v>-3.8600104494526701E-2</v>
      </c>
      <c r="Q183" s="21">
        <v>-3.8600104494526701E-2</v>
      </c>
      <c r="S183" s="37">
        <v>8</v>
      </c>
      <c r="T183" s="23">
        <v>3.3047397435281745E-3</v>
      </c>
      <c r="U183" s="23">
        <v>1.3518229555073143E-2</v>
      </c>
      <c r="V183" s="35">
        <v>0.5</v>
      </c>
      <c r="W183" s="39">
        <f t="shared" si="20"/>
        <v>0.24446542574711394</v>
      </c>
    </row>
    <row r="184" spans="1:23" x14ac:dyDescent="0.25">
      <c r="A184" s="28">
        <v>39325</v>
      </c>
      <c r="B184" s="17">
        <v>1.2863571531556799E-2</v>
      </c>
      <c r="C184" t="str">
        <f t="shared" si="12"/>
        <v>Green</v>
      </c>
      <c r="D184">
        <f>VLOOKUP(A184,Recession!$A$1:$C$395,3,FALSE)</f>
        <v>23.379999000000002</v>
      </c>
      <c r="E184">
        <f t="shared" si="13"/>
        <v>8</v>
      </c>
      <c r="F184">
        <f t="shared" si="14"/>
        <v>1</v>
      </c>
      <c r="G184">
        <f t="shared" si="15"/>
        <v>8</v>
      </c>
      <c r="N184" s="32" t="s">
        <v>107</v>
      </c>
      <c r="O184" s="21">
        <v>3.9729334035724498E-2</v>
      </c>
      <c r="P184" s="21"/>
      <c r="Q184" s="21">
        <v>3.9729334035724498E-2</v>
      </c>
      <c r="S184" s="37">
        <v>6</v>
      </c>
      <c r="T184" s="23">
        <v>-1.0921195243115099E-4</v>
      </c>
      <c r="U184" s="23">
        <v>2.5430975642349928E-2</v>
      </c>
      <c r="V184" s="35">
        <v>0.5</v>
      </c>
      <c r="W184" s="39">
        <f t="shared" si="20"/>
        <v>-4.2944460317629937E-3</v>
      </c>
    </row>
    <row r="185" spans="1:23" x14ac:dyDescent="0.25">
      <c r="A185" s="28">
        <v>39294</v>
      </c>
      <c r="B185" s="17">
        <v>-3.1981878316802499E-2</v>
      </c>
      <c r="C185" t="str">
        <f t="shared" si="12"/>
        <v>Red</v>
      </c>
      <c r="D185">
        <f>VLOOKUP(A185,Recession!$A$1:$C$395,3,FALSE)</f>
        <v>23.52</v>
      </c>
      <c r="E185">
        <f t="shared" si="13"/>
        <v>8</v>
      </c>
      <c r="F185">
        <f t="shared" si="14"/>
        <v>0</v>
      </c>
      <c r="G185">
        <f t="shared" si="15"/>
        <v>7</v>
      </c>
      <c r="N185" s="32" t="s">
        <v>130</v>
      </c>
      <c r="O185" s="21">
        <v>2.5964462124019601E-2</v>
      </c>
      <c r="P185" s="21"/>
      <c r="Q185" s="21">
        <v>2.5964462124019601E-2</v>
      </c>
      <c r="S185" s="30">
        <v>9</v>
      </c>
      <c r="T185" s="23">
        <v>-8.0360739817071734E-3</v>
      </c>
      <c r="U185" s="23">
        <v>4.8607607632786272E-2</v>
      </c>
      <c r="V185" s="35">
        <v>0.48484848484848486</v>
      </c>
      <c r="W185" s="38">
        <f>GETPIVOTDATA("Average of Returns",$S$97,"Month",9)/GETPIVOTDATA("StdDev of Returns",$S$97,"Month",9)</f>
        <v>-0.16532543717059567</v>
      </c>
    </row>
    <row r="186" spans="1:23" x14ac:dyDescent="0.25">
      <c r="A186" s="28">
        <v>39262</v>
      </c>
      <c r="B186" s="17">
        <v>-1.7816322202167601E-2</v>
      </c>
      <c r="C186" t="str">
        <f t="shared" si="12"/>
        <v>Red</v>
      </c>
      <c r="D186">
        <f>VLOOKUP(A186,Recession!$A$1:$C$395,3,FALSE)</f>
        <v>16.23</v>
      </c>
      <c r="E186">
        <f t="shared" si="13"/>
        <v>5</v>
      </c>
      <c r="F186">
        <f t="shared" si="14"/>
        <v>0</v>
      </c>
      <c r="G186">
        <f t="shared" si="15"/>
        <v>6</v>
      </c>
      <c r="N186" s="32" t="s">
        <v>131</v>
      </c>
      <c r="O186" s="21"/>
      <c r="P186" s="21">
        <v>-1.88908806721481E-2</v>
      </c>
      <c r="Q186" s="21">
        <v>-1.88908806721481E-2</v>
      </c>
      <c r="S186" s="37">
        <v>1</v>
      </c>
      <c r="T186" s="23">
        <v>1.6939433913504512E-2</v>
      </c>
      <c r="U186" s="23">
        <v>9.0433313314016665E-3</v>
      </c>
      <c r="V186" s="35">
        <v>1</v>
      </c>
      <c r="W186" s="39">
        <f>GETPIVOTDATA("Average of Returns",$S$97,"VIX buckets",S186,"Month",9)/GETPIVOTDATA("StdDev of Returns",$S$97,"VIX buckets",S186,"Month",9)</f>
        <v>1.8731409137565009</v>
      </c>
    </row>
    <row r="187" spans="1:23" x14ac:dyDescent="0.25">
      <c r="A187" s="28">
        <v>39233</v>
      </c>
      <c r="B187" s="17">
        <v>3.2549228709934902E-2</v>
      </c>
      <c r="C187" t="str">
        <f t="shared" si="12"/>
        <v>Green</v>
      </c>
      <c r="D187">
        <f>VLOOKUP(A187,Recession!$A$1:$C$395,3,FALSE)</f>
        <v>13.05</v>
      </c>
      <c r="E187">
        <f t="shared" si="13"/>
        <v>2</v>
      </c>
      <c r="F187">
        <f t="shared" si="14"/>
        <v>1</v>
      </c>
      <c r="G187">
        <f t="shared" si="15"/>
        <v>5</v>
      </c>
      <c r="N187" s="32" t="s">
        <v>93</v>
      </c>
      <c r="O187" s="21">
        <v>1.46875733421599E-2</v>
      </c>
      <c r="P187" s="21"/>
      <c r="Q187" s="21">
        <v>1.46875733421599E-2</v>
      </c>
      <c r="S187" s="37">
        <v>2</v>
      </c>
      <c r="T187" s="23">
        <v>1.1467943035913067E-2</v>
      </c>
      <c r="U187" s="23">
        <v>2.5801800296269991E-2</v>
      </c>
      <c r="V187" s="35">
        <v>0.66666666666666663</v>
      </c>
      <c r="W187" s="39">
        <f t="shared" ref="W187:W195" si="21">GETPIVOTDATA("Average of Returns",$S$97,"VIX buckets",S187,"Month",9)/GETPIVOTDATA("StdDev of Returns",$S$97,"VIX buckets",S187,"Month",9)</f>
        <v>0.44446290197707322</v>
      </c>
    </row>
    <row r="188" spans="1:23" x14ac:dyDescent="0.25">
      <c r="A188" s="28">
        <v>39202</v>
      </c>
      <c r="B188" s="17">
        <v>4.3290690602424201E-2</v>
      </c>
      <c r="C188" t="str">
        <f t="shared" si="12"/>
        <v>Green</v>
      </c>
      <c r="D188">
        <f>VLOOKUP(A188,Recession!$A$1:$C$395,3,FALSE)</f>
        <v>14.22</v>
      </c>
      <c r="E188">
        <f t="shared" si="13"/>
        <v>3</v>
      </c>
      <c r="F188">
        <f t="shared" si="14"/>
        <v>1</v>
      </c>
      <c r="G188">
        <f t="shared" si="15"/>
        <v>4</v>
      </c>
      <c r="N188" s="30" t="s">
        <v>149</v>
      </c>
      <c r="O188" s="21">
        <v>0.31899330265800824</v>
      </c>
      <c r="P188" s="21">
        <v>-6.8588522655051942E-2</v>
      </c>
      <c r="Q188" s="21">
        <v>0.25040478000295624</v>
      </c>
      <c r="S188" s="37">
        <v>3</v>
      </c>
      <c r="T188" s="23">
        <v>-2.410629163028183E-3</v>
      </c>
      <c r="U188" s="23">
        <v>1.7041862658676625E-2</v>
      </c>
      <c r="V188" s="35">
        <v>0.5</v>
      </c>
      <c r="W188" s="39">
        <f t="shared" si="21"/>
        <v>-0.14145338519089901</v>
      </c>
    </row>
    <row r="189" spans="1:23" x14ac:dyDescent="0.25">
      <c r="A189" s="28">
        <v>39171</v>
      </c>
      <c r="B189" s="17">
        <v>9.9799828968305491E-3</v>
      </c>
      <c r="C189" t="str">
        <f t="shared" si="12"/>
        <v>Green</v>
      </c>
      <c r="D189">
        <f>VLOOKUP(A189,Recession!$A$1:$C$395,3,FALSE)</f>
        <v>14.64</v>
      </c>
      <c r="E189">
        <f t="shared" si="13"/>
        <v>4</v>
      </c>
      <c r="F189">
        <f t="shared" si="14"/>
        <v>1</v>
      </c>
      <c r="G189">
        <f t="shared" si="15"/>
        <v>3</v>
      </c>
      <c r="N189" s="32" t="s">
        <v>122</v>
      </c>
      <c r="O189" s="21">
        <v>7.1114791620643797E-2</v>
      </c>
      <c r="P189" s="21"/>
      <c r="Q189" s="21">
        <v>7.1114791620643797E-2</v>
      </c>
      <c r="S189" s="37">
        <v>4</v>
      </c>
      <c r="T189" s="23">
        <v>2.5462080800543012E-3</v>
      </c>
      <c r="U189" s="23">
        <v>3.0674215257879844E-2</v>
      </c>
      <c r="V189" s="35">
        <v>0.5</v>
      </c>
      <c r="W189" s="39">
        <f t="shared" si="21"/>
        <v>8.3008091931551869E-2</v>
      </c>
    </row>
    <row r="190" spans="1:23" x14ac:dyDescent="0.25">
      <c r="A190" s="28">
        <v>39141</v>
      </c>
      <c r="B190" s="17">
        <v>-2.1846176033528199E-2</v>
      </c>
      <c r="C190" t="str">
        <f t="shared" si="12"/>
        <v>Red</v>
      </c>
      <c r="D190">
        <f>VLOOKUP(A190,Recession!$A$1:$C$395,3,FALSE)</f>
        <v>15.42</v>
      </c>
      <c r="E190">
        <f t="shared" si="13"/>
        <v>4</v>
      </c>
      <c r="F190">
        <f t="shared" si="14"/>
        <v>0</v>
      </c>
      <c r="G190">
        <f t="shared" si="15"/>
        <v>2</v>
      </c>
      <c r="N190" s="32" t="s">
        <v>123</v>
      </c>
      <c r="O190" s="21"/>
      <c r="P190" s="21">
        <v>-2.8944148892513202E-2</v>
      </c>
      <c r="Q190" s="21">
        <v>-2.8944148892513202E-2</v>
      </c>
      <c r="S190" s="37">
        <v>5</v>
      </c>
      <c r="T190" s="23">
        <v>2.1405047838219025E-2</v>
      </c>
      <c r="U190" s="23">
        <v>2.901839976081606E-2</v>
      </c>
      <c r="V190" s="35">
        <v>0.75</v>
      </c>
      <c r="W190" s="39">
        <f t="shared" si="21"/>
        <v>0.73763708594029886</v>
      </c>
    </row>
    <row r="191" spans="1:23" x14ac:dyDescent="0.25">
      <c r="A191" s="28">
        <v>39113</v>
      </c>
      <c r="B191" s="17">
        <v>1.4059042735039801E-2</v>
      </c>
      <c r="C191" t="str">
        <f t="shared" si="12"/>
        <v>Green</v>
      </c>
      <c r="D191">
        <f>VLOOKUP(A191,Recession!$A$1:$C$395,3,FALSE)</f>
        <v>10.42</v>
      </c>
      <c r="E191">
        <f t="shared" si="13"/>
        <v>1</v>
      </c>
      <c r="F191">
        <f t="shared" si="14"/>
        <v>1</v>
      </c>
      <c r="G191">
        <f t="shared" si="15"/>
        <v>1</v>
      </c>
      <c r="N191" s="32" t="s">
        <v>124</v>
      </c>
      <c r="O191" s="21">
        <v>2.0805962445785E-2</v>
      </c>
      <c r="P191" s="21"/>
      <c r="Q191" s="21">
        <v>2.0805962445785E-2</v>
      </c>
      <c r="S191" s="37">
        <v>9</v>
      </c>
      <c r="T191" s="23">
        <v>-3.0378983668638282E-2</v>
      </c>
      <c r="U191" s="23">
        <v>4.5928632686469739E-2</v>
      </c>
      <c r="V191" s="35">
        <v>0.2</v>
      </c>
      <c r="W191" s="39">
        <f t="shared" si="21"/>
        <v>-0.66143888663133932</v>
      </c>
    </row>
    <row r="192" spans="1:23" x14ac:dyDescent="0.25">
      <c r="A192" s="28">
        <v>39080</v>
      </c>
      <c r="B192" s="17">
        <v>1.26157828526599E-2</v>
      </c>
      <c r="C192" t="str">
        <f t="shared" si="12"/>
        <v>Green</v>
      </c>
      <c r="D192">
        <f>VLOOKUP(A192,Recession!$A$1:$C$395,3,FALSE)</f>
        <v>11.56</v>
      </c>
      <c r="E192">
        <f t="shared" si="13"/>
        <v>1</v>
      </c>
      <c r="F192">
        <f t="shared" si="14"/>
        <v>1</v>
      </c>
      <c r="G192">
        <f t="shared" si="15"/>
        <v>12</v>
      </c>
      <c r="N192" s="32" t="s">
        <v>125</v>
      </c>
      <c r="O192" s="21">
        <v>5.0089938788108898E-2</v>
      </c>
      <c r="P192" s="21"/>
      <c r="Q192" s="21">
        <v>5.0089938788108898E-2</v>
      </c>
      <c r="S192" s="37">
        <v>7</v>
      </c>
      <c r="T192" s="23">
        <v>-5.3482974745611297E-2</v>
      </c>
      <c r="U192" s="23" t="e">
        <v>#DIV/0!</v>
      </c>
      <c r="V192" s="35">
        <v>0</v>
      </c>
      <c r="W192" s="39" t="e">
        <f t="shared" si="21"/>
        <v>#DIV/0!</v>
      </c>
    </row>
    <row r="193" spans="1:23" x14ac:dyDescent="0.25">
      <c r="A193" s="28">
        <v>39051</v>
      </c>
      <c r="B193" s="17">
        <v>1.64666567278202E-2</v>
      </c>
      <c r="C193" t="str">
        <f t="shared" si="12"/>
        <v>Green</v>
      </c>
      <c r="D193">
        <f>VLOOKUP(A193,Recession!$A$1:$C$395,3,FALSE)</f>
        <v>10.91</v>
      </c>
      <c r="E193">
        <f t="shared" si="13"/>
        <v>1</v>
      </c>
      <c r="F193">
        <f t="shared" si="14"/>
        <v>1</v>
      </c>
      <c r="G193">
        <f t="shared" si="15"/>
        <v>11</v>
      </c>
      <c r="N193" s="32" t="s">
        <v>126</v>
      </c>
      <c r="O193" s="21">
        <v>3.5137493453486698E-2</v>
      </c>
      <c r="P193" s="21"/>
      <c r="Q193" s="21">
        <v>3.5137493453486698E-2</v>
      </c>
      <c r="S193" s="37">
        <v>10</v>
      </c>
      <c r="T193" s="23">
        <v>-5.7181656309893157E-2</v>
      </c>
      <c r="U193" s="23">
        <v>6.1760045121629498E-2</v>
      </c>
      <c r="V193" s="35">
        <v>0.16666666666666666</v>
      </c>
      <c r="W193" s="39">
        <f t="shared" si="21"/>
        <v>-0.92586811096527344</v>
      </c>
    </row>
    <row r="194" spans="1:23" x14ac:dyDescent="0.25">
      <c r="A194" s="28">
        <v>39021</v>
      </c>
      <c r="B194" s="17">
        <v>3.1508002961554198E-2</v>
      </c>
      <c r="C194" t="str">
        <f t="shared" si="12"/>
        <v>Green</v>
      </c>
      <c r="D194">
        <f>VLOOKUP(A194,Recession!$A$1:$C$395,3,FALSE)</f>
        <v>11.1</v>
      </c>
      <c r="E194">
        <f t="shared" si="13"/>
        <v>1</v>
      </c>
      <c r="F194">
        <f t="shared" si="14"/>
        <v>1</v>
      </c>
      <c r="G194">
        <f t="shared" si="15"/>
        <v>10</v>
      </c>
      <c r="N194" s="32" t="s">
        <v>127</v>
      </c>
      <c r="O194" s="21"/>
      <c r="P194" s="21">
        <v>-7.9245541219584697E-3</v>
      </c>
      <c r="Q194" s="21">
        <v>-7.9245541219584697E-3</v>
      </c>
      <c r="S194" s="37">
        <v>8</v>
      </c>
      <c r="T194" s="23">
        <v>2.0297789874850175E-2</v>
      </c>
      <c r="U194" s="23">
        <v>6.1231779125966633E-2</v>
      </c>
      <c r="V194" s="35">
        <v>0.5</v>
      </c>
      <c r="W194" s="39">
        <f t="shared" si="21"/>
        <v>0.33149110093785383</v>
      </c>
    </row>
    <row r="195" spans="1:23" x14ac:dyDescent="0.25">
      <c r="A195" s="28">
        <v>38989</v>
      </c>
      <c r="B195" s="17">
        <v>2.45662985125095E-2</v>
      </c>
      <c r="C195" t="str">
        <f t="shared" ref="C195:C258" si="22">IF(B195&gt;0,"Green","Red")</f>
        <v>Green</v>
      </c>
      <c r="D195">
        <f>VLOOKUP(A195,Recession!$A$1:$C$395,3,FALSE)</f>
        <v>11.98</v>
      </c>
      <c r="E195">
        <f t="shared" si="13"/>
        <v>1</v>
      </c>
      <c r="F195">
        <f t="shared" si="14"/>
        <v>1</v>
      </c>
      <c r="G195">
        <f t="shared" si="15"/>
        <v>9</v>
      </c>
      <c r="N195" s="32" t="s">
        <v>128</v>
      </c>
      <c r="O195" s="21">
        <v>8.8370259223621503E-2</v>
      </c>
      <c r="P195" s="21"/>
      <c r="Q195" s="21">
        <v>8.8370259223621503E-2</v>
      </c>
      <c r="S195" s="37">
        <v>6</v>
      </c>
      <c r="T195" s="23">
        <v>3.5794008343299502E-2</v>
      </c>
      <c r="U195" s="23" t="e">
        <v>#DIV/0!</v>
      </c>
      <c r="V195" s="35">
        <v>1</v>
      </c>
      <c r="W195" s="39" t="e">
        <f t="shared" si="21"/>
        <v>#DIV/0!</v>
      </c>
    </row>
    <row r="196" spans="1:23" x14ac:dyDescent="0.25">
      <c r="A196" s="28">
        <v>38960</v>
      </c>
      <c r="B196" s="17">
        <v>2.12741930323481E-2</v>
      </c>
      <c r="C196" t="str">
        <f t="shared" si="22"/>
        <v>Green</v>
      </c>
      <c r="D196">
        <f>VLOOKUP(A196,Recession!$A$1:$C$395,3,FALSE)</f>
        <v>12.31</v>
      </c>
      <c r="E196">
        <f t="shared" ref="E196:E259" si="23">IF(D196&gt;28.95,10,IF(D196&gt;24.46,9,IF(D196&gt;21.81,8,IF(D196&gt;19.71,7,IF(D196&gt;17.73,6,IF(D196&gt;16.13,5,IF(D196&gt;14.61,4,IF(D196&gt;13.19,3,IF(D196&gt;12.04,2,1)))))))))</f>
        <v>2</v>
      </c>
      <c r="F196">
        <f t="shared" ref="F196:F259" si="24">IF(B196&gt;0,1,0)</f>
        <v>1</v>
      </c>
      <c r="G196">
        <f t="shared" ref="G196:G259" si="25">MONTH(A196)</f>
        <v>8</v>
      </c>
      <c r="N196" s="32" t="s">
        <v>129</v>
      </c>
      <c r="O196" s="21">
        <v>1.5516716371120299E-2</v>
      </c>
      <c r="P196" s="21"/>
      <c r="Q196" s="21">
        <v>1.5516716371120299E-2</v>
      </c>
      <c r="S196" s="30">
        <v>10</v>
      </c>
      <c r="T196" s="23">
        <v>1.4242589245650616E-2</v>
      </c>
      <c r="U196" s="23">
        <v>5.1695180651204223E-2</v>
      </c>
      <c r="V196" s="35">
        <v>0.65625</v>
      </c>
      <c r="W196" s="38">
        <f>GETPIVOTDATA("Average of Returns",$S$97,"Month",10)/GETPIVOTDATA("StdDev of Returns",$S$97,"Month",10)</f>
        <v>0.27551096768086908</v>
      </c>
    </row>
    <row r="197" spans="1:23" x14ac:dyDescent="0.25">
      <c r="A197" s="28">
        <v>38929</v>
      </c>
      <c r="B197" s="17">
        <v>5.0858787979908299E-3</v>
      </c>
      <c r="C197" t="str">
        <f t="shared" si="22"/>
        <v>Green</v>
      </c>
      <c r="D197">
        <f>VLOOKUP(A197,Recession!$A$1:$C$395,3,FALSE)</f>
        <v>14.95</v>
      </c>
      <c r="E197">
        <f t="shared" si="23"/>
        <v>4</v>
      </c>
      <c r="F197">
        <f t="shared" si="24"/>
        <v>1</v>
      </c>
      <c r="G197">
        <f t="shared" si="25"/>
        <v>7</v>
      </c>
      <c r="N197" s="32" t="s">
        <v>107</v>
      </c>
      <c r="O197" s="21"/>
      <c r="P197" s="21">
        <v>-6.5443673964080702E-3</v>
      </c>
      <c r="Q197" s="21">
        <v>-6.5443673964080702E-3</v>
      </c>
      <c r="S197" s="37">
        <v>1</v>
      </c>
      <c r="T197" s="23">
        <v>2.43630204185489E-2</v>
      </c>
      <c r="U197" s="23">
        <v>6.3436097530109722E-3</v>
      </c>
      <c r="V197" s="35">
        <v>1</v>
      </c>
      <c r="W197" s="39">
        <f t="shared" ref="W197:W205" si="26">GETPIVOTDATA("Average of Returns",$S$97,"VIX buckets",S197,"Month",10)/GETPIVOTDATA("StdDev of Returns",$S$97,"VIX buckets",S197,"Month",10)</f>
        <v>3.8405610318297208</v>
      </c>
    </row>
    <row r="198" spans="1:23" x14ac:dyDescent="0.25">
      <c r="A198" s="28">
        <v>38898</v>
      </c>
      <c r="B198" s="17">
        <v>8.6596227782509403E-5</v>
      </c>
      <c r="C198" t="str">
        <f t="shared" si="22"/>
        <v>Green</v>
      </c>
      <c r="D198">
        <f>VLOOKUP(A198,Recession!$A$1:$C$395,3,FALSE)</f>
        <v>13.08</v>
      </c>
      <c r="E198">
        <f t="shared" si="23"/>
        <v>2</v>
      </c>
      <c r="F198">
        <f t="shared" si="24"/>
        <v>1</v>
      </c>
      <c r="G198">
        <f t="shared" si="25"/>
        <v>6</v>
      </c>
      <c r="N198" s="32" t="s">
        <v>130</v>
      </c>
      <c r="O198" s="21"/>
      <c r="P198" s="21">
        <v>-2.5175452244172201E-2</v>
      </c>
      <c r="Q198" s="21">
        <v>-2.5175452244172201E-2</v>
      </c>
      <c r="S198" s="37">
        <v>3</v>
      </c>
      <c r="T198" s="23">
        <v>2.0816693118776534E-2</v>
      </c>
      <c r="U198" s="23">
        <v>1.7583474555314952E-2</v>
      </c>
      <c r="V198" s="35">
        <v>0.8</v>
      </c>
      <c r="W198" s="39">
        <f t="shared" si="26"/>
        <v>1.1838782518944344</v>
      </c>
    </row>
    <row r="199" spans="1:23" x14ac:dyDescent="0.25">
      <c r="A199" s="28">
        <v>38868</v>
      </c>
      <c r="B199" s="17">
        <v>-3.0916916141150899E-2</v>
      </c>
      <c r="C199" t="str">
        <f t="shared" si="22"/>
        <v>Red</v>
      </c>
      <c r="D199">
        <f>VLOOKUP(A199,Recession!$A$1:$C$395,3,FALSE)</f>
        <v>16.440000999999999</v>
      </c>
      <c r="E199">
        <f t="shared" si="23"/>
        <v>5</v>
      </c>
      <c r="F199">
        <f t="shared" si="24"/>
        <v>0</v>
      </c>
      <c r="G199">
        <f t="shared" si="25"/>
        <v>5</v>
      </c>
      <c r="N199" s="32" t="s">
        <v>131</v>
      </c>
      <c r="O199" s="21">
        <v>1.65413246213417E-2</v>
      </c>
      <c r="P199" s="21"/>
      <c r="Q199" s="21">
        <v>1.65413246213417E-2</v>
      </c>
      <c r="S199" s="37">
        <v>4</v>
      </c>
      <c r="T199" s="23">
        <v>3.3009515278992277E-2</v>
      </c>
      <c r="U199" s="23">
        <v>4.4733413561488411E-2</v>
      </c>
      <c r="V199" s="35">
        <v>0.75</v>
      </c>
      <c r="W199" s="39">
        <f t="shared" si="26"/>
        <v>0.73791630575249922</v>
      </c>
    </row>
    <row r="200" spans="1:23" x14ac:dyDescent="0.25">
      <c r="A200" s="28">
        <v>38835</v>
      </c>
      <c r="B200" s="17">
        <v>1.21556527379414E-2</v>
      </c>
      <c r="C200" t="str">
        <f t="shared" si="22"/>
        <v>Green</v>
      </c>
      <c r="D200">
        <f>VLOOKUP(A200,Recession!$A$1:$C$395,3,FALSE)</f>
        <v>11.59</v>
      </c>
      <c r="E200">
        <f t="shared" si="23"/>
        <v>1</v>
      </c>
      <c r="F200">
        <f t="shared" si="24"/>
        <v>1</v>
      </c>
      <c r="G200">
        <f t="shared" si="25"/>
        <v>4</v>
      </c>
      <c r="I200" s="22"/>
      <c r="N200" s="32" t="s">
        <v>93</v>
      </c>
      <c r="O200" s="21">
        <v>2.1416816133900299E-2</v>
      </c>
      <c r="P200" s="21"/>
      <c r="Q200" s="21">
        <v>2.1416816133900299E-2</v>
      </c>
      <c r="S200" s="37">
        <v>5</v>
      </c>
      <c r="T200" s="23">
        <v>1.6459670934389228E-2</v>
      </c>
      <c r="U200" s="23">
        <v>3.7750847752125297E-2</v>
      </c>
      <c r="V200" s="35">
        <v>0.75</v>
      </c>
      <c r="W200" s="39">
        <f t="shared" si="26"/>
        <v>0.43600798166082461</v>
      </c>
    </row>
    <row r="201" spans="1:23" x14ac:dyDescent="0.25">
      <c r="A201" s="28">
        <v>38807</v>
      </c>
      <c r="B201" s="17">
        <v>1.10958104592496E-2</v>
      </c>
      <c r="C201" t="str">
        <f t="shared" si="22"/>
        <v>Green</v>
      </c>
      <c r="D201">
        <f>VLOOKUP(A201,Recession!$A$1:$C$395,3,FALSE)</f>
        <v>11.39</v>
      </c>
      <c r="E201">
        <f t="shared" si="23"/>
        <v>1</v>
      </c>
      <c r="F201">
        <f t="shared" si="24"/>
        <v>1</v>
      </c>
      <c r="G201">
        <f t="shared" si="25"/>
        <v>3</v>
      </c>
      <c r="N201" s="30" t="s">
        <v>150</v>
      </c>
      <c r="O201" s="21">
        <v>0.20954518783306933</v>
      </c>
      <c r="P201" s="21">
        <v>-0.26201059176836677</v>
      </c>
      <c r="Q201" s="21">
        <v>-5.2465403935297472E-2</v>
      </c>
      <c r="S201" s="37">
        <v>9</v>
      </c>
      <c r="T201" s="23">
        <v>8.0294228372442406E-2</v>
      </c>
      <c r="U201" s="23" t="e">
        <v>#DIV/0!</v>
      </c>
      <c r="V201" s="35">
        <v>1</v>
      </c>
      <c r="W201" s="39" t="e">
        <f t="shared" si="26"/>
        <v>#DIV/0!</v>
      </c>
    </row>
    <row r="202" spans="1:23" x14ac:dyDescent="0.25">
      <c r="A202" s="28">
        <v>38776</v>
      </c>
      <c r="B202" s="17">
        <v>4.53157630725398E-4</v>
      </c>
      <c r="C202" t="str">
        <f t="shared" si="22"/>
        <v>Green</v>
      </c>
      <c r="D202">
        <f>VLOOKUP(A202,Recession!$A$1:$C$395,3,FALSE)</f>
        <v>12.34</v>
      </c>
      <c r="E202">
        <f t="shared" si="23"/>
        <v>2</v>
      </c>
      <c r="F202">
        <f t="shared" si="24"/>
        <v>1</v>
      </c>
      <c r="G202">
        <f t="shared" si="25"/>
        <v>2</v>
      </c>
      <c r="N202" s="32" t="s">
        <v>122</v>
      </c>
      <c r="O202" s="21"/>
      <c r="P202" s="21">
        <v>-6.8817225277032601E-2</v>
      </c>
      <c r="Q202" s="21">
        <v>-6.8817225277032601E-2</v>
      </c>
      <c r="S202" s="37">
        <v>7</v>
      </c>
      <c r="T202" s="23">
        <v>-1.62736808136765E-2</v>
      </c>
      <c r="U202" s="23">
        <v>7.5136707247524526E-2</v>
      </c>
      <c r="V202" s="35">
        <v>0.5</v>
      </c>
      <c r="W202" s="39">
        <f t="shared" si="26"/>
        <v>-0.21658762287873157</v>
      </c>
    </row>
    <row r="203" spans="1:23" x14ac:dyDescent="0.25">
      <c r="A203" s="28">
        <v>38748</v>
      </c>
      <c r="B203" s="17">
        <v>2.5466771348641601E-2</v>
      </c>
      <c r="C203" t="str">
        <f t="shared" si="22"/>
        <v>Green</v>
      </c>
      <c r="D203">
        <f>VLOOKUP(A203,Recession!$A$1:$C$395,3,FALSE)</f>
        <v>12.95</v>
      </c>
      <c r="E203">
        <f t="shared" si="23"/>
        <v>2</v>
      </c>
      <c r="F203">
        <f t="shared" si="24"/>
        <v>1</v>
      </c>
      <c r="G203">
        <f t="shared" si="25"/>
        <v>1</v>
      </c>
      <c r="N203" s="32" t="s">
        <v>123</v>
      </c>
      <c r="O203" s="21">
        <v>8.5390425155207304E-3</v>
      </c>
      <c r="P203" s="21"/>
      <c r="Q203" s="21">
        <v>8.5390425155207304E-3</v>
      </c>
      <c r="S203" s="37">
        <v>10</v>
      </c>
      <c r="T203" s="23">
        <v>-5.7196587502555216E-3</v>
      </c>
      <c r="U203" s="23">
        <v>8.471607151709068E-2</v>
      </c>
      <c r="V203" s="35">
        <v>0.375</v>
      </c>
      <c r="W203" s="39">
        <f t="shared" si="26"/>
        <v>-6.7515627764935179E-2</v>
      </c>
    </row>
    <row r="204" spans="1:23" x14ac:dyDescent="0.25">
      <c r="A204" s="28">
        <v>38716</v>
      </c>
      <c r="B204" s="17">
        <v>-9.5234899241847205E-4</v>
      </c>
      <c r="C204" t="str">
        <f t="shared" si="22"/>
        <v>Red</v>
      </c>
      <c r="D204">
        <f>VLOOKUP(A204,Recession!$A$1:$C$395,3,FALSE)</f>
        <v>12.07</v>
      </c>
      <c r="E204">
        <f t="shared" si="23"/>
        <v>2</v>
      </c>
      <c r="F204">
        <f t="shared" si="24"/>
        <v>0</v>
      </c>
      <c r="G204">
        <f t="shared" si="25"/>
        <v>12</v>
      </c>
      <c r="N204" s="32" t="s">
        <v>124</v>
      </c>
      <c r="O204" s="21">
        <v>2.4254983989199001E-2</v>
      </c>
      <c r="P204" s="21"/>
      <c r="Q204" s="21">
        <v>2.4254983989199001E-2</v>
      </c>
      <c r="S204" s="37">
        <v>8</v>
      </c>
      <c r="T204" s="23">
        <v>2.8795027876802208E-2</v>
      </c>
      <c r="U204" s="23">
        <v>4.7721948999751816E-2</v>
      </c>
      <c r="V204" s="35">
        <v>0.5</v>
      </c>
      <c r="W204" s="39">
        <f t="shared" si="26"/>
        <v>0.60339169879570431</v>
      </c>
    </row>
    <row r="205" spans="1:23" x14ac:dyDescent="0.25">
      <c r="A205" s="28">
        <v>38686</v>
      </c>
      <c r="B205" s="17">
        <v>3.5186095929726498E-2</v>
      </c>
      <c r="C205" t="str">
        <f t="shared" si="22"/>
        <v>Green</v>
      </c>
      <c r="D205">
        <f>VLOOKUP(A205,Recession!$A$1:$C$395,3,FALSE)</f>
        <v>12.06</v>
      </c>
      <c r="E205">
        <f t="shared" si="23"/>
        <v>2</v>
      </c>
      <c r="F205">
        <f t="shared" si="24"/>
        <v>1</v>
      </c>
      <c r="G205">
        <f t="shared" si="25"/>
        <v>11</v>
      </c>
      <c r="N205" s="32" t="s">
        <v>125</v>
      </c>
      <c r="O205" s="21"/>
      <c r="P205" s="21">
        <v>-2.6887138748678398E-2</v>
      </c>
      <c r="Q205" s="21">
        <v>-2.6887138748678398E-2</v>
      </c>
      <c r="S205" s="37">
        <v>6</v>
      </c>
      <c r="T205" s="23">
        <v>7.0446438870381996E-3</v>
      </c>
      <c r="U205" s="23">
        <v>2.3913425137521586E-2</v>
      </c>
      <c r="V205" s="35">
        <v>0.66666666666666663</v>
      </c>
      <c r="W205" s="39">
        <f t="shared" si="26"/>
        <v>0.29458949717682786</v>
      </c>
    </row>
    <row r="206" spans="1:23" x14ac:dyDescent="0.25">
      <c r="A206" s="28">
        <v>38656</v>
      </c>
      <c r="B206" s="17">
        <v>-1.7740780066319399E-2</v>
      </c>
      <c r="C206" t="str">
        <f t="shared" si="22"/>
        <v>Red</v>
      </c>
      <c r="D206">
        <f>VLOOKUP(A206,Recession!$A$1:$C$395,3,FALSE)</f>
        <v>15.32</v>
      </c>
      <c r="E206">
        <f t="shared" si="23"/>
        <v>4</v>
      </c>
      <c r="F206">
        <f t="shared" si="24"/>
        <v>0</v>
      </c>
      <c r="G206">
        <f t="shared" si="25"/>
        <v>10</v>
      </c>
      <c r="N206" s="32" t="s">
        <v>126</v>
      </c>
      <c r="O206" s="21">
        <v>9.1989190156802597E-2</v>
      </c>
      <c r="P206" s="21"/>
      <c r="Q206" s="21">
        <v>9.1989190156802597E-2</v>
      </c>
      <c r="S206" s="30">
        <v>11</v>
      </c>
      <c r="T206" s="23">
        <v>1.8158212576391289E-2</v>
      </c>
      <c r="U206" s="23">
        <v>4.258873389688559E-2</v>
      </c>
      <c r="V206" s="35">
        <v>0.71875</v>
      </c>
      <c r="W206" s="38">
        <f>GETPIVOTDATA("Average of Returns",$S$97,"Month",11)/GETPIVOTDATA("StdDev of Returns",$S$97,"Month",11)</f>
        <v>0.42636187824590754</v>
      </c>
    </row>
    <row r="207" spans="1:23" x14ac:dyDescent="0.25">
      <c r="A207" s="28">
        <v>38625</v>
      </c>
      <c r="B207" s="17">
        <v>6.9490246947603298E-3</v>
      </c>
      <c r="C207" t="str">
        <f t="shared" si="22"/>
        <v>Green</v>
      </c>
      <c r="D207">
        <f>VLOOKUP(A207,Recession!$A$1:$C$395,3,FALSE)</f>
        <v>11.92</v>
      </c>
      <c r="E207">
        <f t="shared" si="23"/>
        <v>1</v>
      </c>
      <c r="F207">
        <f t="shared" si="24"/>
        <v>1</v>
      </c>
      <c r="G207">
        <f t="shared" si="25"/>
        <v>9</v>
      </c>
      <c r="N207" s="32" t="s">
        <v>127</v>
      </c>
      <c r="O207" s="21"/>
      <c r="P207" s="21">
        <v>-8.8863657565815303E-3</v>
      </c>
      <c r="Q207" s="21">
        <v>-8.8863657565815303E-3</v>
      </c>
      <c r="S207" s="37">
        <v>1</v>
      </c>
      <c r="T207" s="23">
        <v>2.8532762323938199E-2</v>
      </c>
      <c r="U207" s="23">
        <v>1.2297353284430299E-2</v>
      </c>
      <c r="V207" s="35">
        <v>1</v>
      </c>
      <c r="W207" s="39">
        <f t="shared" ref="W207:W216" si="27">GETPIVOTDATA("Average of Returns",$S$97,"VIX buckets",S207,"Month",11)/GETPIVOTDATA("StdDev of Returns",$S$97,"VIX buckets",S207,"Month",11)</f>
        <v>2.3202360429917532</v>
      </c>
    </row>
    <row r="208" spans="1:23" x14ac:dyDescent="0.25">
      <c r="A208" s="28">
        <v>38595</v>
      </c>
      <c r="B208" s="17">
        <v>-1.12221048744966E-2</v>
      </c>
      <c r="C208" t="str">
        <f t="shared" si="22"/>
        <v>Red</v>
      </c>
      <c r="D208">
        <f>VLOOKUP(A208,Recession!$A$1:$C$395,3,FALSE)</f>
        <v>12.6</v>
      </c>
      <c r="E208">
        <f t="shared" si="23"/>
        <v>2</v>
      </c>
      <c r="F208">
        <f t="shared" si="24"/>
        <v>0</v>
      </c>
      <c r="G208">
        <f t="shared" si="25"/>
        <v>8</v>
      </c>
      <c r="N208" s="32" t="s">
        <v>128</v>
      </c>
      <c r="O208" s="21"/>
      <c r="P208" s="21">
        <v>-5.2231580846174904E-3</v>
      </c>
      <c r="Q208" s="21">
        <v>-5.2231580846174904E-3</v>
      </c>
      <c r="S208" s="37">
        <v>2</v>
      </c>
      <c r="T208" s="23">
        <v>3.3164980003412163E-2</v>
      </c>
      <c r="U208" s="23">
        <v>2.5779207073702861E-3</v>
      </c>
      <c r="V208" s="35">
        <v>1</v>
      </c>
      <c r="W208" s="39">
        <f t="shared" si="27"/>
        <v>12.865011677276708</v>
      </c>
    </row>
    <row r="209" spans="1:23" x14ac:dyDescent="0.25">
      <c r="A209" s="28">
        <v>38562</v>
      </c>
      <c r="B209" s="17">
        <v>3.5968287193812301E-2</v>
      </c>
      <c r="C209" t="str">
        <f t="shared" si="22"/>
        <v>Green</v>
      </c>
      <c r="D209">
        <f>VLOOKUP(A209,Recession!$A$1:$C$395,3,FALSE)</f>
        <v>11.57</v>
      </c>
      <c r="E209">
        <f t="shared" si="23"/>
        <v>1</v>
      </c>
      <c r="F209">
        <f t="shared" si="24"/>
        <v>1</v>
      </c>
      <c r="G209">
        <f t="shared" si="25"/>
        <v>7</v>
      </c>
      <c r="N209" s="32" t="s">
        <v>129</v>
      </c>
      <c r="O209" s="21"/>
      <c r="P209" s="21">
        <v>-9.43141838154853E-2</v>
      </c>
      <c r="Q209" s="21">
        <v>-9.43141838154853E-2</v>
      </c>
      <c r="S209" s="37">
        <v>3</v>
      </c>
      <c r="T209" s="23">
        <v>2.2488378553579418E-2</v>
      </c>
      <c r="U209" s="23">
        <v>2.0519413475876082E-2</v>
      </c>
      <c r="V209" s="35">
        <v>0.8</v>
      </c>
      <c r="W209" s="39">
        <f t="shared" si="27"/>
        <v>1.0959562065464579</v>
      </c>
    </row>
    <row r="210" spans="1:23" x14ac:dyDescent="0.25">
      <c r="A210" s="28">
        <v>38533</v>
      </c>
      <c r="B210" s="17">
        <v>-1.42714225765839E-4</v>
      </c>
      <c r="C210" t="str">
        <f t="shared" si="22"/>
        <v>Red</v>
      </c>
      <c r="D210">
        <f>VLOOKUP(A210,Recession!$A$1:$C$395,3,FALSE)</f>
        <v>12.04</v>
      </c>
      <c r="E210">
        <f t="shared" si="23"/>
        <v>1</v>
      </c>
      <c r="F210">
        <f t="shared" si="24"/>
        <v>0</v>
      </c>
      <c r="G210">
        <f t="shared" si="25"/>
        <v>6</v>
      </c>
      <c r="N210" s="32" t="s">
        <v>107</v>
      </c>
      <c r="O210" s="21"/>
      <c r="P210" s="21">
        <v>-5.1184307112997998E-2</v>
      </c>
      <c r="Q210" s="21">
        <v>-5.1184307112997998E-2</v>
      </c>
      <c r="S210" s="37">
        <v>4</v>
      </c>
      <c r="T210" s="23">
        <v>-1.2051008774938891E-2</v>
      </c>
      <c r="U210" s="23">
        <v>2.3804334376014924E-2</v>
      </c>
      <c r="V210" s="35">
        <v>0.66666666666666663</v>
      </c>
      <c r="W210" s="39">
        <f t="shared" si="27"/>
        <v>-0.50625270946796141</v>
      </c>
    </row>
    <row r="211" spans="1:23" x14ac:dyDescent="0.25">
      <c r="A211" s="28">
        <v>38503</v>
      </c>
      <c r="B211" s="17">
        <v>2.9952046262565798E-2</v>
      </c>
      <c r="C211" t="str">
        <f t="shared" si="22"/>
        <v>Green</v>
      </c>
      <c r="D211">
        <f>VLOOKUP(A211,Recession!$A$1:$C$395,3,FALSE)</f>
        <v>13.29</v>
      </c>
      <c r="E211">
        <f t="shared" si="23"/>
        <v>3</v>
      </c>
      <c r="F211">
        <f t="shared" si="24"/>
        <v>1</v>
      </c>
      <c r="G211">
        <f t="shared" si="25"/>
        <v>5</v>
      </c>
      <c r="N211" s="32" t="s">
        <v>130</v>
      </c>
      <c r="O211" s="21"/>
      <c r="P211" s="21">
        <v>-6.6982129729734599E-3</v>
      </c>
      <c r="Q211" s="21">
        <v>-6.6982129729734599E-3</v>
      </c>
      <c r="S211" s="37">
        <v>5</v>
      </c>
      <c r="T211" s="23">
        <v>4.0252327790261215E-2</v>
      </c>
      <c r="U211" s="23">
        <v>4.6844161056966475E-2</v>
      </c>
      <c r="V211" s="35">
        <v>1</v>
      </c>
      <c r="W211" s="39">
        <f t="shared" si="27"/>
        <v>0.85928164539676499</v>
      </c>
    </row>
    <row r="212" spans="1:23" x14ac:dyDescent="0.25">
      <c r="A212" s="28">
        <v>38471</v>
      </c>
      <c r="B212" s="17">
        <v>-2.0108581881679299E-2</v>
      </c>
      <c r="C212" t="str">
        <f t="shared" si="22"/>
        <v>Red</v>
      </c>
      <c r="D212">
        <f>VLOOKUP(A212,Recession!$A$1:$C$395,3,FALSE)</f>
        <v>15.31</v>
      </c>
      <c r="E212">
        <f t="shared" si="23"/>
        <v>4</v>
      </c>
      <c r="F212">
        <f t="shared" si="24"/>
        <v>0</v>
      </c>
      <c r="G212">
        <f t="shared" si="25"/>
        <v>4</v>
      </c>
      <c r="N212" s="32" t="s">
        <v>131</v>
      </c>
      <c r="O212" s="21">
        <v>5.9934213815789401E-2</v>
      </c>
      <c r="P212" s="21"/>
      <c r="Q212" s="21">
        <v>5.9934213815789401E-2</v>
      </c>
      <c r="S212" s="37">
        <v>9</v>
      </c>
      <c r="T212" s="23">
        <v>3.4125685453278896E-2</v>
      </c>
      <c r="U212" s="23">
        <v>3.2059679114922225E-2</v>
      </c>
      <c r="V212" s="35">
        <v>0.66666666666666663</v>
      </c>
      <c r="W212" s="39">
        <f t="shared" si="27"/>
        <v>1.0644425145663745</v>
      </c>
    </row>
    <row r="213" spans="1:23" x14ac:dyDescent="0.25">
      <c r="A213" s="28">
        <v>38442</v>
      </c>
      <c r="B213" s="17">
        <v>-1.9117655748441001E-2</v>
      </c>
      <c r="C213" t="str">
        <f t="shared" si="22"/>
        <v>Red</v>
      </c>
      <c r="D213">
        <f>VLOOKUP(A213,Recession!$A$1:$C$395,3,FALSE)</f>
        <v>14.02</v>
      </c>
      <c r="E213">
        <f t="shared" si="23"/>
        <v>3</v>
      </c>
      <c r="F213">
        <f t="shared" si="24"/>
        <v>0</v>
      </c>
      <c r="G213">
        <f t="shared" si="25"/>
        <v>3</v>
      </c>
      <c r="N213" s="32" t="s">
        <v>93</v>
      </c>
      <c r="O213" s="21">
        <v>2.4827757355757599E-2</v>
      </c>
      <c r="P213" s="21"/>
      <c r="Q213" s="21">
        <v>2.4827757355757599E-2</v>
      </c>
      <c r="S213" s="37">
        <v>7</v>
      </c>
      <c r="T213" s="23">
        <v>3.1820963397862556E-2</v>
      </c>
      <c r="U213" s="23">
        <v>0.10709085826485649</v>
      </c>
      <c r="V213" s="35">
        <v>0.5</v>
      </c>
      <c r="W213" s="39">
        <f t="shared" si="27"/>
        <v>0.29713986715059404</v>
      </c>
    </row>
    <row r="214" spans="1:23" x14ac:dyDescent="0.25">
      <c r="A214" s="28">
        <v>38411</v>
      </c>
      <c r="B214" s="17">
        <v>1.8903346078316601E-2</v>
      </c>
      <c r="C214" t="str">
        <f t="shared" si="22"/>
        <v>Green</v>
      </c>
      <c r="D214">
        <f>VLOOKUP(A214,Recession!$A$1:$C$395,3,FALSE)</f>
        <v>12.08</v>
      </c>
      <c r="E214">
        <f t="shared" si="23"/>
        <v>2</v>
      </c>
      <c r="F214">
        <f t="shared" si="24"/>
        <v>1</v>
      </c>
      <c r="G214">
        <f t="shared" si="25"/>
        <v>2</v>
      </c>
      <c r="N214" s="30" t="s">
        <v>151</v>
      </c>
      <c r="O214" s="21">
        <v>0.35785675234337633</v>
      </c>
      <c r="P214" s="21">
        <v>-0.11094007537339159</v>
      </c>
      <c r="Q214" s="21">
        <v>0.24691667696998471</v>
      </c>
      <c r="S214" s="37">
        <v>10</v>
      </c>
      <c r="T214" s="23">
        <v>-7.7458826270857553E-2</v>
      </c>
      <c r="U214" s="23">
        <v>3.6907914895584247E-3</v>
      </c>
      <c r="V214" s="35">
        <v>0</v>
      </c>
      <c r="W214" s="39">
        <f t="shared" si="27"/>
        <v>-20.987050200477437</v>
      </c>
    </row>
    <row r="215" spans="1:23" x14ac:dyDescent="0.25">
      <c r="A215" s="28">
        <v>38383</v>
      </c>
      <c r="B215" s="17">
        <v>-2.5290467099494601E-2</v>
      </c>
      <c r="C215" t="str">
        <f t="shared" si="22"/>
        <v>Red</v>
      </c>
      <c r="D215">
        <f>VLOOKUP(A215,Recession!$A$1:$C$395,3,FALSE)</f>
        <v>12.82</v>
      </c>
      <c r="E215">
        <f t="shared" si="23"/>
        <v>2</v>
      </c>
      <c r="F215">
        <f t="shared" si="24"/>
        <v>0</v>
      </c>
      <c r="G215">
        <f t="shared" si="25"/>
        <v>1</v>
      </c>
      <c r="N215" s="32" t="s">
        <v>122</v>
      </c>
      <c r="O215" s="21">
        <v>4.1517751676101597E-2</v>
      </c>
      <c r="P215" s="21"/>
      <c r="Q215" s="21">
        <v>4.1517751676101597E-2</v>
      </c>
      <c r="S215" s="37">
        <v>8</v>
      </c>
      <c r="T215" s="23">
        <v>2.156766193526698E-2</v>
      </c>
      <c r="U215" s="23">
        <v>4.8026369474987049E-2</v>
      </c>
      <c r="V215" s="35">
        <v>0.6</v>
      </c>
      <c r="W215" s="39">
        <f t="shared" si="27"/>
        <v>0.44907958213455601</v>
      </c>
    </row>
    <row r="216" spans="1:23" x14ac:dyDescent="0.25">
      <c r="A216" s="28">
        <v>38352</v>
      </c>
      <c r="B216" s="17">
        <v>3.24582131440454E-2</v>
      </c>
      <c r="C216" t="str">
        <f t="shared" si="22"/>
        <v>Green</v>
      </c>
      <c r="D216">
        <f>VLOOKUP(A216,Recession!$A$1:$C$395,3,FALSE)</f>
        <v>13.29</v>
      </c>
      <c r="E216">
        <f t="shared" si="23"/>
        <v>3</v>
      </c>
      <c r="F216">
        <f t="shared" si="24"/>
        <v>1</v>
      </c>
      <c r="G216">
        <f t="shared" si="25"/>
        <v>12</v>
      </c>
      <c r="N216" s="32" t="s">
        <v>123</v>
      </c>
      <c r="O216" s="21">
        <v>6.7281174863978596E-2</v>
      </c>
      <c r="P216" s="21"/>
      <c r="Q216" s="21">
        <v>6.7281174863978596E-2</v>
      </c>
      <c r="S216" s="37">
        <v>6</v>
      </c>
      <c r="T216" s="23">
        <v>1.7859356788849E-2</v>
      </c>
      <c r="U216" s="23" t="e">
        <v>#DIV/0!</v>
      </c>
      <c r="V216" s="35">
        <v>1</v>
      </c>
      <c r="W216" s="39" t="e">
        <f t="shared" si="27"/>
        <v>#DIV/0!</v>
      </c>
    </row>
    <row r="217" spans="1:23" x14ac:dyDescent="0.25">
      <c r="A217" s="28">
        <v>38321</v>
      </c>
      <c r="B217" s="17">
        <v>3.8594936198152401E-2</v>
      </c>
      <c r="C217" t="str">
        <f t="shared" si="22"/>
        <v>Green</v>
      </c>
      <c r="D217">
        <f>VLOOKUP(A217,Recession!$A$1:$C$395,3,FALSE)</f>
        <v>13.24</v>
      </c>
      <c r="E217">
        <f t="shared" si="23"/>
        <v>3</v>
      </c>
      <c r="F217">
        <f t="shared" si="24"/>
        <v>1</v>
      </c>
      <c r="G217">
        <f t="shared" si="25"/>
        <v>11</v>
      </c>
      <c r="N217" s="32" t="s">
        <v>124</v>
      </c>
      <c r="O217" s="21">
        <v>2.22028328236583E-2</v>
      </c>
      <c r="P217" s="21"/>
      <c r="Q217" s="21">
        <v>2.22028328236583E-2</v>
      </c>
      <c r="S217" s="30">
        <v>12</v>
      </c>
      <c r="T217" s="23">
        <v>1.5196037031257891E-2</v>
      </c>
      <c r="U217" s="23">
        <v>3.5805811904862005E-2</v>
      </c>
      <c r="V217" s="35">
        <v>0.78125</v>
      </c>
      <c r="W217" s="38">
        <f>GETPIVOTDATA("Average of Returns",$S$97,"Month",12)/GETPIVOTDATA("StdDev of Returns",$S$97,"Month",12)</f>
        <v>0.42440140923586905</v>
      </c>
    </row>
    <row r="218" spans="1:23" x14ac:dyDescent="0.25">
      <c r="A218" s="28">
        <v>38289</v>
      </c>
      <c r="B218" s="17">
        <v>1.4014243586487E-2</v>
      </c>
      <c r="C218" t="str">
        <f t="shared" si="22"/>
        <v>Green</v>
      </c>
      <c r="D218">
        <f>VLOOKUP(A218,Recession!$A$1:$C$395,3,FALSE)</f>
        <v>16.27</v>
      </c>
      <c r="E218">
        <f t="shared" si="23"/>
        <v>5</v>
      </c>
      <c r="F218">
        <f t="shared" si="24"/>
        <v>1</v>
      </c>
      <c r="G218">
        <f t="shared" si="25"/>
        <v>10</v>
      </c>
      <c r="N218" s="32" t="s">
        <v>125</v>
      </c>
      <c r="O218" s="21">
        <v>3.1979905037093898E-4</v>
      </c>
      <c r="P218" s="21"/>
      <c r="Q218" s="21">
        <v>3.1979905037093898E-4</v>
      </c>
      <c r="S218" s="37">
        <v>1</v>
      </c>
      <c r="T218" s="23">
        <v>1.0846195538571616E-2</v>
      </c>
      <c r="U218" s="23">
        <v>1.5379922179956547E-3</v>
      </c>
      <c r="V218" s="35">
        <v>1</v>
      </c>
      <c r="W218" s="39">
        <f>GETPIVOTDATA("Average of Returns",$S$97,"VIX buckets",S218,"Month",12)/GETPIVOTDATA("StdDev of Returns",$S$97,"VIX buckets",S218,"Month",12)</f>
        <v>7.0521784256532953</v>
      </c>
    </row>
    <row r="219" spans="1:23" x14ac:dyDescent="0.25">
      <c r="A219" s="28">
        <v>38260</v>
      </c>
      <c r="B219" s="17">
        <v>9.3638756915515008E-3</v>
      </c>
      <c r="C219" t="str">
        <f t="shared" si="22"/>
        <v>Green</v>
      </c>
      <c r="D219">
        <f>VLOOKUP(A219,Recession!$A$1:$C$395,3,FALSE)</f>
        <v>13.34</v>
      </c>
      <c r="E219">
        <f t="shared" si="23"/>
        <v>3</v>
      </c>
      <c r="F219">
        <f t="shared" si="24"/>
        <v>1</v>
      </c>
      <c r="G219">
        <f t="shared" si="25"/>
        <v>9</v>
      </c>
      <c r="N219" s="32" t="s">
        <v>126</v>
      </c>
      <c r="O219" s="21">
        <v>3.8604974568177998E-2</v>
      </c>
      <c r="P219" s="21"/>
      <c r="Q219" s="21">
        <v>3.8604974568177998E-2</v>
      </c>
      <c r="S219" s="37">
        <v>2</v>
      </c>
      <c r="T219" s="23">
        <v>8.866430440178175E-3</v>
      </c>
      <c r="U219" s="23">
        <v>9.2607203917661196E-3</v>
      </c>
      <c r="V219" s="35">
        <v>0.66666666666666663</v>
      </c>
      <c r="W219" s="39">
        <f t="shared" ref="W219:W226" si="28">GETPIVOTDATA("Average of Returns",$S$97,"VIX buckets",S219,"Month",12)/GETPIVOTDATA("StdDev of Returns",$S$97,"VIX buckets",S219,"Month",12)</f>
        <v>0.95742340391374792</v>
      </c>
    </row>
    <row r="220" spans="1:23" x14ac:dyDescent="0.25">
      <c r="A220" s="28">
        <v>38230</v>
      </c>
      <c r="B220" s="17">
        <v>2.28734984055223E-3</v>
      </c>
      <c r="C220" t="str">
        <f t="shared" si="22"/>
        <v>Green</v>
      </c>
      <c r="D220">
        <f>VLOOKUP(A220,Recession!$A$1:$C$395,3,FALSE)</f>
        <v>15.29</v>
      </c>
      <c r="E220">
        <f t="shared" si="23"/>
        <v>4</v>
      </c>
      <c r="F220">
        <f t="shared" si="24"/>
        <v>1</v>
      </c>
      <c r="G220">
        <f t="shared" si="25"/>
        <v>8</v>
      </c>
      <c r="N220" s="32" t="s">
        <v>127</v>
      </c>
      <c r="O220" s="21"/>
      <c r="P220" s="21">
        <v>-4.7892629152718302E-2</v>
      </c>
      <c r="Q220" s="21">
        <v>-4.7892629152718302E-2</v>
      </c>
      <c r="S220" s="37">
        <v>3</v>
      </c>
      <c r="T220" s="23">
        <v>2.3022140828529859E-2</v>
      </c>
      <c r="U220" s="23">
        <v>8.0398959589265996E-3</v>
      </c>
      <c r="V220" s="35">
        <v>1</v>
      </c>
      <c r="W220" s="39">
        <f t="shared" si="28"/>
        <v>2.863487406571307</v>
      </c>
    </row>
    <row r="221" spans="1:23" x14ac:dyDescent="0.25">
      <c r="A221" s="28">
        <v>38198</v>
      </c>
      <c r="B221" s="17">
        <v>-3.4290519411905002E-2</v>
      </c>
      <c r="C221" t="str">
        <f t="shared" si="22"/>
        <v>Red</v>
      </c>
      <c r="D221">
        <f>VLOOKUP(A221,Recession!$A$1:$C$395,3,FALSE)</f>
        <v>15.32</v>
      </c>
      <c r="E221">
        <f t="shared" si="23"/>
        <v>4</v>
      </c>
      <c r="F221">
        <f t="shared" si="24"/>
        <v>0</v>
      </c>
      <c r="G221">
        <f t="shared" si="25"/>
        <v>7</v>
      </c>
      <c r="N221" s="32" t="s">
        <v>128</v>
      </c>
      <c r="O221" s="21">
        <v>4.4859343195825498E-2</v>
      </c>
      <c r="P221" s="21"/>
      <c r="Q221" s="21">
        <v>4.4859343195825498E-2</v>
      </c>
      <c r="S221" s="37">
        <v>5</v>
      </c>
      <c r="T221" s="23">
        <v>4.3612913509962797E-2</v>
      </c>
      <c r="U221" s="23" t="e">
        <v>#DIV/0!</v>
      </c>
      <c r="V221" s="35">
        <v>1</v>
      </c>
      <c r="W221" s="39" t="e">
        <f t="shared" si="28"/>
        <v>#DIV/0!</v>
      </c>
    </row>
    <row r="222" spans="1:23" x14ac:dyDescent="0.25">
      <c r="A222" s="28">
        <v>38168</v>
      </c>
      <c r="B222" s="17">
        <v>1.7988998669195701E-2</v>
      </c>
      <c r="C222" t="str">
        <f t="shared" si="22"/>
        <v>Green</v>
      </c>
      <c r="D222">
        <f>VLOOKUP(A222,Recession!$A$1:$C$395,3,FALSE)</f>
        <v>14.34</v>
      </c>
      <c r="E222">
        <f t="shared" si="23"/>
        <v>3</v>
      </c>
      <c r="F222">
        <f t="shared" si="24"/>
        <v>1</v>
      </c>
      <c r="G222">
        <f t="shared" si="25"/>
        <v>6</v>
      </c>
      <c r="N222" s="32" t="s">
        <v>129</v>
      </c>
      <c r="O222" s="21">
        <v>1.96487842997797E-2</v>
      </c>
      <c r="P222" s="21"/>
      <c r="Q222" s="21">
        <v>1.96487842997797E-2</v>
      </c>
      <c r="S222" s="37">
        <v>9</v>
      </c>
      <c r="T222" s="23">
        <v>-1.3076873901823933E-2</v>
      </c>
      <c r="U222" s="23">
        <v>6.161728386288378E-2</v>
      </c>
      <c r="V222" s="35">
        <v>0.6</v>
      </c>
      <c r="W222" s="39">
        <f t="shared" si="28"/>
        <v>-0.21222736677137127</v>
      </c>
    </row>
    <row r="223" spans="1:23" x14ac:dyDescent="0.25">
      <c r="A223" s="28">
        <v>38135</v>
      </c>
      <c r="B223" s="17">
        <v>1.2083450201310301E-2</v>
      </c>
      <c r="C223" t="str">
        <f t="shared" si="22"/>
        <v>Green</v>
      </c>
      <c r="D223">
        <f>VLOOKUP(A223,Recession!$A$1:$C$395,3,FALSE)</f>
        <v>15.5</v>
      </c>
      <c r="E223">
        <f t="shared" si="23"/>
        <v>4</v>
      </c>
      <c r="F223">
        <f t="shared" si="24"/>
        <v>1</v>
      </c>
      <c r="G223">
        <f t="shared" si="25"/>
        <v>5</v>
      </c>
      <c r="N223" s="32" t="s">
        <v>107</v>
      </c>
      <c r="O223" s="21"/>
      <c r="P223" s="21">
        <v>-1.9143737536368399E-2</v>
      </c>
      <c r="Q223" s="21">
        <v>-1.9143737536368399E-2</v>
      </c>
      <c r="S223" s="37">
        <v>7</v>
      </c>
      <c r="T223" s="23">
        <v>-1.8674221082989016E-3</v>
      </c>
      <c r="U223" s="23">
        <v>2.7772316457984079E-2</v>
      </c>
      <c r="V223" s="35">
        <v>0.5</v>
      </c>
      <c r="W223" s="39">
        <f t="shared" si="28"/>
        <v>-6.7240415869668974E-2</v>
      </c>
    </row>
    <row r="224" spans="1:23" x14ac:dyDescent="0.25">
      <c r="A224" s="28">
        <v>38107</v>
      </c>
      <c r="B224" s="17">
        <v>-1.6790751862298701E-2</v>
      </c>
      <c r="C224" t="str">
        <f t="shared" si="22"/>
        <v>Red</v>
      </c>
      <c r="D224">
        <f>VLOOKUP(A224,Recession!$A$1:$C$395,3,FALSE)</f>
        <v>17.190000999999999</v>
      </c>
      <c r="E224">
        <f t="shared" si="23"/>
        <v>5</v>
      </c>
      <c r="F224">
        <f t="shared" si="24"/>
        <v>0</v>
      </c>
      <c r="G224">
        <f t="shared" si="25"/>
        <v>4</v>
      </c>
      <c r="N224" s="32" t="s">
        <v>130</v>
      </c>
      <c r="O224" s="21">
        <v>1.1834237037883701E-2</v>
      </c>
      <c r="P224" s="21"/>
      <c r="Q224" s="21">
        <v>1.1834237037883701E-2</v>
      </c>
      <c r="S224" s="37">
        <v>10</v>
      </c>
      <c r="T224" s="23">
        <v>7.8215768970539799E-3</v>
      </c>
      <c r="U224" s="23" t="e">
        <v>#DIV/0!</v>
      </c>
      <c r="V224" s="35">
        <v>1</v>
      </c>
      <c r="W224" s="39" t="e">
        <f t="shared" si="28"/>
        <v>#DIV/0!</v>
      </c>
    </row>
    <row r="225" spans="1:23" x14ac:dyDescent="0.25">
      <c r="A225" s="28">
        <v>38077</v>
      </c>
      <c r="B225" s="17">
        <v>-1.6358919214261199E-2</v>
      </c>
      <c r="C225" t="str">
        <f t="shared" si="22"/>
        <v>Red</v>
      </c>
      <c r="D225">
        <f>VLOOKUP(A225,Recession!$A$1:$C$395,3,FALSE)</f>
        <v>16.739999999999998</v>
      </c>
      <c r="E225">
        <f t="shared" si="23"/>
        <v>5</v>
      </c>
      <c r="F225">
        <f t="shared" si="24"/>
        <v>0</v>
      </c>
      <c r="G225">
        <f t="shared" si="25"/>
        <v>3</v>
      </c>
      <c r="N225" s="32" t="s">
        <v>131</v>
      </c>
      <c r="O225" s="21"/>
      <c r="P225" s="21">
        <v>-4.3903708684304897E-2</v>
      </c>
      <c r="Q225" s="21">
        <v>-4.3903708684304897E-2</v>
      </c>
      <c r="S225" s="37">
        <v>8</v>
      </c>
      <c r="T225" s="23">
        <v>1.9451072085288453E-2</v>
      </c>
      <c r="U225" s="23">
        <v>2.3401776787327553E-2</v>
      </c>
      <c r="V225" s="35">
        <v>0.83333333333333337</v>
      </c>
      <c r="W225" s="39">
        <f t="shared" si="28"/>
        <v>0.83117928446448253</v>
      </c>
    </row>
    <row r="226" spans="1:23" x14ac:dyDescent="0.25">
      <c r="A226" s="28">
        <v>38044</v>
      </c>
      <c r="B226" s="17">
        <v>1.22089732735895E-2</v>
      </c>
      <c r="C226" t="str">
        <f t="shared" si="22"/>
        <v>Green</v>
      </c>
      <c r="D226">
        <f>VLOOKUP(A226,Recession!$A$1:$C$395,3,FALSE)</f>
        <v>14.55</v>
      </c>
      <c r="E226">
        <f t="shared" si="23"/>
        <v>3</v>
      </c>
      <c r="F226">
        <f t="shared" si="24"/>
        <v>1</v>
      </c>
      <c r="G226">
        <f t="shared" si="25"/>
        <v>2</v>
      </c>
      <c r="N226" s="32" t="s">
        <v>93</v>
      </c>
      <c r="O226" s="21">
        <v>0.1115878548276</v>
      </c>
      <c r="P226" s="21"/>
      <c r="Q226" s="21">
        <v>0.1115878548276</v>
      </c>
      <c r="S226" s="37">
        <v>6</v>
      </c>
      <c r="T226" s="23">
        <v>3.5500482288053949E-2</v>
      </c>
      <c r="U226" s="23">
        <v>4.9206078633968274E-2</v>
      </c>
      <c r="V226" s="35">
        <v>0.66666666666666663</v>
      </c>
      <c r="W226" s="39">
        <f t="shared" si="28"/>
        <v>0.72146538138373451</v>
      </c>
    </row>
    <row r="227" spans="1:23" x14ac:dyDescent="0.25">
      <c r="A227" s="28">
        <v>38016</v>
      </c>
      <c r="B227" s="17">
        <v>1.7276387006114599E-2</v>
      </c>
      <c r="C227" t="str">
        <f t="shared" si="22"/>
        <v>Green</v>
      </c>
      <c r="D227">
        <f>VLOOKUP(A227,Recession!$A$1:$C$395,3,FALSE)</f>
        <v>16.629999000000002</v>
      </c>
      <c r="E227">
        <f t="shared" si="23"/>
        <v>5</v>
      </c>
      <c r="F227">
        <f t="shared" si="24"/>
        <v>1</v>
      </c>
      <c r="G227">
        <f t="shared" si="25"/>
        <v>1</v>
      </c>
      <c r="N227" s="30" t="s">
        <v>156</v>
      </c>
      <c r="O227" s="21">
        <v>0.12940134739606335</v>
      </c>
      <c r="P227" s="21">
        <v>-8.3111975258926704E-2</v>
      </c>
      <c r="Q227" s="21">
        <v>4.6289372137136645E-2</v>
      </c>
      <c r="S227" s="30" t="s">
        <v>92</v>
      </c>
      <c r="T227" s="23">
        <v>6.8421652775519639E-3</v>
      </c>
      <c r="U227" s="23">
        <v>4.2896080742995731E-2</v>
      </c>
      <c r="V227" s="35">
        <v>0.63613231552162852</v>
      </c>
      <c r="W227" s="39">
        <f>GETPIVOTDATA("Average of Returns",$S$97)/GETPIVOTDATA("StdDev of Returns",$S$97)</f>
        <v>0.15950560421931284</v>
      </c>
    </row>
    <row r="228" spans="1:23" x14ac:dyDescent="0.25">
      <c r="A228" s="28">
        <v>37986</v>
      </c>
      <c r="B228" s="17">
        <v>5.0765541001239298E-2</v>
      </c>
      <c r="C228" t="str">
        <f t="shared" si="22"/>
        <v>Green</v>
      </c>
      <c r="D228">
        <f>VLOOKUP(A228,Recession!$A$1:$C$395,3,FALSE)</f>
        <v>18.309999000000001</v>
      </c>
      <c r="E228">
        <f t="shared" si="23"/>
        <v>6</v>
      </c>
      <c r="F228">
        <f t="shared" si="24"/>
        <v>1</v>
      </c>
      <c r="G228">
        <f t="shared" si="25"/>
        <v>12</v>
      </c>
      <c r="N228" s="32" t="s">
        <v>122</v>
      </c>
      <c r="O228" s="21"/>
      <c r="P228" s="21">
        <v>-1.9923750460799899E-2</v>
      </c>
      <c r="Q228" s="21">
        <v>-1.9923750460799899E-2</v>
      </c>
    </row>
    <row r="229" spans="1:23" x14ac:dyDescent="0.25">
      <c r="A229" s="28">
        <v>37953</v>
      </c>
      <c r="B229" s="17">
        <v>7.1285038478854403E-3</v>
      </c>
      <c r="C229" t="str">
        <f t="shared" si="22"/>
        <v>Green</v>
      </c>
      <c r="D229">
        <f>VLOOKUP(A229,Recession!$A$1:$C$395,3,FALSE)</f>
        <v>16.32</v>
      </c>
      <c r="E229">
        <f t="shared" si="23"/>
        <v>5</v>
      </c>
      <c r="F229">
        <f t="shared" si="24"/>
        <v>1</v>
      </c>
      <c r="G229">
        <f t="shared" si="25"/>
        <v>11</v>
      </c>
      <c r="N229" s="32" t="s">
        <v>123</v>
      </c>
      <c r="O229" s="21">
        <v>9.5895420754186205E-3</v>
      </c>
      <c r="P229" s="21"/>
      <c r="Q229" s="21">
        <v>9.5895420754186205E-3</v>
      </c>
    </row>
    <row r="230" spans="1:23" x14ac:dyDescent="0.25">
      <c r="A230" s="28">
        <v>37925</v>
      </c>
      <c r="B230" s="17">
        <v>5.4961486384010702E-2</v>
      </c>
      <c r="C230" t="str">
        <f t="shared" si="22"/>
        <v>Green</v>
      </c>
      <c r="D230">
        <f>VLOOKUP(A230,Recession!$A$1:$C$395,3,FALSE)</f>
        <v>16.100000000000001</v>
      </c>
      <c r="E230">
        <f t="shared" si="23"/>
        <v>4</v>
      </c>
      <c r="F230">
        <f t="shared" si="24"/>
        <v>1</v>
      </c>
      <c r="G230">
        <f t="shared" si="25"/>
        <v>10</v>
      </c>
      <c r="N230" s="32" t="s">
        <v>124</v>
      </c>
      <c r="O230" s="21"/>
      <c r="P230" s="21">
        <v>-2.1831862704186199E-2</v>
      </c>
      <c r="Q230" s="21">
        <v>-2.1831862704186199E-2</v>
      </c>
    </row>
    <row r="231" spans="1:23" x14ac:dyDescent="0.25">
      <c r="A231" s="28">
        <v>37894</v>
      </c>
      <c r="B231" s="17">
        <v>-1.1944364520745199E-2</v>
      </c>
      <c r="C231" t="str">
        <f t="shared" si="22"/>
        <v>Red</v>
      </c>
      <c r="D231">
        <f>VLOOKUP(A231,Recession!$A$1:$C$395,3,FALSE)</f>
        <v>22.719999000000001</v>
      </c>
      <c r="E231">
        <f t="shared" si="23"/>
        <v>8</v>
      </c>
      <c r="F231">
        <f t="shared" si="24"/>
        <v>0</v>
      </c>
      <c r="G231">
        <f t="shared" si="25"/>
        <v>9</v>
      </c>
      <c r="N231" s="32" t="s">
        <v>125</v>
      </c>
      <c r="O231" s="21">
        <v>2.78927145686407E-2</v>
      </c>
      <c r="P231" s="21"/>
      <c r="Q231" s="21">
        <v>2.78927145686407E-2</v>
      </c>
    </row>
    <row r="232" spans="1:23" x14ac:dyDescent="0.25">
      <c r="A232" s="28">
        <v>37862</v>
      </c>
      <c r="B232" s="17">
        <v>1.7873203376464399E-2</v>
      </c>
      <c r="C232" t="str">
        <f t="shared" si="22"/>
        <v>Green</v>
      </c>
      <c r="D232">
        <f>VLOOKUP(A232,Recession!$A$1:$C$395,3,FALSE)</f>
        <v>18.629999000000002</v>
      </c>
      <c r="E232">
        <f t="shared" si="23"/>
        <v>6</v>
      </c>
      <c r="F232">
        <f t="shared" si="24"/>
        <v>1</v>
      </c>
      <c r="G232">
        <f t="shared" si="25"/>
        <v>8</v>
      </c>
      <c r="N232" s="32" t="s">
        <v>126</v>
      </c>
      <c r="O232" s="21">
        <v>9.6395707538854403E-4</v>
      </c>
      <c r="P232" s="21"/>
      <c r="Q232" s="21">
        <v>9.6395707538854403E-4</v>
      </c>
    </row>
    <row r="233" spans="1:23" x14ac:dyDescent="0.25">
      <c r="A233" s="28">
        <v>37833</v>
      </c>
      <c r="B233" s="17">
        <v>1.62237024114931E-2</v>
      </c>
      <c r="C233" t="str">
        <f t="shared" si="22"/>
        <v>Green</v>
      </c>
      <c r="D233">
        <f>VLOOKUP(A233,Recession!$A$1:$C$395,3,FALSE)</f>
        <v>19.489999999999998</v>
      </c>
      <c r="E233">
        <f t="shared" si="23"/>
        <v>6</v>
      </c>
      <c r="F233">
        <f t="shared" si="24"/>
        <v>1</v>
      </c>
      <c r="G233">
        <f t="shared" si="25"/>
        <v>7</v>
      </c>
      <c r="N233" s="32" t="s">
        <v>127</v>
      </c>
      <c r="O233" s="21"/>
      <c r="P233" s="21">
        <v>-1.7358832059340301E-2</v>
      </c>
      <c r="Q233" s="21">
        <v>-1.7358832059340301E-2</v>
      </c>
    </row>
    <row r="234" spans="1:23" x14ac:dyDescent="0.25">
      <c r="A234" s="28">
        <v>37802</v>
      </c>
      <c r="B234" s="17">
        <v>1.13222145251615E-2</v>
      </c>
      <c r="C234" t="str">
        <f t="shared" si="22"/>
        <v>Green</v>
      </c>
      <c r="D234">
        <f>VLOOKUP(A234,Recession!$A$1:$C$395,3,FALSE)</f>
        <v>19.52</v>
      </c>
      <c r="E234">
        <f t="shared" si="23"/>
        <v>6</v>
      </c>
      <c r="F234">
        <f t="shared" si="24"/>
        <v>1</v>
      </c>
      <c r="G234">
        <f t="shared" si="25"/>
        <v>6</v>
      </c>
      <c r="N234" s="32" t="s">
        <v>128</v>
      </c>
      <c r="O234" s="21">
        <v>3.9373684053008097E-2</v>
      </c>
      <c r="P234" s="21"/>
      <c r="Q234" s="21">
        <v>3.9373684053008097E-2</v>
      </c>
    </row>
    <row r="235" spans="1:23" x14ac:dyDescent="0.25">
      <c r="A235" s="28">
        <v>37771</v>
      </c>
      <c r="B235" s="17">
        <v>5.0898709664177998E-2</v>
      </c>
      <c r="C235" t="str">
        <f t="shared" si="22"/>
        <v>Green</v>
      </c>
      <c r="D235">
        <f>VLOOKUP(A235,Recession!$A$1:$C$395,3,FALSE)</f>
        <v>19.469999000000001</v>
      </c>
      <c r="E235">
        <f t="shared" si="23"/>
        <v>6</v>
      </c>
      <c r="F235">
        <f t="shared" si="24"/>
        <v>1</v>
      </c>
      <c r="G235">
        <f t="shared" si="25"/>
        <v>5</v>
      </c>
      <c r="N235" s="32" t="s">
        <v>129</v>
      </c>
      <c r="O235" s="21"/>
      <c r="P235" s="21">
        <v>-2.3997530034600301E-2</v>
      </c>
      <c r="Q235" s="21">
        <v>-2.3997530034600301E-2</v>
      </c>
    </row>
    <row r="236" spans="1:23" x14ac:dyDescent="0.25">
      <c r="A236" s="28">
        <v>37741</v>
      </c>
      <c r="B236" s="17">
        <v>8.1044106872726104E-2</v>
      </c>
      <c r="C236" t="str">
        <f t="shared" si="22"/>
        <v>Green</v>
      </c>
      <c r="D236">
        <f>VLOOKUP(A236,Recession!$A$1:$C$395,3,FALSE)</f>
        <v>21.209999</v>
      </c>
      <c r="E236">
        <f t="shared" si="23"/>
        <v>7</v>
      </c>
      <c r="F236">
        <f t="shared" si="24"/>
        <v>1</v>
      </c>
      <c r="G236">
        <f t="shared" si="25"/>
        <v>4</v>
      </c>
      <c r="N236" s="32" t="s">
        <v>107</v>
      </c>
      <c r="O236" s="21">
        <v>9.1055938195434595E-3</v>
      </c>
      <c r="P236" s="21"/>
      <c r="Q236" s="21">
        <v>9.1055938195434595E-3</v>
      </c>
    </row>
    <row r="237" spans="1:23" x14ac:dyDescent="0.25">
      <c r="A237" s="28">
        <v>37711</v>
      </c>
      <c r="B237" s="17">
        <v>8.3575685661514392E-3</v>
      </c>
      <c r="C237" t="str">
        <f t="shared" si="22"/>
        <v>Green</v>
      </c>
      <c r="D237">
        <f>VLOOKUP(A237,Recession!$A$1:$C$395,3,FALSE)</f>
        <v>29.15</v>
      </c>
      <c r="E237">
        <f t="shared" si="23"/>
        <v>10</v>
      </c>
      <c r="F237">
        <f t="shared" si="24"/>
        <v>1</v>
      </c>
      <c r="G237">
        <f t="shared" si="25"/>
        <v>3</v>
      </c>
      <c r="N237" s="32" t="s">
        <v>130</v>
      </c>
      <c r="O237" s="21">
        <v>2.1062829709799199E-3</v>
      </c>
      <c r="P237" s="21"/>
      <c r="Q237" s="21">
        <v>2.1062829709799199E-3</v>
      </c>
    </row>
    <row r="238" spans="1:23" x14ac:dyDescent="0.25">
      <c r="A238" s="28">
        <v>37680</v>
      </c>
      <c r="B238" s="17">
        <v>-1.7003608502929399E-2</v>
      </c>
      <c r="C238" t="str">
        <f t="shared" si="22"/>
        <v>Red</v>
      </c>
      <c r="D238">
        <f>VLOOKUP(A238,Recession!$A$1:$C$395,3,FALSE)</f>
        <v>29.629999000000002</v>
      </c>
      <c r="E238">
        <f t="shared" si="23"/>
        <v>10</v>
      </c>
      <c r="F238">
        <f t="shared" si="24"/>
        <v>0</v>
      </c>
      <c r="G238">
        <f t="shared" si="25"/>
        <v>2</v>
      </c>
      <c r="N238" s="32" t="s">
        <v>131</v>
      </c>
      <c r="O238" s="21">
        <v>3.02618066586238E-2</v>
      </c>
      <c r="P238" s="21"/>
      <c r="Q238" s="21">
        <v>3.02618066586238E-2</v>
      </c>
    </row>
    <row r="239" spans="1:23" x14ac:dyDescent="0.25">
      <c r="A239" s="28">
        <v>37652</v>
      </c>
      <c r="B239" s="17">
        <v>-2.74146925599522E-2</v>
      </c>
      <c r="C239" t="str">
        <f t="shared" si="22"/>
        <v>Red</v>
      </c>
      <c r="D239">
        <f>VLOOKUP(A239,Recession!$A$1:$C$395,3,FALSE)</f>
        <v>31.17</v>
      </c>
      <c r="E239">
        <f t="shared" si="23"/>
        <v>10</v>
      </c>
      <c r="F239">
        <f t="shared" si="24"/>
        <v>0</v>
      </c>
      <c r="G239">
        <f t="shared" si="25"/>
        <v>1</v>
      </c>
      <c r="N239" s="32" t="s">
        <v>93</v>
      </c>
      <c r="O239" s="21">
        <v>1.01077661744602E-2</v>
      </c>
      <c r="P239" s="21"/>
      <c r="Q239" s="21">
        <v>1.01077661744602E-2</v>
      </c>
    </row>
    <row r="240" spans="1:23" x14ac:dyDescent="0.25">
      <c r="A240" s="28">
        <v>37621</v>
      </c>
      <c r="B240" s="17">
        <v>-6.0332572674290597E-2</v>
      </c>
      <c r="C240" t="str">
        <f t="shared" si="22"/>
        <v>Red</v>
      </c>
      <c r="D240">
        <f>VLOOKUP(A240,Recession!$A$1:$C$395,3,FALSE)</f>
        <v>28.620000999999998</v>
      </c>
      <c r="E240">
        <f t="shared" si="23"/>
        <v>9</v>
      </c>
      <c r="F240">
        <f t="shared" si="24"/>
        <v>0</v>
      </c>
      <c r="G240">
        <f t="shared" si="25"/>
        <v>12</v>
      </c>
      <c r="N240" s="30" t="s">
        <v>99</v>
      </c>
      <c r="O240" s="21">
        <v>7.8232921000209982E-2</v>
      </c>
      <c r="P240" s="21">
        <v>-0.53277100444679415</v>
      </c>
      <c r="Q240" s="21">
        <v>-0.4545380834465842</v>
      </c>
    </row>
    <row r="241" spans="1:17" x14ac:dyDescent="0.25">
      <c r="A241" s="28">
        <v>37589</v>
      </c>
      <c r="B241" s="17">
        <v>5.7069620923617899E-2</v>
      </c>
      <c r="C241" t="str">
        <f t="shared" si="22"/>
        <v>Green</v>
      </c>
      <c r="D241">
        <f>VLOOKUP(A241,Recession!$A$1:$C$395,3,FALSE)</f>
        <v>27.5</v>
      </c>
      <c r="E241">
        <f t="shared" si="23"/>
        <v>9</v>
      </c>
      <c r="F241">
        <f t="shared" si="24"/>
        <v>1</v>
      </c>
      <c r="G241">
        <f t="shared" si="25"/>
        <v>11</v>
      </c>
      <c r="N241" s="32" t="s">
        <v>122</v>
      </c>
      <c r="O241" s="21"/>
      <c r="P241" s="21">
        <v>-6.1163431935936402E-2</v>
      </c>
      <c r="Q241" s="21">
        <v>-6.1163431935936402E-2</v>
      </c>
    </row>
    <row r="242" spans="1:17" x14ac:dyDescent="0.25">
      <c r="A242" s="28">
        <v>37560</v>
      </c>
      <c r="B242" s="17">
        <v>8.6448801016809906E-2</v>
      </c>
      <c r="C242" t="str">
        <f t="shared" si="22"/>
        <v>Green</v>
      </c>
      <c r="D242">
        <f>VLOOKUP(A242,Recession!$A$1:$C$395,3,FALSE)</f>
        <v>31.139999</v>
      </c>
      <c r="E242">
        <f t="shared" si="23"/>
        <v>10</v>
      </c>
      <c r="F242">
        <f t="shared" si="24"/>
        <v>1</v>
      </c>
      <c r="G242">
        <f t="shared" si="25"/>
        <v>10</v>
      </c>
      <c r="N242" s="32" t="s">
        <v>123</v>
      </c>
      <c r="O242" s="21"/>
      <c r="P242" s="21">
        <v>-3.4761192772624502E-2</v>
      </c>
      <c r="Q242" s="21">
        <v>-3.4761192772624502E-2</v>
      </c>
    </row>
    <row r="243" spans="1:17" x14ac:dyDescent="0.25">
      <c r="A243" s="28">
        <v>37529</v>
      </c>
      <c r="B243" s="17">
        <v>-0.110024318261519</v>
      </c>
      <c r="C243" t="str">
        <f t="shared" si="22"/>
        <v>Red</v>
      </c>
      <c r="D243">
        <f>VLOOKUP(A243,Recession!$A$1:$C$395,3,FALSE)</f>
        <v>39.689999</v>
      </c>
      <c r="E243">
        <f t="shared" si="23"/>
        <v>10</v>
      </c>
      <c r="F243">
        <f t="shared" si="24"/>
        <v>0</v>
      </c>
      <c r="G243">
        <f t="shared" si="25"/>
        <v>9</v>
      </c>
      <c r="N243" s="32" t="s">
        <v>124</v>
      </c>
      <c r="O243" s="21"/>
      <c r="P243" s="21">
        <v>-5.95962361452984E-3</v>
      </c>
      <c r="Q243" s="21">
        <v>-5.95962361452984E-3</v>
      </c>
    </row>
    <row r="244" spans="1:17" x14ac:dyDescent="0.25">
      <c r="A244" s="28">
        <v>37498</v>
      </c>
      <c r="B244" s="17">
        <v>4.8814330800193203E-3</v>
      </c>
      <c r="C244" t="str">
        <f t="shared" si="22"/>
        <v>Green</v>
      </c>
      <c r="D244">
        <f>VLOOKUP(A244,Recession!$A$1:$C$395,3,FALSE)</f>
        <v>32.639999000000003</v>
      </c>
      <c r="E244">
        <f t="shared" si="23"/>
        <v>10</v>
      </c>
      <c r="F244">
        <f t="shared" si="24"/>
        <v>1</v>
      </c>
      <c r="G244">
        <f t="shared" si="25"/>
        <v>8</v>
      </c>
      <c r="N244" s="32" t="s">
        <v>125</v>
      </c>
      <c r="O244" s="21">
        <v>4.7546697913198897E-2</v>
      </c>
      <c r="P244" s="21"/>
      <c r="Q244" s="21">
        <v>4.7546697913198897E-2</v>
      </c>
    </row>
    <row r="245" spans="1:17" x14ac:dyDescent="0.25">
      <c r="A245" s="28">
        <v>37468</v>
      </c>
      <c r="B245" s="17">
        <v>-7.9004274966125304E-2</v>
      </c>
      <c r="C245" t="str">
        <f t="shared" si="22"/>
        <v>Red</v>
      </c>
      <c r="D245">
        <f>VLOOKUP(A245,Recession!$A$1:$C$395,3,FALSE)</f>
        <v>32.029998999999997</v>
      </c>
      <c r="E245">
        <f t="shared" si="23"/>
        <v>10</v>
      </c>
      <c r="F245">
        <f t="shared" si="24"/>
        <v>0</v>
      </c>
      <c r="G245">
        <f t="shared" si="25"/>
        <v>7</v>
      </c>
      <c r="N245" s="32" t="s">
        <v>126</v>
      </c>
      <c r="O245" s="21">
        <v>1.06741816575771E-2</v>
      </c>
      <c r="P245" s="21"/>
      <c r="Q245" s="21">
        <v>1.06741816575771E-2</v>
      </c>
    </row>
    <row r="246" spans="1:17" x14ac:dyDescent="0.25">
      <c r="A246" s="28">
        <v>37435</v>
      </c>
      <c r="B246" s="17">
        <v>-7.2455354417573697E-2</v>
      </c>
      <c r="C246" t="str">
        <f t="shared" si="22"/>
        <v>Red</v>
      </c>
      <c r="D246">
        <f>VLOOKUP(A246,Recession!$A$1:$C$395,3,FALSE)</f>
        <v>25.4</v>
      </c>
      <c r="E246">
        <f t="shared" si="23"/>
        <v>9</v>
      </c>
      <c r="F246">
        <f t="shared" si="24"/>
        <v>0</v>
      </c>
      <c r="G246">
        <f t="shared" si="25"/>
        <v>6</v>
      </c>
      <c r="N246" s="32" t="s">
        <v>127</v>
      </c>
      <c r="O246" s="21"/>
      <c r="P246" s="21">
        <v>-8.5962384902803599E-2</v>
      </c>
      <c r="Q246" s="21">
        <v>-8.5962384902803599E-2</v>
      </c>
    </row>
    <row r="247" spans="1:17" x14ac:dyDescent="0.25">
      <c r="A247" s="28">
        <v>37407</v>
      </c>
      <c r="B247" s="17">
        <v>-9.0814810760454501E-3</v>
      </c>
      <c r="C247" t="str">
        <f t="shared" si="22"/>
        <v>Red</v>
      </c>
      <c r="D247">
        <f>VLOOKUP(A247,Recession!$A$1:$C$395,3,FALSE)</f>
        <v>19.98</v>
      </c>
      <c r="E247">
        <f t="shared" si="23"/>
        <v>7</v>
      </c>
      <c r="F247">
        <f t="shared" si="24"/>
        <v>0</v>
      </c>
      <c r="G247">
        <f t="shared" si="25"/>
        <v>5</v>
      </c>
      <c r="N247" s="32" t="s">
        <v>128</v>
      </c>
      <c r="O247" s="21"/>
      <c r="P247" s="21">
        <v>-9.8593710937500099E-3</v>
      </c>
      <c r="Q247" s="21">
        <v>-9.8593710937500099E-3</v>
      </c>
    </row>
    <row r="248" spans="1:17" x14ac:dyDescent="0.25">
      <c r="A248" s="28">
        <v>37376</v>
      </c>
      <c r="B248" s="17">
        <v>-6.1417626159139899E-2</v>
      </c>
      <c r="C248" t="str">
        <f t="shared" si="22"/>
        <v>Red</v>
      </c>
      <c r="D248">
        <f>VLOOKUP(A248,Recession!$A$1:$C$395,3,FALSE)</f>
        <v>21.91</v>
      </c>
      <c r="E248">
        <f t="shared" si="23"/>
        <v>8</v>
      </c>
      <c r="F248">
        <f t="shared" si="24"/>
        <v>0</v>
      </c>
      <c r="G248">
        <f t="shared" si="25"/>
        <v>4</v>
      </c>
      <c r="N248" s="32" t="s">
        <v>129</v>
      </c>
      <c r="O248" s="21">
        <v>1.2190464532379999E-2</v>
      </c>
      <c r="P248" s="21"/>
      <c r="Q248" s="21">
        <v>1.2190464532379999E-2</v>
      </c>
    </row>
    <row r="249" spans="1:17" x14ac:dyDescent="0.25">
      <c r="A249" s="28">
        <v>37343</v>
      </c>
      <c r="B249" s="17">
        <v>3.67388936188391E-2</v>
      </c>
      <c r="C249" t="str">
        <f t="shared" si="22"/>
        <v>Green</v>
      </c>
      <c r="D249">
        <f>VLOOKUP(A249,Recession!$A$1:$C$395,3,FALSE)</f>
        <v>17.399999999999999</v>
      </c>
      <c r="E249">
        <f t="shared" si="23"/>
        <v>5</v>
      </c>
      <c r="F249">
        <f t="shared" si="24"/>
        <v>1</v>
      </c>
      <c r="G249">
        <f t="shared" si="25"/>
        <v>3</v>
      </c>
      <c r="N249" s="32" t="s">
        <v>107</v>
      </c>
      <c r="O249" s="21"/>
      <c r="P249" s="21">
        <v>-9.0791433779084593E-2</v>
      </c>
      <c r="Q249" s="21">
        <v>-9.0791433779084593E-2</v>
      </c>
    </row>
    <row r="250" spans="1:17" x14ac:dyDescent="0.25">
      <c r="A250" s="28">
        <v>37315</v>
      </c>
      <c r="B250" s="17">
        <v>-2.0766211305560299E-2</v>
      </c>
      <c r="C250" t="str">
        <f t="shared" si="22"/>
        <v>Red</v>
      </c>
      <c r="D250">
        <f>VLOOKUP(A250,Recession!$A$1:$C$395,3,FALSE)</f>
        <v>21.59</v>
      </c>
      <c r="E250">
        <f t="shared" si="23"/>
        <v>7</v>
      </c>
      <c r="F250">
        <f t="shared" si="24"/>
        <v>0</v>
      </c>
      <c r="G250">
        <f t="shared" si="25"/>
        <v>2</v>
      </c>
      <c r="N250" s="32" t="s">
        <v>130</v>
      </c>
      <c r="O250" s="21"/>
      <c r="P250" s="21">
        <v>-0.16942452376742001</v>
      </c>
      <c r="Q250" s="21">
        <v>-0.16942452376742001</v>
      </c>
    </row>
    <row r="251" spans="1:17" x14ac:dyDescent="0.25">
      <c r="A251" s="28">
        <v>37287</v>
      </c>
      <c r="B251" s="17">
        <v>-1.55738325597943E-2</v>
      </c>
      <c r="C251" t="str">
        <f t="shared" si="22"/>
        <v>Red</v>
      </c>
      <c r="D251">
        <f>VLOOKUP(A251,Recession!$A$1:$C$395,3,FALSE)</f>
        <v>21.09</v>
      </c>
      <c r="E251">
        <f t="shared" si="23"/>
        <v>7</v>
      </c>
      <c r="F251">
        <f t="shared" si="24"/>
        <v>0</v>
      </c>
      <c r="G251">
        <f t="shared" si="25"/>
        <v>1</v>
      </c>
      <c r="N251" s="32" t="s">
        <v>131</v>
      </c>
      <c r="O251" s="21"/>
      <c r="P251" s="21">
        <v>-7.4849042580645203E-2</v>
      </c>
      <c r="Q251" s="21">
        <v>-7.4849042580645203E-2</v>
      </c>
    </row>
    <row r="252" spans="1:17" x14ac:dyDescent="0.25">
      <c r="A252" s="28">
        <v>37256</v>
      </c>
      <c r="B252" s="17">
        <v>7.5738341929156797E-3</v>
      </c>
      <c r="C252" t="str">
        <f t="shared" si="22"/>
        <v>Green</v>
      </c>
      <c r="D252">
        <f>VLOOKUP(A252,Recession!$A$1:$C$395,3,FALSE)</f>
        <v>23.799999</v>
      </c>
      <c r="E252">
        <f t="shared" si="23"/>
        <v>8</v>
      </c>
      <c r="F252">
        <f t="shared" si="24"/>
        <v>1</v>
      </c>
      <c r="G252">
        <f t="shared" si="25"/>
        <v>12</v>
      </c>
      <c r="N252" s="32" t="s">
        <v>93</v>
      </c>
      <c r="O252" s="21">
        <v>7.8215768970539799E-3</v>
      </c>
      <c r="P252" s="21"/>
      <c r="Q252" s="21">
        <v>7.8215768970539799E-3</v>
      </c>
    </row>
    <row r="253" spans="1:17" x14ac:dyDescent="0.25">
      <c r="A253" s="28">
        <v>37225</v>
      </c>
      <c r="B253" s="17">
        <v>7.5175904263053497E-2</v>
      </c>
      <c r="C253" t="str">
        <f t="shared" si="22"/>
        <v>Green</v>
      </c>
      <c r="D253">
        <f>VLOOKUP(A253,Recession!$A$1:$C$395,3,FALSE)</f>
        <v>23.84</v>
      </c>
      <c r="E253">
        <f t="shared" si="23"/>
        <v>8</v>
      </c>
      <c r="F253">
        <f t="shared" si="24"/>
        <v>1</v>
      </c>
      <c r="G253">
        <f t="shared" si="25"/>
        <v>11</v>
      </c>
      <c r="N253" s="30" t="s">
        <v>100</v>
      </c>
      <c r="O253" s="21">
        <v>0.45116670948579218</v>
      </c>
      <c r="P253" s="21">
        <v>-0.21535054136022189</v>
      </c>
      <c r="Q253" s="21">
        <v>0.23581616812557024</v>
      </c>
    </row>
    <row r="254" spans="1:17" x14ac:dyDescent="0.25">
      <c r="A254" s="28">
        <v>37195</v>
      </c>
      <c r="B254" s="17">
        <v>1.8099111445277798E-2</v>
      </c>
      <c r="C254" t="str">
        <f t="shared" si="22"/>
        <v>Green</v>
      </c>
      <c r="D254">
        <f>VLOOKUP(A254,Recession!$A$1:$C$395,3,FALSE)</f>
        <v>33.560001</v>
      </c>
      <c r="E254">
        <f t="shared" si="23"/>
        <v>10</v>
      </c>
      <c r="F254">
        <f t="shared" si="24"/>
        <v>1</v>
      </c>
      <c r="G254">
        <f t="shared" si="25"/>
        <v>10</v>
      </c>
      <c r="N254" s="32" t="s">
        <v>122</v>
      </c>
      <c r="O254" s="21"/>
      <c r="P254" s="21">
        <v>-8.5657342928314395E-2</v>
      </c>
      <c r="Q254" s="21">
        <v>-8.5657342928314395E-2</v>
      </c>
    </row>
    <row r="255" spans="1:17" x14ac:dyDescent="0.25">
      <c r="A255" s="28">
        <v>37162</v>
      </c>
      <c r="B255" s="17">
        <v>-8.1723406019716199E-2</v>
      </c>
      <c r="C255" t="str">
        <f t="shared" si="22"/>
        <v>Red</v>
      </c>
      <c r="D255">
        <f>VLOOKUP(A255,Recession!$A$1:$C$395,3,FALSE)</f>
        <v>31.93</v>
      </c>
      <c r="E255">
        <f t="shared" si="23"/>
        <v>10</v>
      </c>
      <c r="F255">
        <f t="shared" si="24"/>
        <v>0</v>
      </c>
      <c r="G255">
        <f t="shared" si="25"/>
        <v>9</v>
      </c>
      <c r="N255" s="32" t="s">
        <v>123</v>
      </c>
      <c r="O255" s="21"/>
      <c r="P255" s="21">
        <v>-0.109931197571492</v>
      </c>
      <c r="Q255" s="21">
        <v>-0.109931197571492</v>
      </c>
    </row>
    <row r="256" spans="1:17" x14ac:dyDescent="0.25">
      <c r="A256" s="28">
        <v>37134</v>
      </c>
      <c r="B256" s="17">
        <v>-6.4108406563714707E-2</v>
      </c>
      <c r="C256" t="str">
        <f t="shared" si="22"/>
        <v>Red</v>
      </c>
      <c r="D256">
        <f>VLOOKUP(A256,Recession!$A$1:$C$395,3,FALSE)</f>
        <v>24.92</v>
      </c>
      <c r="E256">
        <f t="shared" si="23"/>
        <v>9</v>
      </c>
      <c r="F256">
        <f t="shared" si="24"/>
        <v>0</v>
      </c>
      <c r="G256">
        <f t="shared" si="25"/>
        <v>8</v>
      </c>
      <c r="N256" s="32" t="s">
        <v>124</v>
      </c>
      <c r="O256" s="21">
        <v>8.5404461622494696E-2</v>
      </c>
      <c r="P256" s="21"/>
      <c r="Q256" s="21">
        <v>8.5404461622494696E-2</v>
      </c>
    </row>
    <row r="257" spans="1:17" x14ac:dyDescent="0.25">
      <c r="A257" s="28">
        <v>37103</v>
      </c>
      <c r="B257" s="17">
        <v>-1.0740150072934201E-2</v>
      </c>
      <c r="C257" t="str">
        <f t="shared" si="22"/>
        <v>Red</v>
      </c>
      <c r="D257">
        <f>VLOOKUP(A257,Recession!$A$1:$C$395,3,FALSE)</f>
        <v>21.620000999999998</v>
      </c>
      <c r="E257">
        <f t="shared" si="23"/>
        <v>7</v>
      </c>
      <c r="F257">
        <f t="shared" si="24"/>
        <v>0</v>
      </c>
      <c r="G257">
        <f t="shared" si="25"/>
        <v>7</v>
      </c>
      <c r="N257" s="32" t="s">
        <v>125</v>
      </c>
      <c r="O257" s="21">
        <v>9.3925079862164695E-2</v>
      </c>
      <c r="P257" s="21"/>
      <c r="Q257" s="21">
        <v>9.3925079862164695E-2</v>
      </c>
    </row>
    <row r="258" spans="1:17" x14ac:dyDescent="0.25">
      <c r="A258" s="28">
        <v>37071</v>
      </c>
      <c r="B258" s="17">
        <v>-2.5035389109833502E-2</v>
      </c>
      <c r="C258" t="str">
        <f t="shared" si="22"/>
        <v>Red</v>
      </c>
      <c r="D258">
        <f>VLOOKUP(A258,Recession!$A$1:$C$395,3,FALSE)</f>
        <v>19.059999000000001</v>
      </c>
      <c r="E258">
        <f t="shared" si="23"/>
        <v>6</v>
      </c>
      <c r="F258">
        <f t="shared" si="24"/>
        <v>0</v>
      </c>
      <c r="G258">
        <f t="shared" si="25"/>
        <v>6</v>
      </c>
      <c r="N258" s="32" t="s">
        <v>126</v>
      </c>
      <c r="O258" s="21">
        <v>5.3081446255385502E-2</v>
      </c>
      <c r="P258" s="21"/>
      <c r="Q258" s="21">
        <v>5.3081446255385502E-2</v>
      </c>
    </row>
    <row r="259" spans="1:17" x14ac:dyDescent="0.25">
      <c r="A259" s="28">
        <v>37042</v>
      </c>
      <c r="B259" s="17">
        <v>5.0901871196495901E-3</v>
      </c>
      <c r="C259" t="str">
        <f t="shared" ref="C259:C322" si="29">IF(B259&gt;0,"Green","Red")</f>
        <v>Green</v>
      </c>
      <c r="D259">
        <f>VLOOKUP(A259,Recession!$A$1:$C$395,3,FALSE)</f>
        <v>22.639999</v>
      </c>
      <c r="E259">
        <f t="shared" si="23"/>
        <v>8</v>
      </c>
      <c r="F259">
        <f t="shared" si="24"/>
        <v>1</v>
      </c>
      <c r="G259">
        <f t="shared" si="25"/>
        <v>5</v>
      </c>
      <c r="N259" s="32" t="s">
        <v>127</v>
      </c>
      <c r="O259" s="21">
        <v>1.9582653030303401E-4</v>
      </c>
      <c r="P259" s="21"/>
      <c r="Q259" s="21">
        <v>1.9582653030303401E-4</v>
      </c>
    </row>
    <row r="260" spans="1:17" x14ac:dyDescent="0.25">
      <c r="A260" s="28">
        <v>37011</v>
      </c>
      <c r="B260" s="17">
        <v>7.6814361759009797E-2</v>
      </c>
      <c r="C260" t="str">
        <f t="shared" si="29"/>
        <v>Green</v>
      </c>
      <c r="D260">
        <f>VLOOKUP(A260,Recession!$A$1:$C$395,3,FALSE)</f>
        <v>25.48</v>
      </c>
      <c r="E260">
        <f t="shared" ref="E260:E323" si="30">IF(D260&gt;28.95,10,IF(D260&gt;24.46,9,IF(D260&gt;21.81,8,IF(D260&gt;19.71,7,IF(D260&gt;17.73,6,IF(D260&gt;16.13,5,IF(D260&gt;14.61,4,IF(D260&gt;13.19,3,IF(D260&gt;12.04,2,1)))))))))</f>
        <v>9</v>
      </c>
      <c r="F260">
        <f t="shared" ref="F260:F323" si="31">IF(B260&gt;0,1,0)</f>
        <v>1</v>
      </c>
      <c r="G260">
        <f t="shared" ref="G260:G323" si="32">MONTH(A260)</f>
        <v>4</v>
      </c>
      <c r="N260" s="32" t="s">
        <v>128</v>
      </c>
      <c r="O260" s="21">
        <v>7.4141727016716605E-2</v>
      </c>
      <c r="P260" s="21"/>
      <c r="Q260" s="21">
        <v>7.4141727016716605E-2</v>
      </c>
    </row>
    <row r="261" spans="1:17" x14ac:dyDescent="0.25">
      <c r="A261" s="28">
        <v>36980</v>
      </c>
      <c r="B261" s="17">
        <v>-6.4204710540895493E-2</v>
      </c>
      <c r="C261" t="str">
        <f t="shared" si="29"/>
        <v>Red</v>
      </c>
      <c r="D261">
        <f>VLOOKUP(A261,Recession!$A$1:$C$395,3,FALSE)</f>
        <v>28.639999</v>
      </c>
      <c r="E261">
        <f t="shared" si="30"/>
        <v>9</v>
      </c>
      <c r="F261">
        <f t="shared" si="31"/>
        <v>0</v>
      </c>
      <c r="G261">
        <f t="shared" si="32"/>
        <v>3</v>
      </c>
      <c r="N261" s="32" t="s">
        <v>129</v>
      </c>
      <c r="O261" s="21">
        <v>3.3560189240494899E-2</v>
      </c>
      <c r="P261" s="21"/>
      <c r="Q261" s="21">
        <v>3.3560189240494899E-2</v>
      </c>
    </row>
    <row r="262" spans="1:17" x14ac:dyDescent="0.25">
      <c r="A262" s="28">
        <v>36950</v>
      </c>
      <c r="B262" s="17">
        <v>-9.2290735848999994E-2</v>
      </c>
      <c r="C262" t="str">
        <f t="shared" si="29"/>
        <v>Red</v>
      </c>
      <c r="D262">
        <f>VLOOKUP(A262,Recession!$A$1:$C$395,3,FALSE)</f>
        <v>28.35</v>
      </c>
      <c r="E262">
        <f t="shared" si="30"/>
        <v>9</v>
      </c>
      <c r="F262">
        <f t="shared" si="31"/>
        <v>0</v>
      </c>
      <c r="G262">
        <f t="shared" si="32"/>
        <v>2</v>
      </c>
      <c r="N262" s="32" t="s">
        <v>107</v>
      </c>
      <c r="O262" s="21">
        <v>3.5723345788458698E-2</v>
      </c>
      <c r="P262" s="21"/>
      <c r="Q262" s="21">
        <v>3.5723345788458698E-2</v>
      </c>
    </row>
    <row r="263" spans="1:17" x14ac:dyDescent="0.25">
      <c r="A263" s="28">
        <v>36922</v>
      </c>
      <c r="B263" s="17">
        <v>3.4636577086329501E-2</v>
      </c>
      <c r="C263" t="str">
        <f t="shared" si="29"/>
        <v>Green</v>
      </c>
      <c r="D263">
        <f>VLOOKUP(A263,Recession!$A$1:$C$395,3,FALSE)</f>
        <v>22.02</v>
      </c>
      <c r="E263">
        <f t="shared" si="30"/>
        <v>8</v>
      </c>
      <c r="F263">
        <f t="shared" si="31"/>
        <v>1</v>
      </c>
      <c r="G263">
        <f t="shared" si="32"/>
        <v>1</v>
      </c>
      <c r="N263" s="32" t="s">
        <v>130</v>
      </c>
      <c r="O263" s="21"/>
      <c r="P263" s="21">
        <v>-1.9762000860415501E-2</v>
      </c>
      <c r="Q263" s="21">
        <v>-1.9762000860415501E-2</v>
      </c>
    </row>
    <row r="264" spans="1:17" x14ac:dyDescent="0.25">
      <c r="A264" s="28">
        <v>36889</v>
      </c>
      <c r="B264" s="17">
        <v>4.0534455291978402E-3</v>
      </c>
      <c r="C264" t="str">
        <f t="shared" si="29"/>
        <v>Green</v>
      </c>
      <c r="D264">
        <f>VLOOKUP(A264,Recession!$A$1:$C$395,3,FALSE)</f>
        <v>26.85</v>
      </c>
      <c r="E264">
        <f t="shared" si="30"/>
        <v>9</v>
      </c>
      <c r="F264">
        <f t="shared" si="31"/>
        <v>1</v>
      </c>
      <c r="G264">
        <f t="shared" si="32"/>
        <v>12</v>
      </c>
      <c r="N264" s="32" t="s">
        <v>131</v>
      </c>
      <c r="O264" s="21">
        <v>5.7364061981373601E-2</v>
      </c>
      <c r="P264" s="21"/>
      <c r="Q264" s="21">
        <v>5.7364061981373601E-2</v>
      </c>
    </row>
    <row r="265" spans="1:17" x14ac:dyDescent="0.25">
      <c r="A265" s="28">
        <v>36860</v>
      </c>
      <c r="B265" s="17">
        <v>-8.0068609961069903E-2</v>
      </c>
      <c r="C265" t="str">
        <f t="shared" si="29"/>
        <v>Red</v>
      </c>
      <c r="D265">
        <f>VLOOKUP(A265,Recession!$A$1:$C$395,3,FALSE)</f>
        <v>29.65</v>
      </c>
      <c r="E265">
        <f t="shared" si="30"/>
        <v>10</v>
      </c>
      <c r="F265">
        <f t="shared" si="31"/>
        <v>0</v>
      </c>
      <c r="G265">
        <f t="shared" si="32"/>
        <v>11</v>
      </c>
      <c r="N265" s="32" t="s">
        <v>93</v>
      </c>
      <c r="O265" s="21">
        <v>1.7770571188400398E-2</v>
      </c>
      <c r="P265" s="21"/>
      <c r="Q265" s="21">
        <v>1.7770571188400398E-2</v>
      </c>
    </row>
    <row r="266" spans="1:17" x14ac:dyDescent="0.25">
      <c r="A266" s="28">
        <v>36830</v>
      </c>
      <c r="B266" s="17">
        <v>-4.9494858723608797E-3</v>
      </c>
      <c r="C266" t="str">
        <f t="shared" si="29"/>
        <v>Red</v>
      </c>
      <c r="D266">
        <f>VLOOKUP(A266,Recession!$A$1:$C$395,3,FALSE)</f>
        <v>23.629999000000002</v>
      </c>
      <c r="E266">
        <f t="shared" si="30"/>
        <v>8</v>
      </c>
      <c r="F266">
        <f t="shared" si="31"/>
        <v>0</v>
      </c>
      <c r="G266">
        <f t="shared" si="32"/>
        <v>10</v>
      </c>
      <c r="N266" s="30" t="s">
        <v>105</v>
      </c>
      <c r="O266" s="21">
        <v>0.31315112466497275</v>
      </c>
      <c r="P266" s="21">
        <v>-6.7039535810137871E-2</v>
      </c>
      <c r="Q266" s="21">
        <v>0.24611158885483486</v>
      </c>
    </row>
    <row r="267" spans="1:17" x14ac:dyDescent="0.25">
      <c r="A267" s="28">
        <v>36798</v>
      </c>
      <c r="B267" s="17">
        <v>-5.3482974745611297E-2</v>
      </c>
      <c r="C267" t="str">
        <f t="shared" si="29"/>
        <v>Red</v>
      </c>
      <c r="D267">
        <f>VLOOKUP(A267,Recession!$A$1:$C$395,3,FALSE)</f>
        <v>20.57</v>
      </c>
      <c r="E267">
        <f t="shared" si="30"/>
        <v>7</v>
      </c>
      <c r="F267">
        <f t="shared" si="31"/>
        <v>0</v>
      </c>
      <c r="G267">
        <f t="shared" si="32"/>
        <v>9</v>
      </c>
      <c r="N267" s="32" t="s">
        <v>122</v>
      </c>
      <c r="O267" s="21"/>
      <c r="P267" s="21">
        <v>-1.11366607232312E-2</v>
      </c>
      <c r="Q267" s="21">
        <v>-1.11366607232312E-2</v>
      </c>
    </row>
    <row r="268" spans="1:17" x14ac:dyDescent="0.25">
      <c r="A268" s="28">
        <v>36769</v>
      </c>
      <c r="B268" s="17">
        <v>6.0699105184235998E-2</v>
      </c>
      <c r="C268" t="str">
        <f t="shared" si="29"/>
        <v>Green</v>
      </c>
      <c r="D268">
        <f>VLOOKUP(A268,Recession!$A$1:$C$395,3,FALSE)</f>
        <v>16.84</v>
      </c>
      <c r="E268">
        <f t="shared" si="30"/>
        <v>5</v>
      </c>
      <c r="F268">
        <f t="shared" si="31"/>
        <v>1</v>
      </c>
      <c r="G268">
        <f t="shared" si="32"/>
        <v>8</v>
      </c>
      <c r="N268" s="32" t="s">
        <v>123</v>
      </c>
      <c r="O268" s="21">
        <v>2.60914513496475E-2</v>
      </c>
      <c r="P268" s="21"/>
      <c r="Q268" s="21">
        <v>2.60914513496475E-2</v>
      </c>
    </row>
    <row r="269" spans="1:17" x14ac:dyDescent="0.25">
      <c r="A269" s="28">
        <v>36738</v>
      </c>
      <c r="B269" s="17">
        <v>-1.6341276221772699E-2</v>
      </c>
      <c r="C269" t="str">
        <f t="shared" si="29"/>
        <v>Red</v>
      </c>
      <c r="D269">
        <f>VLOOKUP(A269,Recession!$A$1:$C$395,3,FALSE)</f>
        <v>20.74</v>
      </c>
      <c r="E269">
        <f t="shared" si="30"/>
        <v>7</v>
      </c>
      <c r="F269">
        <f t="shared" si="31"/>
        <v>0</v>
      </c>
      <c r="G269">
        <f t="shared" si="32"/>
        <v>7</v>
      </c>
      <c r="N269" s="32" t="s">
        <v>124</v>
      </c>
      <c r="O269" s="21">
        <v>4.24386327378838E-2</v>
      </c>
      <c r="P269" s="21"/>
      <c r="Q269" s="21">
        <v>4.24386327378838E-2</v>
      </c>
    </row>
    <row r="270" spans="1:17" x14ac:dyDescent="0.25">
      <c r="A270" s="28">
        <v>36707</v>
      </c>
      <c r="B270" s="17">
        <v>2.3933549608901299E-2</v>
      </c>
      <c r="C270" t="str">
        <f t="shared" si="29"/>
        <v>Green</v>
      </c>
      <c r="D270">
        <f>VLOOKUP(A270,Recession!$A$1:$C$395,3,FALSE)</f>
        <v>19.540001</v>
      </c>
      <c r="E270">
        <f t="shared" si="30"/>
        <v>6</v>
      </c>
      <c r="F270">
        <f t="shared" si="31"/>
        <v>1</v>
      </c>
      <c r="G270">
        <f t="shared" si="32"/>
        <v>6</v>
      </c>
      <c r="N270" s="32" t="s">
        <v>125</v>
      </c>
      <c r="O270" s="21">
        <v>5.2425321267266303E-2</v>
      </c>
      <c r="P270" s="21"/>
      <c r="Q270" s="21">
        <v>5.2425321267266303E-2</v>
      </c>
    </row>
    <row r="271" spans="1:17" x14ac:dyDescent="0.25">
      <c r="A271" s="28">
        <v>36677</v>
      </c>
      <c r="B271" s="17">
        <v>-2.1915050512993601E-2</v>
      </c>
      <c r="C271" t="str">
        <f t="shared" si="29"/>
        <v>Red</v>
      </c>
      <c r="D271">
        <f>VLOOKUP(A271,Recession!$A$1:$C$395,3,FALSE)</f>
        <v>23.65</v>
      </c>
      <c r="E271">
        <f t="shared" si="30"/>
        <v>8</v>
      </c>
      <c r="F271">
        <f t="shared" si="31"/>
        <v>0</v>
      </c>
      <c r="G271">
        <f t="shared" si="32"/>
        <v>5</v>
      </c>
      <c r="N271" s="32" t="s">
        <v>126</v>
      </c>
      <c r="O271" s="21">
        <v>5.4864885732810497E-3</v>
      </c>
      <c r="P271" s="21"/>
      <c r="Q271" s="21">
        <v>5.4864885732810497E-3</v>
      </c>
    </row>
    <row r="272" spans="1:17" x14ac:dyDescent="0.25">
      <c r="A272" s="28">
        <v>36644</v>
      </c>
      <c r="B272" s="17">
        <v>-3.0795755551931401E-2</v>
      </c>
      <c r="C272" t="str">
        <f t="shared" si="29"/>
        <v>Red</v>
      </c>
      <c r="D272">
        <f>VLOOKUP(A272,Recession!$A$1:$C$395,3,FALSE)</f>
        <v>26.200001</v>
      </c>
      <c r="E272">
        <f t="shared" si="30"/>
        <v>9</v>
      </c>
      <c r="F272">
        <f t="shared" si="31"/>
        <v>0</v>
      </c>
      <c r="G272">
        <f t="shared" si="32"/>
        <v>4</v>
      </c>
      <c r="N272" s="32" t="s">
        <v>127</v>
      </c>
      <c r="O272" s="21">
        <v>2.2214009634219802E-2</v>
      </c>
      <c r="P272" s="21"/>
      <c r="Q272" s="21">
        <v>2.2214009634219802E-2</v>
      </c>
    </row>
    <row r="273" spans="1:17" x14ac:dyDescent="0.25">
      <c r="A273" s="28">
        <v>36616</v>
      </c>
      <c r="B273" s="17">
        <v>9.6719828269732397E-2</v>
      </c>
      <c r="C273" t="str">
        <f t="shared" si="29"/>
        <v>Green</v>
      </c>
      <c r="D273">
        <f>VLOOKUP(A273,Recession!$A$1:$C$395,3,FALSE)</f>
        <v>24.110001</v>
      </c>
      <c r="E273">
        <f t="shared" si="30"/>
        <v>8</v>
      </c>
      <c r="F273">
        <f t="shared" si="31"/>
        <v>1</v>
      </c>
      <c r="G273">
        <f t="shared" si="32"/>
        <v>3</v>
      </c>
      <c r="N273" s="32" t="s">
        <v>128</v>
      </c>
      <c r="O273" s="21">
        <v>2.2748054915648699E-2</v>
      </c>
      <c r="P273" s="21"/>
      <c r="Q273" s="21">
        <v>2.2748054915648699E-2</v>
      </c>
    </row>
    <row r="274" spans="1:17" x14ac:dyDescent="0.25">
      <c r="A274" s="28">
        <v>36585</v>
      </c>
      <c r="B274" s="17">
        <v>-2.0108083261058299E-2</v>
      </c>
      <c r="C274" t="str">
        <f t="shared" si="29"/>
        <v>Red</v>
      </c>
      <c r="D274">
        <f>VLOOKUP(A274,Recession!$A$1:$C$395,3,FALSE)</f>
        <v>23.370000999999998</v>
      </c>
      <c r="E274">
        <f t="shared" si="30"/>
        <v>8</v>
      </c>
      <c r="F274">
        <f t="shared" si="31"/>
        <v>0</v>
      </c>
      <c r="G274">
        <f t="shared" si="32"/>
        <v>2</v>
      </c>
      <c r="N274" s="32" t="s">
        <v>129</v>
      </c>
      <c r="O274" s="21">
        <v>2.8990416217415299E-2</v>
      </c>
      <c r="P274" s="21"/>
      <c r="Q274" s="21">
        <v>2.8990416217415299E-2</v>
      </c>
    </row>
    <row r="275" spans="1:17" x14ac:dyDescent="0.25">
      <c r="A275" s="28">
        <v>36556</v>
      </c>
      <c r="B275" s="17">
        <v>-5.0903548749361899E-2</v>
      </c>
      <c r="C275" t="str">
        <f t="shared" si="29"/>
        <v>Red</v>
      </c>
      <c r="D275">
        <f>VLOOKUP(A275,Recession!$A$1:$C$395,3,FALSE)</f>
        <v>24.950001</v>
      </c>
      <c r="E275">
        <f t="shared" si="30"/>
        <v>9</v>
      </c>
      <c r="F275">
        <f t="shared" si="31"/>
        <v>0</v>
      </c>
      <c r="G275">
        <f t="shared" si="32"/>
        <v>1</v>
      </c>
      <c r="N275" s="32" t="s">
        <v>107</v>
      </c>
      <c r="O275" s="21"/>
      <c r="P275" s="21">
        <v>-4.75691688617867E-2</v>
      </c>
      <c r="Q275" s="21">
        <v>-4.75691688617867E-2</v>
      </c>
    </row>
    <row r="276" spans="1:17" x14ac:dyDescent="0.25">
      <c r="A276" s="28">
        <v>36525</v>
      </c>
      <c r="B276" s="17">
        <v>5.7843894876779399E-2</v>
      </c>
      <c r="C276" t="str">
        <f t="shared" si="29"/>
        <v>Green</v>
      </c>
      <c r="D276">
        <f>VLOOKUP(A276,Recession!$A$1:$C$395,3,FALSE)</f>
        <v>24.639999</v>
      </c>
      <c r="E276">
        <f t="shared" si="30"/>
        <v>9</v>
      </c>
      <c r="F276">
        <f t="shared" si="31"/>
        <v>1</v>
      </c>
      <c r="G276">
        <f t="shared" si="32"/>
        <v>12</v>
      </c>
      <c r="N276" s="32" t="s">
        <v>130</v>
      </c>
      <c r="O276" s="21">
        <v>6.9143836459647501E-2</v>
      </c>
      <c r="P276" s="21"/>
      <c r="Q276" s="21">
        <v>6.9143836459647501E-2</v>
      </c>
    </row>
    <row r="277" spans="1:17" x14ac:dyDescent="0.25">
      <c r="A277" s="28">
        <v>36494</v>
      </c>
      <c r="B277" s="17">
        <v>1.9061858621249601E-2</v>
      </c>
      <c r="C277" t="str">
        <f t="shared" si="29"/>
        <v>Green</v>
      </c>
      <c r="D277">
        <f>VLOOKUP(A277,Recession!$A$1:$C$395,3,FALSE)</f>
        <v>24.18</v>
      </c>
      <c r="E277">
        <f t="shared" si="30"/>
        <v>8</v>
      </c>
      <c r="F277">
        <f t="shared" si="31"/>
        <v>1</v>
      </c>
      <c r="G277">
        <f t="shared" si="32"/>
        <v>11</v>
      </c>
      <c r="N277" s="32" t="s">
        <v>131</v>
      </c>
      <c r="O277" s="21"/>
      <c r="P277" s="21">
        <v>-8.3337062251199693E-3</v>
      </c>
      <c r="Q277" s="21">
        <v>-8.3337062251199693E-3</v>
      </c>
    </row>
    <row r="278" spans="1:17" x14ac:dyDescent="0.25">
      <c r="A278" s="28">
        <v>36462</v>
      </c>
      <c r="B278" s="17">
        <v>6.2539541625965298E-2</v>
      </c>
      <c r="C278" t="str">
        <f t="shared" si="29"/>
        <v>Green</v>
      </c>
      <c r="D278">
        <f>VLOOKUP(A278,Recession!$A$1:$C$395,3,FALSE)</f>
        <v>22.200001</v>
      </c>
      <c r="E278">
        <f t="shared" si="30"/>
        <v>8</v>
      </c>
      <c r="F278">
        <f t="shared" si="31"/>
        <v>1</v>
      </c>
      <c r="G278">
        <f t="shared" si="32"/>
        <v>10</v>
      </c>
      <c r="N278" s="32" t="s">
        <v>93</v>
      </c>
      <c r="O278" s="21">
        <v>4.3612913509962797E-2</v>
      </c>
      <c r="P278" s="21"/>
      <c r="Q278" s="21">
        <v>4.3612913509962797E-2</v>
      </c>
    </row>
    <row r="279" spans="1:17" x14ac:dyDescent="0.25">
      <c r="A279" s="28">
        <v>36433</v>
      </c>
      <c r="B279" s="17">
        <v>-2.85517922684916E-2</v>
      </c>
      <c r="C279" t="str">
        <f t="shared" si="29"/>
        <v>Red</v>
      </c>
      <c r="D279">
        <f>VLOOKUP(A279,Recession!$A$1:$C$395,3,FALSE)</f>
        <v>25.41</v>
      </c>
      <c r="E279">
        <f t="shared" si="30"/>
        <v>9</v>
      </c>
      <c r="F279">
        <f t="shared" si="31"/>
        <v>0</v>
      </c>
      <c r="G279">
        <f t="shared" si="32"/>
        <v>9</v>
      </c>
      <c r="N279" s="30" t="s">
        <v>106</v>
      </c>
      <c r="O279" s="21">
        <v>0.12694285763875218</v>
      </c>
      <c r="P279" s="21">
        <v>-0.39165816688470173</v>
      </c>
      <c r="Q279" s="21">
        <v>-0.26471530924594955</v>
      </c>
    </row>
    <row r="280" spans="1:17" x14ac:dyDescent="0.25">
      <c r="A280" s="28">
        <v>36403</v>
      </c>
      <c r="B280" s="17">
        <v>-6.2540920445004504E-3</v>
      </c>
      <c r="C280" t="str">
        <f t="shared" si="29"/>
        <v>Red</v>
      </c>
      <c r="D280">
        <f>VLOOKUP(A280,Recession!$A$1:$C$395,3,FALSE)</f>
        <v>24.450001</v>
      </c>
      <c r="E280">
        <f t="shared" si="30"/>
        <v>8</v>
      </c>
      <c r="F280">
        <f t="shared" si="31"/>
        <v>0</v>
      </c>
      <c r="G280">
        <f t="shared" si="32"/>
        <v>8</v>
      </c>
      <c r="N280" s="32" t="s">
        <v>122</v>
      </c>
      <c r="O280" s="21"/>
      <c r="P280" s="21">
        <v>-5.2585165005310602E-2</v>
      </c>
      <c r="Q280" s="21">
        <v>-5.2585165005310602E-2</v>
      </c>
    </row>
    <row r="281" spans="1:17" x14ac:dyDescent="0.25">
      <c r="A281" s="28">
        <v>36371</v>
      </c>
      <c r="B281" s="17">
        <v>-3.2046092218893797E-2</v>
      </c>
      <c r="C281" t="str">
        <f t="shared" si="29"/>
        <v>Red</v>
      </c>
      <c r="D281">
        <f>VLOOKUP(A281,Recession!$A$1:$C$395,3,FALSE)</f>
        <v>24.639999</v>
      </c>
      <c r="E281">
        <f t="shared" si="30"/>
        <v>9</v>
      </c>
      <c r="F281">
        <f t="shared" si="31"/>
        <v>0</v>
      </c>
      <c r="G281">
        <f t="shared" si="32"/>
        <v>7</v>
      </c>
      <c r="N281" s="32" t="s">
        <v>123</v>
      </c>
      <c r="O281" s="21"/>
      <c r="P281" s="21">
        <v>-3.1360492102910101E-2</v>
      </c>
      <c r="Q281" s="21">
        <v>-3.1360492102910101E-2</v>
      </c>
    </row>
    <row r="282" spans="1:17" x14ac:dyDescent="0.25">
      <c r="A282" s="28">
        <v>36341</v>
      </c>
      <c r="B282" s="17">
        <v>5.4438331016794198E-2</v>
      </c>
      <c r="C282" t="str">
        <f t="shared" si="29"/>
        <v>Green</v>
      </c>
      <c r="D282">
        <f>VLOOKUP(A282,Recession!$A$1:$C$395,3,FALSE)</f>
        <v>21.09</v>
      </c>
      <c r="E282">
        <f t="shared" si="30"/>
        <v>7</v>
      </c>
      <c r="F282">
        <f t="shared" si="31"/>
        <v>1</v>
      </c>
      <c r="G282">
        <f t="shared" si="32"/>
        <v>6</v>
      </c>
      <c r="N282" s="32" t="s">
        <v>124</v>
      </c>
      <c r="O282" s="21">
        <v>3.5773288410591901E-2</v>
      </c>
      <c r="P282" s="21"/>
      <c r="Q282" s="21">
        <v>3.5773288410591901E-2</v>
      </c>
    </row>
    <row r="283" spans="1:17" x14ac:dyDescent="0.25">
      <c r="A283" s="28">
        <v>36308</v>
      </c>
      <c r="B283" s="17">
        <v>-2.4970480872686801E-2</v>
      </c>
      <c r="C283" t="str">
        <f t="shared" si="29"/>
        <v>Red</v>
      </c>
      <c r="D283">
        <f>VLOOKUP(A283,Recession!$A$1:$C$395,3,FALSE)</f>
        <v>25.389999</v>
      </c>
      <c r="E283">
        <f t="shared" si="30"/>
        <v>9</v>
      </c>
      <c r="F283">
        <f t="shared" si="31"/>
        <v>0</v>
      </c>
      <c r="G283">
        <f t="shared" si="32"/>
        <v>5</v>
      </c>
      <c r="N283" s="32" t="s">
        <v>125</v>
      </c>
      <c r="O283" s="21"/>
      <c r="P283" s="21">
        <v>-8.7956711705729301E-2</v>
      </c>
      <c r="Q283" s="21">
        <v>-8.7956711705729301E-2</v>
      </c>
    </row>
    <row r="284" spans="1:17" x14ac:dyDescent="0.25">
      <c r="A284" s="28">
        <v>36280</v>
      </c>
      <c r="B284" s="17">
        <v>3.7944027915545402E-2</v>
      </c>
      <c r="C284" t="str">
        <f t="shared" si="29"/>
        <v>Green</v>
      </c>
      <c r="D284">
        <f>VLOOKUP(A284,Recession!$A$1:$C$395,3,FALSE)</f>
        <v>25.07</v>
      </c>
      <c r="E284">
        <f t="shared" si="30"/>
        <v>9</v>
      </c>
      <c r="F284">
        <f t="shared" si="31"/>
        <v>1</v>
      </c>
      <c r="G284">
        <f t="shared" si="32"/>
        <v>4</v>
      </c>
      <c r="N284" s="32" t="s">
        <v>126</v>
      </c>
      <c r="O284" s="21">
        <v>5.3177568506868103E-5</v>
      </c>
      <c r="P284" s="21"/>
      <c r="Q284" s="21">
        <v>5.3177568506868103E-5</v>
      </c>
    </row>
    <row r="285" spans="1:17" x14ac:dyDescent="0.25">
      <c r="A285" s="28">
        <v>36250</v>
      </c>
      <c r="B285" s="17">
        <v>3.8794215360158799E-2</v>
      </c>
      <c r="C285" t="str">
        <f t="shared" si="29"/>
        <v>Green</v>
      </c>
      <c r="D285">
        <f>VLOOKUP(A285,Recession!$A$1:$C$395,3,FALSE)</f>
        <v>23.26</v>
      </c>
      <c r="E285">
        <f t="shared" si="30"/>
        <v>8</v>
      </c>
      <c r="F285">
        <f t="shared" si="31"/>
        <v>1</v>
      </c>
      <c r="G285">
        <f t="shared" si="32"/>
        <v>3</v>
      </c>
      <c r="N285" s="32" t="s">
        <v>127</v>
      </c>
      <c r="O285" s="21"/>
      <c r="P285" s="21">
        <v>-8.3919999812243101E-2</v>
      </c>
      <c r="Q285" s="21">
        <v>-8.3919999812243101E-2</v>
      </c>
    </row>
    <row r="286" spans="1:17" x14ac:dyDescent="0.25">
      <c r="A286" s="28">
        <v>36217</v>
      </c>
      <c r="B286" s="17">
        <v>-3.2282562686194102E-2</v>
      </c>
      <c r="C286" t="str">
        <f t="shared" si="29"/>
        <v>Red</v>
      </c>
      <c r="D286">
        <f>VLOOKUP(A286,Recession!$A$1:$C$395,3,FALSE)</f>
        <v>27.879999000000002</v>
      </c>
      <c r="E286">
        <f t="shared" si="30"/>
        <v>9</v>
      </c>
      <c r="F286">
        <f t="shared" si="31"/>
        <v>0</v>
      </c>
      <c r="G286">
        <f t="shared" si="32"/>
        <v>2</v>
      </c>
      <c r="N286" s="32" t="s">
        <v>128</v>
      </c>
      <c r="O286" s="21">
        <v>9.1116391659653406E-2</v>
      </c>
      <c r="P286" s="21"/>
      <c r="Q286" s="21">
        <v>9.1116391659653406E-2</v>
      </c>
    </row>
    <row r="287" spans="1:17" x14ac:dyDescent="0.25">
      <c r="A287" s="28">
        <v>36189</v>
      </c>
      <c r="B287" s="17">
        <v>4.1009441536725297E-2</v>
      </c>
      <c r="C287" t="str">
        <f t="shared" si="29"/>
        <v>Green</v>
      </c>
      <c r="D287">
        <f>VLOOKUP(A287,Recession!$A$1:$C$395,3,FALSE)</f>
        <v>26.25</v>
      </c>
      <c r="E287">
        <f t="shared" si="30"/>
        <v>9</v>
      </c>
      <c r="F287">
        <f t="shared" si="31"/>
        <v>1</v>
      </c>
      <c r="G287">
        <f t="shared" si="32"/>
        <v>1</v>
      </c>
      <c r="N287" s="32" t="s">
        <v>129</v>
      </c>
      <c r="O287" s="21"/>
      <c r="P287" s="21">
        <v>-4.2440128258508597E-2</v>
      </c>
      <c r="Q287" s="21">
        <v>-4.2440128258508597E-2</v>
      </c>
    </row>
    <row r="288" spans="1:17" x14ac:dyDescent="0.25">
      <c r="A288" s="28">
        <v>36160</v>
      </c>
      <c r="B288" s="17">
        <v>5.63752865757359E-2</v>
      </c>
      <c r="C288" t="str">
        <f t="shared" si="29"/>
        <v>Green</v>
      </c>
      <c r="D288">
        <f>VLOOKUP(A288,Recession!$A$1:$C$395,3,FALSE)</f>
        <v>24.42</v>
      </c>
      <c r="E288">
        <f t="shared" si="30"/>
        <v>8</v>
      </c>
      <c r="F288">
        <f t="shared" si="31"/>
        <v>1</v>
      </c>
      <c r="G288">
        <f t="shared" si="32"/>
        <v>12</v>
      </c>
      <c r="N288" s="32" t="s">
        <v>107</v>
      </c>
      <c r="O288" s="21"/>
      <c r="P288" s="21">
        <v>-9.339567E-2</v>
      </c>
      <c r="Q288" s="21">
        <v>-9.339567E-2</v>
      </c>
    </row>
    <row r="289" spans="1:17" x14ac:dyDescent="0.25">
      <c r="A289" s="28">
        <v>36129</v>
      </c>
      <c r="B289" s="17">
        <v>5.91259963396253E-2</v>
      </c>
      <c r="C289" t="str">
        <f t="shared" si="29"/>
        <v>Green</v>
      </c>
      <c r="D289">
        <f>VLOOKUP(A289,Recession!$A$1:$C$395,3,FALSE)</f>
        <v>26.01</v>
      </c>
      <c r="E289">
        <f t="shared" si="30"/>
        <v>9</v>
      </c>
      <c r="F289">
        <f t="shared" si="31"/>
        <v>1</v>
      </c>
      <c r="G289">
        <f t="shared" si="32"/>
        <v>11</v>
      </c>
      <c r="N289" s="30" t="s">
        <v>92</v>
      </c>
      <c r="O289" s="21">
        <v>5.1348731496515798</v>
      </c>
      <c r="P289" s="21">
        <v>-4.2581803315189664</v>
      </c>
      <c r="Q289" s="21">
        <v>0.87669281813261313</v>
      </c>
    </row>
    <row r="290" spans="1:17" x14ac:dyDescent="0.25">
      <c r="A290" s="28">
        <v>36098</v>
      </c>
      <c r="B290" s="17">
        <v>8.0294228372442406E-2</v>
      </c>
      <c r="C290" t="str">
        <f t="shared" si="29"/>
        <v>Green</v>
      </c>
      <c r="D290">
        <f>VLOOKUP(A290,Recession!$A$1:$C$395,3,FALSE)</f>
        <v>28.049999</v>
      </c>
      <c r="E290">
        <f t="shared" si="30"/>
        <v>9</v>
      </c>
      <c r="F290">
        <f t="shared" si="31"/>
        <v>1</v>
      </c>
      <c r="G290">
        <f t="shared" si="32"/>
        <v>10</v>
      </c>
    </row>
    <row r="291" spans="1:17" x14ac:dyDescent="0.25">
      <c r="A291" s="28">
        <v>36068</v>
      </c>
      <c r="B291" s="17">
        <v>6.2395515617718902E-2</v>
      </c>
      <c r="C291" t="str">
        <f t="shared" si="29"/>
        <v>Green</v>
      </c>
      <c r="D291">
        <f>VLOOKUP(A291,Recession!$A$1:$C$395,3,FALSE)</f>
        <v>40.950001</v>
      </c>
      <c r="E291">
        <f t="shared" si="30"/>
        <v>10</v>
      </c>
      <c r="F291">
        <f t="shared" si="31"/>
        <v>1</v>
      </c>
      <c r="G291">
        <f t="shared" si="32"/>
        <v>9</v>
      </c>
    </row>
    <row r="292" spans="1:17" x14ac:dyDescent="0.25">
      <c r="A292" s="28">
        <v>36038</v>
      </c>
      <c r="B292" s="17">
        <v>-0.14579671855670701</v>
      </c>
      <c r="C292" t="str">
        <f t="shared" si="29"/>
        <v>Red</v>
      </c>
      <c r="D292">
        <f>VLOOKUP(A292,Recession!$A$1:$C$395,3,FALSE)</f>
        <v>44.279998999999997</v>
      </c>
      <c r="E292">
        <f t="shared" si="30"/>
        <v>10</v>
      </c>
      <c r="F292">
        <f t="shared" si="31"/>
        <v>0</v>
      </c>
      <c r="G292">
        <f t="shared" si="32"/>
        <v>8</v>
      </c>
    </row>
    <row r="293" spans="1:17" x14ac:dyDescent="0.25">
      <c r="A293" s="28">
        <v>36007</v>
      </c>
      <c r="B293" s="17">
        <v>-1.1615327025789501E-2</v>
      </c>
      <c r="C293" t="str">
        <f t="shared" si="29"/>
        <v>Red</v>
      </c>
      <c r="D293">
        <f>VLOOKUP(A293,Recession!$A$1:$C$395,3,FALSE)</f>
        <v>24.799999</v>
      </c>
      <c r="E293">
        <f t="shared" si="30"/>
        <v>9</v>
      </c>
      <c r="F293">
        <f t="shared" si="31"/>
        <v>0</v>
      </c>
      <c r="G293">
        <f t="shared" si="32"/>
        <v>7</v>
      </c>
    </row>
    <row r="294" spans="1:17" x14ac:dyDescent="0.25">
      <c r="A294" s="28">
        <v>35976</v>
      </c>
      <c r="B294" s="17">
        <v>3.9438241075214098E-2</v>
      </c>
      <c r="C294" t="str">
        <f t="shared" si="29"/>
        <v>Green</v>
      </c>
      <c r="D294">
        <f>VLOOKUP(A294,Recession!$A$1:$C$395,3,FALSE)</f>
        <v>19.709999</v>
      </c>
      <c r="E294">
        <f t="shared" si="30"/>
        <v>6</v>
      </c>
      <c r="F294">
        <f t="shared" si="31"/>
        <v>1</v>
      </c>
      <c r="G294">
        <f t="shared" si="32"/>
        <v>6</v>
      </c>
    </row>
    <row r="295" spans="1:17" x14ac:dyDescent="0.25">
      <c r="A295" s="28">
        <v>35944</v>
      </c>
      <c r="B295" s="17">
        <v>-1.8826223521475099E-2</v>
      </c>
      <c r="C295" t="str">
        <f t="shared" si="29"/>
        <v>Red</v>
      </c>
      <c r="D295">
        <f>VLOOKUP(A295,Recession!$A$1:$C$395,3,FALSE)</f>
        <v>21.32</v>
      </c>
      <c r="E295">
        <f t="shared" si="30"/>
        <v>7</v>
      </c>
      <c r="F295">
        <f t="shared" si="31"/>
        <v>0</v>
      </c>
      <c r="G295">
        <f t="shared" si="32"/>
        <v>5</v>
      </c>
    </row>
    <row r="296" spans="1:17" x14ac:dyDescent="0.25">
      <c r="A296" s="28">
        <v>35915</v>
      </c>
      <c r="B296" s="17">
        <v>9.0764692534604004E-3</v>
      </c>
      <c r="C296" t="str">
        <f t="shared" si="29"/>
        <v>Green</v>
      </c>
      <c r="D296">
        <f>VLOOKUP(A296,Recession!$A$1:$C$395,3,FALSE)</f>
        <v>21.18</v>
      </c>
      <c r="E296">
        <f t="shared" si="30"/>
        <v>7</v>
      </c>
      <c r="F296">
        <f t="shared" si="31"/>
        <v>1</v>
      </c>
      <c r="G296">
        <f t="shared" si="32"/>
        <v>4</v>
      </c>
    </row>
    <row r="297" spans="1:17" x14ac:dyDescent="0.25">
      <c r="A297" s="28">
        <v>35885</v>
      </c>
      <c r="B297" s="17">
        <v>4.9945714161429497E-2</v>
      </c>
      <c r="C297" t="str">
        <f t="shared" si="29"/>
        <v>Green</v>
      </c>
      <c r="D297">
        <f>VLOOKUP(A297,Recession!$A$1:$C$395,3,FALSE)</f>
        <v>24.219999000000001</v>
      </c>
      <c r="E297">
        <f t="shared" si="30"/>
        <v>8</v>
      </c>
      <c r="F297">
        <f t="shared" si="31"/>
        <v>1</v>
      </c>
      <c r="G297">
        <f t="shared" si="32"/>
        <v>3</v>
      </c>
    </row>
    <row r="298" spans="1:17" x14ac:dyDescent="0.25">
      <c r="A298" s="28">
        <v>35853</v>
      </c>
      <c r="B298" s="17">
        <v>7.0449193043797195E-2</v>
      </c>
      <c r="C298" t="str">
        <f t="shared" si="29"/>
        <v>Green</v>
      </c>
      <c r="D298">
        <f>VLOOKUP(A298,Recession!$A$1:$C$395,3,FALSE)</f>
        <v>18.549999</v>
      </c>
      <c r="E298">
        <f t="shared" si="30"/>
        <v>6</v>
      </c>
      <c r="F298">
        <f t="shared" si="31"/>
        <v>1</v>
      </c>
      <c r="G298">
        <f t="shared" si="32"/>
        <v>2</v>
      </c>
    </row>
    <row r="299" spans="1:17" x14ac:dyDescent="0.25">
      <c r="A299" s="28">
        <v>35825</v>
      </c>
      <c r="B299" s="17">
        <v>1.01501767989975E-2</v>
      </c>
      <c r="C299" t="str">
        <f t="shared" si="29"/>
        <v>Green</v>
      </c>
      <c r="D299">
        <f>VLOOKUP(A299,Recession!$A$1:$C$395,3,FALSE)</f>
        <v>21.469999000000001</v>
      </c>
      <c r="E299">
        <f t="shared" si="30"/>
        <v>7</v>
      </c>
      <c r="F299">
        <f t="shared" si="31"/>
        <v>1</v>
      </c>
      <c r="G299">
        <f t="shared" si="32"/>
        <v>1</v>
      </c>
    </row>
    <row r="300" spans="1:17" x14ac:dyDescent="0.25">
      <c r="A300" s="28">
        <v>35795</v>
      </c>
      <c r="B300" s="17">
        <v>1.5731597888257998E-2</v>
      </c>
      <c r="C300" t="str">
        <f t="shared" si="29"/>
        <v>Green</v>
      </c>
      <c r="D300">
        <f>VLOOKUP(A300,Recession!$A$1:$C$395,3,FALSE)</f>
        <v>24.01</v>
      </c>
      <c r="E300">
        <f t="shared" si="30"/>
        <v>8</v>
      </c>
      <c r="F300">
        <f t="shared" si="31"/>
        <v>1</v>
      </c>
      <c r="G300">
        <f t="shared" si="32"/>
        <v>12</v>
      </c>
    </row>
    <row r="301" spans="1:17" x14ac:dyDescent="0.25">
      <c r="A301" s="28">
        <v>35762</v>
      </c>
      <c r="B301" s="17">
        <v>4.4586854893763801E-2</v>
      </c>
      <c r="C301" t="str">
        <f t="shared" si="29"/>
        <v>Green</v>
      </c>
      <c r="D301">
        <f>VLOOKUP(A301,Recession!$A$1:$C$395,3,FALSE)</f>
        <v>27.43</v>
      </c>
      <c r="E301">
        <f t="shared" si="30"/>
        <v>9</v>
      </c>
      <c r="F301">
        <f t="shared" si="31"/>
        <v>1</v>
      </c>
      <c r="G301">
        <f t="shared" si="32"/>
        <v>11</v>
      </c>
    </row>
    <row r="302" spans="1:17" x14ac:dyDescent="0.25">
      <c r="A302" s="28">
        <v>35734</v>
      </c>
      <c r="B302" s="17">
        <v>-3.4477697196337802E-2</v>
      </c>
      <c r="C302" t="str">
        <f t="shared" si="29"/>
        <v>Red</v>
      </c>
      <c r="D302">
        <f>VLOOKUP(A302,Recession!$A$1:$C$395,3,FALSE)</f>
        <v>35.090000000000003</v>
      </c>
      <c r="E302">
        <f t="shared" si="30"/>
        <v>10</v>
      </c>
      <c r="F302">
        <f t="shared" si="31"/>
        <v>0</v>
      </c>
      <c r="G302">
        <f t="shared" si="32"/>
        <v>10</v>
      </c>
    </row>
    <row r="303" spans="1:17" x14ac:dyDescent="0.25">
      <c r="A303" s="28">
        <v>35703</v>
      </c>
      <c r="B303" s="17">
        <v>5.3153589937912499E-2</v>
      </c>
      <c r="C303" t="str">
        <f t="shared" si="29"/>
        <v>Green</v>
      </c>
      <c r="D303">
        <f>VLOOKUP(A303,Recession!$A$1:$C$395,3,FALSE)</f>
        <v>22.91</v>
      </c>
      <c r="E303">
        <f t="shared" si="30"/>
        <v>8</v>
      </c>
      <c r="F303">
        <f t="shared" si="31"/>
        <v>1</v>
      </c>
      <c r="G303">
        <f t="shared" si="32"/>
        <v>9</v>
      </c>
    </row>
    <row r="304" spans="1:17" x14ac:dyDescent="0.25">
      <c r="A304" s="28">
        <v>35671</v>
      </c>
      <c r="B304" s="17">
        <v>-5.7465631833399297E-2</v>
      </c>
      <c r="C304" t="str">
        <f t="shared" si="29"/>
        <v>Red</v>
      </c>
      <c r="D304">
        <f>VLOOKUP(A304,Recession!$A$1:$C$395,3,FALSE)</f>
        <v>24.76</v>
      </c>
      <c r="E304">
        <f t="shared" si="30"/>
        <v>9</v>
      </c>
      <c r="F304">
        <f t="shared" si="31"/>
        <v>0</v>
      </c>
      <c r="G304">
        <f t="shared" si="32"/>
        <v>8</v>
      </c>
    </row>
    <row r="305" spans="1:7" x14ac:dyDescent="0.25">
      <c r="A305" s="28">
        <v>35642</v>
      </c>
      <c r="B305" s="17">
        <v>7.8145809507889102E-2</v>
      </c>
      <c r="C305" t="str">
        <f t="shared" si="29"/>
        <v>Green</v>
      </c>
      <c r="D305">
        <f>VLOOKUP(A305,Recession!$A$1:$C$395,3,FALSE)</f>
        <v>21.48</v>
      </c>
      <c r="E305">
        <f t="shared" si="30"/>
        <v>7</v>
      </c>
      <c r="F305">
        <f t="shared" si="31"/>
        <v>1</v>
      </c>
      <c r="G305">
        <f t="shared" si="32"/>
        <v>7</v>
      </c>
    </row>
    <row r="306" spans="1:7" x14ac:dyDescent="0.25">
      <c r="A306" s="28">
        <v>35611</v>
      </c>
      <c r="B306" s="17">
        <v>4.3452615574897498E-2</v>
      </c>
      <c r="C306" t="str">
        <f t="shared" si="29"/>
        <v>Green</v>
      </c>
      <c r="D306">
        <f>VLOOKUP(A306,Recession!$A$1:$C$395,3,FALSE)</f>
        <v>21.530000999999999</v>
      </c>
      <c r="E306">
        <f t="shared" si="30"/>
        <v>7</v>
      </c>
      <c r="F306">
        <f t="shared" si="31"/>
        <v>1</v>
      </c>
      <c r="G306">
        <f t="shared" si="32"/>
        <v>6</v>
      </c>
    </row>
    <row r="307" spans="1:7" x14ac:dyDescent="0.25">
      <c r="A307" s="28">
        <v>35580</v>
      </c>
      <c r="B307" s="17">
        <v>5.8576884241924997E-2</v>
      </c>
      <c r="C307" t="str">
        <f t="shared" si="29"/>
        <v>Green</v>
      </c>
      <c r="D307">
        <f>VLOOKUP(A307,Recession!$A$1:$C$395,3,FALSE)</f>
        <v>19.190000999999999</v>
      </c>
      <c r="E307">
        <f t="shared" si="30"/>
        <v>6</v>
      </c>
      <c r="F307">
        <f t="shared" si="31"/>
        <v>1</v>
      </c>
      <c r="G307">
        <f t="shared" si="32"/>
        <v>5</v>
      </c>
    </row>
    <row r="308" spans="1:7" x14ac:dyDescent="0.25">
      <c r="A308" s="28">
        <v>35550</v>
      </c>
      <c r="B308" s="17">
        <v>5.8405579422057E-2</v>
      </c>
      <c r="C308" t="str">
        <f t="shared" si="29"/>
        <v>Green</v>
      </c>
      <c r="D308">
        <f>VLOOKUP(A308,Recession!$A$1:$C$395,3,FALSE)</f>
        <v>20.059999000000001</v>
      </c>
      <c r="E308">
        <f t="shared" si="30"/>
        <v>7</v>
      </c>
      <c r="F308">
        <f t="shared" si="31"/>
        <v>1</v>
      </c>
      <c r="G308">
        <f t="shared" si="32"/>
        <v>4</v>
      </c>
    </row>
    <row r="309" spans="1:7" x14ac:dyDescent="0.25">
      <c r="A309" s="28">
        <v>35520</v>
      </c>
      <c r="B309" s="17">
        <v>-4.2614010396426399E-2</v>
      </c>
      <c r="C309" t="str">
        <f t="shared" si="29"/>
        <v>Red</v>
      </c>
      <c r="D309">
        <f>VLOOKUP(A309,Recession!$A$1:$C$395,3,FALSE)</f>
        <v>22.139999</v>
      </c>
      <c r="E309">
        <f t="shared" si="30"/>
        <v>8</v>
      </c>
      <c r="F309">
        <f t="shared" si="31"/>
        <v>0</v>
      </c>
      <c r="G309">
        <f t="shared" si="32"/>
        <v>3</v>
      </c>
    </row>
    <row r="310" spans="1:7" x14ac:dyDescent="0.25">
      <c r="A310" s="28">
        <v>35489</v>
      </c>
      <c r="B310" s="17">
        <v>5.9275900071804602E-3</v>
      </c>
      <c r="C310" t="str">
        <f t="shared" si="29"/>
        <v>Green</v>
      </c>
      <c r="D310">
        <f>VLOOKUP(A310,Recession!$A$1:$C$395,3,FALSE)</f>
        <v>21.1</v>
      </c>
      <c r="E310">
        <f t="shared" si="30"/>
        <v>7</v>
      </c>
      <c r="F310">
        <f t="shared" si="31"/>
        <v>1</v>
      </c>
      <c r="G310">
        <f t="shared" si="32"/>
        <v>2</v>
      </c>
    </row>
    <row r="311" spans="1:7" x14ac:dyDescent="0.25">
      <c r="A311" s="28">
        <v>35461</v>
      </c>
      <c r="B311" s="17">
        <v>6.1317039194819199E-2</v>
      </c>
      <c r="C311" t="str">
        <f t="shared" si="29"/>
        <v>Green</v>
      </c>
      <c r="D311">
        <f>VLOOKUP(A311,Recession!$A$1:$C$395,3,FALSE)</f>
        <v>19.469999000000001</v>
      </c>
      <c r="E311">
        <f t="shared" si="30"/>
        <v>6</v>
      </c>
      <c r="F311">
        <f t="shared" si="31"/>
        <v>1</v>
      </c>
      <c r="G311">
        <f t="shared" si="32"/>
        <v>1</v>
      </c>
    </row>
    <row r="312" spans="1:7" x14ac:dyDescent="0.25">
      <c r="A312" s="28">
        <v>35430</v>
      </c>
      <c r="B312" s="17">
        <v>-2.1505415404998202E-2</v>
      </c>
      <c r="C312" t="str">
        <f t="shared" si="29"/>
        <v>Red</v>
      </c>
      <c r="D312">
        <f>VLOOKUP(A312,Recession!$A$1:$C$395,3,FALSE)</f>
        <v>20.92</v>
      </c>
      <c r="E312">
        <f t="shared" si="30"/>
        <v>7</v>
      </c>
      <c r="F312">
        <f t="shared" si="31"/>
        <v>0</v>
      </c>
      <c r="G312">
        <f t="shared" si="32"/>
        <v>12</v>
      </c>
    </row>
    <row r="313" spans="1:7" x14ac:dyDescent="0.25">
      <c r="A313" s="28">
        <v>35398</v>
      </c>
      <c r="B313" s="17">
        <v>7.3376151732636993E-2</v>
      </c>
      <c r="C313" t="str">
        <f t="shared" si="29"/>
        <v>Green</v>
      </c>
      <c r="D313">
        <f>VLOOKUP(A313,Recession!$A$1:$C$395,3,FALSE)</f>
        <v>17.139999</v>
      </c>
      <c r="E313">
        <f t="shared" si="30"/>
        <v>5</v>
      </c>
      <c r="F313">
        <f t="shared" si="31"/>
        <v>1</v>
      </c>
      <c r="G313">
        <f t="shared" si="32"/>
        <v>11</v>
      </c>
    </row>
    <row r="314" spans="1:7" x14ac:dyDescent="0.25">
      <c r="A314" s="28">
        <v>35369</v>
      </c>
      <c r="B314" s="17">
        <v>2.61010032390308E-2</v>
      </c>
      <c r="C314" t="str">
        <f t="shared" si="29"/>
        <v>Green</v>
      </c>
      <c r="D314">
        <f>VLOOKUP(A314,Recession!$A$1:$C$395,3,FALSE)</f>
        <v>18.110001</v>
      </c>
      <c r="E314">
        <f t="shared" si="30"/>
        <v>6</v>
      </c>
      <c r="F314">
        <f t="shared" si="31"/>
        <v>1</v>
      </c>
      <c r="G314">
        <f t="shared" si="32"/>
        <v>10</v>
      </c>
    </row>
    <row r="315" spans="1:7" x14ac:dyDescent="0.25">
      <c r="A315" s="28">
        <v>35338</v>
      </c>
      <c r="B315" s="17">
        <v>5.4203327569492199E-2</v>
      </c>
      <c r="C315" t="str">
        <f t="shared" si="29"/>
        <v>Green</v>
      </c>
      <c r="D315">
        <f>VLOOKUP(A315,Recession!$A$1:$C$395,3,FALSE)</f>
        <v>16.950001</v>
      </c>
      <c r="E315">
        <f t="shared" si="30"/>
        <v>5</v>
      </c>
      <c r="F315">
        <f t="shared" si="31"/>
        <v>1</v>
      </c>
      <c r="G315">
        <f t="shared" si="32"/>
        <v>9</v>
      </c>
    </row>
    <row r="316" spans="1:7" x14ac:dyDescent="0.25">
      <c r="A316" s="28">
        <v>35307</v>
      </c>
      <c r="B316" s="17">
        <v>1.8813935110919298E-2</v>
      </c>
      <c r="C316" t="str">
        <f t="shared" si="29"/>
        <v>Green</v>
      </c>
      <c r="D316">
        <f>VLOOKUP(A316,Recession!$A$1:$C$395,3,FALSE)</f>
        <v>17.010000000000002</v>
      </c>
      <c r="E316">
        <f t="shared" si="30"/>
        <v>5</v>
      </c>
      <c r="F316">
        <f t="shared" si="31"/>
        <v>1</v>
      </c>
      <c r="G316">
        <f t="shared" si="32"/>
        <v>8</v>
      </c>
    </row>
    <row r="317" spans="1:7" x14ac:dyDescent="0.25">
      <c r="A317" s="28">
        <v>35277</v>
      </c>
      <c r="B317" s="17">
        <v>-4.5748017194667499E-2</v>
      </c>
      <c r="C317" t="str">
        <f t="shared" si="29"/>
        <v>Red</v>
      </c>
      <c r="D317">
        <f>VLOOKUP(A317,Recession!$A$1:$C$395,3,FALSE)</f>
        <v>19.459999</v>
      </c>
      <c r="E317">
        <f t="shared" si="30"/>
        <v>6</v>
      </c>
      <c r="F317">
        <f t="shared" si="31"/>
        <v>0</v>
      </c>
      <c r="G317">
        <f t="shared" si="32"/>
        <v>7</v>
      </c>
    </row>
    <row r="318" spans="1:7" x14ac:dyDescent="0.25">
      <c r="A318" s="28">
        <v>35244</v>
      </c>
      <c r="B318" s="17">
        <v>2.2567103229369501E-3</v>
      </c>
      <c r="C318" t="str">
        <f t="shared" si="29"/>
        <v>Green</v>
      </c>
      <c r="D318">
        <f>VLOOKUP(A318,Recession!$A$1:$C$395,3,FALSE)</f>
        <v>13.68</v>
      </c>
      <c r="E318">
        <f t="shared" si="30"/>
        <v>3</v>
      </c>
      <c r="F318">
        <f t="shared" si="31"/>
        <v>1</v>
      </c>
      <c r="G318">
        <f t="shared" si="32"/>
        <v>6</v>
      </c>
    </row>
    <row r="319" spans="1:7" x14ac:dyDescent="0.25">
      <c r="A319" s="28">
        <v>35216</v>
      </c>
      <c r="B319" s="17">
        <v>2.2853405672084999E-2</v>
      </c>
      <c r="C319" t="str">
        <f t="shared" si="29"/>
        <v>Green</v>
      </c>
      <c r="D319">
        <f>VLOOKUP(A319,Recession!$A$1:$C$395,3,FALSE)</f>
        <v>16.07</v>
      </c>
      <c r="E319">
        <f t="shared" si="30"/>
        <v>4</v>
      </c>
      <c r="F319">
        <f t="shared" si="31"/>
        <v>1</v>
      </c>
      <c r="G319">
        <f t="shared" si="32"/>
        <v>5</v>
      </c>
    </row>
    <row r="320" spans="1:7" x14ac:dyDescent="0.25">
      <c r="A320" s="28">
        <v>35185</v>
      </c>
      <c r="B320" s="17">
        <v>1.34314221533696E-2</v>
      </c>
      <c r="C320" t="str">
        <f t="shared" si="29"/>
        <v>Green</v>
      </c>
      <c r="D320">
        <f>VLOOKUP(A320,Recession!$A$1:$C$395,3,FALSE)</f>
        <v>15.83</v>
      </c>
      <c r="E320">
        <f t="shared" si="30"/>
        <v>4</v>
      </c>
      <c r="F320">
        <f t="shared" si="31"/>
        <v>1</v>
      </c>
      <c r="G320">
        <f t="shared" si="32"/>
        <v>4</v>
      </c>
    </row>
    <row r="321" spans="1:7" x14ac:dyDescent="0.25">
      <c r="A321" s="28">
        <v>35153</v>
      </c>
      <c r="B321" s="17">
        <v>7.9165670805803091E-3</v>
      </c>
      <c r="C321" t="str">
        <f t="shared" si="29"/>
        <v>Green</v>
      </c>
      <c r="D321">
        <f>VLOOKUP(A321,Recession!$A$1:$C$395,3,FALSE)</f>
        <v>18.879999000000002</v>
      </c>
      <c r="E321">
        <f t="shared" si="30"/>
        <v>6</v>
      </c>
      <c r="F321">
        <f t="shared" si="31"/>
        <v>1</v>
      </c>
      <c r="G321">
        <f t="shared" si="32"/>
        <v>3</v>
      </c>
    </row>
    <row r="322" spans="1:7" x14ac:dyDescent="0.25">
      <c r="A322" s="28">
        <v>35124</v>
      </c>
      <c r="B322" s="17">
        <v>6.9337015523502901E-3</v>
      </c>
      <c r="C322" t="str">
        <f t="shared" si="29"/>
        <v>Green</v>
      </c>
      <c r="D322">
        <f>VLOOKUP(A322,Recession!$A$1:$C$395,3,FALSE)</f>
        <v>17.040001</v>
      </c>
      <c r="E322">
        <f t="shared" si="30"/>
        <v>5</v>
      </c>
      <c r="F322">
        <f t="shared" si="31"/>
        <v>1</v>
      </c>
      <c r="G322">
        <f t="shared" si="32"/>
        <v>2</v>
      </c>
    </row>
    <row r="323" spans="1:7" x14ac:dyDescent="0.25">
      <c r="A323" s="28">
        <v>35095</v>
      </c>
      <c r="B323" s="17">
        <v>3.2617387086717201E-2</v>
      </c>
      <c r="C323" t="str">
        <f t="shared" ref="C323:C386" si="33">IF(B323&gt;0,"Green","Red")</f>
        <v>Green</v>
      </c>
      <c r="D323">
        <f>VLOOKUP(A323,Recession!$A$1:$C$395,3,FALSE)</f>
        <v>12.53</v>
      </c>
      <c r="E323">
        <f t="shared" si="30"/>
        <v>2</v>
      </c>
      <c r="F323">
        <f t="shared" si="31"/>
        <v>1</v>
      </c>
      <c r="G323">
        <f t="shared" si="32"/>
        <v>1</v>
      </c>
    </row>
    <row r="324" spans="1:7" x14ac:dyDescent="0.25">
      <c r="A324" s="28">
        <v>35062</v>
      </c>
      <c r="B324" s="17">
        <v>1.7443874138492799E-2</v>
      </c>
      <c r="C324" t="str">
        <f t="shared" si="33"/>
        <v>Green</v>
      </c>
      <c r="D324">
        <f>VLOOKUP(A324,Recession!$A$1:$C$395,3,FALSE)</f>
        <v>12.52</v>
      </c>
      <c r="E324">
        <f t="shared" ref="E324:E387" si="34">IF(D324&gt;28.95,10,IF(D324&gt;24.46,9,IF(D324&gt;21.81,8,IF(D324&gt;19.71,7,IF(D324&gt;17.73,6,IF(D324&gt;16.13,5,IF(D324&gt;14.61,4,IF(D324&gt;13.19,3,IF(D324&gt;12.04,2,1)))))))))</f>
        <v>2</v>
      </c>
      <c r="F324">
        <f t="shared" ref="F324:F387" si="35">IF(B324&gt;0,1,0)</f>
        <v>1</v>
      </c>
      <c r="G324">
        <f t="shared" ref="G324:G387" si="36">MONTH(A324)</f>
        <v>12</v>
      </c>
    </row>
    <row r="325" spans="1:7" x14ac:dyDescent="0.25">
      <c r="A325" s="28">
        <v>35033</v>
      </c>
      <c r="B325" s="17">
        <v>4.1049002579535802E-2</v>
      </c>
      <c r="C325" t="str">
        <f t="shared" si="33"/>
        <v>Green</v>
      </c>
      <c r="D325">
        <f>VLOOKUP(A325,Recession!$A$1:$C$395,3,FALSE)</f>
        <v>11.58</v>
      </c>
      <c r="E325">
        <f t="shared" si="34"/>
        <v>1</v>
      </c>
      <c r="F325">
        <f t="shared" si="35"/>
        <v>1</v>
      </c>
      <c r="G325">
        <f t="shared" si="36"/>
        <v>11</v>
      </c>
    </row>
    <row r="326" spans="1:7" x14ac:dyDescent="0.25">
      <c r="A326" s="28">
        <v>35003</v>
      </c>
      <c r="B326" s="17">
        <v>-4.9793349436904099E-3</v>
      </c>
      <c r="C326" t="str">
        <f t="shared" si="33"/>
        <v>Red</v>
      </c>
      <c r="D326">
        <f>VLOOKUP(A326,Recession!$A$1:$C$395,3,FALSE)</f>
        <v>13.83</v>
      </c>
      <c r="E326">
        <f t="shared" si="34"/>
        <v>3</v>
      </c>
      <c r="F326">
        <f t="shared" si="35"/>
        <v>0</v>
      </c>
      <c r="G326">
        <f t="shared" si="36"/>
        <v>10</v>
      </c>
    </row>
    <row r="327" spans="1:7" x14ac:dyDescent="0.25">
      <c r="A327" s="28">
        <v>34971</v>
      </c>
      <c r="B327" s="17">
        <v>4.0097472413171298E-2</v>
      </c>
      <c r="C327" t="str">
        <f t="shared" si="33"/>
        <v>Green</v>
      </c>
      <c r="D327">
        <f>VLOOKUP(A327,Recession!$A$1:$C$395,3,FALSE)</f>
        <v>12.74</v>
      </c>
      <c r="E327">
        <f t="shared" si="34"/>
        <v>2</v>
      </c>
      <c r="F327">
        <f t="shared" si="35"/>
        <v>1</v>
      </c>
      <c r="G327">
        <f t="shared" si="36"/>
        <v>9</v>
      </c>
    </row>
    <row r="328" spans="1:7" x14ac:dyDescent="0.25">
      <c r="A328" s="28">
        <v>34942</v>
      </c>
      <c r="B328" s="17">
        <v>-3.2023805401637501E-4</v>
      </c>
      <c r="C328" t="str">
        <f t="shared" si="33"/>
        <v>Red</v>
      </c>
      <c r="D328">
        <f>VLOOKUP(A328,Recession!$A$1:$C$395,3,FALSE)</f>
        <v>11.52</v>
      </c>
      <c r="E328">
        <f t="shared" si="34"/>
        <v>1</v>
      </c>
      <c r="F328">
        <f t="shared" si="35"/>
        <v>0</v>
      </c>
      <c r="G328">
        <f t="shared" si="36"/>
        <v>8</v>
      </c>
    </row>
    <row r="329" spans="1:7" x14ac:dyDescent="0.25">
      <c r="A329" s="28">
        <v>34911</v>
      </c>
      <c r="B329" s="17">
        <v>3.1776040385497903E-2</v>
      </c>
      <c r="C329" t="str">
        <f t="shared" si="33"/>
        <v>Green</v>
      </c>
      <c r="D329">
        <f>VLOOKUP(A329,Recession!$A$1:$C$395,3,FALSE)</f>
        <v>13.49</v>
      </c>
      <c r="E329">
        <f t="shared" si="34"/>
        <v>3</v>
      </c>
      <c r="F329">
        <f t="shared" si="35"/>
        <v>1</v>
      </c>
      <c r="G329">
        <f t="shared" si="36"/>
        <v>7</v>
      </c>
    </row>
    <row r="330" spans="1:7" x14ac:dyDescent="0.25">
      <c r="A330" s="28">
        <v>34880</v>
      </c>
      <c r="B330" s="17">
        <v>2.1278544224437399E-2</v>
      </c>
      <c r="C330" t="str">
        <f t="shared" si="33"/>
        <v>Green</v>
      </c>
      <c r="D330">
        <f>VLOOKUP(A330,Recession!$A$1:$C$395,3,FALSE)</f>
        <v>11.38</v>
      </c>
      <c r="E330">
        <f t="shared" si="34"/>
        <v>1</v>
      </c>
      <c r="F330">
        <f t="shared" si="35"/>
        <v>1</v>
      </c>
      <c r="G330">
        <f t="shared" si="36"/>
        <v>6</v>
      </c>
    </row>
    <row r="331" spans="1:7" x14ac:dyDescent="0.25">
      <c r="A331" s="28">
        <v>34850</v>
      </c>
      <c r="B331" s="17">
        <v>3.6311711839953402E-2</v>
      </c>
      <c r="C331" t="str">
        <f t="shared" si="33"/>
        <v>Green</v>
      </c>
      <c r="D331">
        <f>VLOOKUP(A331,Recession!$A$1:$C$395,3,FALSE)</f>
        <v>12.85</v>
      </c>
      <c r="E331">
        <f t="shared" si="34"/>
        <v>2</v>
      </c>
      <c r="F331">
        <f t="shared" si="35"/>
        <v>1</v>
      </c>
      <c r="G331">
        <f t="shared" si="36"/>
        <v>5</v>
      </c>
    </row>
    <row r="332" spans="1:7" x14ac:dyDescent="0.25">
      <c r="A332" s="28">
        <v>34817</v>
      </c>
      <c r="B332" s="17">
        <v>2.7960358793799302E-2</v>
      </c>
      <c r="C332" t="str">
        <f t="shared" si="33"/>
        <v>Green</v>
      </c>
      <c r="D332">
        <f>VLOOKUP(A332,Recession!$A$1:$C$395,3,FALSE)</f>
        <v>11.75</v>
      </c>
      <c r="E332">
        <f t="shared" si="34"/>
        <v>1</v>
      </c>
      <c r="F332">
        <f t="shared" si="35"/>
        <v>1</v>
      </c>
      <c r="G332">
        <f t="shared" si="36"/>
        <v>4</v>
      </c>
    </row>
    <row r="333" spans="1:7" x14ac:dyDescent="0.25">
      <c r="A333" s="28">
        <v>34789</v>
      </c>
      <c r="B333" s="17">
        <v>2.7329193438646801E-2</v>
      </c>
      <c r="C333" t="str">
        <f t="shared" si="33"/>
        <v>Green</v>
      </c>
      <c r="D333">
        <f>VLOOKUP(A333,Recession!$A$1:$C$395,3,FALSE)</f>
        <v>13.37</v>
      </c>
      <c r="E333">
        <f t="shared" si="34"/>
        <v>3</v>
      </c>
      <c r="F333">
        <f t="shared" si="35"/>
        <v>1</v>
      </c>
      <c r="G333">
        <f t="shared" si="36"/>
        <v>3</v>
      </c>
    </row>
    <row r="334" spans="1:7" x14ac:dyDescent="0.25">
      <c r="A334" s="28">
        <v>34758</v>
      </c>
      <c r="B334" s="17">
        <v>3.6074149761991602E-2</v>
      </c>
      <c r="C334" t="str">
        <f t="shared" si="33"/>
        <v>Green</v>
      </c>
      <c r="D334">
        <f>VLOOKUP(A334,Recession!$A$1:$C$395,3,FALSE)</f>
        <v>11.75</v>
      </c>
      <c r="E334">
        <f t="shared" si="34"/>
        <v>1</v>
      </c>
      <c r="F334">
        <f t="shared" si="35"/>
        <v>1</v>
      </c>
      <c r="G334">
        <f t="shared" si="36"/>
        <v>2</v>
      </c>
    </row>
    <row r="335" spans="1:7" x14ac:dyDescent="0.25">
      <c r="A335" s="28">
        <v>34730</v>
      </c>
      <c r="B335" s="17">
        <v>2.4277710860833E-2</v>
      </c>
      <c r="C335" t="str">
        <f t="shared" si="33"/>
        <v>Green</v>
      </c>
      <c r="D335">
        <f>VLOOKUP(A335,Recession!$A$1:$C$395,3,FALSE)</f>
        <v>11.96</v>
      </c>
      <c r="E335">
        <f t="shared" si="34"/>
        <v>1</v>
      </c>
      <c r="F335">
        <f t="shared" si="35"/>
        <v>1</v>
      </c>
      <c r="G335">
        <f t="shared" si="36"/>
        <v>1</v>
      </c>
    </row>
    <row r="336" spans="1:7" x14ac:dyDescent="0.25">
      <c r="A336" s="28">
        <v>34698</v>
      </c>
      <c r="B336" s="17">
        <v>1.22991182864991E-2</v>
      </c>
      <c r="C336" t="str">
        <f t="shared" si="33"/>
        <v>Green</v>
      </c>
      <c r="D336">
        <f>VLOOKUP(A336,Recession!$A$1:$C$395,3,FALSE)</f>
        <v>13.2</v>
      </c>
      <c r="E336">
        <f t="shared" si="34"/>
        <v>3</v>
      </c>
      <c r="F336">
        <f t="shared" si="35"/>
        <v>1</v>
      </c>
      <c r="G336">
        <f t="shared" si="36"/>
        <v>12</v>
      </c>
    </row>
    <row r="337" spans="1:7" x14ac:dyDescent="0.25">
      <c r="A337" s="28">
        <v>34668</v>
      </c>
      <c r="B337" s="17">
        <v>-3.9504612602884202E-2</v>
      </c>
      <c r="C337" t="str">
        <f t="shared" si="33"/>
        <v>Red</v>
      </c>
      <c r="D337">
        <f>VLOOKUP(A337,Recession!$A$1:$C$395,3,FALSE)</f>
        <v>15.95</v>
      </c>
      <c r="E337">
        <f t="shared" si="34"/>
        <v>4</v>
      </c>
      <c r="F337">
        <f t="shared" si="35"/>
        <v>0</v>
      </c>
      <c r="G337">
        <f t="shared" si="36"/>
        <v>11</v>
      </c>
    </row>
    <row r="338" spans="1:7" x14ac:dyDescent="0.25">
      <c r="A338" s="28">
        <v>34638</v>
      </c>
      <c r="B338" s="17">
        <v>2.0833816402291601E-2</v>
      </c>
      <c r="C338" t="str">
        <f t="shared" si="33"/>
        <v>Green</v>
      </c>
      <c r="D338">
        <f>VLOOKUP(A338,Recession!$A$1:$C$395,3,FALSE)</f>
        <v>14.56</v>
      </c>
      <c r="E338">
        <f t="shared" si="34"/>
        <v>3</v>
      </c>
      <c r="F338">
        <f t="shared" si="35"/>
        <v>1</v>
      </c>
      <c r="G338">
        <f t="shared" si="36"/>
        <v>10</v>
      </c>
    </row>
    <row r="339" spans="1:7" x14ac:dyDescent="0.25">
      <c r="A339" s="28">
        <v>34607</v>
      </c>
      <c r="B339" s="17">
        <v>-2.68775353188823E-2</v>
      </c>
      <c r="C339" t="str">
        <f t="shared" si="33"/>
        <v>Red</v>
      </c>
      <c r="D339">
        <f>VLOOKUP(A339,Recession!$A$1:$C$395,3,FALSE)</f>
        <v>14.28</v>
      </c>
      <c r="E339">
        <f t="shared" si="34"/>
        <v>3</v>
      </c>
      <c r="F339">
        <f t="shared" si="35"/>
        <v>0</v>
      </c>
      <c r="G339">
        <f t="shared" si="36"/>
        <v>9</v>
      </c>
    </row>
    <row r="340" spans="1:7" x14ac:dyDescent="0.25">
      <c r="A340" s="28">
        <v>34577</v>
      </c>
      <c r="B340" s="17">
        <v>3.7598698607805597E-2</v>
      </c>
      <c r="C340" t="str">
        <f t="shared" si="33"/>
        <v>Green</v>
      </c>
      <c r="D340">
        <f>VLOOKUP(A340,Recession!$A$1:$C$395,3,FALSE)</f>
        <v>11.97</v>
      </c>
      <c r="E340">
        <f t="shared" si="34"/>
        <v>1</v>
      </c>
      <c r="F340">
        <f t="shared" si="35"/>
        <v>1</v>
      </c>
      <c r="G340">
        <f t="shared" si="36"/>
        <v>8</v>
      </c>
    </row>
    <row r="341" spans="1:7" x14ac:dyDescent="0.25">
      <c r="A341" s="28">
        <v>34544</v>
      </c>
      <c r="B341" s="17">
        <v>3.1489907818193802E-2</v>
      </c>
      <c r="C341" t="str">
        <f t="shared" si="33"/>
        <v>Green</v>
      </c>
      <c r="D341">
        <f>VLOOKUP(A341,Recession!$A$1:$C$395,3,FALSE)</f>
        <v>11.13</v>
      </c>
      <c r="E341">
        <f t="shared" si="34"/>
        <v>1</v>
      </c>
      <c r="F341">
        <f t="shared" si="35"/>
        <v>1</v>
      </c>
      <c r="G341">
        <f t="shared" si="36"/>
        <v>7</v>
      </c>
    </row>
    <row r="342" spans="1:7" x14ac:dyDescent="0.25">
      <c r="A342" s="28">
        <v>34515</v>
      </c>
      <c r="B342" s="17">
        <v>-2.67908236582695E-2</v>
      </c>
      <c r="C342" t="str">
        <f t="shared" si="33"/>
        <v>Red</v>
      </c>
      <c r="D342">
        <f>VLOOKUP(A342,Recession!$A$1:$C$395,3,FALSE)</f>
        <v>14.97</v>
      </c>
      <c r="E342">
        <f t="shared" si="34"/>
        <v>4</v>
      </c>
      <c r="F342">
        <f t="shared" si="35"/>
        <v>0</v>
      </c>
      <c r="G342">
        <f t="shared" si="36"/>
        <v>6</v>
      </c>
    </row>
    <row r="343" spans="1:7" x14ac:dyDescent="0.25">
      <c r="A343" s="28">
        <v>34485</v>
      </c>
      <c r="B343" s="17">
        <v>1.23971434441716E-2</v>
      </c>
      <c r="C343" t="str">
        <f t="shared" si="33"/>
        <v>Green</v>
      </c>
      <c r="D343">
        <f>VLOOKUP(A343,Recession!$A$1:$C$395,3,FALSE)</f>
        <v>13.03</v>
      </c>
      <c r="E343">
        <f t="shared" si="34"/>
        <v>2</v>
      </c>
      <c r="F343">
        <f t="shared" si="35"/>
        <v>1</v>
      </c>
      <c r="G343">
        <f t="shared" si="36"/>
        <v>5</v>
      </c>
    </row>
    <row r="344" spans="1:7" x14ac:dyDescent="0.25">
      <c r="A344" s="28">
        <v>34453</v>
      </c>
      <c r="B344" s="17">
        <v>1.1530643889981601E-2</v>
      </c>
      <c r="C344" t="str">
        <f t="shared" si="33"/>
        <v>Green</v>
      </c>
      <c r="D344">
        <f>VLOOKUP(A344,Recession!$A$1:$C$395,3,FALSE)</f>
        <v>13.77</v>
      </c>
      <c r="E344">
        <f t="shared" si="34"/>
        <v>3</v>
      </c>
      <c r="F344">
        <f t="shared" si="35"/>
        <v>1</v>
      </c>
      <c r="G344">
        <f t="shared" si="36"/>
        <v>4</v>
      </c>
    </row>
    <row r="345" spans="1:7" x14ac:dyDescent="0.25">
      <c r="A345" s="28">
        <v>34424</v>
      </c>
      <c r="B345" s="17">
        <v>-4.5746511353774701E-2</v>
      </c>
      <c r="C345" t="str">
        <f t="shared" si="33"/>
        <v>Red</v>
      </c>
      <c r="D345">
        <f>VLOOKUP(A345,Recession!$A$1:$C$395,3,FALSE)</f>
        <v>20.450001</v>
      </c>
      <c r="E345">
        <f t="shared" si="34"/>
        <v>7</v>
      </c>
      <c r="F345">
        <f t="shared" si="35"/>
        <v>0</v>
      </c>
      <c r="G345">
        <f t="shared" si="36"/>
        <v>3</v>
      </c>
    </row>
    <row r="346" spans="1:7" x14ac:dyDescent="0.25">
      <c r="A346" s="28">
        <v>34393</v>
      </c>
      <c r="B346" s="17">
        <v>-3.00449958486637E-2</v>
      </c>
      <c r="C346" t="str">
        <f t="shared" si="33"/>
        <v>Red</v>
      </c>
      <c r="D346">
        <f>VLOOKUP(A346,Recession!$A$1:$C$395,3,FALSE)</f>
        <v>14.87</v>
      </c>
      <c r="E346">
        <f t="shared" si="34"/>
        <v>4</v>
      </c>
      <c r="F346">
        <f t="shared" si="35"/>
        <v>0</v>
      </c>
      <c r="G346">
        <f t="shared" si="36"/>
        <v>2</v>
      </c>
    </row>
    <row r="347" spans="1:7" x14ac:dyDescent="0.25">
      <c r="A347" s="28">
        <v>34365</v>
      </c>
      <c r="B347" s="17">
        <v>3.2500745224549397E-2</v>
      </c>
      <c r="C347" t="str">
        <f t="shared" si="33"/>
        <v>Green</v>
      </c>
      <c r="D347">
        <f>VLOOKUP(A347,Recession!$A$1:$C$395,3,FALSE)</f>
        <v>10.63</v>
      </c>
      <c r="E347">
        <f t="shared" si="34"/>
        <v>1</v>
      </c>
      <c r="F347">
        <f t="shared" si="35"/>
        <v>1</v>
      </c>
      <c r="G347">
        <f t="shared" si="36"/>
        <v>1</v>
      </c>
    </row>
    <row r="348" spans="1:7" x14ac:dyDescent="0.25">
      <c r="A348" s="28">
        <v>34334</v>
      </c>
      <c r="B348" s="17">
        <v>1.0091173280450901E-2</v>
      </c>
      <c r="C348" t="str">
        <f t="shared" si="33"/>
        <v>Green</v>
      </c>
      <c r="D348">
        <f>VLOOKUP(A348,Recession!$A$1:$C$395,3,FALSE)</f>
        <v>11.66</v>
      </c>
      <c r="E348">
        <f t="shared" si="34"/>
        <v>1</v>
      </c>
      <c r="F348">
        <f t="shared" si="35"/>
        <v>1</v>
      </c>
      <c r="G348">
        <f t="shared" si="36"/>
        <v>12</v>
      </c>
    </row>
    <row r="349" spans="1:7" x14ac:dyDescent="0.25">
      <c r="A349" s="28">
        <v>34303</v>
      </c>
      <c r="B349" s="17">
        <v>-1.2910626013377001E-2</v>
      </c>
      <c r="C349" t="str">
        <f t="shared" si="33"/>
        <v>Red</v>
      </c>
      <c r="D349">
        <f>VLOOKUP(A349,Recession!$A$1:$C$395,3,FALSE)</f>
        <v>13.76</v>
      </c>
      <c r="E349">
        <f t="shared" si="34"/>
        <v>3</v>
      </c>
      <c r="F349">
        <f t="shared" si="35"/>
        <v>0</v>
      </c>
      <c r="G349">
        <f t="shared" si="36"/>
        <v>11</v>
      </c>
    </row>
    <row r="350" spans="1:7" x14ac:dyDescent="0.25">
      <c r="A350" s="28">
        <v>34271</v>
      </c>
      <c r="B350" s="17">
        <v>1.9392922963742801E-2</v>
      </c>
      <c r="C350" t="str">
        <f t="shared" si="33"/>
        <v>Green</v>
      </c>
      <c r="D350">
        <f>VLOOKUP(A350,Recession!$A$1:$C$395,3,FALSE)</f>
        <v>11.46</v>
      </c>
      <c r="E350">
        <f t="shared" si="34"/>
        <v>1</v>
      </c>
      <c r="F350">
        <f t="shared" si="35"/>
        <v>1</v>
      </c>
      <c r="G350">
        <f t="shared" si="36"/>
        <v>10</v>
      </c>
    </row>
    <row r="351" spans="1:7" x14ac:dyDescent="0.25">
      <c r="A351" s="28">
        <v>34242</v>
      </c>
      <c r="B351" s="17">
        <v>-9.9879304080935406E-3</v>
      </c>
      <c r="C351" t="str">
        <f t="shared" si="33"/>
        <v>Red</v>
      </c>
      <c r="D351">
        <f>VLOOKUP(A351,Recession!$A$1:$C$395,3,FALSE)</f>
        <v>12.99</v>
      </c>
      <c r="E351">
        <f t="shared" si="34"/>
        <v>2</v>
      </c>
      <c r="F351">
        <f t="shared" si="35"/>
        <v>0</v>
      </c>
      <c r="G351">
        <f t="shared" si="36"/>
        <v>9</v>
      </c>
    </row>
    <row r="352" spans="1:7" x14ac:dyDescent="0.25">
      <c r="A352" s="28">
        <v>34212</v>
      </c>
      <c r="B352" s="17">
        <v>3.4431956860375902E-2</v>
      </c>
      <c r="C352" t="str">
        <f t="shared" si="33"/>
        <v>Green</v>
      </c>
      <c r="D352">
        <f>VLOOKUP(A352,Recession!$A$1:$C$395,3,FALSE)</f>
        <v>11.85</v>
      </c>
      <c r="E352">
        <f t="shared" si="34"/>
        <v>1</v>
      </c>
      <c r="F352">
        <f t="shared" si="35"/>
        <v>1</v>
      </c>
      <c r="G352">
        <f t="shared" si="36"/>
        <v>8</v>
      </c>
    </row>
    <row r="353" spans="1:7" x14ac:dyDescent="0.25">
      <c r="A353" s="28">
        <v>34180</v>
      </c>
      <c r="B353" s="17">
        <v>-5.3270459355138104E-3</v>
      </c>
      <c r="C353" t="str">
        <f t="shared" si="33"/>
        <v>Red</v>
      </c>
      <c r="D353">
        <f>VLOOKUP(A353,Recession!$A$1:$C$395,3,FALSE)</f>
        <v>11.73</v>
      </c>
      <c r="E353">
        <f t="shared" si="34"/>
        <v>1</v>
      </c>
      <c r="F353">
        <f t="shared" si="35"/>
        <v>0</v>
      </c>
      <c r="G353">
        <f t="shared" si="36"/>
        <v>7</v>
      </c>
    </row>
    <row r="354" spans="1:7" x14ac:dyDescent="0.25">
      <c r="A354" s="28">
        <v>34150</v>
      </c>
      <c r="B354" s="17">
        <v>7.55230010638819E-4</v>
      </c>
      <c r="C354" t="str">
        <f t="shared" si="33"/>
        <v>Green</v>
      </c>
      <c r="D354">
        <f>VLOOKUP(A354,Recession!$A$1:$C$395,3,FALSE)</f>
        <v>11.26</v>
      </c>
      <c r="E354">
        <f t="shared" si="34"/>
        <v>1</v>
      </c>
      <c r="F354">
        <f t="shared" si="35"/>
        <v>1</v>
      </c>
      <c r="G354">
        <f t="shared" si="36"/>
        <v>6</v>
      </c>
    </row>
    <row r="355" spans="1:7" x14ac:dyDescent="0.25">
      <c r="A355" s="28">
        <v>34117</v>
      </c>
      <c r="B355" s="17">
        <v>2.2717462810525099E-2</v>
      </c>
      <c r="C355" t="str">
        <f t="shared" si="33"/>
        <v>Green</v>
      </c>
      <c r="D355">
        <f>VLOOKUP(A355,Recession!$A$1:$C$395,3,FALSE)</f>
        <v>13.47</v>
      </c>
      <c r="E355">
        <f t="shared" si="34"/>
        <v>3</v>
      </c>
      <c r="F355">
        <f t="shared" si="35"/>
        <v>1</v>
      </c>
      <c r="G355">
        <f t="shared" si="36"/>
        <v>5</v>
      </c>
    </row>
    <row r="356" spans="1:7" x14ac:dyDescent="0.25">
      <c r="A356" s="28">
        <v>34089</v>
      </c>
      <c r="B356" s="17">
        <v>-2.54168102144962E-2</v>
      </c>
      <c r="C356" t="str">
        <f t="shared" si="33"/>
        <v>Red</v>
      </c>
      <c r="D356">
        <f>VLOOKUP(A356,Recession!$A$1:$C$395,3,FALSE)</f>
        <v>12.42</v>
      </c>
      <c r="E356">
        <f t="shared" si="34"/>
        <v>2</v>
      </c>
      <c r="F356">
        <f t="shared" si="35"/>
        <v>0</v>
      </c>
      <c r="G356">
        <f t="shared" si="36"/>
        <v>4</v>
      </c>
    </row>
    <row r="357" spans="1:7" x14ac:dyDescent="0.25">
      <c r="A357" s="28">
        <v>34059</v>
      </c>
      <c r="B357" s="17">
        <v>1.8697297817929399E-2</v>
      </c>
      <c r="C357" t="str">
        <f t="shared" si="33"/>
        <v>Green</v>
      </c>
      <c r="D357">
        <f>VLOOKUP(A357,Recession!$A$1:$C$395,3,FALSE)</f>
        <v>12.53</v>
      </c>
      <c r="E357">
        <f t="shared" si="34"/>
        <v>2</v>
      </c>
      <c r="F357">
        <f t="shared" si="35"/>
        <v>1</v>
      </c>
      <c r="G357">
        <f t="shared" si="36"/>
        <v>3</v>
      </c>
    </row>
    <row r="358" spans="1:7" x14ac:dyDescent="0.25">
      <c r="A358" s="28">
        <v>34026</v>
      </c>
      <c r="B358" s="17">
        <v>1.0483627354217699E-2</v>
      </c>
      <c r="C358" t="str">
        <f t="shared" si="33"/>
        <v>Green</v>
      </c>
      <c r="D358">
        <f>VLOOKUP(A358,Recession!$A$1:$C$395,3,FALSE)</f>
        <v>13.16</v>
      </c>
      <c r="E358">
        <f t="shared" si="34"/>
        <v>2</v>
      </c>
      <c r="F358">
        <f t="shared" si="35"/>
        <v>1</v>
      </c>
      <c r="G358">
        <f t="shared" si="36"/>
        <v>2</v>
      </c>
    </row>
    <row r="359" spans="1:7" x14ac:dyDescent="0.25">
      <c r="A359" s="28">
        <v>33998</v>
      </c>
      <c r="B359" s="17">
        <v>7.0459894503542798E-3</v>
      </c>
      <c r="C359" t="str">
        <f t="shared" si="33"/>
        <v>Green</v>
      </c>
      <c r="D359">
        <f>VLOOKUP(A359,Recession!$A$1:$C$395,3,FALSE)</f>
        <v>12.42</v>
      </c>
      <c r="E359">
        <f t="shared" si="34"/>
        <v>2</v>
      </c>
      <c r="F359">
        <f t="shared" si="35"/>
        <v>1</v>
      </c>
      <c r="G359">
        <f t="shared" si="36"/>
        <v>1</v>
      </c>
    </row>
    <row r="360" spans="1:7" x14ac:dyDescent="0.25">
      <c r="A360" s="28">
        <v>33969</v>
      </c>
      <c r="B360" s="17">
        <v>1.01077661744602E-2</v>
      </c>
      <c r="C360" t="str">
        <f t="shared" si="33"/>
        <v>Green</v>
      </c>
      <c r="D360">
        <f>VLOOKUP(A360,Recession!$A$1:$C$395,3,FALSE)</f>
        <v>12.57</v>
      </c>
      <c r="E360">
        <f t="shared" si="34"/>
        <v>2</v>
      </c>
      <c r="F360">
        <f t="shared" si="35"/>
        <v>1</v>
      </c>
      <c r="G360">
        <f t="shared" si="36"/>
        <v>12</v>
      </c>
    </row>
    <row r="361" spans="1:7" x14ac:dyDescent="0.25">
      <c r="A361" s="28">
        <v>33938</v>
      </c>
      <c r="B361" s="17">
        <v>3.02618066586238E-2</v>
      </c>
      <c r="C361" t="str">
        <f t="shared" si="33"/>
        <v>Green</v>
      </c>
      <c r="D361">
        <f>VLOOKUP(A361,Recession!$A$1:$C$395,3,FALSE)</f>
        <v>13.01</v>
      </c>
      <c r="E361">
        <f t="shared" si="34"/>
        <v>2</v>
      </c>
      <c r="F361">
        <f t="shared" si="35"/>
        <v>1</v>
      </c>
      <c r="G361">
        <f t="shared" si="36"/>
        <v>11</v>
      </c>
    </row>
    <row r="362" spans="1:7" x14ac:dyDescent="0.25">
      <c r="A362" s="28">
        <v>33907</v>
      </c>
      <c r="B362" s="17">
        <v>2.1062829709799199E-3</v>
      </c>
      <c r="C362" t="str">
        <f t="shared" si="33"/>
        <v>Green</v>
      </c>
      <c r="D362">
        <f>VLOOKUP(A362,Recession!$A$1:$C$395,3,FALSE)</f>
        <v>16.149999999999999</v>
      </c>
      <c r="E362">
        <f t="shared" si="34"/>
        <v>5</v>
      </c>
      <c r="F362">
        <f t="shared" si="35"/>
        <v>1</v>
      </c>
      <c r="G362">
        <f t="shared" si="36"/>
        <v>10</v>
      </c>
    </row>
    <row r="363" spans="1:7" x14ac:dyDescent="0.25">
      <c r="A363" s="28">
        <v>33877</v>
      </c>
      <c r="B363" s="17">
        <v>9.1055938195434595E-3</v>
      </c>
      <c r="C363" t="str">
        <f t="shared" si="33"/>
        <v>Green</v>
      </c>
      <c r="D363">
        <f>VLOOKUP(A363,Recession!$A$1:$C$395,3,FALSE)</f>
        <v>14.28</v>
      </c>
      <c r="E363">
        <f t="shared" si="34"/>
        <v>3</v>
      </c>
      <c r="F363">
        <f t="shared" si="35"/>
        <v>1</v>
      </c>
      <c r="G363">
        <f t="shared" si="36"/>
        <v>9</v>
      </c>
    </row>
    <row r="364" spans="1:7" x14ac:dyDescent="0.25">
      <c r="A364" s="28">
        <v>33847</v>
      </c>
      <c r="B364" s="17">
        <v>-2.3997530034600301E-2</v>
      </c>
      <c r="C364" t="str">
        <f t="shared" si="33"/>
        <v>Red</v>
      </c>
      <c r="D364">
        <f>VLOOKUP(A364,Recession!$A$1:$C$395,3,FALSE)</f>
        <v>13.58</v>
      </c>
      <c r="E364">
        <f t="shared" si="34"/>
        <v>3</v>
      </c>
      <c r="F364">
        <f t="shared" si="35"/>
        <v>0</v>
      </c>
      <c r="G364">
        <f t="shared" si="36"/>
        <v>8</v>
      </c>
    </row>
    <row r="365" spans="1:7" x14ac:dyDescent="0.25">
      <c r="A365" s="28">
        <v>33816</v>
      </c>
      <c r="B365" s="17">
        <v>3.9373684053008097E-2</v>
      </c>
      <c r="C365" t="str">
        <f t="shared" si="33"/>
        <v>Green</v>
      </c>
      <c r="D365">
        <f>VLOOKUP(A365,Recession!$A$1:$C$395,3,FALSE)</f>
        <v>13.17</v>
      </c>
      <c r="E365">
        <f t="shared" si="34"/>
        <v>2</v>
      </c>
      <c r="F365">
        <f t="shared" si="35"/>
        <v>1</v>
      </c>
      <c r="G365">
        <f t="shared" si="36"/>
        <v>7</v>
      </c>
    </row>
    <row r="366" spans="1:7" x14ac:dyDescent="0.25">
      <c r="A366" s="28">
        <v>33785</v>
      </c>
      <c r="B366" s="17">
        <v>-1.7358832059340301E-2</v>
      </c>
      <c r="C366" t="str">
        <f t="shared" si="33"/>
        <v>Red</v>
      </c>
      <c r="D366">
        <f>VLOOKUP(A366,Recession!$A$1:$C$395,3,FALSE)</f>
        <v>13.35</v>
      </c>
      <c r="E366">
        <f t="shared" si="34"/>
        <v>3</v>
      </c>
      <c r="F366">
        <f t="shared" si="35"/>
        <v>0</v>
      </c>
      <c r="G366">
        <f t="shared" si="36"/>
        <v>6</v>
      </c>
    </row>
    <row r="367" spans="1:7" x14ac:dyDescent="0.25">
      <c r="A367" s="28">
        <v>33753</v>
      </c>
      <c r="B367" s="17">
        <v>9.6395707538854403E-4</v>
      </c>
      <c r="C367" t="str">
        <f t="shared" si="33"/>
        <v>Green</v>
      </c>
      <c r="D367">
        <f>VLOOKUP(A367,Recession!$A$1:$C$395,3,FALSE)</f>
        <v>13.86</v>
      </c>
      <c r="E367">
        <f t="shared" si="34"/>
        <v>3</v>
      </c>
      <c r="F367">
        <f t="shared" si="35"/>
        <v>1</v>
      </c>
      <c r="G367">
        <f t="shared" si="36"/>
        <v>5</v>
      </c>
    </row>
    <row r="368" spans="1:7" x14ac:dyDescent="0.25">
      <c r="A368" s="28">
        <v>33724</v>
      </c>
      <c r="B368" s="17">
        <v>2.78927145686407E-2</v>
      </c>
      <c r="C368" t="str">
        <f t="shared" si="33"/>
        <v>Green</v>
      </c>
      <c r="D368">
        <f>VLOOKUP(A368,Recession!$A$1:$C$395,3,FALSE)</f>
        <v>15.53</v>
      </c>
      <c r="E368">
        <f t="shared" si="34"/>
        <v>4</v>
      </c>
      <c r="F368">
        <f t="shared" si="35"/>
        <v>1</v>
      </c>
      <c r="G368">
        <f t="shared" si="36"/>
        <v>4</v>
      </c>
    </row>
    <row r="369" spans="1:7" x14ac:dyDescent="0.25">
      <c r="A369" s="28">
        <v>33694</v>
      </c>
      <c r="B369" s="17">
        <v>-2.1831862704186199E-2</v>
      </c>
      <c r="C369" t="str">
        <f t="shared" si="33"/>
        <v>Red</v>
      </c>
      <c r="D369">
        <f>VLOOKUP(A369,Recession!$A$1:$C$395,3,FALSE)</f>
        <v>16.18</v>
      </c>
      <c r="E369">
        <f t="shared" si="34"/>
        <v>5</v>
      </c>
      <c r="F369">
        <f t="shared" si="35"/>
        <v>0</v>
      </c>
      <c r="G369">
        <f t="shared" si="36"/>
        <v>3</v>
      </c>
    </row>
    <row r="370" spans="1:7" x14ac:dyDescent="0.25">
      <c r="A370" s="28">
        <v>33662</v>
      </c>
      <c r="B370" s="17">
        <v>9.5895420754186205E-3</v>
      </c>
      <c r="C370" t="str">
        <f t="shared" si="33"/>
        <v>Green</v>
      </c>
      <c r="D370">
        <f>VLOOKUP(A370,Recession!$A$1:$C$395,3,FALSE)</f>
        <v>16.68</v>
      </c>
      <c r="E370">
        <f t="shared" si="34"/>
        <v>5</v>
      </c>
      <c r="F370">
        <f t="shared" si="35"/>
        <v>1</v>
      </c>
      <c r="G370">
        <f t="shared" si="36"/>
        <v>2</v>
      </c>
    </row>
    <row r="371" spans="1:7" x14ac:dyDescent="0.25">
      <c r="A371" s="28">
        <v>33634</v>
      </c>
      <c r="B371" s="17">
        <v>-1.9923750460799899E-2</v>
      </c>
      <c r="C371" t="str">
        <f t="shared" si="33"/>
        <v>Red</v>
      </c>
      <c r="D371">
        <f>VLOOKUP(A371,Recession!$A$1:$C$395,3,FALSE)</f>
        <v>17.399999999999999</v>
      </c>
      <c r="E371">
        <f t="shared" si="34"/>
        <v>5</v>
      </c>
      <c r="F371">
        <f t="shared" si="35"/>
        <v>0</v>
      </c>
      <c r="G371">
        <f t="shared" si="36"/>
        <v>1</v>
      </c>
    </row>
    <row r="372" spans="1:7" x14ac:dyDescent="0.25">
      <c r="A372" s="28">
        <v>33603</v>
      </c>
      <c r="B372" s="17">
        <v>0.1115878548276</v>
      </c>
      <c r="C372" t="str">
        <f t="shared" si="33"/>
        <v>Green</v>
      </c>
      <c r="D372">
        <f>VLOOKUP(A372,Recession!$A$1:$C$395,3,FALSE)</f>
        <v>19.309999000000001</v>
      </c>
      <c r="E372">
        <f t="shared" si="34"/>
        <v>6</v>
      </c>
      <c r="F372">
        <f t="shared" si="35"/>
        <v>1</v>
      </c>
      <c r="G372">
        <f t="shared" si="36"/>
        <v>12</v>
      </c>
    </row>
    <row r="373" spans="1:7" x14ac:dyDescent="0.25">
      <c r="A373" s="28">
        <v>33571</v>
      </c>
      <c r="B373" s="17">
        <v>-4.3903708684304897E-2</v>
      </c>
      <c r="C373" t="str">
        <f t="shared" si="33"/>
        <v>Red</v>
      </c>
      <c r="D373">
        <f>VLOOKUP(A373,Recession!$A$1:$C$395,3,FALSE)</f>
        <v>20.260000000000002</v>
      </c>
      <c r="E373">
        <f t="shared" si="34"/>
        <v>7</v>
      </c>
      <c r="F373">
        <f t="shared" si="35"/>
        <v>0</v>
      </c>
      <c r="G373">
        <f t="shared" si="36"/>
        <v>11</v>
      </c>
    </row>
    <row r="374" spans="1:7" x14ac:dyDescent="0.25">
      <c r="A374" s="28">
        <v>33542</v>
      </c>
      <c r="B374" s="17">
        <v>1.1834237037883701E-2</v>
      </c>
      <c r="C374" t="str">
        <f t="shared" si="33"/>
        <v>Green</v>
      </c>
      <c r="D374">
        <f>VLOOKUP(A374,Recession!$A$1:$C$395,3,FALSE)</f>
        <v>15.48</v>
      </c>
      <c r="E374">
        <f t="shared" si="34"/>
        <v>4</v>
      </c>
      <c r="F374">
        <f t="shared" si="35"/>
        <v>1</v>
      </c>
      <c r="G374">
        <f t="shared" si="36"/>
        <v>10</v>
      </c>
    </row>
    <row r="375" spans="1:7" x14ac:dyDescent="0.25">
      <c r="A375" s="28">
        <v>33511</v>
      </c>
      <c r="B375" s="17">
        <v>-1.9143737536368399E-2</v>
      </c>
      <c r="C375" t="str">
        <f t="shared" si="33"/>
        <v>Red</v>
      </c>
      <c r="D375">
        <f>VLOOKUP(A375,Recession!$A$1:$C$395,3,FALSE)</f>
        <v>15.85</v>
      </c>
      <c r="E375">
        <f t="shared" si="34"/>
        <v>4</v>
      </c>
      <c r="F375">
        <f t="shared" si="35"/>
        <v>0</v>
      </c>
      <c r="G375">
        <f t="shared" si="36"/>
        <v>9</v>
      </c>
    </row>
    <row r="376" spans="1:7" x14ac:dyDescent="0.25">
      <c r="A376" s="28">
        <v>33480</v>
      </c>
      <c r="B376" s="17">
        <v>1.96487842997797E-2</v>
      </c>
      <c r="C376" t="str">
        <f t="shared" si="33"/>
        <v>Green</v>
      </c>
      <c r="D376">
        <f>VLOOKUP(A376,Recession!$A$1:$C$395,3,FALSE)</f>
        <v>14.46</v>
      </c>
      <c r="E376">
        <f t="shared" si="34"/>
        <v>3</v>
      </c>
      <c r="F376">
        <f t="shared" si="35"/>
        <v>1</v>
      </c>
      <c r="G376">
        <f t="shared" si="36"/>
        <v>8</v>
      </c>
    </row>
    <row r="377" spans="1:7" x14ac:dyDescent="0.25">
      <c r="A377" s="28">
        <v>33450</v>
      </c>
      <c r="B377" s="17">
        <v>4.4859343195825498E-2</v>
      </c>
      <c r="C377" t="str">
        <f t="shared" si="33"/>
        <v>Green</v>
      </c>
      <c r="D377">
        <f>VLOOKUP(A377,Recession!$A$1:$C$395,3,FALSE)</f>
        <v>15.18</v>
      </c>
      <c r="E377">
        <f t="shared" si="34"/>
        <v>4</v>
      </c>
      <c r="F377">
        <f t="shared" si="35"/>
        <v>1</v>
      </c>
      <c r="G377">
        <f t="shared" si="36"/>
        <v>7</v>
      </c>
    </row>
    <row r="378" spans="1:7" x14ac:dyDescent="0.25">
      <c r="A378" s="28">
        <v>33417</v>
      </c>
      <c r="B378" s="17">
        <v>-4.7892629152718302E-2</v>
      </c>
      <c r="C378" t="str">
        <f t="shared" si="33"/>
        <v>Red</v>
      </c>
      <c r="D378">
        <f>VLOOKUP(A378,Recession!$A$1:$C$395,3,FALSE)</f>
        <v>19.549999</v>
      </c>
      <c r="E378">
        <f t="shared" si="34"/>
        <v>6</v>
      </c>
      <c r="F378">
        <f t="shared" si="35"/>
        <v>0</v>
      </c>
      <c r="G378">
        <f t="shared" si="36"/>
        <v>6</v>
      </c>
    </row>
    <row r="379" spans="1:7" x14ac:dyDescent="0.25">
      <c r="A379" s="28">
        <v>33389</v>
      </c>
      <c r="B379" s="17">
        <v>3.8604974568177998E-2</v>
      </c>
      <c r="C379" t="str">
        <f t="shared" si="33"/>
        <v>Green</v>
      </c>
      <c r="D379">
        <f>VLOOKUP(A379,Recession!$A$1:$C$395,3,FALSE)</f>
        <v>15.93</v>
      </c>
      <c r="E379">
        <f t="shared" si="34"/>
        <v>4</v>
      </c>
      <c r="F379">
        <f t="shared" si="35"/>
        <v>1</v>
      </c>
      <c r="G379">
        <f t="shared" si="36"/>
        <v>5</v>
      </c>
    </row>
    <row r="380" spans="1:7" x14ac:dyDescent="0.25">
      <c r="A380" s="28">
        <v>33358</v>
      </c>
      <c r="B380" s="17">
        <v>3.1979905037093898E-4</v>
      </c>
      <c r="C380" t="str">
        <f t="shared" si="33"/>
        <v>Green</v>
      </c>
      <c r="D380">
        <f>VLOOKUP(A380,Recession!$A$1:$C$395,3,FALSE)</f>
        <v>18.239999999999998</v>
      </c>
      <c r="E380">
        <f t="shared" si="34"/>
        <v>6</v>
      </c>
      <c r="F380">
        <f t="shared" si="35"/>
        <v>1</v>
      </c>
      <c r="G380">
        <f t="shared" si="36"/>
        <v>4</v>
      </c>
    </row>
    <row r="381" spans="1:7" x14ac:dyDescent="0.25">
      <c r="A381" s="28">
        <v>33325</v>
      </c>
      <c r="B381" s="17">
        <v>2.22028328236583E-2</v>
      </c>
      <c r="C381" t="str">
        <f t="shared" si="33"/>
        <v>Green</v>
      </c>
      <c r="D381">
        <f>VLOOKUP(A381,Recession!$A$1:$C$395,3,FALSE)</f>
        <v>16.879999000000002</v>
      </c>
      <c r="E381">
        <f t="shared" si="34"/>
        <v>5</v>
      </c>
      <c r="F381">
        <f t="shared" si="35"/>
        <v>1</v>
      </c>
      <c r="G381">
        <f t="shared" si="36"/>
        <v>3</v>
      </c>
    </row>
    <row r="382" spans="1:7" x14ac:dyDescent="0.25">
      <c r="A382" s="28">
        <v>33297</v>
      </c>
      <c r="B382" s="17">
        <v>6.7281174863978596E-2</v>
      </c>
      <c r="C382" t="str">
        <f t="shared" si="33"/>
        <v>Green</v>
      </c>
      <c r="D382">
        <f>VLOOKUP(A382,Recession!$A$1:$C$395,3,FALSE)</f>
        <v>21.23</v>
      </c>
      <c r="E382">
        <f t="shared" si="34"/>
        <v>7</v>
      </c>
      <c r="F382">
        <f t="shared" si="35"/>
        <v>1</v>
      </c>
      <c r="G382">
        <f t="shared" si="36"/>
        <v>2</v>
      </c>
    </row>
    <row r="383" spans="1:7" x14ac:dyDescent="0.25">
      <c r="A383" s="28">
        <v>33269</v>
      </c>
      <c r="B383" s="17">
        <v>4.1517751676101597E-2</v>
      </c>
      <c r="C383" t="str">
        <f t="shared" si="33"/>
        <v>Green</v>
      </c>
      <c r="D383">
        <f>VLOOKUP(A383,Recession!$A$1:$C$395,3,FALSE)</f>
        <v>20.91</v>
      </c>
      <c r="E383">
        <f t="shared" si="34"/>
        <v>7</v>
      </c>
      <c r="F383">
        <f t="shared" si="35"/>
        <v>1</v>
      </c>
      <c r="G383">
        <f t="shared" si="36"/>
        <v>1</v>
      </c>
    </row>
    <row r="384" spans="1:7" x14ac:dyDescent="0.25">
      <c r="A384" s="28">
        <v>33238</v>
      </c>
      <c r="B384" s="17">
        <v>2.4827757355757599E-2</v>
      </c>
      <c r="C384" t="str">
        <f t="shared" si="33"/>
        <v>Green</v>
      </c>
      <c r="D384">
        <f>VLOOKUP(A384,Recession!$A$1:$C$395,3,FALSE)</f>
        <v>26.379999000000002</v>
      </c>
      <c r="E384">
        <f t="shared" si="34"/>
        <v>9</v>
      </c>
      <c r="F384">
        <f t="shared" si="35"/>
        <v>1</v>
      </c>
      <c r="G384">
        <f t="shared" si="36"/>
        <v>12</v>
      </c>
    </row>
    <row r="385" spans="1:9" x14ac:dyDescent="0.25">
      <c r="A385" s="28">
        <v>33207</v>
      </c>
      <c r="B385" s="17">
        <v>5.9934213815789401E-2</v>
      </c>
      <c r="C385" t="str">
        <f t="shared" si="33"/>
        <v>Green</v>
      </c>
      <c r="D385">
        <f>VLOOKUP(A385,Recession!$A$1:$C$395,3,FALSE)</f>
        <v>22.16</v>
      </c>
      <c r="E385">
        <f t="shared" si="34"/>
        <v>8</v>
      </c>
      <c r="F385">
        <f t="shared" si="35"/>
        <v>1</v>
      </c>
      <c r="G385">
        <f t="shared" si="36"/>
        <v>11</v>
      </c>
    </row>
    <row r="386" spans="1:9" x14ac:dyDescent="0.25">
      <c r="A386" s="28">
        <v>33177</v>
      </c>
      <c r="B386" s="17">
        <v>-6.6982129729734599E-3</v>
      </c>
      <c r="C386" t="str">
        <f t="shared" si="33"/>
        <v>Red</v>
      </c>
      <c r="D386">
        <f>VLOOKUP(A386,Recession!$A$1:$C$395,3,FALSE)</f>
        <v>30.040001</v>
      </c>
      <c r="E386">
        <f t="shared" si="34"/>
        <v>10</v>
      </c>
      <c r="F386">
        <f t="shared" si="35"/>
        <v>0</v>
      </c>
      <c r="G386">
        <f t="shared" si="36"/>
        <v>10</v>
      </c>
    </row>
    <row r="387" spans="1:9" x14ac:dyDescent="0.25">
      <c r="A387" s="28">
        <v>33144</v>
      </c>
      <c r="B387" s="17">
        <v>-5.1184307112997998E-2</v>
      </c>
      <c r="C387" t="str">
        <f t="shared" ref="C387:C395" si="37">IF(B387&gt;0,"Green","Red")</f>
        <v>Red</v>
      </c>
      <c r="D387">
        <f>VLOOKUP(A387,Recession!$A$1:$C$395,3,FALSE)</f>
        <v>29.110001</v>
      </c>
      <c r="E387">
        <f t="shared" si="34"/>
        <v>10</v>
      </c>
      <c r="F387">
        <f t="shared" si="35"/>
        <v>0</v>
      </c>
      <c r="G387">
        <f t="shared" si="36"/>
        <v>9</v>
      </c>
    </row>
    <row r="388" spans="1:9" x14ac:dyDescent="0.25">
      <c r="A388" s="28">
        <v>33116</v>
      </c>
      <c r="B388" s="17">
        <v>-9.43141838154853E-2</v>
      </c>
      <c r="C388" t="str">
        <f t="shared" si="37"/>
        <v>Red</v>
      </c>
      <c r="D388">
        <f>VLOOKUP(A388,Recession!$A$1:$C$395,3,FALSE)</f>
        <v>29.9</v>
      </c>
      <c r="E388">
        <f t="shared" ref="E388:E395" si="38">IF(D388&gt;28.95,10,IF(D388&gt;24.46,9,IF(D388&gt;21.81,8,IF(D388&gt;19.71,7,IF(D388&gt;17.73,6,IF(D388&gt;16.13,5,IF(D388&gt;14.61,4,IF(D388&gt;13.19,3,IF(D388&gt;12.04,2,1)))))))))</f>
        <v>10</v>
      </c>
      <c r="F388">
        <f t="shared" ref="F388:F395" si="39">IF(B388&gt;0,1,0)</f>
        <v>0</v>
      </c>
      <c r="G388">
        <f t="shared" ref="G388:G395" si="40">MONTH(A388)</f>
        <v>8</v>
      </c>
    </row>
    <row r="389" spans="1:9" x14ac:dyDescent="0.25">
      <c r="A389" s="28">
        <v>33085</v>
      </c>
      <c r="B389" s="17">
        <v>-5.2231580846174904E-3</v>
      </c>
      <c r="C389" t="str">
        <f t="shared" si="37"/>
        <v>Red</v>
      </c>
      <c r="D389">
        <f>VLOOKUP(A389,Recession!$A$1:$C$395,3,FALSE)</f>
        <v>21.110001</v>
      </c>
      <c r="E389">
        <f t="shared" si="38"/>
        <v>7</v>
      </c>
      <c r="F389">
        <f t="shared" si="39"/>
        <v>0</v>
      </c>
      <c r="G389">
        <f t="shared" si="40"/>
        <v>7</v>
      </c>
    </row>
    <row r="390" spans="1:9" x14ac:dyDescent="0.25">
      <c r="A390" s="28">
        <v>33053</v>
      </c>
      <c r="B390" s="17">
        <v>-8.8863657565815303E-3</v>
      </c>
      <c r="C390" t="str">
        <f t="shared" si="37"/>
        <v>Red</v>
      </c>
      <c r="D390">
        <f>VLOOKUP(A390,Recession!$A$1:$C$395,3,FALSE)</f>
        <v>15.5</v>
      </c>
      <c r="E390">
        <f t="shared" si="38"/>
        <v>4</v>
      </c>
      <c r="F390">
        <f t="shared" si="39"/>
        <v>0</v>
      </c>
      <c r="G390">
        <f t="shared" si="40"/>
        <v>6</v>
      </c>
    </row>
    <row r="391" spans="1:9" x14ac:dyDescent="0.25">
      <c r="A391" s="28">
        <v>33024</v>
      </c>
      <c r="B391" s="17">
        <v>9.1989190156802597E-2</v>
      </c>
      <c r="C391" t="str">
        <f t="shared" si="37"/>
        <v>Green</v>
      </c>
      <c r="D391">
        <f>VLOOKUP(A391,Recession!$A$1:$C$395,3,FALSE)</f>
        <v>17.370000999999998</v>
      </c>
      <c r="E391">
        <f t="shared" si="38"/>
        <v>5</v>
      </c>
      <c r="F391">
        <f t="shared" si="39"/>
        <v>1</v>
      </c>
      <c r="G391">
        <f t="shared" si="40"/>
        <v>5</v>
      </c>
      <c r="I391" s="22"/>
    </row>
    <row r="392" spans="1:9" x14ac:dyDescent="0.25">
      <c r="A392" s="28">
        <v>32993</v>
      </c>
      <c r="B392" s="17">
        <v>-2.6887138748678398E-2</v>
      </c>
      <c r="C392" t="str">
        <f t="shared" si="37"/>
        <v>Red</v>
      </c>
      <c r="D392">
        <f>VLOOKUP(A392,Recession!$A$1:$C$395,3,FALSE)</f>
        <v>19.52</v>
      </c>
      <c r="E392">
        <f t="shared" si="38"/>
        <v>6</v>
      </c>
      <c r="F392">
        <f t="shared" si="39"/>
        <v>0</v>
      </c>
      <c r="G392">
        <f t="shared" si="40"/>
        <v>4</v>
      </c>
    </row>
    <row r="393" spans="1:9" x14ac:dyDescent="0.25">
      <c r="A393" s="28">
        <v>32962</v>
      </c>
      <c r="B393" s="17">
        <v>2.4254983989199001E-2</v>
      </c>
      <c r="C393" t="str">
        <f t="shared" si="37"/>
        <v>Green</v>
      </c>
      <c r="D393">
        <f>VLOOKUP(A393,Recession!$A$1:$C$395,3,FALSE)</f>
        <v>19.73</v>
      </c>
      <c r="E393">
        <f t="shared" si="38"/>
        <v>7</v>
      </c>
      <c r="F393">
        <f t="shared" si="39"/>
        <v>1</v>
      </c>
      <c r="G393">
        <f t="shared" si="40"/>
        <v>3</v>
      </c>
    </row>
    <row r="394" spans="1:9" x14ac:dyDescent="0.25">
      <c r="A394" s="28">
        <v>32932</v>
      </c>
      <c r="B394" s="17">
        <v>8.5390425155207304E-3</v>
      </c>
      <c r="C394" t="str">
        <f t="shared" si="37"/>
        <v>Green</v>
      </c>
      <c r="D394">
        <f>VLOOKUP(A394,Recession!$A$1:$C$395,3,FALSE)</f>
        <v>21.99</v>
      </c>
      <c r="E394">
        <f t="shared" si="38"/>
        <v>8</v>
      </c>
      <c r="F394">
        <f t="shared" si="39"/>
        <v>1</v>
      </c>
      <c r="G394">
        <f t="shared" si="40"/>
        <v>2</v>
      </c>
    </row>
    <row r="395" spans="1:9" x14ac:dyDescent="0.25">
      <c r="A395" s="28">
        <v>32904</v>
      </c>
      <c r="B395" s="17">
        <v>-6.8817225277032601E-2</v>
      </c>
      <c r="C395" t="str">
        <f t="shared" si="37"/>
        <v>Red</v>
      </c>
      <c r="D395">
        <f>VLOOKUP(A395,Recession!$A$1:$C$395,3,FALSE)</f>
        <v>25.360001</v>
      </c>
      <c r="E395">
        <f t="shared" si="38"/>
        <v>9</v>
      </c>
      <c r="F395">
        <f t="shared" si="39"/>
        <v>0</v>
      </c>
      <c r="G395">
        <f t="shared" si="40"/>
        <v>1</v>
      </c>
    </row>
    <row r="396" spans="1:9" x14ac:dyDescent="0.25">
      <c r="A396" s="28"/>
      <c r="B396" s="17"/>
    </row>
    <row r="397" spans="1:9" x14ac:dyDescent="0.25">
      <c r="A397" s="28"/>
      <c r="B397" s="17"/>
    </row>
    <row r="398" spans="1:9" x14ac:dyDescent="0.25">
      <c r="A398" s="28"/>
      <c r="B398" s="17"/>
    </row>
    <row r="399" spans="1:9" x14ac:dyDescent="0.25">
      <c r="A399" s="28"/>
      <c r="B399" s="17"/>
    </row>
    <row r="400" spans="1:9" x14ac:dyDescent="0.25">
      <c r="A400" s="28"/>
      <c r="B400" s="17"/>
    </row>
    <row r="401" spans="1:2" x14ac:dyDescent="0.25">
      <c r="A401" s="28"/>
      <c r="B401" s="17"/>
    </row>
    <row r="402" spans="1:2" x14ac:dyDescent="0.25">
      <c r="A402" s="28"/>
      <c r="B402" s="17"/>
    </row>
    <row r="403" spans="1:2" x14ac:dyDescent="0.25">
      <c r="A403" s="28"/>
      <c r="B403" s="17"/>
    </row>
    <row r="404" spans="1:2" x14ac:dyDescent="0.25">
      <c r="A404" s="28"/>
      <c r="B404" s="17"/>
    </row>
    <row r="405" spans="1:2" x14ac:dyDescent="0.25">
      <c r="A405" s="28"/>
      <c r="B405" s="17"/>
    </row>
    <row r="406" spans="1:2" x14ac:dyDescent="0.25">
      <c r="A406" s="28"/>
      <c r="B406" s="17"/>
    </row>
    <row r="407" spans="1:2" x14ac:dyDescent="0.25">
      <c r="A407" s="28"/>
      <c r="B407" s="17"/>
    </row>
    <row r="408" spans="1:2" x14ac:dyDescent="0.25">
      <c r="A408" s="28"/>
      <c r="B408" s="17"/>
    </row>
    <row r="409" spans="1:2" x14ac:dyDescent="0.25">
      <c r="A409" s="28"/>
      <c r="B409" s="17"/>
    </row>
    <row r="410" spans="1:2" x14ac:dyDescent="0.25">
      <c r="A410" s="28"/>
      <c r="B410" s="17"/>
    </row>
    <row r="411" spans="1:2" x14ac:dyDescent="0.25">
      <c r="A411" s="28"/>
      <c r="B411" s="17"/>
    </row>
    <row r="412" spans="1:2" x14ac:dyDescent="0.25">
      <c r="A412" s="28"/>
      <c r="B412" s="17"/>
    </row>
    <row r="413" spans="1:2" x14ac:dyDescent="0.25">
      <c r="A413" s="28"/>
      <c r="B413" s="17"/>
    </row>
    <row r="414" spans="1:2" x14ac:dyDescent="0.25">
      <c r="A414" s="28"/>
      <c r="B414" s="17"/>
    </row>
    <row r="415" spans="1:2" x14ac:dyDescent="0.25">
      <c r="A415" s="28"/>
      <c r="B415" s="17"/>
    </row>
    <row r="416" spans="1:2" x14ac:dyDescent="0.25">
      <c r="A416" s="28"/>
      <c r="B416" s="17"/>
    </row>
    <row r="417" spans="1:2" x14ac:dyDescent="0.25">
      <c r="A417" s="28"/>
      <c r="B417" s="17"/>
    </row>
    <row r="418" spans="1:2" x14ac:dyDescent="0.25">
      <c r="A418" s="28"/>
      <c r="B418" s="17"/>
    </row>
    <row r="419" spans="1:2" x14ac:dyDescent="0.25">
      <c r="A419" s="28"/>
      <c r="B419" s="17"/>
    </row>
    <row r="420" spans="1:2" x14ac:dyDescent="0.25">
      <c r="A420" s="28"/>
      <c r="B420" s="17"/>
    </row>
    <row r="421" spans="1:2" x14ac:dyDescent="0.25">
      <c r="A421" s="28"/>
      <c r="B421" s="17"/>
    </row>
    <row r="422" spans="1:2" x14ac:dyDescent="0.25">
      <c r="A422" s="28"/>
      <c r="B422" s="17"/>
    </row>
    <row r="423" spans="1:2" x14ac:dyDescent="0.25">
      <c r="A423" s="28"/>
      <c r="B423" s="17"/>
    </row>
    <row r="424" spans="1:2" x14ac:dyDescent="0.25">
      <c r="A424" s="28"/>
      <c r="B424" s="17"/>
    </row>
    <row r="425" spans="1:2" x14ac:dyDescent="0.25">
      <c r="A425" s="28"/>
      <c r="B425" s="17"/>
    </row>
    <row r="426" spans="1:2" x14ac:dyDescent="0.25">
      <c r="A426" s="28"/>
      <c r="B426" s="17"/>
    </row>
    <row r="427" spans="1:2" x14ac:dyDescent="0.25">
      <c r="A427" s="28"/>
      <c r="B427" s="17"/>
    </row>
    <row r="428" spans="1:2" x14ac:dyDescent="0.25">
      <c r="A428" s="28"/>
      <c r="B428" s="17"/>
    </row>
    <row r="429" spans="1:2" x14ac:dyDescent="0.25">
      <c r="A429" s="28"/>
      <c r="B429" s="17"/>
    </row>
    <row r="430" spans="1:2" x14ac:dyDescent="0.25">
      <c r="A430" s="28"/>
      <c r="B430" s="17"/>
    </row>
    <row r="431" spans="1:2" x14ac:dyDescent="0.25">
      <c r="A431" s="28"/>
      <c r="B431" s="17"/>
    </row>
    <row r="432" spans="1:2" x14ac:dyDescent="0.25">
      <c r="A432" s="28"/>
      <c r="B432" s="17"/>
    </row>
    <row r="433" spans="1:2" x14ac:dyDescent="0.25">
      <c r="A433" s="28"/>
      <c r="B433" s="17"/>
    </row>
    <row r="434" spans="1:2" x14ac:dyDescent="0.25">
      <c r="A434" s="28"/>
      <c r="B434" s="17"/>
    </row>
    <row r="435" spans="1:2" x14ac:dyDescent="0.25">
      <c r="A435" s="28"/>
      <c r="B435" s="17"/>
    </row>
    <row r="436" spans="1:2" x14ac:dyDescent="0.25">
      <c r="A436" s="28"/>
      <c r="B436" s="17"/>
    </row>
    <row r="437" spans="1:2" x14ac:dyDescent="0.25">
      <c r="A437" s="28"/>
      <c r="B437" s="17"/>
    </row>
    <row r="438" spans="1:2" x14ac:dyDescent="0.25">
      <c r="A438" s="28"/>
      <c r="B438" s="17"/>
    </row>
    <row r="439" spans="1:2" x14ac:dyDescent="0.25">
      <c r="A439" s="28"/>
      <c r="B439" s="17"/>
    </row>
    <row r="440" spans="1:2" x14ac:dyDescent="0.25">
      <c r="A440" s="28"/>
      <c r="B440" s="17"/>
    </row>
    <row r="441" spans="1:2" x14ac:dyDescent="0.25">
      <c r="A441" s="28"/>
      <c r="B441" s="17"/>
    </row>
    <row r="442" spans="1:2" x14ac:dyDescent="0.25">
      <c r="A442" s="28"/>
      <c r="B442" s="17"/>
    </row>
    <row r="443" spans="1:2" x14ac:dyDescent="0.25">
      <c r="A443" s="28"/>
      <c r="B443" s="17"/>
    </row>
    <row r="444" spans="1:2" x14ac:dyDescent="0.25">
      <c r="A444" s="28"/>
      <c r="B444" s="17"/>
    </row>
    <row r="445" spans="1:2" x14ac:dyDescent="0.25">
      <c r="A445" s="28"/>
      <c r="B445" s="17"/>
    </row>
    <row r="446" spans="1:2" x14ac:dyDescent="0.25">
      <c r="A446" s="28"/>
      <c r="B446" s="17"/>
    </row>
    <row r="447" spans="1:2" x14ac:dyDescent="0.25">
      <c r="A447" s="28"/>
      <c r="B447" s="17"/>
    </row>
    <row r="448" spans="1:2" x14ac:dyDescent="0.25">
      <c r="A448" s="28"/>
      <c r="B448" s="17"/>
    </row>
    <row r="449" spans="1:2" x14ac:dyDescent="0.25">
      <c r="A449" s="28"/>
      <c r="B449" s="17"/>
    </row>
    <row r="450" spans="1:2" x14ac:dyDescent="0.25">
      <c r="A450" s="28"/>
      <c r="B450" s="17"/>
    </row>
    <row r="451" spans="1:2" x14ac:dyDescent="0.25">
      <c r="A451" s="28"/>
      <c r="B451" s="17"/>
    </row>
    <row r="452" spans="1:2" x14ac:dyDescent="0.25">
      <c r="A452" s="28"/>
      <c r="B452" s="17"/>
    </row>
    <row r="453" spans="1:2" x14ac:dyDescent="0.25">
      <c r="A453" s="28"/>
      <c r="B453" s="17"/>
    </row>
    <row r="454" spans="1:2" x14ac:dyDescent="0.25">
      <c r="A454" s="28"/>
      <c r="B454" s="17"/>
    </row>
    <row r="455" spans="1:2" x14ac:dyDescent="0.25">
      <c r="A455" s="28"/>
      <c r="B455" s="17"/>
    </row>
    <row r="456" spans="1:2" x14ac:dyDescent="0.25">
      <c r="A456" s="28"/>
      <c r="B456" s="17"/>
    </row>
    <row r="457" spans="1:2" x14ac:dyDescent="0.25">
      <c r="A457" s="28"/>
      <c r="B457" s="17"/>
    </row>
    <row r="458" spans="1:2" x14ac:dyDescent="0.25">
      <c r="A458" s="28"/>
      <c r="B458" s="17"/>
    </row>
    <row r="459" spans="1:2" x14ac:dyDescent="0.25">
      <c r="A459" s="28"/>
      <c r="B459" s="17"/>
    </row>
    <row r="460" spans="1:2" x14ac:dyDescent="0.25">
      <c r="A460" s="28"/>
      <c r="B460" s="17"/>
    </row>
    <row r="461" spans="1:2" x14ac:dyDescent="0.25">
      <c r="A461" s="28"/>
      <c r="B461" s="17"/>
    </row>
    <row r="462" spans="1:2" x14ac:dyDescent="0.25">
      <c r="A462" s="28"/>
      <c r="B462" s="17"/>
    </row>
    <row r="463" spans="1:2" x14ac:dyDescent="0.25">
      <c r="A463" s="28"/>
      <c r="B463" s="17"/>
    </row>
    <row r="464" spans="1:2" x14ac:dyDescent="0.25">
      <c r="A464" s="28"/>
      <c r="B464" s="17"/>
    </row>
    <row r="465" spans="1:2" x14ac:dyDescent="0.25">
      <c r="A465" s="28"/>
      <c r="B465" s="17"/>
    </row>
    <row r="466" spans="1:2" x14ac:dyDescent="0.25">
      <c r="A466" s="28"/>
      <c r="B466" s="17"/>
    </row>
    <row r="467" spans="1:2" x14ac:dyDescent="0.25">
      <c r="A467" s="28"/>
      <c r="B467" s="17"/>
    </row>
    <row r="468" spans="1:2" x14ac:dyDescent="0.25">
      <c r="A468" s="28"/>
      <c r="B468" s="17"/>
    </row>
    <row r="469" spans="1:2" x14ac:dyDescent="0.25">
      <c r="A469" s="28"/>
      <c r="B469" s="17"/>
    </row>
    <row r="470" spans="1:2" x14ac:dyDescent="0.25">
      <c r="A470" s="28"/>
      <c r="B470" s="17"/>
    </row>
    <row r="471" spans="1:2" x14ac:dyDescent="0.25">
      <c r="A471" s="28"/>
      <c r="B471" s="17"/>
    </row>
    <row r="472" spans="1:2" x14ac:dyDescent="0.25">
      <c r="A472" s="28"/>
      <c r="B472" s="17"/>
    </row>
    <row r="473" spans="1:2" x14ac:dyDescent="0.25">
      <c r="A473" s="28"/>
      <c r="B473" s="17"/>
    </row>
    <row r="474" spans="1:2" x14ac:dyDescent="0.25">
      <c r="A474" s="28"/>
      <c r="B474" s="17"/>
    </row>
    <row r="475" spans="1:2" x14ac:dyDescent="0.25">
      <c r="A475" s="28"/>
      <c r="B475" s="17"/>
    </row>
    <row r="476" spans="1:2" x14ac:dyDescent="0.25">
      <c r="A476" s="28"/>
      <c r="B476" s="17"/>
    </row>
    <row r="477" spans="1:2" x14ac:dyDescent="0.25">
      <c r="A477" s="28"/>
      <c r="B477" s="17"/>
    </row>
    <row r="478" spans="1:2" x14ac:dyDescent="0.25">
      <c r="A478" s="28"/>
      <c r="B478" s="17"/>
    </row>
    <row r="479" spans="1:2" x14ac:dyDescent="0.25">
      <c r="A479" s="28"/>
      <c r="B479" s="17"/>
    </row>
    <row r="480" spans="1:2" x14ac:dyDescent="0.25">
      <c r="A480" s="28"/>
      <c r="B480" s="17"/>
    </row>
    <row r="481" spans="1:2" x14ac:dyDescent="0.25">
      <c r="A481" s="28"/>
      <c r="B481" s="17"/>
    </row>
    <row r="482" spans="1:2" x14ac:dyDescent="0.25">
      <c r="A482" s="28"/>
      <c r="B482" s="17"/>
    </row>
    <row r="483" spans="1:2" x14ac:dyDescent="0.25">
      <c r="A483" s="28"/>
      <c r="B483" s="17"/>
    </row>
    <row r="484" spans="1:2" x14ac:dyDescent="0.25">
      <c r="A484" s="28"/>
      <c r="B484" s="17"/>
    </row>
    <row r="485" spans="1:2" x14ac:dyDescent="0.25">
      <c r="A485" s="28"/>
      <c r="B485" s="17"/>
    </row>
    <row r="486" spans="1:2" x14ac:dyDescent="0.25">
      <c r="A486" s="28"/>
      <c r="B486" s="17"/>
    </row>
    <row r="487" spans="1:2" x14ac:dyDescent="0.25">
      <c r="A487" s="28"/>
      <c r="B487" s="17"/>
    </row>
    <row r="488" spans="1:2" x14ac:dyDescent="0.25">
      <c r="A488" s="28"/>
      <c r="B488" s="17"/>
    </row>
    <row r="489" spans="1:2" x14ac:dyDescent="0.25">
      <c r="A489" s="28"/>
      <c r="B489" s="17"/>
    </row>
    <row r="490" spans="1:2" x14ac:dyDescent="0.25">
      <c r="A490" s="28"/>
      <c r="B490" s="17"/>
    </row>
    <row r="491" spans="1:2" x14ac:dyDescent="0.25">
      <c r="A491" s="28"/>
      <c r="B491" s="17"/>
    </row>
    <row r="492" spans="1:2" x14ac:dyDescent="0.25">
      <c r="A492" s="28"/>
      <c r="B492" s="17"/>
    </row>
    <row r="493" spans="1:2" x14ac:dyDescent="0.25">
      <c r="A493" s="28"/>
      <c r="B493" s="17"/>
    </row>
    <row r="494" spans="1:2" x14ac:dyDescent="0.25">
      <c r="A494" s="28"/>
      <c r="B494" s="17"/>
    </row>
    <row r="495" spans="1:2" x14ac:dyDescent="0.25">
      <c r="A495" s="28"/>
      <c r="B495" s="17"/>
    </row>
    <row r="496" spans="1:2" x14ac:dyDescent="0.25">
      <c r="A496" s="28"/>
      <c r="B496" s="17"/>
    </row>
    <row r="497" spans="1:2" x14ac:dyDescent="0.25">
      <c r="A497" s="28"/>
      <c r="B497" s="17"/>
    </row>
    <row r="498" spans="1:2" x14ac:dyDescent="0.25">
      <c r="A498" s="28"/>
      <c r="B498" s="17"/>
    </row>
    <row r="499" spans="1:2" x14ac:dyDescent="0.25">
      <c r="A499" s="28"/>
      <c r="B499" s="17"/>
    </row>
    <row r="500" spans="1:2" x14ac:dyDescent="0.25">
      <c r="A500" s="28"/>
      <c r="B500" s="17"/>
    </row>
    <row r="501" spans="1:2" x14ac:dyDescent="0.25">
      <c r="A501" s="28"/>
      <c r="B501" s="17"/>
    </row>
    <row r="502" spans="1:2" x14ac:dyDescent="0.25">
      <c r="A502" s="28"/>
      <c r="B502" s="17"/>
    </row>
    <row r="503" spans="1:2" x14ac:dyDescent="0.25">
      <c r="A503" s="28"/>
      <c r="B503" s="17"/>
    </row>
    <row r="504" spans="1:2" x14ac:dyDescent="0.25">
      <c r="A504" s="28"/>
      <c r="B504" s="17"/>
    </row>
    <row r="505" spans="1:2" x14ac:dyDescent="0.25">
      <c r="A505" s="28"/>
      <c r="B505" s="17"/>
    </row>
    <row r="506" spans="1:2" x14ac:dyDescent="0.25">
      <c r="A506" s="28"/>
      <c r="B506" s="17"/>
    </row>
    <row r="507" spans="1:2" x14ac:dyDescent="0.25">
      <c r="A507" s="28"/>
      <c r="B507" s="17"/>
    </row>
    <row r="508" spans="1:2" x14ac:dyDescent="0.25">
      <c r="A508" s="28"/>
      <c r="B508" s="17"/>
    </row>
    <row r="509" spans="1:2" x14ac:dyDescent="0.25">
      <c r="A509" s="28"/>
      <c r="B509" s="17"/>
    </row>
    <row r="510" spans="1:2" x14ac:dyDescent="0.25">
      <c r="A510" s="28"/>
      <c r="B510" s="17"/>
    </row>
    <row r="511" spans="1:2" x14ac:dyDescent="0.25">
      <c r="A511" s="28"/>
      <c r="B511" s="17"/>
    </row>
    <row r="512" spans="1:2" x14ac:dyDescent="0.25">
      <c r="A512" s="28"/>
      <c r="B512" s="17"/>
    </row>
    <row r="513" spans="1:2" x14ac:dyDescent="0.25">
      <c r="A513" s="28"/>
      <c r="B513" s="17"/>
    </row>
    <row r="514" spans="1:2" x14ac:dyDescent="0.25">
      <c r="A514" s="28"/>
      <c r="B514" s="17"/>
    </row>
    <row r="515" spans="1:2" x14ac:dyDescent="0.25">
      <c r="A515" s="28"/>
      <c r="B515" s="17"/>
    </row>
    <row r="516" spans="1:2" x14ac:dyDescent="0.25">
      <c r="A516" s="28"/>
      <c r="B516" s="17"/>
    </row>
    <row r="517" spans="1:2" x14ac:dyDescent="0.25">
      <c r="A517" s="28"/>
      <c r="B517" s="17"/>
    </row>
    <row r="518" spans="1:2" x14ac:dyDescent="0.25">
      <c r="A518" s="28"/>
      <c r="B518" s="17"/>
    </row>
    <row r="519" spans="1:2" x14ac:dyDescent="0.25">
      <c r="A519" s="28"/>
      <c r="B519" s="17"/>
    </row>
    <row r="520" spans="1:2" x14ac:dyDescent="0.25">
      <c r="A520" s="28"/>
      <c r="B520" s="17"/>
    </row>
    <row r="521" spans="1:2" x14ac:dyDescent="0.25">
      <c r="A521" s="28"/>
      <c r="B521" s="17"/>
    </row>
    <row r="522" spans="1:2" x14ac:dyDescent="0.25">
      <c r="A522" s="28"/>
      <c r="B522" s="17"/>
    </row>
    <row r="523" spans="1:2" x14ac:dyDescent="0.25">
      <c r="A523" s="28"/>
      <c r="B523" s="17"/>
    </row>
    <row r="524" spans="1:2" x14ac:dyDescent="0.25">
      <c r="A524" s="28"/>
      <c r="B524" s="17"/>
    </row>
    <row r="525" spans="1:2" x14ac:dyDescent="0.25">
      <c r="A525" s="28"/>
      <c r="B525" s="17"/>
    </row>
    <row r="526" spans="1:2" x14ac:dyDescent="0.25">
      <c r="A526" s="28"/>
      <c r="B526" s="17"/>
    </row>
    <row r="527" spans="1:2" x14ac:dyDescent="0.25">
      <c r="A527" s="28"/>
      <c r="B527" s="17"/>
    </row>
    <row r="528" spans="1:2" x14ac:dyDescent="0.25">
      <c r="A528" s="28"/>
      <c r="B528" s="17"/>
    </row>
    <row r="529" spans="1:2" x14ac:dyDescent="0.25">
      <c r="A529" s="28"/>
      <c r="B529" s="17"/>
    </row>
    <row r="530" spans="1:2" x14ac:dyDescent="0.25">
      <c r="A530" s="28"/>
      <c r="B530" s="17"/>
    </row>
    <row r="531" spans="1:2" x14ac:dyDescent="0.25">
      <c r="A531" s="28"/>
      <c r="B531" s="17"/>
    </row>
    <row r="532" spans="1:2" x14ac:dyDescent="0.25">
      <c r="A532" s="28"/>
      <c r="B532" s="17"/>
    </row>
    <row r="533" spans="1:2" x14ac:dyDescent="0.25">
      <c r="A533" s="28"/>
      <c r="B533" s="17"/>
    </row>
    <row r="534" spans="1:2" x14ac:dyDescent="0.25">
      <c r="A534" s="28"/>
      <c r="B534" s="17"/>
    </row>
    <row r="535" spans="1:2" x14ac:dyDescent="0.25">
      <c r="A535" s="28"/>
      <c r="B535" s="17"/>
    </row>
    <row r="536" spans="1:2" x14ac:dyDescent="0.25">
      <c r="A536" s="28"/>
      <c r="B536" s="17"/>
    </row>
    <row r="537" spans="1:2" x14ac:dyDescent="0.25">
      <c r="A537" s="28"/>
      <c r="B537" s="17"/>
    </row>
    <row r="538" spans="1:2" x14ac:dyDescent="0.25">
      <c r="A538" s="28"/>
      <c r="B538" s="17"/>
    </row>
    <row r="539" spans="1:2" x14ac:dyDescent="0.25">
      <c r="A539" s="28"/>
      <c r="B539" s="17"/>
    </row>
    <row r="540" spans="1:2" x14ac:dyDescent="0.25">
      <c r="A540" s="28"/>
      <c r="B540" s="17"/>
    </row>
    <row r="541" spans="1:2" x14ac:dyDescent="0.25">
      <c r="A541" s="28"/>
      <c r="B541" s="17"/>
    </row>
    <row r="542" spans="1:2" x14ac:dyDescent="0.25">
      <c r="A542" s="28"/>
      <c r="B542" s="17"/>
    </row>
    <row r="543" spans="1:2" x14ac:dyDescent="0.25">
      <c r="A543" s="28"/>
      <c r="B543" s="17"/>
    </row>
    <row r="544" spans="1:2" x14ac:dyDescent="0.25">
      <c r="A544" s="28"/>
      <c r="B544" s="17"/>
    </row>
    <row r="545" spans="1:2" x14ac:dyDescent="0.25">
      <c r="A545" s="28"/>
      <c r="B545" s="17"/>
    </row>
    <row r="546" spans="1:2" x14ac:dyDescent="0.25">
      <c r="A546" s="28"/>
      <c r="B546" s="17"/>
    </row>
    <row r="547" spans="1:2" x14ac:dyDescent="0.25">
      <c r="A547" s="28"/>
      <c r="B547" s="17"/>
    </row>
    <row r="548" spans="1:2" x14ac:dyDescent="0.25">
      <c r="A548" s="28"/>
      <c r="B548" s="17"/>
    </row>
    <row r="549" spans="1:2" x14ac:dyDescent="0.25">
      <c r="A549" s="28"/>
      <c r="B549" s="17"/>
    </row>
    <row r="550" spans="1:2" x14ac:dyDescent="0.25">
      <c r="A550" s="28"/>
      <c r="B550" s="17"/>
    </row>
    <row r="551" spans="1:2" x14ac:dyDescent="0.25">
      <c r="A551" s="28"/>
      <c r="B551" s="17"/>
    </row>
    <row r="552" spans="1:2" x14ac:dyDescent="0.25">
      <c r="A552" s="28"/>
      <c r="B552" s="17"/>
    </row>
    <row r="553" spans="1:2" x14ac:dyDescent="0.25">
      <c r="A553" s="28"/>
      <c r="B553" s="17"/>
    </row>
    <row r="554" spans="1:2" x14ac:dyDescent="0.25">
      <c r="A554" s="28"/>
      <c r="B554" s="17"/>
    </row>
    <row r="555" spans="1:2" x14ac:dyDescent="0.25">
      <c r="A555" s="28"/>
      <c r="B555" s="17"/>
    </row>
    <row r="556" spans="1:2" x14ac:dyDescent="0.25">
      <c r="A556" s="28"/>
      <c r="B556" s="17"/>
    </row>
    <row r="557" spans="1:2" x14ac:dyDescent="0.25">
      <c r="A557" s="28"/>
      <c r="B557" s="17"/>
    </row>
    <row r="558" spans="1:2" x14ac:dyDescent="0.25">
      <c r="A558" s="28"/>
      <c r="B558" s="17"/>
    </row>
    <row r="559" spans="1:2" x14ac:dyDescent="0.25">
      <c r="A559" s="28"/>
      <c r="B559" s="17"/>
    </row>
    <row r="560" spans="1:2" x14ac:dyDescent="0.25">
      <c r="A560" s="28"/>
      <c r="B560" s="17"/>
    </row>
    <row r="561" spans="1:2" x14ac:dyDescent="0.25">
      <c r="A561" s="28"/>
      <c r="B561" s="17"/>
    </row>
    <row r="562" spans="1:2" x14ac:dyDescent="0.25">
      <c r="A562" s="28"/>
      <c r="B562" s="17"/>
    </row>
    <row r="563" spans="1:2" x14ac:dyDescent="0.25">
      <c r="A563" s="28"/>
      <c r="B563" s="17"/>
    </row>
    <row r="564" spans="1:2" x14ac:dyDescent="0.25">
      <c r="A564" s="28"/>
      <c r="B564" s="17"/>
    </row>
    <row r="565" spans="1:2" x14ac:dyDescent="0.25">
      <c r="A565" s="28"/>
      <c r="B565" s="17"/>
    </row>
    <row r="566" spans="1:2" x14ac:dyDescent="0.25">
      <c r="A566" s="28"/>
      <c r="B566" s="17"/>
    </row>
    <row r="567" spans="1:2" x14ac:dyDescent="0.25">
      <c r="A567" s="28"/>
      <c r="B567" s="17"/>
    </row>
    <row r="568" spans="1:2" x14ac:dyDescent="0.25">
      <c r="A568" s="28"/>
      <c r="B568" s="17"/>
    </row>
    <row r="569" spans="1:2" x14ac:dyDescent="0.25">
      <c r="A569" s="28"/>
      <c r="B569" s="17"/>
    </row>
    <row r="570" spans="1:2" x14ac:dyDescent="0.25">
      <c r="A570" s="28"/>
      <c r="B570" s="17"/>
    </row>
    <row r="571" spans="1:2" x14ac:dyDescent="0.25">
      <c r="A571" s="28"/>
      <c r="B571" s="17"/>
    </row>
    <row r="572" spans="1:2" x14ac:dyDescent="0.25">
      <c r="A572" s="28"/>
      <c r="B572" s="17"/>
    </row>
    <row r="573" spans="1:2" x14ac:dyDescent="0.25">
      <c r="A573" s="28"/>
      <c r="B573" s="17"/>
    </row>
    <row r="574" spans="1:2" x14ac:dyDescent="0.25">
      <c r="A574" s="28"/>
      <c r="B574" s="17"/>
    </row>
    <row r="575" spans="1:2" x14ac:dyDescent="0.25">
      <c r="A575" s="28"/>
      <c r="B575" s="17"/>
    </row>
    <row r="576" spans="1:2" x14ac:dyDescent="0.25">
      <c r="A576" s="28"/>
      <c r="B576" s="17"/>
    </row>
    <row r="577" spans="1:2" x14ac:dyDescent="0.25">
      <c r="A577" s="28"/>
      <c r="B577" s="17"/>
    </row>
    <row r="578" spans="1:2" x14ac:dyDescent="0.25">
      <c r="A578" s="28"/>
      <c r="B578" s="17"/>
    </row>
    <row r="579" spans="1:2" x14ac:dyDescent="0.25">
      <c r="A579" s="28"/>
      <c r="B579" s="17"/>
    </row>
    <row r="580" spans="1:2" x14ac:dyDescent="0.25">
      <c r="A580" s="28"/>
      <c r="B580" s="17"/>
    </row>
    <row r="581" spans="1:2" x14ac:dyDescent="0.25">
      <c r="A581" s="28"/>
      <c r="B581" s="17"/>
    </row>
    <row r="582" spans="1:2" x14ac:dyDescent="0.25">
      <c r="A582" s="28"/>
      <c r="B582" s="17"/>
    </row>
    <row r="583" spans="1:2" x14ac:dyDescent="0.25">
      <c r="A583" s="28"/>
      <c r="B583" s="17"/>
    </row>
    <row r="584" spans="1:2" x14ac:dyDescent="0.25">
      <c r="A584" s="28"/>
      <c r="B584" s="17"/>
    </row>
    <row r="585" spans="1:2" x14ac:dyDescent="0.25">
      <c r="A585" s="28"/>
      <c r="B585" s="17"/>
    </row>
    <row r="586" spans="1:2" x14ac:dyDescent="0.25">
      <c r="A586" s="28"/>
      <c r="B586" s="17"/>
    </row>
    <row r="587" spans="1:2" x14ac:dyDescent="0.25">
      <c r="A587" s="28"/>
      <c r="B587" s="17"/>
    </row>
    <row r="588" spans="1:2" x14ac:dyDescent="0.25">
      <c r="A588" s="28"/>
      <c r="B588" s="17"/>
    </row>
    <row r="589" spans="1:2" x14ac:dyDescent="0.25">
      <c r="A589" s="28"/>
      <c r="B589" s="17"/>
    </row>
    <row r="590" spans="1:2" x14ac:dyDescent="0.25">
      <c r="A590" s="28"/>
      <c r="B590" s="17"/>
    </row>
    <row r="591" spans="1:2" x14ac:dyDescent="0.25">
      <c r="A591" s="28"/>
      <c r="B591" s="17"/>
    </row>
    <row r="592" spans="1:2" x14ac:dyDescent="0.25">
      <c r="A592" s="28"/>
      <c r="B592" s="17"/>
    </row>
    <row r="593" spans="1:2" x14ac:dyDescent="0.25">
      <c r="A593" s="28"/>
      <c r="B593" s="17"/>
    </row>
    <row r="594" spans="1:2" x14ac:dyDescent="0.25">
      <c r="A594" s="28"/>
      <c r="B594" s="17"/>
    </row>
    <row r="595" spans="1:2" x14ac:dyDescent="0.25">
      <c r="A595" s="28"/>
      <c r="B595" s="17"/>
    </row>
    <row r="596" spans="1:2" x14ac:dyDescent="0.25">
      <c r="A596" s="28"/>
      <c r="B596" s="17"/>
    </row>
    <row r="597" spans="1:2" x14ac:dyDescent="0.25">
      <c r="A597" s="28"/>
      <c r="B597" s="17"/>
    </row>
    <row r="598" spans="1:2" x14ac:dyDescent="0.25">
      <c r="A598" s="28"/>
      <c r="B598" s="17"/>
    </row>
    <row r="599" spans="1:2" x14ac:dyDescent="0.25">
      <c r="A599" s="28"/>
      <c r="B599" s="17"/>
    </row>
    <row r="600" spans="1:2" x14ac:dyDescent="0.25">
      <c r="A600" s="28"/>
      <c r="B600" s="17"/>
    </row>
    <row r="601" spans="1:2" x14ac:dyDescent="0.25">
      <c r="A601" s="28"/>
      <c r="B601" s="17"/>
    </row>
    <row r="602" spans="1:2" x14ac:dyDescent="0.25">
      <c r="A602" s="28"/>
      <c r="B602" s="17"/>
    </row>
    <row r="603" spans="1:2" x14ac:dyDescent="0.25">
      <c r="A603" s="28"/>
      <c r="B603" s="17"/>
    </row>
    <row r="604" spans="1:2" x14ac:dyDescent="0.25">
      <c r="A604" s="28"/>
      <c r="B604" s="17"/>
    </row>
    <row r="605" spans="1:2" x14ac:dyDescent="0.25">
      <c r="A605" s="28"/>
      <c r="B605" s="17"/>
    </row>
    <row r="606" spans="1:2" x14ac:dyDescent="0.25">
      <c r="A606" s="28"/>
      <c r="B606" s="17"/>
    </row>
    <row r="607" spans="1:2" x14ac:dyDescent="0.25">
      <c r="A607" s="28"/>
      <c r="B607" s="17"/>
    </row>
    <row r="608" spans="1:2" x14ac:dyDescent="0.25">
      <c r="A608" s="28"/>
      <c r="B608" s="17"/>
    </row>
    <row r="609" spans="1:2" x14ac:dyDescent="0.25">
      <c r="A609" s="28"/>
      <c r="B609" s="17"/>
    </row>
    <row r="610" spans="1:2" x14ac:dyDescent="0.25">
      <c r="A610" s="28"/>
      <c r="B610" s="17"/>
    </row>
    <row r="611" spans="1:2" x14ac:dyDescent="0.25">
      <c r="A611" s="28"/>
      <c r="B611" s="17"/>
    </row>
    <row r="612" spans="1:2" x14ac:dyDescent="0.25">
      <c r="A612" s="28"/>
      <c r="B612" s="17"/>
    </row>
    <row r="613" spans="1:2" x14ac:dyDescent="0.25">
      <c r="A613" s="28"/>
      <c r="B613" s="17"/>
    </row>
    <row r="614" spans="1:2" x14ac:dyDescent="0.25">
      <c r="A614" s="28"/>
      <c r="B614" s="17"/>
    </row>
    <row r="615" spans="1:2" x14ac:dyDescent="0.25">
      <c r="A615" s="28"/>
      <c r="B615" s="17"/>
    </row>
    <row r="616" spans="1:2" x14ac:dyDescent="0.25">
      <c r="A616" s="28"/>
      <c r="B616" s="17"/>
    </row>
    <row r="617" spans="1:2" x14ac:dyDescent="0.25">
      <c r="A617" s="28"/>
      <c r="B617" s="17"/>
    </row>
    <row r="618" spans="1:2" x14ac:dyDescent="0.25">
      <c r="A618" s="28"/>
      <c r="B618" s="17"/>
    </row>
    <row r="619" spans="1:2" x14ac:dyDescent="0.25">
      <c r="A619" s="28"/>
      <c r="B619" s="17"/>
    </row>
    <row r="620" spans="1:2" x14ac:dyDescent="0.25">
      <c r="A620" s="28"/>
      <c r="B620" s="17"/>
    </row>
    <row r="621" spans="1:2" x14ac:dyDescent="0.25">
      <c r="A621" s="28"/>
      <c r="B621" s="17"/>
    </row>
    <row r="622" spans="1:2" x14ac:dyDescent="0.25">
      <c r="A622" s="28"/>
      <c r="B622" s="17"/>
    </row>
    <row r="623" spans="1:2" x14ac:dyDescent="0.25">
      <c r="A623" s="28"/>
      <c r="B623" s="17"/>
    </row>
    <row r="624" spans="1:2" x14ac:dyDescent="0.25">
      <c r="A624" s="28"/>
      <c r="B624" s="17"/>
    </row>
    <row r="625" spans="1:2" x14ac:dyDescent="0.25">
      <c r="A625" s="28"/>
      <c r="B625" s="17"/>
    </row>
    <row r="626" spans="1:2" x14ac:dyDescent="0.25">
      <c r="A626" s="28"/>
      <c r="B626" s="17"/>
    </row>
    <row r="627" spans="1:2" x14ac:dyDescent="0.25">
      <c r="A627" s="28"/>
      <c r="B627" s="17"/>
    </row>
    <row r="628" spans="1:2" x14ac:dyDescent="0.25">
      <c r="A628" s="28"/>
      <c r="B628" s="17"/>
    </row>
    <row r="629" spans="1:2" x14ac:dyDescent="0.25">
      <c r="A629" s="28"/>
      <c r="B629" s="17"/>
    </row>
    <row r="630" spans="1:2" x14ac:dyDescent="0.25">
      <c r="A630" s="28"/>
      <c r="B630" s="17"/>
    </row>
    <row r="631" spans="1:2" x14ac:dyDescent="0.25">
      <c r="A631" s="28"/>
      <c r="B631" s="17"/>
    </row>
    <row r="632" spans="1:2" x14ac:dyDescent="0.25">
      <c r="A632" s="28"/>
      <c r="B632" s="17"/>
    </row>
    <row r="633" spans="1:2" x14ac:dyDescent="0.25">
      <c r="A633" s="28"/>
      <c r="B633" s="17"/>
    </row>
    <row r="634" spans="1:2" x14ac:dyDescent="0.25">
      <c r="A634" s="28"/>
      <c r="B634" s="17"/>
    </row>
    <row r="635" spans="1:2" x14ac:dyDescent="0.25">
      <c r="A635" s="28"/>
      <c r="B635" s="17"/>
    </row>
    <row r="636" spans="1:2" x14ac:dyDescent="0.25">
      <c r="A636" s="28"/>
      <c r="B636" s="17"/>
    </row>
    <row r="637" spans="1:2" x14ac:dyDescent="0.25">
      <c r="A637" s="28"/>
      <c r="B637" s="17"/>
    </row>
    <row r="638" spans="1:2" x14ac:dyDescent="0.25">
      <c r="A638" s="28"/>
      <c r="B638" s="17"/>
    </row>
    <row r="639" spans="1:2" x14ac:dyDescent="0.25">
      <c r="A639" s="28"/>
      <c r="B639" s="17"/>
    </row>
    <row r="640" spans="1:2" x14ac:dyDescent="0.25">
      <c r="A640" s="28"/>
      <c r="B640" s="17"/>
    </row>
    <row r="641" spans="1:2" x14ac:dyDescent="0.25">
      <c r="A641" s="28"/>
      <c r="B641" s="17"/>
    </row>
    <row r="642" spans="1:2" x14ac:dyDescent="0.25">
      <c r="A642" s="28"/>
      <c r="B642" s="17"/>
    </row>
    <row r="643" spans="1:2" x14ac:dyDescent="0.25">
      <c r="A643" s="28"/>
      <c r="B643" s="17"/>
    </row>
    <row r="644" spans="1:2" x14ac:dyDescent="0.25">
      <c r="A644" s="28"/>
      <c r="B644" s="17"/>
    </row>
    <row r="645" spans="1:2" x14ac:dyDescent="0.25">
      <c r="A645" s="28"/>
      <c r="B645" s="17"/>
    </row>
    <row r="646" spans="1:2" x14ac:dyDescent="0.25">
      <c r="A646" s="28"/>
      <c r="B646" s="17"/>
    </row>
    <row r="647" spans="1:2" x14ac:dyDescent="0.25">
      <c r="A647" s="28"/>
      <c r="B647" s="17"/>
    </row>
    <row r="648" spans="1:2" x14ac:dyDescent="0.25">
      <c r="A648" s="28"/>
      <c r="B648" s="17"/>
    </row>
    <row r="649" spans="1:2" x14ac:dyDescent="0.25">
      <c r="A649" s="28"/>
      <c r="B649" s="17"/>
    </row>
    <row r="650" spans="1:2" x14ac:dyDescent="0.25">
      <c r="A650" s="28"/>
      <c r="B650" s="17"/>
    </row>
    <row r="651" spans="1:2" x14ac:dyDescent="0.25">
      <c r="A651" s="28"/>
      <c r="B651" s="17"/>
    </row>
    <row r="652" spans="1:2" x14ac:dyDescent="0.25">
      <c r="A652" s="28"/>
      <c r="B652" s="17"/>
    </row>
    <row r="653" spans="1:2" x14ac:dyDescent="0.25">
      <c r="A653" s="28"/>
      <c r="B653" s="17"/>
    </row>
    <row r="654" spans="1:2" x14ac:dyDescent="0.25">
      <c r="A654" s="28"/>
      <c r="B654" s="17"/>
    </row>
    <row r="655" spans="1:2" x14ac:dyDescent="0.25">
      <c r="A655" s="28"/>
      <c r="B655" s="17"/>
    </row>
    <row r="656" spans="1:2" x14ac:dyDescent="0.25">
      <c r="A656" s="28"/>
      <c r="B656" s="17"/>
    </row>
    <row r="657" spans="1:2" x14ac:dyDescent="0.25">
      <c r="A657" s="28"/>
      <c r="B657" s="17"/>
    </row>
    <row r="658" spans="1:2" x14ac:dyDescent="0.25">
      <c r="A658" s="28"/>
      <c r="B658" s="17"/>
    </row>
    <row r="659" spans="1:2" x14ac:dyDescent="0.25">
      <c r="A659" s="28"/>
      <c r="B659" s="17"/>
    </row>
    <row r="660" spans="1:2" x14ac:dyDescent="0.25">
      <c r="A660" s="28"/>
      <c r="B660" s="17"/>
    </row>
    <row r="661" spans="1:2" x14ac:dyDescent="0.25">
      <c r="A661" s="28"/>
      <c r="B661" s="17"/>
    </row>
    <row r="662" spans="1:2" x14ac:dyDescent="0.25">
      <c r="A662" s="28"/>
      <c r="B662" s="17"/>
    </row>
    <row r="663" spans="1:2" x14ac:dyDescent="0.25">
      <c r="A663" s="28"/>
      <c r="B663" s="17"/>
    </row>
    <row r="664" spans="1:2" x14ac:dyDescent="0.25">
      <c r="A664" s="28"/>
      <c r="B664" s="17"/>
    </row>
    <row r="665" spans="1:2" x14ac:dyDescent="0.25">
      <c r="A665" s="28"/>
      <c r="B665" s="17"/>
    </row>
    <row r="666" spans="1:2" x14ac:dyDescent="0.25">
      <c r="A666" s="28"/>
      <c r="B666" s="17"/>
    </row>
    <row r="667" spans="1:2" x14ac:dyDescent="0.25">
      <c r="A667" s="28"/>
      <c r="B667" s="17"/>
    </row>
    <row r="668" spans="1:2" x14ac:dyDescent="0.25">
      <c r="A668" s="28"/>
      <c r="B668" s="17"/>
    </row>
    <row r="669" spans="1:2" x14ac:dyDescent="0.25">
      <c r="A669" s="28"/>
      <c r="B669" s="17"/>
    </row>
    <row r="670" spans="1:2" x14ac:dyDescent="0.25">
      <c r="A670" s="28"/>
      <c r="B670" s="17"/>
    </row>
    <row r="671" spans="1:2" x14ac:dyDescent="0.25">
      <c r="A671" s="28"/>
      <c r="B671" s="17"/>
    </row>
    <row r="672" spans="1:2" x14ac:dyDescent="0.25">
      <c r="A672" s="28"/>
      <c r="B672" s="17"/>
    </row>
    <row r="673" spans="1:2" x14ac:dyDescent="0.25">
      <c r="A673" s="28"/>
      <c r="B673" s="17"/>
    </row>
    <row r="674" spans="1:2" x14ac:dyDescent="0.25">
      <c r="A674" s="28"/>
      <c r="B674" s="17"/>
    </row>
    <row r="675" spans="1:2" x14ac:dyDescent="0.25">
      <c r="A675" s="28"/>
      <c r="B675" s="17"/>
    </row>
    <row r="676" spans="1:2" x14ac:dyDescent="0.25">
      <c r="A676" s="28"/>
      <c r="B676" s="17"/>
    </row>
    <row r="677" spans="1:2" x14ac:dyDescent="0.25">
      <c r="A677" s="28"/>
      <c r="B677" s="17"/>
    </row>
    <row r="678" spans="1:2" x14ac:dyDescent="0.25">
      <c r="A678" s="28"/>
      <c r="B678" s="17"/>
    </row>
    <row r="679" spans="1:2" x14ac:dyDescent="0.25">
      <c r="A679" s="28"/>
      <c r="B679" s="17"/>
    </row>
    <row r="680" spans="1:2" x14ac:dyDescent="0.25">
      <c r="A680" s="28"/>
      <c r="B680" s="17"/>
    </row>
    <row r="681" spans="1:2" x14ac:dyDescent="0.25">
      <c r="A681" s="28"/>
      <c r="B681" s="17"/>
    </row>
    <row r="682" spans="1:2" x14ac:dyDescent="0.25">
      <c r="A682" s="28"/>
      <c r="B682" s="17"/>
    </row>
    <row r="683" spans="1:2" x14ac:dyDescent="0.25">
      <c r="A683" s="28"/>
      <c r="B683" s="17"/>
    </row>
    <row r="684" spans="1:2" x14ac:dyDescent="0.25">
      <c r="A684" s="28"/>
      <c r="B684" s="17"/>
    </row>
    <row r="685" spans="1:2" x14ac:dyDescent="0.25">
      <c r="A685" s="28"/>
      <c r="B685" s="17"/>
    </row>
    <row r="686" spans="1:2" x14ac:dyDescent="0.25">
      <c r="A686" s="28"/>
      <c r="B686" s="17"/>
    </row>
    <row r="687" spans="1:2" x14ac:dyDescent="0.25">
      <c r="A687" s="28"/>
      <c r="B687" s="17"/>
    </row>
    <row r="688" spans="1:2" x14ac:dyDescent="0.25">
      <c r="A688" s="28"/>
      <c r="B688" s="17"/>
    </row>
    <row r="689" spans="1:2" x14ac:dyDescent="0.25">
      <c r="A689" s="28"/>
      <c r="B689" s="17"/>
    </row>
    <row r="690" spans="1:2" x14ac:dyDescent="0.25">
      <c r="A690" s="28"/>
      <c r="B690" s="17"/>
    </row>
    <row r="691" spans="1:2" x14ac:dyDescent="0.25">
      <c r="A691" s="28"/>
      <c r="B691" s="17"/>
    </row>
    <row r="692" spans="1:2" x14ac:dyDescent="0.25">
      <c r="A692" s="28"/>
      <c r="B692" s="17"/>
    </row>
    <row r="693" spans="1:2" x14ac:dyDescent="0.25">
      <c r="A693" s="28"/>
      <c r="B693" s="17"/>
    </row>
    <row r="694" spans="1:2" x14ac:dyDescent="0.25">
      <c r="A694" s="28"/>
      <c r="B694" s="17"/>
    </row>
    <row r="695" spans="1:2" x14ac:dyDescent="0.25">
      <c r="A695" s="28"/>
      <c r="B695" s="17"/>
    </row>
    <row r="696" spans="1:2" x14ac:dyDescent="0.25">
      <c r="A696" s="28"/>
      <c r="B696" s="17"/>
    </row>
    <row r="697" spans="1:2" x14ac:dyDescent="0.25">
      <c r="A697" s="28"/>
      <c r="B697" s="17"/>
    </row>
    <row r="698" spans="1:2" x14ac:dyDescent="0.25">
      <c r="A698" s="28"/>
      <c r="B698" s="17"/>
    </row>
    <row r="699" spans="1:2" x14ac:dyDescent="0.25">
      <c r="A699" s="28"/>
      <c r="B699" s="17"/>
    </row>
    <row r="700" spans="1:2" x14ac:dyDescent="0.25">
      <c r="A700" s="28"/>
      <c r="B700" s="17"/>
    </row>
    <row r="701" spans="1:2" x14ac:dyDescent="0.25">
      <c r="A701" s="28"/>
      <c r="B701" s="17"/>
    </row>
    <row r="702" spans="1:2" x14ac:dyDescent="0.25">
      <c r="A702" s="28"/>
      <c r="B702" s="17"/>
    </row>
    <row r="703" spans="1:2" x14ac:dyDescent="0.25">
      <c r="A703" s="28"/>
      <c r="B703" s="17"/>
    </row>
    <row r="704" spans="1:2" x14ac:dyDescent="0.25">
      <c r="A704" s="28"/>
      <c r="B704" s="17"/>
    </row>
    <row r="705" spans="1:2" x14ac:dyDescent="0.25">
      <c r="A705" s="28"/>
      <c r="B705" s="17"/>
    </row>
    <row r="706" spans="1:2" x14ac:dyDescent="0.25">
      <c r="A706" s="28"/>
      <c r="B706" s="17"/>
    </row>
    <row r="707" spans="1:2" x14ac:dyDescent="0.25">
      <c r="A707" s="28"/>
      <c r="B707" s="17"/>
    </row>
    <row r="708" spans="1:2" x14ac:dyDescent="0.25">
      <c r="A708" s="28"/>
      <c r="B708" s="17"/>
    </row>
    <row r="709" spans="1:2" x14ac:dyDescent="0.25">
      <c r="A709" s="28"/>
      <c r="B709" s="17"/>
    </row>
    <row r="710" spans="1:2" x14ac:dyDescent="0.25">
      <c r="A710" s="28"/>
      <c r="B710" s="17"/>
    </row>
    <row r="711" spans="1:2" x14ac:dyDescent="0.25">
      <c r="A711" s="28"/>
      <c r="B711" s="17"/>
    </row>
    <row r="712" spans="1:2" x14ac:dyDescent="0.25">
      <c r="A712" s="28"/>
      <c r="B712" s="17"/>
    </row>
    <row r="713" spans="1:2" x14ac:dyDescent="0.25">
      <c r="A713" s="28"/>
      <c r="B713" s="17"/>
    </row>
    <row r="714" spans="1:2" x14ac:dyDescent="0.25">
      <c r="A714" s="28"/>
      <c r="B714" s="17"/>
    </row>
    <row r="715" spans="1:2" x14ac:dyDescent="0.25">
      <c r="A715" s="28"/>
      <c r="B715" s="17"/>
    </row>
    <row r="716" spans="1:2" x14ac:dyDescent="0.25">
      <c r="A716" s="28"/>
      <c r="B716" s="17"/>
    </row>
    <row r="717" spans="1:2" x14ac:dyDescent="0.25">
      <c r="A717" s="28"/>
      <c r="B717" s="17"/>
    </row>
    <row r="718" spans="1:2" x14ac:dyDescent="0.25">
      <c r="A718" s="28"/>
      <c r="B718" s="17"/>
    </row>
    <row r="719" spans="1:2" x14ac:dyDescent="0.25">
      <c r="A719" s="28"/>
      <c r="B719" s="17"/>
    </row>
    <row r="720" spans="1:2" x14ac:dyDescent="0.25">
      <c r="A720" s="28"/>
      <c r="B720" s="17"/>
    </row>
    <row r="721" spans="1:2" x14ac:dyDescent="0.25">
      <c r="A721" s="28"/>
      <c r="B721" s="17"/>
    </row>
    <row r="722" spans="1:2" x14ac:dyDescent="0.25">
      <c r="A722" s="28"/>
      <c r="B722" s="17"/>
    </row>
    <row r="723" spans="1:2" x14ac:dyDescent="0.25">
      <c r="A723" s="28"/>
      <c r="B723" s="17"/>
    </row>
    <row r="724" spans="1:2" x14ac:dyDescent="0.25">
      <c r="A724" s="28"/>
      <c r="B724" s="17"/>
    </row>
    <row r="725" spans="1:2" x14ac:dyDescent="0.25">
      <c r="A725" s="28"/>
      <c r="B725" s="17"/>
    </row>
    <row r="726" spans="1:2" x14ac:dyDescent="0.25">
      <c r="A726" s="28"/>
      <c r="B726" s="17"/>
    </row>
    <row r="727" spans="1:2" x14ac:dyDescent="0.25">
      <c r="A727" s="28"/>
      <c r="B727" s="17"/>
    </row>
    <row r="728" spans="1:2" x14ac:dyDescent="0.25">
      <c r="A728" s="28"/>
      <c r="B728" s="17"/>
    </row>
    <row r="729" spans="1:2" x14ac:dyDescent="0.25">
      <c r="A729" s="28"/>
      <c r="B729" s="17"/>
    </row>
    <row r="730" spans="1:2" x14ac:dyDescent="0.25">
      <c r="A730" s="28"/>
      <c r="B730" s="17"/>
    </row>
    <row r="731" spans="1:2" x14ac:dyDescent="0.25">
      <c r="A731" s="28"/>
      <c r="B731" s="17"/>
    </row>
    <row r="732" spans="1:2" x14ac:dyDescent="0.25">
      <c r="A732" s="28"/>
      <c r="B732" s="17"/>
    </row>
    <row r="733" spans="1:2" x14ac:dyDescent="0.25">
      <c r="A733" s="28"/>
      <c r="B733" s="17"/>
    </row>
    <row r="734" spans="1:2" x14ac:dyDescent="0.25">
      <c r="A734" s="28"/>
      <c r="B734" s="17"/>
    </row>
    <row r="735" spans="1:2" x14ac:dyDescent="0.25">
      <c r="A735" s="28"/>
      <c r="B735" s="17"/>
    </row>
    <row r="736" spans="1:2" x14ac:dyDescent="0.25">
      <c r="A736" s="28"/>
      <c r="B736" s="17"/>
    </row>
    <row r="737" spans="1:2" x14ac:dyDescent="0.25">
      <c r="A737" s="28"/>
      <c r="B737" s="17"/>
    </row>
    <row r="738" spans="1:2" x14ac:dyDescent="0.25">
      <c r="A738" s="28"/>
      <c r="B738" s="17"/>
    </row>
    <row r="739" spans="1:2" x14ac:dyDescent="0.25">
      <c r="A739" s="28"/>
      <c r="B739" s="17"/>
    </row>
    <row r="740" spans="1:2" x14ac:dyDescent="0.25">
      <c r="A740" s="28"/>
      <c r="B740" s="17"/>
    </row>
    <row r="741" spans="1:2" x14ac:dyDescent="0.25">
      <c r="A741" s="28"/>
      <c r="B741" s="17"/>
    </row>
    <row r="742" spans="1:2" x14ac:dyDescent="0.25">
      <c r="A742" s="28"/>
      <c r="B742" s="17"/>
    </row>
    <row r="743" spans="1:2" x14ac:dyDescent="0.25">
      <c r="A743" s="28"/>
      <c r="B743" s="17"/>
    </row>
    <row r="744" spans="1:2" x14ac:dyDescent="0.25">
      <c r="A744" s="28"/>
      <c r="B744" s="17"/>
    </row>
    <row r="745" spans="1:2" x14ac:dyDescent="0.25">
      <c r="A745" s="28"/>
      <c r="B745" s="17"/>
    </row>
    <row r="746" spans="1:2" x14ac:dyDescent="0.25">
      <c r="A746" s="28"/>
      <c r="B746" s="17"/>
    </row>
    <row r="747" spans="1:2" x14ac:dyDescent="0.25">
      <c r="A747" s="28"/>
      <c r="B747" s="17"/>
    </row>
    <row r="748" spans="1:2" x14ac:dyDescent="0.25">
      <c r="A748" s="28"/>
      <c r="B748" s="17"/>
    </row>
    <row r="749" spans="1:2" x14ac:dyDescent="0.25">
      <c r="A749" s="28"/>
      <c r="B749" s="17"/>
    </row>
    <row r="750" spans="1:2" x14ac:dyDescent="0.25">
      <c r="A750" s="28"/>
      <c r="B750" s="17"/>
    </row>
    <row r="751" spans="1:2" x14ac:dyDescent="0.25">
      <c r="A751" s="28"/>
      <c r="B751" s="17"/>
    </row>
    <row r="752" spans="1:2" x14ac:dyDescent="0.25">
      <c r="A752" s="28"/>
      <c r="B752" s="17"/>
    </row>
    <row r="753" spans="1:2" x14ac:dyDescent="0.25">
      <c r="A753" s="28"/>
      <c r="B753" s="17"/>
    </row>
    <row r="754" spans="1:2" x14ac:dyDescent="0.25">
      <c r="A754" s="28"/>
      <c r="B754" s="17"/>
    </row>
    <row r="755" spans="1:2" x14ac:dyDescent="0.25">
      <c r="A755" s="28"/>
      <c r="B755" s="17"/>
    </row>
    <row r="756" spans="1:2" x14ac:dyDescent="0.25">
      <c r="A756" s="28"/>
      <c r="B756" s="17"/>
    </row>
    <row r="757" spans="1:2" x14ac:dyDescent="0.25">
      <c r="A757" s="28"/>
      <c r="B757" s="17"/>
    </row>
    <row r="758" spans="1:2" x14ac:dyDescent="0.25">
      <c r="A758" s="28"/>
      <c r="B758" s="17"/>
    </row>
    <row r="759" spans="1:2" x14ac:dyDescent="0.25">
      <c r="A759" s="28"/>
      <c r="B759" s="17"/>
    </row>
    <row r="760" spans="1:2" x14ac:dyDescent="0.25">
      <c r="A760" s="28"/>
      <c r="B760" s="17"/>
    </row>
    <row r="761" spans="1:2" x14ac:dyDescent="0.25">
      <c r="A761" s="28"/>
      <c r="B761" s="17"/>
    </row>
    <row r="762" spans="1:2" x14ac:dyDescent="0.25">
      <c r="A762" s="28"/>
      <c r="B762" s="17"/>
    </row>
    <row r="763" spans="1:2" x14ac:dyDescent="0.25">
      <c r="A763" s="28"/>
      <c r="B763" s="17"/>
    </row>
    <row r="764" spans="1:2" x14ac:dyDescent="0.25">
      <c r="A764" s="28"/>
      <c r="B764" s="17"/>
    </row>
    <row r="765" spans="1:2" x14ac:dyDescent="0.25">
      <c r="A765" s="28"/>
      <c r="B765" s="17"/>
    </row>
    <row r="766" spans="1:2" x14ac:dyDescent="0.25">
      <c r="A766" s="28"/>
      <c r="B766" s="17"/>
    </row>
    <row r="767" spans="1:2" x14ac:dyDescent="0.25">
      <c r="A767" s="28"/>
      <c r="B767" s="17"/>
    </row>
    <row r="768" spans="1:2" x14ac:dyDescent="0.25">
      <c r="A768" s="28"/>
      <c r="B768" s="17"/>
    </row>
    <row r="769" spans="1:2" x14ac:dyDescent="0.25">
      <c r="A769" s="28"/>
      <c r="B769" s="17"/>
    </row>
    <row r="770" spans="1:2" x14ac:dyDescent="0.25">
      <c r="A770" s="28"/>
      <c r="B770" s="17"/>
    </row>
    <row r="771" spans="1:2" x14ac:dyDescent="0.25">
      <c r="A771" s="28"/>
      <c r="B771" s="17"/>
    </row>
    <row r="772" spans="1:2" x14ac:dyDescent="0.25">
      <c r="A772" s="28"/>
      <c r="B772" s="17"/>
    </row>
    <row r="773" spans="1:2" x14ac:dyDescent="0.25">
      <c r="A773" s="28"/>
      <c r="B773" s="17"/>
    </row>
    <row r="774" spans="1:2" x14ac:dyDescent="0.25">
      <c r="A774" s="28"/>
      <c r="B774" s="17"/>
    </row>
    <row r="775" spans="1:2" x14ac:dyDescent="0.25">
      <c r="A775" s="28"/>
      <c r="B775" s="17"/>
    </row>
    <row r="776" spans="1:2" x14ac:dyDescent="0.25">
      <c r="A776" s="28"/>
      <c r="B776" s="17"/>
    </row>
    <row r="777" spans="1:2" x14ac:dyDescent="0.25">
      <c r="A777" s="28"/>
      <c r="B777" s="17"/>
    </row>
    <row r="778" spans="1:2" x14ac:dyDescent="0.25">
      <c r="A778" s="28"/>
      <c r="B778" s="17"/>
    </row>
    <row r="779" spans="1:2" x14ac:dyDescent="0.25">
      <c r="A779" s="28"/>
      <c r="B779" s="17"/>
    </row>
    <row r="780" spans="1:2" x14ac:dyDescent="0.25">
      <c r="A780" s="28"/>
      <c r="B780" s="17"/>
    </row>
    <row r="781" spans="1:2" x14ac:dyDescent="0.25">
      <c r="A781" s="28"/>
      <c r="B781" s="17"/>
    </row>
    <row r="782" spans="1:2" x14ac:dyDescent="0.25">
      <c r="A782" s="28"/>
      <c r="B782" s="17"/>
    </row>
    <row r="783" spans="1:2" x14ac:dyDescent="0.25">
      <c r="A783" s="28"/>
      <c r="B783" s="17"/>
    </row>
    <row r="784" spans="1:2" x14ac:dyDescent="0.25">
      <c r="A784" s="28"/>
      <c r="B784" s="17"/>
    </row>
    <row r="785" spans="1:2" x14ac:dyDescent="0.25">
      <c r="A785" s="28"/>
      <c r="B785" s="17"/>
    </row>
    <row r="786" spans="1:2" x14ac:dyDescent="0.25">
      <c r="A786" s="28"/>
      <c r="B786" s="17"/>
    </row>
    <row r="787" spans="1:2" x14ac:dyDescent="0.25">
      <c r="A787" s="28"/>
      <c r="B787" s="17"/>
    </row>
    <row r="788" spans="1:2" x14ac:dyDescent="0.25">
      <c r="A788" s="28"/>
      <c r="B788" s="17"/>
    </row>
    <row r="789" spans="1:2" x14ac:dyDescent="0.25">
      <c r="A789" s="28"/>
      <c r="B789" s="17"/>
    </row>
    <row r="790" spans="1:2" x14ac:dyDescent="0.25">
      <c r="A790" s="28"/>
      <c r="B790" s="17"/>
    </row>
    <row r="791" spans="1:2" x14ac:dyDescent="0.25">
      <c r="A791" s="28"/>
      <c r="B791" s="17"/>
    </row>
    <row r="792" spans="1:2" x14ac:dyDescent="0.25">
      <c r="A792" s="28"/>
      <c r="B792" s="17"/>
    </row>
    <row r="793" spans="1:2" x14ac:dyDescent="0.25">
      <c r="A793" s="28"/>
      <c r="B793" s="17"/>
    </row>
    <row r="794" spans="1:2" x14ac:dyDescent="0.25">
      <c r="A794" s="28"/>
      <c r="B794" s="17"/>
    </row>
    <row r="795" spans="1:2" x14ac:dyDescent="0.25">
      <c r="A795" s="28"/>
      <c r="B795" s="17"/>
    </row>
    <row r="796" spans="1:2" x14ac:dyDescent="0.25">
      <c r="A796" s="28"/>
      <c r="B796" s="17"/>
    </row>
    <row r="797" spans="1:2" x14ac:dyDescent="0.25">
      <c r="A797" s="28"/>
      <c r="B797" s="17"/>
    </row>
    <row r="798" spans="1:2" x14ac:dyDescent="0.25">
      <c r="A798" s="28"/>
      <c r="B798" s="17"/>
    </row>
    <row r="799" spans="1:2" x14ac:dyDescent="0.25">
      <c r="A799" s="28"/>
      <c r="B799" s="17"/>
    </row>
    <row r="800" spans="1:2" x14ac:dyDescent="0.25">
      <c r="A800" s="28"/>
      <c r="B800" s="17"/>
    </row>
    <row r="801" spans="1:2" x14ac:dyDescent="0.25">
      <c r="A801" s="28"/>
      <c r="B801" s="17"/>
    </row>
    <row r="802" spans="1:2" x14ac:dyDescent="0.25">
      <c r="A802" s="28"/>
      <c r="B802" s="17"/>
    </row>
    <row r="803" spans="1:2" x14ac:dyDescent="0.25">
      <c r="A803" s="28"/>
      <c r="B803" s="17"/>
    </row>
    <row r="804" spans="1:2" x14ac:dyDescent="0.25">
      <c r="A804" s="28"/>
      <c r="B804" s="17"/>
    </row>
    <row r="805" spans="1:2" x14ac:dyDescent="0.25">
      <c r="A805" s="28"/>
      <c r="B805" s="17"/>
    </row>
    <row r="806" spans="1:2" x14ac:dyDescent="0.25">
      <c r="A806" s="28"/>
      <c r="B806" s="17"/>
    </row>
    <row r="807" spans="1:2" x14ac:dyDescent="0.25">
      <c r="A807" s="28"/>
      <c r="B807" s="17"/>
    </row>
    <row r="808" spans="1:2" x14ac:dyDescent="0.25">
      <c r="A808" s="28"/>
      <c r="B808" s="17"/>
    </row>
    <row r="809" spans="1:2" x14ac:dyDescent="0.25">
      <c r="A809" s="28"/>
      <c r="B809" s="17"/>
    </row>
    <row r="810" spans="1:2" x14ac:dyDescent="0.25">
      <c r="A810" s="28"/>
      <c r="B810" s="17"/>
    </row>
    <row r="811" spans="1:2" x14ac:dyDescent="0.25">
      <c r="A811" s="28"/>
      <c r="B811" s="17"/>
    </row>
    <row r="812" spans="1:2" x14ac:dyDescent="0.25">
      <c r="A812" s="28"/>
      <c r="B812" s="17"/>
    </row>
    <row r="813" spans="1:2" x14ac:dyDescent="0.25">
      <c r="A813" s="28"/>
      <c r="B813" s="17"/>
    </row>
    <row r="814" spans="1:2" x14ac:dyDescent="0.25">
      <c r="A814" s="28"/>
      <c r="B814" s="17"/>
    </row>
    <row r="815" spans="1:2" x14ac:dyDescent="0.25">
      <c r="A815" s="28"/>
      <c r="B815" s="17"/>
    </row>
    <row r="816" spans="1:2" x14ac:dyDescent="0.25">
      <c r="A816" s="28"/>
      <c r="B816" s="17"/>
    </row>
    <row r="817" spans="1:2" x14ac:dyDescent="0.25">
      <c r="A817" s="28"/>
      <c r="B817" s="17"/>
    </row>
    <row r="818" spans="1:2" x14ac:dyDescent="0.25">
      <c r="A818" s="28"/>
      <c r="B818" s="17"/>
    </row>
    <row r="819" spans="1:2" x14ac:dyDescent="0.25">
      <c r="A819" s="28"/>
      <c r="B819" s="17"/>
    </row>
    <row r="820" spans="1:2" x14ac:dyDescent="0.25">
      <c r="A820" s="28"/>
      <c r="B820" s="17"/>
    </row>
    <row r="821" spans="1:2" x14ac:dyDescent="0.25">
      <c r="A821" s="28"/>
      <c r="B821" s="17"/>
    </row>
    <row r="822" spans="1:2" x14ac:dyDescent="0.25">
      <c r="A822" s="28"/>
      <c r="B822" s="17"/>
    </row>
    <row r="823" spans="1:2" x14ac:dyDescent="0.25">
      <c r="A823" s="28"/>
      <c r="B823" s="17"/>
    </row>
    <row r="824" spans="1:2" x14ac:dyDescent="0.25">
      <c r="A824" s="28"/>
      <c r="B824" s="17"/>
    </row>
    <row r="825" spans="1:2" x14ac:dyDescent="0.25">
      <c r="A825" s="28"/>
      <c r="B825" s="17"/>
    </row>
    <row r="826" spans="1:2" x14ac:dyDescent="0.25">
      <c r="A826" s="28"/>
      <c r="B826" s="17"/>
    </row>
    <row r="827" spans="1:2" x14ac:dyDescent="0.25">
      <c r="A827" s="28"/>
      <c r="B827" s="17"/>
    </row>
    <row r="828" spans="1:2" x14ac:dyDescent="0.25">
      <c r="A828" s="28"/>
      <c r="B828" s="17"/>
    </row>
    <row r="829" spans="1:2" x14ac:dyDescent="0.25">
      <c r="A829" s="28"/>
      <c r="B829" s="17"/>
    </row>
    <row r="830" spans="1:2" x14ac:dyDescent="0.25">
      <c r="A830" s="28"/>
      <c r="B830" s="17"/>
    </row>
    <row r="831" spans="1:2" x14ac:dyDescent="0.25">
      <c r="A831" s="28"/>
      <c r="B831" s="17"/>
    </row>
    <row r="832" spans="1:2" x14ac:dyDescent="0.25">
      <c r="A832" s="28"/>
      <c r="B832" s="17"/>
    </row>
    <row r="833" spans="1:2" x14ac:dyDescent="0.25">
      <c r="A833" s="28"/>
      <c r="B833" s="17"/>
    </row>
    <row r="834" spans="1:2" x14ac:dyDescent="0.25">
      <c r="A834" s="28"/>
      <c r="B834" s="17"/>
    </row>
    <row r="835" spans="1:2" x14ac:dyDescent="0.25">
      <c r="A835" s="28"/>
      <c r="B835" s="17"/>
    </row>
    <row r="836" spans="1:2" x14ac:dyDescent="0.25">
      <c r="A836" s="28"/>
      <c r="B836" s="17"/>
    </row>
    <row r="837" spans="1:2" x14ac:dyDescent="0.25">
      <c r="A837" s="28"/>
      <c r="B837" s="17"/>
    </row>
    <row r="838" spans="1:2" x14ac:dyDescent="0.25">
      <c r="A838" s="28"/>
      <c r="B838" s="17"/>
    </row>
    <row r="839" spans="1:2" x14ac:dyDescent="0.25">
      <c r="A839" s="28"/>
      <c r="B839" s="17"/>
    </row>
    <row r="840" spans="1:2" x14ac:dyDescent="0.25">
      <c r="A840" s="28"/>
      <c r="B840" s="17"/>
    </row>
    <row r="841" spans="1:2" x14ac:dyDescent="0.25">
      <c r="A841" s="28"/>
      <c r="B841" s="17"/>
    </row>
    <row r="842" spans="1:2" x14ac:dyDescent="0.25">
      <c r="A842" s="28"/>
      <c r="B842" s="17"/>
    </row>
    <row r="843" spans="1:2" x14ac:dyDescent="0.25">
      <c r="A843" s="28"/>
      <c r="B843" s="17"/>
    </row>
    <row r="844" spans="1:2" x14ac:dyDescent="0.25">
      <c r="A844" s="28"/>
      <c r="B844" s="17"/>
    </row>
    <row r="845" spans="1:2" x14ac:dyDescent="0.25">
      <c r="A845" s="28"/>
      <c r="B845" s="17"/>
    </row>
    <row r="846" spans="1:2" x14ac:dyDescent="0.25">
      <c r="A846" s="28"/>
      <c r="B846" s="17"/>
    </row>
    <row r="847" spans="1:2" x14ac:dyDescent="0.25">
      <c r="A847" s="28"/>
      <c r="B847" s="17"/>
    </row>
    <row r="848" spans="1:2" x14ac:dyDescent="0.25">
      <c r="A848" s="28"/>
      <c r="B848" s="17"/>
    </row>
    <row r="849" spans="1:2" x14ac:dyDescent="0.25">
      <c r="A849" s="28"/>
      <c r="B849" s="17"/>
    </row>
    <row r="850" spans="1:2" x14ac:dyDescent="0.25">
      <c r="A850" s="28"/>
      <c r="B850" s="17"/>
    </row>
    <row r="851" spans="1:2" x14ac:dyDescent="0.25">
      <c r="A851" s="28"/>
      <c r="B851" s="17"/>
    </row>
    <row r="852" spans="1:2" x14ac:dyDescent="0.25">
      <c r="A852" s="28"/>
      <c r="B852" s="17"/>
    </row>
    <row r="853" spans="1:2" x14ac:dyDescent="0.25">
      <c r="A853" s="28"/>
      <c r="B853" s="17"/>
    </row>
    <row r="854" spans="1:2" x14ac:dyDescent="0.25">
      <c r="A854" s="28"/>
      <c r="B854" s="17"/>
    </row>
    <row r="855" spans="1:2" x14ac:dyDescent="0.25">
      <c r="A855" s="28"/>
      <c r="B855" s="17"/>
    </row>
    <row r="856" spans="1:2" x14ac:dyDescent="0.25">
      <c r="A856" s="28"/>
      <c r="B856" s="17"/>
    </row>
    <row r="857" spans="1:2" x14ac:dyDescent="0.25">
      <c r="A857" s="28"/>
      <c r="B857" s="17"/>
    </row>
    <row r="858" spans="1:2" x14ac:dyDescent="0.25">
      <c r="A858" s="28"/>
      <c r="B858" s="17"/>
    </row>
    <row r="859" spans="1:2" x14ac:dyDescent="0.25">
      <c r="A859" s="28"/>
      <c r="B859" s="17"/>
    </row>
    <row r="860" spans="1:2" x14ac:dyDescent="0.25">
      <c r="A860" s="28"/>
      <c r="B860" s="17"/>
    </row>
    <row r="861" spans="1:2" x14ac:dyDescent="0.25">
      <c r="A861" s="28"/>
      <c r="B861" s="17"/>
    </row>
    <row r="862" spans="1:2" x14ac:dyDescent="0.25">
      <c r="A862" s="28"/>
      <c r="B862" s="17"/>
    </row>
    <row r="863" spans="1:2" x14ac:dyDescent="0.25">
      <c r="A863" s="28"/>
      <c r="B863" s="17"/>
    </row>
    <row r="864" spans="1:2" x14ac:dyDescent="0.25">
      <c r="A864" s="28"/>
      <c r="B864" s="17"/>
    </row>
    <row r="865" spans="1:2" x14ac:dyDescent="0.25">
      <c r="A865" s="28"/>
      <c r="B865" s="17"/>
    </row>
    <row r="866" spans="1:2" x14ac:dyDescent="0.25">
      <c r="A866" s="28"/>
      <c r="B866" s="17"/>
    </row>
    <row r="867" spans="1:2" x14ac:dyDescent="0.25">
      <c r="A867" s="28"/>
      <c r="B867" s="17"/>
    </row>
    <row r="868" spans="1:2" x14ac:dyDescent="0.25">
      <c r="A868" s="28"/>
      <c r="B868" s="17"/>
    </row>
    <row r="869" spans="1:2" x14ac:dyDescent="0.25">
      <c r="A869" s="28"/>
      <c r="B869" s="17"/>
    </row>
    <row r="870" spans="1:2" x14ac:dyDescent="0.25">
      <c r="A870" s="28"/>
      <c r="B870" s="17"/>
    </row>
    <row r="871" spans="1:2" x14ac:dyDescent="0.25">
      <c r="A871" s="28"/>
      <c r="B871" s="17"/>
    </row>
    <row r="872" spans="1:2" x14ac:dyDescent="0.25">
      <c r="A872" s="28"/>
      <c r="B872" s="17"/>
    </row>
    <row r="873" spans="1:2" x14ac:dyDescent="0.25">
      <c r="A873" s="28"/>
      <c r="B873" s="17"/>
    </row>
    <row r="874" spans="1:2" x14ac:dyDescent="0.25">
      <c r="A874" s="28"/>
      <c r="B874" s="17"/>
    </row>
    <row r="875" spans="1:2" x14ac:dyDescent="0.25">
      <c r="A875" s="28"/>
      <c r="B875" s="17"/>
    </row>
    <row r="876" spans="1:2" x14ac:dyDescent="0.25">
      <c r="A876" s="28"/>
      <c r="B876" s="17"/>
    </row>
    <row r="877" spans="1:2" x14ac:dyDescent="0.25">
      <c r="A877" s="28"/>
      <c r="B877" s="17"/>
    </row>
    <row r="878" spans="1:2" x14ac:dyDescent="0.25">
      <c r="A878" s="28"/>
      <c r="B878" s="17"/>
    </row>
    <row r="879" spans="1:2" x14ac:dyDescent="0.25">
      <c r="A879" s="28"/>
      <c r="B879" s="17"/>
    </row>
    <row r="880" spans="1:2" x14ac:dyDescent="0.25">
      <c r="A880" s="28"/>
      <c r="B880" s="17"/>
    </row>
    <row r="881" spans="1:2" x14ac:dyDescent="0.25">
      <c r="A881" s="28"/>
      <c r="B881" s="17"/>
    </row>
    <row r="882" spans="1:2" x14ac:dyDescent="0.25">
      <c r="A882" s="28"/>
      <c r="B882" s="17"/>
    </row>
    <row r="883" spans="1:2" x14ac:dyDescent="0.25">
      <c r="A883" s="28"/>
      <c r="B883" s="17"/>
    </row>
    <row r="884" spans="1:2" x14ac:dyDescent="0.25">
      <c r="A884" s="28"/>
      <c r="B884" s="17"/>
    </row>
    <row r="885" spans="1:2" x14ac:dyDescent="0.25">
      <c r="A885" s="28"/>
      <c r="B885" s="17"/>
    </row>
    <row r="886" spans="1:2" x14ac:dyDescent="0.25">
      <c r="A886" s="28"/>
      <c r="B886" s="17"/>
    </row>
    <row r="887" spans="1:2" x14ac:dyDescent="0.25">
      <c r="A887" s="28"/>
      <c r="B887" s="17"/>
    </row>
    <row r="888" spans="1:2" x14ac:dyDescent="0.25">
      <c r="A888" s="28"/>
      <c r="B888" s="17"/>
    </row>
    <row r="889" spans="1:2" x14ac:dyDescent="0.25">
      <c r="A889" s="28"/>
      <c r="B889" s="17"/>
    </row>
    <row r="890" spans="1:2" x14ac:dyDescent="0.25">
      <c r="A890" s="28"/>
      <c r="B890" s="17"/>
    </row>
    <row r="891" spans="1:2" x14ac:dyDescent="0.25">
      <c r="A891" s="28"/>
      <c r="B891" s="17"/>
    </row>
    <row r="892" spans="1:2" x14ac:dyDescent="0.25">
      <c r="A892" s="28"/>
      <c r="B892" s="17"/>
    </row>
    <row r="893" spans="1:2" x14ac:dyDescent="0.25">
      <c r="A893" s="28"/>
      <c r="B893" s="17"/>
    </row>
    <row r="894" spans="1:2" x14ac:dyDescent="0.25">
      <c r="A894" s="28"/>
      <c r="B894" s="17"/>
    </row>
    <row r="895" spans="1:2" x14ac:dyDescent="0.25">
      <c r="A895" s="28"/>
      <c r="B895" s="17"/>
    </row>
    <row r="896" spans="1:2" x14ac:dyDescent="0.25">
      <c r="A896" s="28"/>
      <c r="B896" s="17"/>
    </row>
    <row r="897" spans="1:2" x14ac:dyDescent="0.25">
      <c r="A897" s="28"/>
      <c r="B897" s="17"/>
    </row>
    <row r="898" spans="1:2" x14ac:dyDescent="0.25">
      <c r="A898" s="28"/>
      <c r="B898" s="17"/>
    </row>
    <row r="899" spans="1:2" x14ac:dyDescent="0.25">
      <c r="A899" s="28"/>
      <c r="B899" s="17"/>
    </row>
    <row r="900" spans="1:2" x14ac:dyDescent="0.25">
      <c r="A900" s="28"/>
      <c r="B900" s="17"/>
    </row>
    <row r="901" spans="1:2" x14ac:dyDescent="0.25">
      <c r="A901" s="28"/>
      <c r="B901" s="17"/>
    </row>
    <row r="902" spans="1:2" x14ac:dyDescent="0.25">
      <c r="A902" s="28"/>
      <c r="B902" s="17"/>
    </row>
    <row r="903" spans="1:2" x14ac:dyDescent="0.25">
      <c r="A903" s="28"/>
      <c r="B903" s="17"/>
    </row>
    <row r="904" spans="1:2" x14ac:dyDescent="0.25">
      <c r="A904" s="28"/>
      <c r="B904" s="17"/>
    </row>
    <row r="905" spans="1:2" x14ac:dyDescent="0.25">
      <c r="A905" s="28"/>
      <c r="B905" s="17"/>
    </row>
    <row r="906" spans="1:2" x14ac:dyDescent="0.25">
      <c r="A906" s="28"/>
      <c r="B906" s="17"/>
    </row>
    <row r="907" spans="1:2" x14ac:dyDescent="0.25">
      <c r="A907" s="28"/>
      <c r="B907" s="17"/>
    </row>
    <row r="908" spans="1:2" x14ac:dyDescent="0.25">
      <c r="A908" s="28"/>
      <c r="B908" s="17"/>
    </row>
    <row r="909" spans="1:2" x14ac:dyDescent="0.25">
      <c r="A909" s="28"/>
      <c r="B909" s="17"/>
    </row>
    <row r="910" spans="1:2" x14ac:dyDescent="0.25">
      <c r="A910" s="28"/>
      <c r="B910" s="17"/>
    </row>
    <row r="911" spans="1:2" x14ac:dyDescent="0.25">
      <c r="A911" s="28"/>
      <c r="B911" s="17"/>
    </row>
    <row r="912" spans="1:2" x14ac:dyDescent="0.25">
      <c r="A912" s="28"/>
      <c r="B912" s="17"/>
    </row>
    <row r="913" spans="1:2" x14ac:dyDescent="0.25">
      <c r="A913" s="28"/>
      <c r="B913" s="17"/>
    </row>
    <row r="914" spans="1:2" x14ac:dyDescent="0.25">
      <c r="A914" s="28"/>
      <c r="B914" s="17"/>
    </row>
    <row r="915" spans="1:2" x14ac:dyDescent="0.25">
      <c r="A915" s="28"/>
      <c r="B915" s="17"/>
    </row>
    <row r="916" spans="1:2" x14ac:dyDescent="0.25">
      <c r="A916" s="28"/>
      <c r="B916" s="17"/>
    </row>
    <row r="917" spans="1:2" x14ac:dyDescent="0.25">
      <c r="A917" s="28"/>
      <c r="B917" s="17"/>
    </row>
    <row r="918" spans="1:2" x14ac:dyDescent="0.25">
      <c r="A918" s="28"/>
      <c r="B918" s="17"/>
    </row>
    <row r="919" spans="1:2" x14ac:dyDescent="0.25">
      <c r="A919" s="28"/>
      <c r="B919" s="17"/>
    </row>
    <row r="920" spans="1:2" x14ac:dyDescent="0.25">
      <c r="A920" s="28"/>
      <c r="B920" s="17"/>
    </row>
    <row r="921" spans="1:2" x14ac:dyDescent="0.25">
      <c r="A921" s="28"/>
      <c r="B921" s="17"/>
    </row>
    <row r="922" spans="1:2" x14ac:dyDescent="0.25">
      <c r="A922" s="28"/>
      <c r="B922" s="17"/>
    </row>
    <row r="923" spans="1:2" x14ac:dyDescent="0.25">
      <c r="A923" s="28"/>
      <c r="B923" s="17"/>
    </row>
    <row r="924" spans="1:2" x14ac:dyDescent="0.25">
      <c r="A924" s="28"/>
      <c r="B924" s="17"/>
    </row>
    <row r="925" spans="1:2" x14ac:dyDescent="0.25">
      <c r="A925" s="28"/>
      <c r="B925" s="17"/>
    </row>
    <row r="926" spans="1:2" x14ac:dyDescent="0.25">
      <c r="A926" s="28"/>
      <c r="B926" s="17"/>
    </row>
    <row r="927" spans="1:2" x14ac:dyDescent="0.25">
      <c r="A927" s="28"/>
      <c r="B927" s="17"/>
    </row>
    <row r="928" spans="1:2" x14ac:dyDescent="0.25">
      <c r="A928" s="28"/>
      <c r="B928" s="17"/>
    </row>
    <row r="929" spans="1:2" x14ac:dyDescent="0.25">
      <c r="A929" s="28"/>
      <c r="B929" s="17"/>
    </row>
    <row r="930" spans="1:2" x14ac:dyDescent="0.25">
      <c r="A930" s="28"/>
      <c r="B930" s="17"/>
    </row>
    <row r="931" spans="1:2" x14ac:dyDescent="0.25">
      <c r="A931" s="28"/>
      <c r="B931" s="17"/>
    </row>
    <row r="932" spans="1:2" x14ac:dyDescent="0.25">
      <c r="A932" s="28"/>
      <c r="B932" s="17"/>
    </row>
    <row r="933" spans="1:2" x14ac:dyDescent="0.25">
      <c r="A933" s="28"/>
      <c r="B933" s="17"/>
    </row>
    <row r="934" spans="1:2" x14ac:dyDescent="0.25">
      <c r="A934" s="28"/>
      <c r="B934" s="17"/>
    </row>
    <row r="935" spans="1:2" x14ac:dyDescent="0.25">
      <c r="A935" s="28"/>
      <c r="B935" s="17"/>
    </row>
    <row r="936" spans="1:2" x14ac:dyDescent="0.25">
      <c r="A936" s="28"/>
      <c r="B936" s="17"/>
    </row>
    <row r="937" spans="1:2" x14ac:dyDescent="0.25">
      <c r="A937" s="28"/>
      <c r="B937" s="17"/>
    </row>
    <row r="938" spans="1:2" x14ac:dyDescent="0.25">
      <c r="A938" s="28"/>
      <c r="B938" s="17"/>
    </row>
    <row r="939" spans="1:2" x14ac:dyDescent="0.25">
      <c r="A939" s="28"/>
      <c r="B939" s="17"/>
    </row>
    <row r="940" spans="1:2" x14ac:dyDescent="0.25">
      <c r="A940" s="28"/>
      <c r="B940" s="17"/>
    </row>
    <row r="941" spans="1:2" x14ac:dyDescent="0.25">
      <c r="A941" s="28"/>
      <c r="B941" s="17"/>
    </row>
    <row r="942" spans="1:2" x14ac:dyDescent="0.25">
      <c r="A942" s="28"/>
      <c r="B942" s="17"/>
    </row>
    <row r="943" spans="1:2" x14ac:dyDescent="0.25">
      <c r="A943" s="28"/>
      <c r="B943" s="17"/>
    </row>
    <row r="944" spans="1:2" x14ac:dyDescent="0.25">
      <c r="A944" s="28"/>
      <c r="B944" s="17"/>
    </row>
    <row r="945" spans="1:2" x14ac:dyDescent="0.25">
      <c r="A945" s="28"/>
      <c r="B945" s="17"/>
    </row>
    <row r="946" spans="1:2" x14ac:dyDescent="0.25">
      <c r="A946" s="28"/>
      <c r="B946" s="17"/>
    </row>
    <row r="947" spans="1:2" x14ac:dyDescent="0.25">
      <c r="A947" s="28"/>
      <c r="B947" s="17"/>
    </row>
    <row r="948" spans="1:2" x14ac:dyDescent="0.25">
      <c r="A948" s="28"/>
      <c r="B948" s="17"/>
    </row>
    <row r="949" spans="1:2" x14ac:dyDescent="0.25">
      <c r="A949" s="28"/>
      <c r="B949" s="17"/>
    </row>
    <row r="950" spans="1:2" x14ac:dyDescent="0.25">
      <c r="A950" s="28"/>
      <c r="B950" s="17"/>
    </row>
    <row r="951" spans="1:2" x14ac:dyDescent="0.25">
      <c r="A951" s="28"/>
      <c r="B951" s="17"/>
    </row>
    <row r="952" spans="1:2" x14ac:dyDescent="0.25">
      <c r="A952" s="28"/>
      <c r="B952" s="17"/>
    </row>
    <row r="953" spans="1:2" x14ac:dyDescent="0.25">
      <c r="A953" s="28"/>
      <c r="B953" s="17"/>
    </row>
    <row r="954" spans="1:2" x14ac:dyDescent="0.25">
      <c r="A954" s="28"/>
      <c r="B954" s="17"/>
    </row>
    <row r="955" spans="1:2" x14ac:dyDescent="0.25">
      <c r="A955" s="28"/>
      <c r="B955" s="17"/>
    </row>
    <row r="956" spans="1:2" x14ac:dyDescent="0.25">
      <c r="A956" s="28"/>
      <c r="B956" s="17"/>
    </row>
    <row r="957" spans="1:2" x14ac:dyDescent="0.25">
      <c r="A957" s="28"/>
      <c r="B957" s="17"/>
    </row>
    <row r="958" spans="1:2" x14ac:dyDescent="0.25">
      <c r="A958" s="28"/>
      <c r="B958" s="17"/>
    </row>
    <row r="959" spans="1:2" x14ac:dyDescent="0.25">
      <c r="A959" s="28"/>
      <c r="B959" s="17"/>
    </row>
    <row r="960" spans="1:2" x14ac:dyDescent="0.25">
      <c r="A960" s="28"/>
      <c r="B960" s="17"/>
    </row>
    <row r="961" spans="1:2" x14ac:dyDescent="0.25">
      <c r="A961" s="28"/>
      <c r="B961" s="17"/>
    </row>
    <row r="962" spans="1:2" x14ac:dyDescent="0.25">
      <c r="A962" s="28"/>
      <c r="B962" s="17"/>
    </row>
    <row r="963" spans="1:2" x14ac:dyDescent="0.25">
      <c r="A963" s="28"/>
      <c r="B963" s="17"/>
    </row>
    <row r="964" spans="1:2" x14ac:dyDescent="0.25">
      <c r="A964" s="28"/>
      <c r="B964" s="17"/>
    </row>
    <row r="965" spans="1:2" x14ac:dyDescent="0.25">
      <c r="A965" s="28"/>
      <c r="B965" s="17"/>
    </row>
    <row r="966" spans="1:2" x14ac:dyDescent="0.25">
      <c r="A966" s="28"/>
      <c r="B966" s="17"/>
    </row>
    <row r="967" spans="1:2" x14ac:dyDescent="0.25">
      <c r="A967" s="28"/>
      <c r="B967" s="17"/>
    </row>
    <row r="968" spans="1:2" x14ac:dyDescent="0.25">
      <c r="A968" s="28"/>
      <c r="B968" s="17"/>
    </row>
    <row r="969" spans="1:2" x14ac:dyDescent="0.25">
      <c r="A969" s="28"/>
      <c r="B969" s="17"/>
    </row>
    <row r="970" spans="1:2" x14ac:dyDescent="0.25">
      <c r="A970" s="28"/>
      <c r="B970" s="17"/>
    </row>
    <row r="971" spans="1:2" x14ac:dyDescent="0.25">
      <c r="A971" s="28"/>
      <c r="B971" s="17"/>
    </row>
    <row r="972" spans="1:2" x14ac:dyDescent="0.25">
      <c r="A972" s="28"/>
      <c r="B972" s="17"/>
    </row>
    <row r="973" spans="1:2" x14ac:dyDescent="0.25">
      <c r="A973" s="28"/>
      <c r="B973" s="17"/>
    </row>
    <row r="974" spans="1:2" x14ac:dyDescent="0.25">
      <c r="A974" s="28"/>
      <c r="B974" s="17"/>
    </row>
    <row r="975" spans="1:2" x14ac:dyDescent="0.25">
      <c r="A975" s="28"/>
      <c r="B975" s="17"/>
    </row>
    <row r="976" spans="1:2" x14ac:dyDescent="0.25">
      <c r="A976" s="28"/>
      <c r="B976" s="17"/>
    </row>
    <row r="977" spans="1:2" x14ac:dyDescent="0.25">
      <c r="A977" s="28"/>
      <c r="B977" s="17"/>
    </row>
    <row r="978" spans="1:2" x14ac:dyDescent="0.25">
      <c r="A978" s="28"/>
      <c r="B978" s="17"/>
    </row>
    <row r="979" spans="1:2" x14ac:dyDescent="0.25">
      <c r="A979" s="28"/>
      <c r="B979" s="17"/>
    </row>
    <row r="980" spans="1:2" x14ac:dyDescent="0.25">
      <c r="A980" s="28"/>
      <c r="B980" s="17"/>
    </row>
    <row r="981" spans="1:2" x14ac:dyDescent="0.25">
      <c r="A981" s="28"/>
      <c r="B981" s="17"/>
    </row>
    <row r="982" spans="1:2" x14ac:dyDescent="0.25">
      <c r="A982" s="28"/>
      <c r="B982" s="17"/>
    </row>
    <row r="983" spans="1:2" x14ac:dyDescent="0.25">
      <c r="A983" s="28"/>
      <c r="B983" s="17"/>
    </row>
    <row r="984" spans="1:2" x14ac:dyDescent="0.25">
      <c r="A984" s="28"/>
      <c r="B984" s="17"/>
    </row>
    <row r="985" spans="1:2" x14ac:dyDescent="0.25">
      <c r="A985" s="28"/>
      <c r="B985" s="17"/>
    </row>
    <row r="986" spans="1:2" x14ac:dyDescent="0.25">
      <c r="A986" s="28"/>
      <c r="B986" s="17"/>
    </row>
    <row r="987" spans="1:2" x14ac:dyDescent="0.25">
      <c r="A987" s="28"/>
      <c r="B987" s="17"/>
    </row>
    <row r="988" spans="1:2" x14ac:dyDescent="0.25">
      <c r="A988" s="28"/>
      <c r="B988" s="17"/>
    </row>
    <row r="989" spans="1:2" x14ac:dyDescent="0.25">
      <c r="A989" s="28"/>
      <c r="B989" s="17"/>
    </row>
    <row r="990" spans="1:2" x14ac:dyDescent="0.25">
      <c r="A990" s="28"/>
      <c r="B990" s="17"/>
    </row>
    <row r="991" spans="1:2" x14ac:dyDescent="0.25">
      <c r="A991" s="28"/>
      <c r="B991" s="17"/>
    </row>
    <row r="992" spans="1:2" x14ac:dyDescent="0.25">
      <c r="A992" s="28"/>
      <c r="B992" s="17"/>
    </row>
    <row r="993" spans="1:2" x14ac:dyDescent="0.25">
      <c r="A993" s="28"/>
      <c r="B993" s="17"/>
    </row>
    <row r="994" spans="1:2" x14ac:dyDescent="0.25">
      <c r="A994" s="28"/>
      <c r="B994" s="17"/>
    </row>
    <row r="995" spans="1:2" x14ac:dyDescent="0.25">
      <c r="A995" s="28"/>
      <c r="B995" s="17"/>
    </row>
    <row r="996" spans="1:2" x14ac:dyDescent="0.25">
      <c r="A996" s="28"/>
      <c r="B996" s="17"/>
    </row>
    <row r="997" spans="1:2" x14ac:dyDescent="0.25">
      <c r="A997" s="28"/>
      <c r="B997" s="17"/>
    </row>
    <row r="998" spans="1:2" x14ac:dyDescent="0.25">
      <c r="A998" s="28"/>
      <c r="B998" s="17"/>
    </row>
    <row r="999" spans="1:2" x14ac:dyDescent="0.25">
      <c r="A999" s="28"/>
      <c r="B999" s="17"/>
    </row>
    <row r="1000" spans="1:2" x14ac:dyDescent="0.25">
      <c r="A1000" s="28"/>
      <c r="B1000" s="17"/>
    </row>
    <row r="1001" spans="1:2" x14ac:dyDescent="0.25">
      <c r="A1001" s="28"/>
      <c r="B1001" s="17"/>
    </row>
    <row r="1002" spans="1:2" x14ac:dyDescent="0.25">
      <c r="A1002" s="28"/>
      <c r="B1002" s="17"/>
    </row>
    <row r="1003" spans="1:2" x14ac:dyDescent="0.25">
      <c r="A1003" s="28"/>
      <c r="B1003" s="17"/>
    </row>
    <row r="1004" spans="1:2" x14ac:dyDescent="0.25">
      <c r="A1004" s="28"/>
      <c r="B1004" s="17"/>
    </row>
    <row r="1005" spans="1:2" x14ac:dyDescent="0.25">
      <c r="A1005" s="28"/>
      <c r="B1005" s="17"/>
    </row>
    <row r="1006" spans="1:2" x14ac:dyDescent="0.25">
      <c r="A1006" s="28"/>
      <c r="B1006" s="17"/>
    </row>
    <row r="1007" spans="1:2" x14ac:dyDescent="0.25">
      <c r="A1007" s="28"/>
      <c r="B1007" s="17"/>
    </row>
    <row r="1008" spans="1:2" x14ac:dyDescent="0.25">
      <c r="A1008" s="28"/>
      <c r="B1008" s="17"/>
    </row>
    <row r="1009" spans="1:2" x14ac:dyDescent="0.25">
      <c r="A1009" s="28"/>
      <c r="B1009" s="17"/>
    </row>
    <row r="1010" spans="1:2" x14ac:dyDescent="0.25">
      <c r="A1010" s="28"/>
      <c r="B1010" s="17"/>
    </row>
    <row r="1011" spans="1:2" x14ac:dyDescent="0.25">
      <c r="A1011" s="28"/>
      <c r="B1011" s="17"/>
    </row>
    <row r="1012" spans="1:2" x14ac:dyDescent="0.25">
      <c r="A1012" s="28"/>
      <c r="B1012" s="17"/>
    </row>
    <row r="1013" spans="1:2" x14ac:dyDescent="0.25">
      <c r="A1013" s="28"/>
      <c r="B1013" s="17"/>
    </row>
    <row r="1014" spans="1:2" x14ac:dyDescent="0.25">
      <c r="A1014" s="28"/>
      <c r="B1014" s="17"/>
    </row>
    <row r="1015" spans="1:2" x14ac:dyDescent="0.25">
      <c r="A1015" s="28"/>
      <c r="B1015" s="17"/>
    </row>
    <row r="1016" spans="1:2" x14ac:dyDescent="0.25">
      <c r="A1016" s="28"/>
      <c r="B1016" s="17"/>
    </row>
    <row r="1017" spans="1:2" x14ac:dyDescent="0.25">
      <c r="A1017" s="28"/>
      <c r="B1017" s="17"/>
    </row>
    <row r="1018" spans="1:2" x14ac:dyDescent="0.25">
      <c r="A1018" s="28"/>
      <c r="B1018" s="17"/>
    </row>
    <row r="1019" spans="1:2" x14ac:dyDescent="0.25">
      <c r="A1019" s="28"/>
      <c r="B1019" s="17"/>
    </row>
    <row r="1020" spans="1:2" x14ac:dyDescent="0.25">
      <c r="A1020" s="28"/>
      <c r="B1020" s="17"/>
    </row>
    <row r="1021" spans="1:2" x14ac:dyDescent="0.25">
      <c r="A1021" s="28"/>
      <c r="B1021" s="17"/>
    </row>
    <row r="1022" spans="1:2" x14ac:dyDescent="0.25">
      <c r="A1022" s="28"/>
      <c r="B1022" s="17"/>
    </row>
    <row r="1023" spans="1:2" x14ac:dyDescent="0.25">
      <c r="A1023" s="28"/>
      <c r="B1023" s="17"/>
    </row>
    <row r="1024" spans="1:2" x14ac:dyDescent="0.25">
      <c r="A1024" s="28"/>
      <c r="B1024" s="17"/>
    </row>
    <row r="1025" spans="1:2" x14ac:dyDescent="0.25">
      <c r="A1025" s="28"/>
      <c r="B1025" s="17"/>
    </row>
    <row r="1026" spans="1:2" x14ac:dyDescent="0.25">
      <c r="A1026" s="28"/>
      <c r="B1026" s="17"/>
    </row>
    <row r="1027" spans="1:2" x14ac:dyDescent="0.25">
      <c r="A1027" s="28"/>
      <c r="B1027" s="17"/>
    </row>
    <row r="1028" spans="1:2" x14ac:dyDescent="0.25">
      <c r="A1028" s="28"/>
      <c r="B1028" s="17"/>
    </row>
    <row r="1029" spans="1:2" x14ac:dyDescent="0.25">
      <c r="A1029" s="28"/>
      <c r="B1029" s="17"/>
    </row>
    <row r="1030" spans="1:2" x14ac:dyDescent="0.25">
      <c r="A1030" s="28"/>
      <c r="B1030" s="17"/>
    </row>
    <row r="1031" spans="1:2" x14ac:dyDescent="0.25">
      <c r="A1031" s="28"/>
      <c r="B1031" s="17"/>
    </row>
    <row r="1032" spans="1:2" x14ac:dyDescent="0.25">
      <c r="A1032" s="28"/>
      <c r="B1032" s="17"/>
    </row>
    <row r="1033" spans="1:2" x14ac:dyDescent="0.25">
      <c r="A1033" s="28"/>
      <c r="B1033" s="17"/>
    </row>
    <row r="1034" spans="1:2" x14ac:dyDescent="0.25">
      <c r="A1034" s="28"/>
      <c r="B1034" s="17"/>
    </row>
    <row r="1035" spans="1:2" x14ac:dyDescent="0.25">
      <c r="A1035" s="28"/>
      <c r="B1035" s="17"/>
    </row>
    <row r="1036" spans="1:2" x14ac:dyDescent="0.25">
      <c r="A1036" s="28"/>
      <c r="B1036" s="17"/>
    </row>
    <row r="1037" spans="1:2" x14ac:dyDescent="0.25">
      <c r="A1037" s="28"/>
      <c r="B1037" s="17"/>
    </row>
    <row r="1038" spans="1:2" x14ac:dyDescent="0.25">
      <c r="A1038" s="28"/>
      <c r="B1038" s="17"/>
    </row>
    <row r="1039" spans="1:2" x14ac:dyDescent="0.25">
      <c r="A1039" s="28"/>
      <c r="B1039" s="17"/>
    </row>
    <row r="1040" spans="1:2" x14ac:dyDescent="0.25">
      <c r="A1040" s="28"/>
      <c r="B1040" s="17"/>
    </row>
    <row r="1041" spans="1:2" x14ac:dyDescent="0.25">
      <c r="A1041" s="28"/>
      <c r="B1041" s="17"/>
    </row>
    <row r="1042" spans="1:2" x14ac:dyDescent="0.25">
      <c r="A1042" s="28"/>
      <c r="B1042" s="17"/>
    </row>
    <row r="1043" spans="1:2" x14ac:dyDescent="0.25">
      <c r="A1043" s="28"/>
      <c r="B1043" s="17"/>
    </row>
    <row r="1044" spans="1:2" x14ac:dyDescent="0.25">
      <c r="A1044" s="28"/>
      <c r="B1044" s="17"/>
    </row>
    <row r="1045" spans="1:2" x14ac:dyDescent="0.25">
      <c r="A1045" s="28"/>
      <c r="B1045" s="17"/>
    </row>
    <row r="1046" spans="1:2" x14ac:dyDescent="0.25">
      <c r="A1046" s="28"/>
      <c r="B1046" s="17"/>
    </row>
    <row r="1047" spans="1:2" x14ac:dyDescent="0.25">
      <c r="A1047" s="28"/>
      <c r="B1047" s="17"/>
    </row>
    <row r="1048" spans="1:2" x14ac:dyDescent="0.25">
      <c r="A1048" s="28"/>
      <c r="B1048" s="17"/>
    </row>
    <row r="1049" spans="1:2" x14ac:dyDescent="0.25">
      <c r="A1049" s="28"/>
      <c r="B1049" s="17"/>
    </row>
    <row r="1050" spans="1:2" x14ac:dyDescent="0.25">
      <c r="A1050" s="28"/>
      <c r="B1050" s="17"/>
    </row>
    <row r="1051" spans="1:2" x14ac:dyDescent="0.25">
      <c r="A1051" s="28"/>
      <c r="B1051" s="17"/>
    </row>
    <row r="1052" spans="1:2" x14ac:dyDescent="0.25">
      <c r="A1052" s="28"/>
      <c r="B1052" s="17"/>
    </row>
    <row r="1053" spans="1:2" x14ac:dyDescent="0.25">
      <c r="A1053" s="28"/>
      <c r="B1053" s="17"/>
    </row>
    <row r="1054" spans="1:2" x14ac:dyDescent="0.25">
      <c r="A1054" s="28"/>
      <c r="B1054" s="17"/>
    </row>
    <row r="1055" spans="1:2" x14ac:dyDescent="0.25">
      <c r="A1055" s="28"/>
      <c r="B1055" s="17"/>
    </row>
    <row r="1056" spans="1:2" x14ac:dyDescent="0.25">
      <c r="A1056" s="28"/>
      <c r="B1056" s="17"/>
    </row>
    <row r="1057" spans="1:2" x14ac:dyDescent="0.25">
      <c r="A1057" s="28"/>
      <c r="B1057" s="17"/>
    </row>
    <row r="1058" spans="1:2" x14ac:dyDescent="0.25">
      <c r="A1058" s="28"/>
      <c r="B1058" s="17"/>
    </row>
    <row r="1059" spans="1:2" x14ac:dyDescent="0.25">
      <c r="A1059" s="28"/>
      <c r="B1059" s="17"/>
    </row>
    <row r="1060" spans="1:2" x14ac:dyDescent="0.25">
      <c r="A1060" s="28"/>
      <c r="B1060" s="17"/>
    </row>
    <row r="1061" spans="1:2" x14ac:dyDescent="0.25">
      <c r="A1061" s="28"/>
      <c r="B1061" s="17"/>
    </row>
    <row r="1062" spans="1:2" x14ac:dyDescent="0.25">
      <c r="A1062" s="28"/>
      <c r="B1062" s="17"/>
    </row>
    <row r="1063" spans="1:2" x14ac:dyDescent="0.25">
      <c r="A1063" s="28"/>
      <c r="B1063" s="17"/>
    </row>
    <row r="1064" spans="1:2" x14ac:dyDescent="0.25">
      <c r="A1064" s="28"/>
      <c r="B1064" s="17"/>
    </row>
    <row r="1065" spans="1:2" x14ac:dyDescent="0.25">
      <c r="A1065" s="28"/>
      <c r="B1065" s="17"/>
    </row>
    <row r="1066" spans="1:2" x14ac:dyDescent="0.25">
      <c r="A1066" s="28"/>
      <c r="B1066" s="17"/>
    </row>
    <row r="1067" spans="1:2" x14ac:dyDescent="0.25">
      <c r="A1067" s="28"/>
      <c r="B1067" s="17"/>
    </row>
    <row r="1068" spans="1:2" x14ac:dyDescent="0.25">
      <c r="A1068" s="28"/>
      <c r="B1068" s="17"/>
    </row>
    <row r="1069" spans="1:2" x14ac:dyDescent="0.25">
      <c r="A1069" s="28"/>
      <c r="B1069" s="17"/>
    </row>
    <row r="1070" spans="1:2" x14ac:dyDescent="0.25">
      <c r="A1070" s="28"/>
      <c r="B1070" s="17"/>
    </row>
    <row r="1071" spans="1:2" x14ac:dyDescent="0.25">
      <c r="A1071" s="28"/>
      <c r="B1071" s="17"/>
    </row>
    <row r="1072" spans="1:2" x14ac:dyDescent="0.25">
      <c r="A1072" s="28"/>
      <c r="B1072" s="17"/>
    </row>
    <row r="1073" spans="1:2" x14ac:dyDescent="0.25">
      <c r="A1073" s="28"/>
      <c r="B1073" s="17"/>
    </row>
    <row r="1074" spans="1:2" x14ac:dyDescent="0.25">
      <c r="A1074" s="28"/>
      <c r="B1074" s="17"/>
    </row>
    <row r="1075" spans="1:2" x14ac:dyDescent="0.25">
      <c r="A1075" s="28"/>
      <c r="B1075" s="17"/>
    </row>
    <row r="1076" spans="1:2" x14ac:dyDescent="0.25">
      <c r="A1076" s="28"/>
      <c r="B1076" s="17"/>
    </row>
    <row r="1077" spans="1:2" x14ac:dyDescent="0.25">
      <c r="A1077" s="28"/>
      <c r="B1077" s="17"/>
    </row>
    <row r="1078" spans="1:2" x14ac:dyDescent="0.25">
      <c r="A1078" s="28"/>
      <c r="B1078" s="17"/>
    </row>
    <row r="1079" spans="1:2" x14ac:dyDescent="0.25">
      <c r="A1079" s="28"/>
      <c r="B1079" s="17"/>
    </row>
    <row r="1080" spans="1:2" x14ac:dyDescent="0.25">
      <c r="A1080" s="28"/>
      <c r="B1080" s="17"/>
    </row>
    <row r="1081" spans="1:2" x14ac:dyDescent="0.25">
      <c r="A1081" s="28"/>
      <c r="B1081" s="17"/>
    </row>
    <row r="1082" spans="1:2" x14ac:dyDescent="0.25">
      <c r="A1082" s="28"/>
      <c r="B1082" s="17"/>
    </row>
    <row r="1083" spans="1:2" x14ac:dyDescent="0.25">
      <c r="A1083" s="28"/>
      <c r="B1083" s="17"/>
    </row>
    <row r="1084" spans="1:2" x14ac:dyDescent="0.25">
      <c r="A1084" s="28"/>
      <c r="B1084" s="17"/>
    </row>
    <row r="1085" spans="1:2" x14ac:dyDescent="0.25">
      <c r="A1085" s="28"/>
      <c r="B1085" s="17"/>
    </row>
    <row r="1086" spans="1:2" x14ac:dyDescent="0.25">
      <c r="A1086" s="28"/>
      <c r="B1086" s="17"/>
    </row>
    <row r="1087" spans="1:2" x14ac:dyDescent="0.25">
      <c r="A1087" s="28"/>
      <c r="B1087" s="17"/>
    </row>
    <row r="1088" spans="1:2" x14ac:dyDescent="0.25">
      <c r="A1088" s="28"/>
      <c r="B1088" s="17"/>
    </row>
    <row r="1089" spans="1:2" x14ac:dyDescent="0.25">
      <c r="A1089" s="28"/>
      <c r="B1089" s="17"/>
    </row>
    <row r="1090" spans="1:2" x14ac:dyDescent="0.25">
      <c r="A1090" s="28"/>
      <c r="B1090" s="17"/>
    </row>
    <row r="1091" spans="1:2" x14ac:dyDescent="0.25">
      <c r="A1091" s="28"/>
      <c r="B1091" s="17"/>
    </row>
    <row r="1092" spans="1:2" x14ac:dyDescent="0.25">
      <c r="A1092" s="28"/>
      <c r="B1092" s="17"/>
    </row>
    <row r="1093" spans="1:2" x14ac:dyDescent="0.25">
      <c r="A1093" s="28"/>
      <c r="B1093" s="17"/>
    </row>
    <row r="1094" spans="1:2" x14ac:dyDescent="0.25">
      <c r="A1094" s="28"/>
      <c r="B1094" s="17"/>
    </row>
    <row r="1095" spans="1:2" x14ac:dyDescent="0.25">
      <c r="A1095" s="28"/>
      <c r="B1095" s="17"/>
    </row>
    <row r="1096" spans="1:2" x14ac:dyDescent="0.25">
      <c r="A1096" s="28"/>
      <c r="B1096" s="17"/>
    </row>
    <row r="1097" spans="1:2" x14ac:dyDescent="0.25">
      <c r="A1097" s="28"/>
      <c r="B1097" s="17"/>
    </row>
    <row r="1098" spans="1:2" x14ac:dyDescent="0.25">
      <c r="A1098" s="28"/>
      <c r="B1098" s="17"/>
    </row>
    <row r="1099" spans="1:2" x14ac:dyDescent="0.25">
      <c r="A1099" s="28"/>
      <c r="B1099" s="17"/>
    </row>
    <row r="1100" spans="1:2" x14ac:dyDescent="0.25">
      <c r="A1100" s="28"/>
      <c r="B1100" s="17"/>
    </row>
    <row r="1101" spans="1:2" x14ac:dyDescent="0.25">
      <c r="A1101" s="28"/>
      <c r="B1101" s="17"/>
    </row>
    <row r="1102" spans="1:2" x14ac:dyDescent="0.25">
      <c r="A1102" s="28"/>
      <c r="B1102" s="17"/>
    </row>
    <row r="1103" spans="1:2" x14ac:dyDescent="0.25">
      <c r="A1103" s="28"/>
      <c r="B1103" s="17"/>
    </row>
    <row r="1104" spans="1:2" x14ac:dyDescent="0.25">
      <c r="A1104" s="28"/>
      <c r="B1104" s="17"/>
    </row>
    <row r="1105" spans="1:2" x14ac:dyDescent="0.25">
      <c r="A1105" s="28"/>
      <c r="B1105" s="17"/>
    </row>
    <row r="1106" spans="1:2" x14ac:dyDescent="0.25">
      <c r="A1106" s="28"/>
      <c r="B1106" s="17"/>
    </row>
    <row r="1107" spans="1:2" x14ac:dyDescent="0.25">
      <c r="A1107" s="28"/>
      <c r="B1107" s="17"/>
    </row>
    <row r="1108" spans="1:2" x14ac:dyDescent="0.25">
      <c r="A1108" s="28"/>
      <c r="B1108" s="17"/>
    </row>
    <row r="1109" spans="1:2" x14ac:dyDescent="0.25">
      <c r="A1109" s="28"/>
      <c r="B1109" s="17"/>
    </row>
    <row r="1110" spans="1:2" x14ac:dyDescent="0.25">
      <c r="A1110" s="28"/>
      <c r="B1110" s="17"/>
    </row>
    <row r="1111" spans="1:2" x14ac:dyDescent="0.25">
      <c r="A1111" s="28"/>
      <c r="B1111" s="17"/>
    </row>
    <row r="1112" spans="1:2" x14ac:dyDescent="0.25">
      <c r="A1112" s="28"/>
      <c r="B1112" s="17"/>
    </row>
    <row r="1113" spans="1:2" x14ac:dyDescent="0.25">
      <c r="A1113" s="28"/>
      <c r="B1113" s="17"/>
    </row>
    <row r="1114" spans="1:2" x14ac:dyDescent="0.25">
      <c r="A1114" s="28"/>
      <c r="B1114" s="17"/>
    </row>
    <row r="1115" spans="1:2" x14ac:dyDescent="0.25">
      <c r="A1115" s="28"/>
      <c r="B1115" s="17"/>
    </row>
    <row r="1116" spans="1:2" x14ac:dyDescent="0.25">
      <c r="A1116" s="28"/>
      <c r="B1116" s="17"/>
    </row>
    <row r="1117" spans="1:2" x14ac:dyDescent="0.25">
      <c r="A1117" s="28"/>
      <c r="B1117" s="17"/>
    </row>
    <row r="1118" spans="1:2" x14ac:dyDescent="0.25">
      <c r="A1118" s="28"/>
      <c r="B1118" s="17"/>
    </row>
    <row r="1119" spans="1:2" x14ac:dyDescent="0.25">
      <c r="A1119" s="28"/>
      <c r="B1119" s="17"/>
    </row>
    <row r="1120" spans="1:2" x14ac:dyDescent="0.25">
      <c r="A1120" s="28"/>
      <c r="B1120" s="17"/>
    </row>
    <row r="1121" spans="1:2" x14ac:dyDescent="0.25">
      <c r="A1121" s="28"/>
      <c r="B1121" s="17"/>
    </row>
    <row r="1122" spans="1:2" x14ac:dyDescent="0.25">
      <c r="A1122" s="28"/>
      <c r="B1122" s="17"/>
    </row>
    <row r="1123" spans="1:2" x14ac:dyDescent="0.25">
      <c r="A1123" s="28"/>
      <c r="B1123" s="17"/>
    </row>
    <row r="1124" spans="1:2" x14ac:dyDescent="0.25">
      <c r="A1124" s="28"/>
      <c r="B1124" s="17"/>
    </row>
    <row r="1125" spans="1:2" x14ac:dyDescent="0.25">
      <c r="A1125" s="28"/>
      <c r="B1125" s="17"/>
    </row>
    <row r="1126" spans="1:2" x14ac:dyDescent="0.25">
      <c r="A1126" s="28"/>
      <c r="B1126" s="17"/>
    </row>
    <row r="1127" spans="1:2" x14ac:dyDescent="0.25">
      <c r="A1127" s="28"/>
      <c r="B1127" s="17"/>
    </row>
    <row r="1128" spans="1:2" x14ac:dyDescent="0.25">
      <c r="A1128" s="28"/>
      <c r="B1128" s="17"/>
    </row>
    <row r="1129" spans="1:2" x14ac:dyDescent="0.25">
      <c r="A1129" s="28"/>
      <c r="B1129" s="17"/>
    </row>
    <row r="1130" spans="1:2" x14ac:dyDescent="0.25">
      <c r="A1130" s="28"/>
      <c r="B1130" s="17"/>
    </row>
    <row r="1131" spans="1:2" x14ac:dyDescent="0.25">
      <c r="A1131" s="28"/>
      <c r="B1131" s="17"/>
    </row>
    <row r="1132" spans="1:2" x14ac:dyDescent="0.25">
      <c r="A1132" s="28"/>
      <c r="B1132" s="17"/>
    </row>
    <row r="1133" spans="1:2" x14ac:dyDescent="0.25">
      <c r="A1133" s="28"/>
      <c r="B1133" s="17"/>
    </row>
    <row r="1134" spans="1:2" x14ac:dyDescent="0.25">
      <c r="A1134" s="28"/>
      <c r="B1134" s="17"/>
    </row>
    <row r="1135" spans="1:2" x14ac:dyDescent="0.25">
      <c r="A1135" s="28"/>
      <c r="B1135" s="17"/>
    </row>
    <row r="1136" spans="1:2" x14ac:dyDescent="0.25">
      <c r="A1136" s="28"/>
      <c r="B1136" s="17"/>
    </row>
    <row r="1137" spans="1:6" x14ac:dyDescent="0.25">
      <c r="A1137" s="28"/>
      <c r="B1137" s="17"/>
    </row>
    <row r="1138" spans="1:6" x14ac:dyDescent="0.25">
      <c r="A1138" s="28"/>
      <c r="B1138" s="17"/>
    </row>
    <row r="1139" spans="1:6" x14ac:dyDescent="0.25">
      <c r="A1139" s="28"/>
      <c r="B1139" s="17"/>
    </row>
    <row r="1142" spans="1:6" x14ac:dyDescent="0.25">
      <c r="B1142" s="17"/>
      <c r="C1142" s="23"/>
      <c r="D1142" s="23"/>
      <c r="E1142" s="23"/>
      <c r="F1142" s="23"/>
    </row>
    <row r="1143" spans="1:6" x14ac:dyDescent="0.25">
      <c r="B1143" s="17"/>
      <c r="C1143" s="23"/>
      <c r="D1143" s="23"/>
      <c r="E1143" s="23"/>
      <c r="F1143" s="23"/>
    </row>
    <row r="1144" spans="1:6" x14ac:dyDescent="0.25">
      <c r="B1144" s="17"/>
    </row>
    <row r="1145" spans="1:6" x14ac:dyDescent="0.25">
      <c r="B1145" s="17"/>
    </row>
    <row r="1146" spans="1:6" x14ac:dyDescent="0.25">
      <c r="B1146" s="17"/>
    </row>
    <row r="1147" spans="1:6" x14ac:dyDescent="0.25">
      <c r="B1147" s="17"/>
    </row>
    <row r="1148" spans="1:6" x14ac:dyDescent="0.25">
      <c r="B1148" s="17"/>
    </row>
    <row r="1149" spans="1:6" x14ac:dyDescent="0.25">
      <c r="B1149" s="17"/>
    </row>
    <row r="1150" spans="1:6" x14ac:dyDescent="0.25">
      <c r="B1150" s="17"/>
    </row>
    <row r="1151" spans="1:6" x14ac:dyDescent="0.25">
      <c r="B1151" s="17"/>
    </row>
    <row r="1152" spans="1:6" x14ac:dyDescent="0.25">
      <c r="B1152" s="17"/>
    </row>
    <row r="1153" spans="2:2" x14ac:dyDescent="0.25">
      <c r="B1153" s="17"/>
    </row>
    <row r="1154" spans="2:2" x14ac:dyDescent="0.25">
      <c r="B1154" s="17"/>
    </row>
    <row r="1155" spans="2:2" x14ac:dyDescent="0.25">
      <c r="B1155" s="17"/>
    </row>
    <row r="1156" spans="2:2" x14ac:dyDescent="0.25">
      <c r="B1156" s="17"/>
    </row>
    <row r="1157" spans="2:2" x14ac:dyDescent="0.25">
      <c r="B1157" s="17"/>
    </row>
    <row r="1158" spans="2:2" x14ac:dyDescent="0.25">
      <c r="B1158" s="17"/>
    </row>
    <row r="1159" spans="2:2" x14ac:dyDescent="0.25">
      <c r="B1159" s="17"/>
    </row>
    <row r="1160" spans="2:2" x14ac:dyDescent="0.25">
      <c r="B1160" s="17"/>
    </row>
    <row r="1161" spans="2:2" x14ac:dyDescent="0.25">
      <c r="B1161" s="17"/>
    </row>
    <row r="1162" spans="2:2" x14ac:dyDescent="0.25">
      <c r="B1162" s="17"/>
    </row>
    <row r="1163" spans="2:2" x14ac:dyDescent="0.25">
      <c r="B1163" s="17"/>
    </row>
    <row r="1164" spans="2:2" x14ac:dyDescent="0.25">
      <c r="B1164" s="17"/>
    </row>
    <row r="1165" spans="2:2" x14ac:dyDescent="0.25">
      <c r="B1165" s="17"/>
    </row>
    <row r="1166" spans="2:2" x14ac:dyDescent="0.25">
      <c r="B1166" s="17"/>
    </row>
    <row r="1167" spans="2:2" x14ac:dyDescent="0.25">
      <c r="B1167" s="17"/>
    </row>
    <row r="1168" spans="2:2" x14ac:dyDescent="0.25">
      <c r="B1168" s="17"/>
    </row>
    <row r="1169" spans="2:2" x14ac:dyDescent="0.25">
      <c r="B1169" s="17"/>
    </row>
    <row r="1170" spans="2:2" x14ac:dyDescent="0.25">
      <c r="B1170" s="17"/>
    </row>
    <row r="1171" spans="2:2" x14ac:dyDescent="0.25">
      <c r="B1171" s="17"/>
    </row>
    <row r="1172" spans="2:2" x14ac:dyDescent="0.25">
      <c r="B1172" s="17"/>
    </row>
    <row r="1173" spans="2:2" x14ac:dyDescent="0.25">
      <c r="B1173" s="17"/>
    </row>
    <row r="1174" spans="2:2" x14ac:dyDescent="0.25">
      <c r="B1174" s="17"/>
    </row>
    <row r="1175" spans="2:2" x14ac:dyDescent="0.25">
      <c r="B1175" s="17"/>
    </row>
    <row r="1176" spans="2:2" x14ac:dyDescent="0.25">
      <c r="B1176" s="17"/>
    </row>
    <row r="1177" spans="2:2" x14ac:dyDescent="0.25">
      <c r="B1177" s="17"/>
    </row>
    <row r="1178" spans="2:2" x14ac:dyDescent="0.25">
      <c r="B1178" s="17"/>
    </row>
    <row r="1179" spans="2:2" x14ac:dyDescent="0.25">
      <c r="B1179" s="17"/>
    </row>
    <row r="1180" spans="2:2" x14ac:dyDescent="0.25">
      <c r="B1180" s="17"/>
    </row>
    <row r="1181" spans="2:2" x14ac:dyDescent="0.25">
      <c r="B1181" s="17"/>
    </row>
    <row r="1182" spans="2:2" x14ac:dyDescent="0.25">
      <c r="B1182" s="17"/>
    </row>
    <row r="1183" spans="2:2" x14ac:dyDescent="0.25">
      <c r="B1183" s="17"/>
    </row>
    <row r="1184" spans="2:2" x14ac:dyDescent="0.25">
      <c r="B1184" s="17"/>
    </row>
    <row r="1185" spans="2:2" x14ac:dyDescent="0.25">
      <c r="B1185" s="17"/>
    </row>
    <row r="1186" spans="2:2" x14ac:dyDescent="0.25">
      <c r="B1186" s="17"/>
    </row>
    <row r="1187" spans="2:2" x14ac:dyDescent="0.25">
      <c r="B1187" s="17"/>
    </row>
    <row r="1188" spans="2:2" x14ac:dyDescent="0.25">
      <c r="B1188" s="17"/>
    </row>
    <row r="1189" spans="2:2" x14ac:dyDescent="0.25">
      <c r="B1189" s="17"/>
    </row>
    <row r="1190" spans="2:2" x14ac:dyDescent="0.25">
      <c r="B1190" s="17"/>
    </row>
    <row r="1191" spans="2:2" x14ac:dyDescent="0.25">
      <c r="B1191" s="17"/>
    </row>
    <row r="1192" spans="2:2" x14ac:dyDescent="0.25">
      <c r="B1192" s="17"/>
    </row>
    <row r="1193" spans="2:2" x14ac:dyDescent="0.25">
      <c r="B1193" s="17"/>
    </row>
    <row r="1194" spans="2:2" x14ac:dyDescent="0.25">
      <c r="B1194" s="17"/>
    </row>
    <row r="1195" spans="2:2" x14ac:dyDescent="0.25">
      <c r="B1195" s="17"/>
    </row>
    <row r="1196" spans="2:2" x14ac:dyDescent="0.25">
      <c r="B1196" s="17"/>
    </row>
    <row r="1197" spans="2:2" x14ac:dyDescent="0.25">
      <c r="B1197" s="17"/>
    </row>
    <row r="1198" spans="2:2" x14ac:dyDescent="0.25">
      <c r="B1198" s="17"/>
    </row>
    <row r="1199" spans="2:2" x14ac:dyDescent="0.25">
      <c r="B1199" s="17"/>
    </row>
    <row r="1200" spans="2:2" x14ac:dyDescent="0.25">
      <c r="B1200" s="17"/>
    </row>
    <row r="1201" spans="2:2" x14ac:dyDescent="0.25">
      <c r="B1201" s="17"/>
    </row>
    <row r="1202" spans="2:2" x14ac:dyDescent="0.25">
      <c r="B1202" s="17"/>
    </row>
    <row r="1203" spans="2:2" x14ac:dyDescent="0.25">
      <c r="B1203" s="17"/>
    </row>
    <row r="1204" spans="2:2" x14ac:dyDescent="0.25">
      <c r="B1204" s="17"/>
    </row>
    <row r="1205" spans="2:2" x14ac:dyDescent="0.25">
      <c r="B1205" s="17"/>
    </row>
    <row r="1206" spans="2:2" x14ac:dyDescent="0.25">
      <c r="B1206" s="17"/>
    </row>
    <row r="1207" spans="2:2" x14ac:dyDescent="0.25">
      <c r="B1207" s="17"/>
    </row>
    <row r="1208" spans="2:2" x14ac:dyDescent="0.25">
      <c r="B1208" s="17"/>
    </row>
    <row r="1209" spans="2:2" x14ac:dyDescent="0.25">
      <c r="B1209" s="17"/>
    </row>
    <row r="1210" spans="2:2" x14ac:dyDescent="0.25">
      <c r="B1210" s="17"/>
    </row>
    <row r="1211" spans="2:2" x14ac:dyDescent="0.25">
      <c r="B1211" s="17"/>
    </row>
    <row r="1212" spans="2:2" x14ac:dyDescent="0.25">
      <c r="B1212" s="17"/>
    </row>
    <row r="1213" spans="2:2" x14ac:dyDescent="0.25">
      <c r="B1213" s="17"/>
    </row>
    <row r="1214" spans="2:2" x14ac:dyDescent="0.25">
      <c r="B1214" s="17"/>
    </row>
    <row r="1215" spans="2:2" x14ac:dyDescent="0.25">
      <c r="B1215" s="17"/>
    </row>
    <row r="1216" spans="2:2" x14ac:dyDescent="0.25">
      <c r="B1216" s="17"/>
    </row>
    <row r="1217" spans="2:2" x14ac:dyDescent="0.25">
      <c r="B1217" s="17"/>
    </row>
    <row r="1218" spans="2:2" x14ac:dyDescent="0.25">
      <c r="B1218" s="17"/>
    </row>
    <row r="1219" spans="2:2" x14ac:dyDescent="0.25">
      <c r="B1219" s="17"/>
    </row>
    <row r="1220" spans="2:2" x14ac:dyDescent="0.25">
      <c r="B1220" s="17"/>
    </row>
    <row r="1221" spans="2:2" x14ac:dyDescent="0.25">
      <c r="B1221" s="17"/>
    </row>
    <row r="1222" spans="2:2" x14ac:dyDescent="0.25">
      <c r="B1222" s="17"/>
    </row>
    <row r="1223" spans="2:2" x14ac:dyDescent="0.25">
      <c r="B1223" s="17"/>
    </row>
    <row r="1224" spans="2:2" x14ac:dyDescent="0.25">
      <c r="B1224" s="17"/>
    </row>
    <row r="1225" spans="2:2" x14ac:dyDescent="0.25">
      <c r="B1225" s="17"/>
    </row>
    <row r="1226" spans="2:2" x14ac:dyDescent="0.25">
      <c r="B1226" s="17"/>
    </row>
    <row r="1227" spans="2:2" x14ac:dyDescent="0.25">
      <c r="B1227" s="17"/>
    </row>
    <row r="1228" spans="2:2" x14ac:dyDescent="0.25">
      <c r="B1228" s="17"/>
    </row>
    <row r="1229" spans="2:2" x14ac:dyDescent="0.25">
      <c r="B1229" s="17"/>
    </row>
    <row r="1230" spans="2:2" x14ac:dyDescent="0.25">
      <c r="B1230" s="17"/>
    </row>
    <row r="1231" spans="2:2" x14ac:dyDescent="0.25">
      <c r="B1231" s="17"/>
    </row>
    <row r="1232" spans="2:2" x14ac:dyDescent="0.25">
      <c r="B1232" s="17"/>
    </row>
    <row r="1233" spans="2:2" x14ac:dyDescent="0.25">
      <c r="B1233" s="17"/>
    </row>
    <row r="1234" spans="2:2" x14ac:dyDescent="0.25">
      <c r="B1234" s="17"/>
    </row>
    <row r="1235" spans="2:2" x14ac:dyDescent="0.25">
      <c r="B1235" s="17"/>
    </row>
    <row r="1236" spans="2:2" x14ac:dyDescent="0.25">
      <c r="B1236" s="17"/>
    </row>
    <row r="1237" spans="2:2" x14ac:dyDescent="0.25">
      <c r="B1237" s="17"/>
    </row>
    <row r="1238" spans="2:2" x14ac:dyDescent="0.25">
      <c r="B1238" s="17"/>
    </row>
    <row r="1239" spans="2:2" x14ac:dyDescent="0.25">
      <c r="B1239" s="17"/>
    </row>
    <row r="1240" spans="2:2" x14ac:dyDescent="0.25">
      <c r="B1240" s="17"/>
    </row>
    <row r="1241" spans="2:2" x14ac:dyDescent="0.25">
      <c r="B1241" s="17"/>
    </row>
    <row r="1242" spans="2:2" x14ac:dyDescent="0.25">
      <c r="B1242" s="17"/>
    </row>
    <row r="1243" spans="2:2" x14ac:dyDescent="0.25">
      <c r="B1243" s="17"/>
    </row>
    <row r="1244" spans="2:2" x14ac:dyDescent="0.25">
      <c r="B1244" s="17"/>
    </row>
    <row r="1245" spans="2:2" x14ac:dyDescent="0.25">
      <c r="B1245" s="17"/>
    </row>
    <row r="1246" spans="2:2" x14ac:dyDescent="0.25">
      <c r="B1246" s="17"/>
    </row>
    <row r="1247" spans="2:2" x14ac:dyDescent="0.25">
      <c r="B1247" s="17"/>
    </row>
    <row r="1248" spans="2:2" x14ac:dyDescent="0.25">
      <c r="B1248" s="17"/>
    </row>
    <row r="1249" spans="2:2" x14ac:dyDescent="0.25">
      <c r="B1249" s="17"/>
    </row>
    <row r="1250" spans="2:2" x14ac:dyDescent="0.25">
      <c r="B1250" s="17"/>
    </row>
    <row r="1251" spans="2:2" x14ac:dyDescent="0.25">
      <c r="B1251" s="17"/>
    </row>
    <row r="1252" spans="2:2" x14ac:dyDescent="0.25">
      <c r="B1252" s="17"/>
    </row>
    <row r="1253" spans="2:2" x14ac:dyDescent="0.25">
      <c r="B1253" s="17"/>
    </row>
    <row r="1254" spans="2:2" x14ac:dyDescent="0.25">
      <c r="B1254" s="17"/>
    </row>
    <row r="1255" spans="2:2" x14ac:dyDescent="0.25">
      <c r="B1255" s="17"/>
    </row>
    <row r="1256" spans="2:2" x14ac:dyDescent="0.25">
      <c r="B1256" s="17"/>
    </row>
    <row r="1257" spans="2:2" x14ac:dyDescent="0.25">
      <c r="B1257" s="17"/>
    </row>
    <row r="1258" spans="2:2" x14ac:dyDescent="0.25">
      <c r="B1258" s="17"/>
    </row>
    <row r="1259" spans="2:2" x14ac:dyDescent="0.25">
      <c r="B1259" s="17"/>
    </row>
    <row r="1260" spans="2:2" x14ac:dyDescent="0.25">
      <c r="B1260" s="17"/>
    </row>
    <row r="1261" spans="2:2" x14ac:dyDescent="0.25">
      <c r="B1261" s="17"/>
    </row>
    <row r="1262" spans="2:2" x14ac:dyDescent="0.25">
      <c r="B1262" s="17"/>
    </row>
    <row r="1263" spans="2:2" x14ac:dyDescent="0.25">
      <c r="B1263" s="17"/>
    </row>
    <row r="1264" spans="2:2" x14ac:dyDescent="0.25">
      <c r="B1264" s="17"/>
    </row>
    <row r="1265" spans="2:2" x14ac:dyDescent="0.25">
      <c r="B1265" s="17"/>
    </row>
    <row r="1266" spans="2:2" x14ac:dyDescent="0.25">
      <c r="B1266" s="17"/>
    </row>
    <row r="1267" spans="2:2" x14ac:dyDescent="0.25">
      <c r="B1267" s="17"/>
    </row>
    <row r="1268" spans="2:2" x14ac:dyDescent="0.25">
      <c r="B1268" s="17"/>
    </row>
    <row r="1269" spans="2:2" x14ac:dyDescent="0.25">
      <c r="B1269" s="17"/>
    </row>
    <row r="1270" spans="2:2" x14ac:dyDescent="0.25">
      <c r="B1270" s="17"/>
    </row>
    <row r="1271" spans="2:2" x14ac:dyDescent="0.25">
      <c r="B1271" s="17"/>
    </row>
    <row r="1272" spans="2:2" x14ac:dyDescent="0.25">
      <c r="B1272" s="17"/>
    </row>
    <row r="1273" spans="2:2" x14ac:dyDescent="0.25">
      <c r="B1273" s="17"/>
    </row>
    <row r="1274" spans="2:2" x14ac:dyDescent="0.25">
      <c r="B1274" s="17"/>
    </row>
    <row r="1275" spans="2:2" x14ac:dyDescent="0.25">
      <c r="B1275" s="17"/>
    </row>
    <row r="1276" spans="2:2" x14ac:dyDescent="0.25">
      <c r="B1276" s="17"/>
    </row>
    <row r="1277" spans="2:2" x14ac:dyDescent="0.25">
      <c r="B1277" s="17"/>
    </row>
    <row r="1278" spans="2:2" x14ac:dyDescent="0.25">
      <c r="B1278" s="17"/>
    </row>
    <row r="1279" spans="2:2" x14ac:dyDescent="0.25">
      <c r="B1279" s="17"/>
    </row>
    <row r="1280" spans="2:2" x14ac:dyDescent="0.25">
      <c r="B1280" s="17"/>
    </row>
    <row r="1281" spans="2:2" x14ac:dyDescent="0.25">
      <c r="B1281" s="17"/>
    </row>
    <row r="1282" spans="2:2" x14ac:dyDescent="0.25">
      <c r="B1282" s="17"/>
    </row>
    <row r="1283" spans="2:2" x14ac:dyDescent="0.25">
      <c r="B1283" s="17"/>
    </row>
    <row r="1284" spans="2:2" x14ac:dyDescent="0.25">
      <c r="B1284" s="17"/>
    </row>
    <row r="1285" spans="2:2" x14ac:dyDescent="0.25">
      <c r="B1285" s="17"/>
    </row>
    <row r="1286" spans="2:2" x14ac:dyDescent="0.25">
      <c r="B1286" s="17"/>
    </row>
    <row r="1287" spans="2:2" x14ac:dyDescent="0.25">
      <c r="B1287" s="17"/>
    </row>
    <row r="1288" spans="2:2" x14ac:dyDescent="0.25">
      <c r="B1288" s="17"/>
    </row>
    <row r="1289" spans="2:2" x14ac:dyDescent="0.25">
      <c r="B1289" s="17"/>
    </row>
    <row r="1290" spans="2:2" x14ac:dyDescent="0.25">
      <c r="B1290" s="17"/>
    </row>
    <row r="1291" spans="2:2" x14ac:dyDescent="0.25">
      <c r="B1291" s="17"/>
    </row>
    <row r="1292" spans="2:2" x14ac:dyDescent="0.25">
      <c r="B1292" s="17"/>
    </row>
    <row r="1293" spans="2:2" x14ac:dyDescent="0.25">
      <c r="B1293" s="17"/>
    </row>
    <row r="1294" spans="2:2" x14ac:dyDescent="0.25">
      <c r="B1294" s="17"/>
    </row>
    <row r="1295" spans="2:2" x14ac:dyDescent="0.25">
      <c r="B1295" s="17"/>
    </row>
    <row r="1296" spans="2:2" x14ac:dyDescent="0.25">
      <c r="B1296" s="17"/>
    </row>
    <row r="1297" spans="2:2" x14ac:dyDescent="0.25">
      <c r="B1297" s="17"/>
    </row>
    <row r="1298" spans="2:2" x14ac:dyDescent="0.25">
      <c r="B1298" s="17"/>
    </row>
    <row r="1299" spans="2:2" x14ac:dyDescent="0.25">
      <c r="B1299" s="17"/>
    </row>
    <row r="1300" spans="2:2" x14ac:dyDescent="0.25">
      <c r="B1300" s="17"/>
    </row>
    <row r="1301" spans="2:2" x14ac:dyDescent="0.25">
      <c r="B1301" s="17"/>
    </row>
    <row r="1302" spans="2:2" x14ac:dyDescent="0.25">
      <c r="B1302" s="17"/>
    </row>
    <row r="1303" spans="2:2" x14ac:dyDescent="0.25">
      <c r="B1303" s="17"/>
    </row>
    <row r="1304" spans="2:2" x14ac:dyDescent="0.25">
      <c r="B1304" s="17"/>
    </row>
    <row r="1305" spans="2:2" x14ac:dyDescent="0.25">
      <c r="B1305" s="17"/>
    </row>
    <row r="1306" spans="2:2" x14ac:dyDescent="0.25">
      <c r="B1306" s="17"/>
    </row>
    <row r="1307" spans="2:2" x14ac:dyDescent="0.25">
      <c r="B1307" s="17"/>
    </row>
    <row r="1308" spans="2:2" x14ac:dyDescent="0.25">
      <c r="B1308" s="17"/>
    </row>
    <row r="1309" spans="2:2" x14ac:dyDescent="0.25">
      <c r="B1309" s="17"/>
    </row>
    <row r="1310" spans="2:2" x14ac:dyDescent="0.25">
      <c r="B1310" s="17"/>
    </row>
    <row r="1311" spans="2:2" x14ac:dyDescent="0.25">
      <c r="B1311" s="17"/>
    </row>
    <row r="1312" spans="2:2" x14ac:dyDescent="0.25">
      <c r="B1312" s="17"/>
    </row>
    <row r="1313" spans="2:2" x14ac:dyDescent="0.25">
      <c r="B1313" s="17"/>
    </row>
    <row r="1314" spans="2:2" x14ac:dyDescent="0.25">
      <c r="B1314" s="17"/>
    </row>
    <row r="1315" spans="2:2" x14ac:dyDescent="0.25">
      <c r="B1315" s="17"/>
    </row>
    <row r="1316" spans="2:2" x14ac:dyDescent="0.25">
      <c r="B1316" s="17"/>
    </row>
    <row r="1317" spans="2:2" x14ac:dyDescent="0.25">
      <c r="B1317" s="17"/>
    </row>
    <row r="1318" spans="2:2" x14ac:dyDescent="0.25">
      <c r="B1318" s="17"/>
    </row>
    <row r="1319" spans="2:2" x14ac:dyDescent="0.25">
      <c r="B1319" s="17"/>
    </row>
    <row r="1320" spans="2:2" x14ac:dyDescent="0.25">
      <c r="B1320" s="17"/>
    </row>
    <row r="1321" spans="2:2" x14ac:dyDescent="0.25">
      <c r="B1321" s="17"/>
    </row>
    <row r="1322" spans="2:2" x14ac:dyDescent="0.25">
      <c r="B1322" s="17"/>
    </row>
    <row r="1323" spans="2:2" x14ac:dyDescent="0.25">
      <c r="B1323" s="17"/>
    </row>
    <row r="1324" spans="2:2" x14ac:dyDescent="0.25">
      <c r="B1324" s="17"/>
    </row>
    <row r="1325" spans="2:2" x14ac:dyDescent="0.25">
      <c r="B1325" s="17"/>
    </row>
    <row r="1326" spans="2:2" x14ac:dyDescent="0.25">
      <c r="B1326" s="17"/>
    </row>
    <row r="1327" spans="2:2" x14ac:dyDescent="0.25">
      <c r="B1327" s="17"/>
    </row>
    <row r="1328" spans="2:2" x14ac:dyDescent="0.25">
      <c r="B1328" s="17"/>
    </row>
    <row r="1329" spans="2:2" x14ac:dyDescent="0.25">
      <c r="B1329" s="17"/>
    </row>
    <row r="1330" spans="2:2" x14ac:dyDescent="0.25">
      <c r="B1330" s="17"/>
    </row>
    <row r="1331" spans="2:2" x14ac:dyDescent="0.25">
      <c r="B1331" s="17"/>
    </row>
    <row r="1332" spans="2:2" x14ac:dyDescent="0.25">
      <c r="B1332" s="17"/>
    </row>
    <row r="1333" spans="2:2" x14ac:dyDescent="0.25">
      <c r="B1333" s="17"/>
    </row>
    <row r="1334" spans="2:2" x14ac:dyDescent="0.25">
      <c r="B1334" s="17"/>
    </row>
    <row r="1335" spans="2:2" x14ac:dyDescent="0.25">
      <c r="B1335" s="17"/>
    </row>
    <row r="1336" spans="2:2" x14ac:dyDescent="0.25">
      <c r="B1336" s="17"/>
    </row>
    <row r="1337" spans="2:2" x14ac:dyDescent="0.25">
      <c r="B1337" s="17"/>
    </row>
    <row r="1338" spans="2:2" x14ac:dyDescent="0.25">
      <c r="B1338" s="17"/>
    </row>
    <row r="1339" spans="2:2" x14ac:dyDescent="0.25">
      <c r="B1339" s="17"/>
    </row>
    <row r="1340" spans="2:2" x14ac:dyDescent="0.25">
      <c r="B1340" s="17"/>
    </row>
    <row r="1341" spans="2:2" x14ac:dyDescent="0.25">
      <c r="B1341" s="17"/>
    </row>
    <row r="1342" spans="2:2" x14ac:dyDescent="0.25">
      <c r="B1342" s="17"/>
    </row>
    <row r="1343" spans="2:2" x14ac:dyDescent="0.25">
      <c r="B1343" s="17"/>
    </row>
    <row r="1344" spans="2:2" x14ac:dyDescent="0.25">
      <c r="B1344" s="17"/>
    </row>
    <row r="1345" spans="2:2" x14ac:dyDescent="0.25">
      <c r="B1345" s="17"/>
    </row>
    <row r="1346" spans="2:2" x14ac:dyDescent="0.25">
      <c r="B1346" s="17"/>
    </row>
    <row r="1347" spans="2:2" x14ac:dyDescent="0.25">
      <c r="B1347" s="17"/>
    </row>
    <row r="1348" spans="2:2" x14ac:dyDescent="0.25">
      <c r="B1348" s="17"/>
    </row>
    <row r="1349" spans="2:2" x14ac:dyDescent="0.25">
      <c r="B1349" s="17"/>
    </row>
    <row r="1350" spans="2:2" x14ac:dyDescent="0.25">
      <c r="B1350" s="17"/>
    </row>
    <row r="1351" spans="2:2" x14ac:dyDescent="0.25">
      <c r="B1351" s="17"/>
    </row>
    <row r="1352" spans="2:2" x14ac:dyDescent="0.25">
      <c r="B1352" s="17"/>
    </row>
    <row r="1353" spans="2:2" x14ac:dyDescent="0.25">
      <c r="B1353" s="17"/>
    </row>
    <row r="1354" spans="2:2" x14ac:dyDescent="0.25">
      <c r="B1354" s="17"/>
    </row>
    <row r="1355" spans="2:2" x14ac:dyDescent="0.25">
      <c r="B1355" s="17"/>
    </row>
    <row r="1356" spans="2:2" x14ac:dyDescent="0.25">
      <c r="B1356" s="17"/>
    </row>
    <row r="1357" spans="2:2" x14ac:dyDescent="0.25">
      <c r="B1357" s="17"/>
    </row>
    <row r="1358" spans="2:2" x14ac:dyDescent="0.25">
      <c r="B1358" s="17"/>
    </row>
    <row r="1359" spans="2:2" x14ac:dyDescent="0.25">
      <c r="B1359" s="17"/>
    </row>
    <row r="1360" spans="2:2" x14ac:dyDescent="0.25">
      <c r="B1360" s="17"/>
    </row>
    <row r="1361" spans="2:2" x14ac:dyDescent="0.25">
      <c r="B1361" s="17"/>
    </row>
    <row r="1362" spans="2:2" x14ac:dyDescent="0.25">
      <c r="B1362" s="17"/>
    </row>
    <row r="1363" spans="2:2" x14ac:dyDescent="0.25">
      <c r="B1363" s="17"/>
    </row>
    <row r="1364" spans="2:2" x14ac:dyDescent="0.25">
      <c r="B1364" s="17"/>
    </row>
    <row r="1365" spans="2:2" x14ac:dyDescent="0.25">
      <c r="B1365" s="17"/>
    </row>
    <row r="1366" spans="2:2" x14ac:dyDescent="0.25">
      <c r="B1366" s="17"/>
    </row>
    <row r="1367" spans="2:2" x14ac:dyDescent="0.25">
      <c r="B1367" s="17"/>
    </row>
    <row r="1368" spans="2:2" x14ac:dyDescent="0.25">
      <c r="B1368" s="17"/>
    </row>
    <row r="1369" spans="2:2" x14ac:dyDescent="0.25">
      <c r="B1369" s="17"/>
    </row>
    <row r="1370" spans="2:2" x14ac:dyDescent="0.25">
      <c r="B1370" s="17"/>
    </row>
    <row r="1371" spans="2:2" x14ac:dyDescent="0.25">
      <c r="B1371" s="17"/>
    </row>
    <row r="1372" spans="2:2" x14ac:dyDescent="0.25">
      <c r="B1372" s="17"/>
    </row>
    <row r="1373" spans="2:2" x14ac:dyDescent="0.25">
      <c r="B1373" s="17"/>
    </row>
    <row r="1374" spans="2:2" x14ac:dyDescent="0.25">
      <c r="B1374" s="17"/>
    </row>
    <row r="1375" spans="2:2" x14ac:dyDescent="0.25">
      <c r="B1375" s="17"/>
    </row>
    <row r="1376" spans="2:2" x14ac:dyDescent="0.25">
      <c r="B1376" s="17"/>
    </row>
    <row r="1377" spans="2:2" x14ac:dyDescent="0.25">
      <c r="B1377" s="17"/>
    </row>
    <row r="1378" spans="2:2" x14ac:dyDescent="0.25">
      <c r="B1378" s="17"/>
    </row>
    <row r="1379" spans="2:2" x14ac:dyDescent="0.25">
      <c r="B1379" s="17"/>
    </row>
    <row r="1380" spans="2:2" x14ac:dyDescent="0.25">
      <c r="B1380" s="17"/>
    </row>
    <row r="1381" spans="2:2" x14ac:dyDescent="0.25">
      <c r="B1381" s="17"/>
    </row>
    <row r="1382" spans="2:2" x14ac:dyDescent="0.25">
      <c r="B1382" s="17"/>
    </row>
    <row r="1383" spans="2:2" x14ac:dyDescent="0.25">
      <c r="B1383" s="17"/>
    </row>
    <row r="1384" spans="2:2" x14ac:dyDescent="0.25">
      <c r="B1384" s="17"/>
    </row>
    <row r="1385" spans="2:2" x14ac:dyDescent="0.25">
      <c r="B1385" s="17"/>
    </row>
    <row r="1386" spans="2:2" x14ac:dyDescent="0.25">
      <c r="B1386" s="17"/>
    </row>
    <row r="1387" spans="2:2" x14ac:dyDescent="0.25">
      <c r="B1387" s="17"/>
    </row>
    <row r="1388" spans="2:2" x14ac:dyDescent="0.25">
      <c r="B1388" s="17"/>
    </row>
    <row r="1389" spans="2:2" x14ac:dyDescent="0.25">
      <c r="B1389" s="17"/>
    </row>
    <row r="1390" spans="2:2" x14ac:dyDescent="0.25">
      <c r="B1390" s="17"/>
    </row>
    <row r="1391" spans="2:2" x14ac:dyDescent="0.25">
      <c r="B1391" s="17"/>
    </row>
    <row r="1392" spans="2:2" x14ac:dyDescent="0.25">
      <c r="B1392" s="17"/>
    </row>
    <row r="1393" spans="2:2" x14ac:dyDescent="0.25">
      <c r="B1393" s="17"/>
    </row>
    <row r="1394" spans="2:2" x14ac:dyDescent="0.25">
      <c r="B1394" s="17"/>
    </row>
    <row r="1395" spans="2:2" x14ac:dyDescent="0.25">
      <c r="B1395" s="17"/>
    </row>
    <row r="1396" spans="2:2" x14ac:dyDescent="0.25">
      <c r="B1396" s="17"/>
    </row>
    <row r="1397" spans="2:2" x14ac:dyDescent="0.25">
      <c r="B1397" s="17"/>
    </row>
    <row r="1398" spans="2:2" x14ac:dyDescent="0.25">
      <c r="B1398" s="17"/>
    </row>
    <row r="1399" spans="2:2" x14ac:dyDescent="0.25">
      <c r="B1399" s="17"/>
    </row>
    <row r="1400" spans="2:2" x14ac:dyDescent="0.25">
      <c r="B1400" s="17"/>
    </row>
    <row r="1401" spans="2:2" x14ac:dyDescent="0.25">
      <c r="B1401" s="17"/>
    </row>
    <row r="1402" spans="2:2" x14ac:dyDescent="0.25">
      <c r="B1402" s="17"/>
    </row>
    <row r="1403" spans="2:2" x14ac:dyDescent="0.25">
      <c r="B1403" s="17"/>
    </row>
    <row r="1404" spans="2:2" x14ac:dyDescent="0.25">
      <c r="B1404" s="17"/>
    </row>
    <row r="1405" spans="2:2" x14ac:dyDescent="0.25">
      <c r="B1405" s="17"/>
    </row>
    <row r="1406" spans="2:2" x14ac:dyDescent="0.25">
      <c r="B1406" s="17"/>
    </row>
    <row r="1407" spans="2:2" x14ac:dyDescent="0.25">
      <c r="B1407" s="17"/>
    </row>
    <row r="1408" spans="2:2" x14ac:dyDescent="0.25">
      <c r="B1408" s="17"/>
    </row>
    <row r="1409" spans="2:2" x14ac:dyDescent="0.25">
      <c r="B1409" s="17"/>
    </row>
    <row r="1410" spans="2:2" x14ac:dyDescent="0.25">
      <c r="B1410" s="17"/>
    </row>
    <row r="1411" spans="2:2" x14ac:dyDescent="0.25">
      <c r="B1411" s="17"/>
    </row>
    <row r="1412" spans="2:2" x14ac:dyDescent="0.25">
      <c r="B1412" s="17"/>
    </row>
    <row r="1413" spans="2:2" x14ac:dyDescent="0.25">
      <c r="B1413" s="17"/>
    </row>
    <row r="1414" spans="2:2" x14ac:dyDescent="0.25">
      <c r="B1414" s="17"/>
    </row>
    <row r="1415" spans="2:2" x14ac:dyDescent="0.25">
      <c r="B1415" s="17"/>
    </row>
    <row r="1416" spans="2:2" x14ac:dyDescent="0.25">
      <c r="B1416" s="17"/>
    </row>
    <row r="1417" spans="2:2" x14ac:dyDescent="0.25">
      <c r="B1417" s="17"/>
    </row>
    <row r="1418" spans="2:2" x14ac:dyDescent="0.25">
      <c r="B1418" s="17"/>
    </row>
    <row r="1419" spans="2:2" x14ac:dyDescent="0.25">
      <c r="B1419" s="17"/>
    </row>
    <row r="1420" spans="2:2" x14ac:dyDescent="0.25">
      <c r="B1420" s="17"/>
    </row>
    <row r="1421" spans="2:2" x14ac:dyDescent="0.25">
      <c r="B1421" s="17"/>
    </row>
    <row r="1422" spans="2:2" x14ac:dyDescent="0.25">
      <c r="B1422" s="17"/>
    </row>
    <row r="1423" spans="2:2" x14ac:dyDescent="0.25">
      <c r="B1423" s="17"/>
    </row>
    <row r="1424" spans="2:2" x14ac:dyDescent="0.25">
      <c r="B1424" s="17"/>
    </row>
    <row r="1425" spans="2:2" x14ac:dyDescent="0.25">
      <c r="B1425" s="17"/>
    </row>
    <row r="1426" spans="2:2" x14ac:dyDescent="0.25">
      <c r="B1426" s="17"/>
    </row>
    <row r="1427" spans="2:2" x14ac:dyDescent="0.25">
      <c r="B1427" s="17"/>
    </row>
    <row r="1428" spans="2:2" x14ac:dyDescent="0.25">
      <c r="B1428" s="17"/>
    </row>
    <row r="1429" spans="2:2" x14ac:dyDescent="0.25">
      <c r="B1429" s="17"/>
    </row>
    <row r="1430" spans="2:2" x14ac:dyDescent="0.25">
      <c r="B1430" s="17"/>
    </row>
    <row r="1431" spans="2:2" x14ac:dyDescent="0.25">
      <c r="B1431" s="17"/>
    </row>
    <row r="1432" spans="2:2" x14ac:dyDescent="0.25">
      <c r="B1432" s="17"/>
    </row>
    <row r="1433" spans="2:2" x14ac:dyDescent="0.25">
      <c r="B1433" s="17"/>
    </row>
    <row r="1434" spans="2:2" x14ac:dyDescent="0.25">
      <c r="B1434" s="17"/>
    </row>
    <row r="1435" spans="2:2" x14ac:dyDescent="0.25">
      <c r="B1435" s="17"/>
    </row>
    <row r="1436" spans="2:2" x14ac:dyDescent="0.25">
      <c r="B1436" s="17"/>
    </row>
    <row r="1437" spans="2:2" x14ac:dyDescent="0.25">
      <c r="B1437" s="17"/>
    </row>
    <row r="1438" spans="2:2" x14ac:dyDescent="0.25">
      <c r="B1438" s="17"/>
    </row>
    <row r="1439" spans="2:2" x14ac:dyDescent="0.25">
      <c r="B1439" s="17"/>
    </row>
    <row r="1440" spans="2:2" x14ac:dyDescent="0.25">
      <c r="B1440" s="17"/>
    </row>
    <row r="1441" spans="2:2" x14ac:dyDescent="0.25">
      <c r="B1441" s="17"/>
    </row>
    <row r="1442" spans="2:2" x14ac:dyDescent="0.25">
      <c r="B1442" s="17"/>
    </row>
    <row r="1443" spans="2:2" x14ac:dyDescent="0.25">
      <c r="B1443" s="17"/>
    </row>
    <row r="1444" spans="2:2" x14ac:dyDescent="0.25">
      <c r="B1444" s="17"/>
    </row>
    <row r="1445" spans="2:2" x14ac:dyDescent="0.25">
      <c r="B1445" s="17"/>
    </row>
    <row r="1446" spans="2:2" x14ac:dyDescent="0.25">
      <c r="B1446" s="17"/>
    </row>
    <row r="1447" spans="2:2" x14ac:dyDescent="0.25">
      <c r="B1447" s="17"/>
    </row>
    <row r="1448" spans="2:2" x14ac:dyDescent="0.25">
      <c r="B1448" s="17"/>
    </row>
    <row r="1449" spans="2:2" x14ac:dyDescent="0.25">
      <c r="B1449" s="17"/>
    </row>
    <row r="1450" spans="2:2" x14ac:dyDescent="0.25">
      <c r="B1450" s="17"/>
    </row>
    <row r="1451" spans="2:2" x14ac:dyDescent="0.25">
      <c r="B1451" s="17"/>
    </row>
    <row r="1452" spans="2:2" x14ac:dyDescent="0.25">
      <c r="B1452" s="17"/>
    </row>
    <row r="1453" spans="2:2" x14ac:dyDescent="0.25">
      <c r="B1453" s="17"/>
    </row>
    <row r="1454" spans="2:2" x14ac:dyDescent="0.25">
      <c r="B1454" s="17"/>
    </row>
    <row r="1455" spans="2:2" x14ac:dyDescent="0.25">
      <c r="B1455" s="17"/>
    </row>
    <row r="1456" spans="2:2" x14ac:dyDescent="0.25">
      <c r="B1456" s="17"/>
    </row>
    <row r="1457" spans="2:2" x14ac:dyDescent="0.25">
      <c r="B1457" s="17"/>
    </row>
    <row r="1458" spans="2:2" x14ac:dyDescent="0.25">
      <c r="B1458" s="17"/>
    </row>
    <row r="1459" spans="2:2" x14ac:dyDescent="0.25">
      <c r="B1459" s="17"/>
    </row>
    <row r="1460" spans="2:2" x14ac:dyDescent="0.25">
      <c r="B1460" s="17"/>
    </row>
    <row r="1461" spans="2:2" x14ac:dyDescent="0.25">
      <c r="B1461" s="17"/>
    </row>
    <row r="1462" spans="2:2" x14ac:dyDescent="0.25">
      <c r="B1462" s="17"/>
    </row>
    <row r="1463" spans="2:2" x14ac:dyDescent="0.25">
      <c r="B1463" s="17"/>
    </row>
    <row r="1464" spans="2:2" x14ac:dyDescent="0.25">
      <c r="B1464" s="17"/>
    </row>
    <row r="1465" spans="2:2" x14ac:dyDescent="0.25">
      <c r="B1465" s="17"/>
    </row>
    <row r="1466" spans="2:2" x14ac:dyDescent="0.25">
      <c r="B1466" s="17"/>
    </row>
    <row r="1467" spans="2:2" x14ac:dyDescent="0.25">
      <c r="B1467" s="17"/>
    </row>
    <row r="1468" spans="2:2" x14ac:dyDescent="0.25">
      <c r="B1468" s="17"/>
    </row>
    <row r="1469" spans="2:2" x14ac:dyDescent="0.25">
      <c r="B1469" s="17"/>
    </row>
    <row r="1470" spans="2:2" x14ac:dyDescent="0.25">
      <c r="B1470" s="17"/>
    </row>
    <row r="1471" spans="2:2" x14ac:dyDescent="0.25">
      <c r="B1471" s="17"/>
    </row>
    <row r="1472" spans="2:2" x14ac:dyDescent="0.25">
      <c r="B1472" s="17"/>
    </row>
    <row r="1473" spans="2:2" x14ac:dyDescent="0.25">
      <c r="B1473" s="17"/>
    </row>
    <row r="1474" spans="2:2" x14ac:dyDescent="0.25">
      <c r="B1474" s="17"/>
    </row>
    <row r="1475" spans="2:2" x14ac:dyDescent="0.25">
      <c r="B1475" s="17"/>
    </row>
    <row r="1476" spans="2:2" x14ac:dyDescent="0.25">
      <c r="B1476" s="17"/>
    </row>
    <row r="1477" spans="2:2" x14ac:dyDescent="0.25">
      <c r="B1477" s="17"/>
    </row>
    <row r="1478" spans="2:2" x14ac:dyDescent="0.25">
      <c r="B1478" s="17"/>
    </row>
    <row r="1479" spans="2:2" x14ac:dyDescent="0.25">
      <c r="B1479" s="17"/>
    </row>
    <row r="1480" spans="2:2" x14ac:dyDescent="0.25">
      <c r="B1480" s="17"/>
    </row>
    <row r="1481" spans="2:2" x14ac:dyDescent="0.25">
      <c r="B1481" s="17"/>
    </row>
    <row r="1482" spans="2:2" x14ac:dyDescent="0.25">
      <c r="B1482" s="17"/>
    </row>
    <row r="1483" spans="2:2" x14ac:dyDescent="0.25">
      <c r="B1483" s="17"/>
    </row>
    <row r="1484" spans="2:2" x14ac:dyDescent="0.25">
      <c r="B1484" s="17"/>
    </row>
    <row r="1485" spans="2:2" x14ac:dyDescent="0.25">
      <c r="B1485" s="17"/>
    </row>
    <row r="1486" spans="2:2" x14ac:dyDescent="0.25">
      <c r="B1486" s="17"/>
    </row>
    <row r="1487" spans="2:2" x14ac:dyDescent="0.25">
      <c r="B1487" s="17"/>
    </row>
    <row r="1488" spans="2:2" x14ac:dyDescent="0.25">
      <c r="B1488" s="17"/>
    </row>
    <row r="1489" spans="2:2" x14ac:dyDescent="0.25">
      <c r="B1489" s="17"/>
    </row>
    <row r="1490" spans="2:2" x14ac:dyDescent="0.25">
      <c r="B1490" s="17"/>
    </row>
    <row r="1491" spans="2:2" x14ac:dyDescent="0.25">
      <c r="B1491" s="17"/>
    </row>
    <row r="1492" spans="2:2" x14ac:dyDescent="0.25">
      <c r="B1492" s="17"/>
    </row>
    <row r="1493" spans="2:2" x14ac:dyDescent="0.25">
      <c r="B1493" s="17"/>
    </row>
    <row r="1494" spans="2:2" x14ac:dyDescent="0.25">
      <c r="B1494" s="17"/>
    </row>
    <row r="1495" spans="2:2" x14ac:dyDescent="0.25">
      <c r="B1495" s="17"/>
    </row>
    <row r="1496" spans="2:2" x14ac:dyDescent="0.25">
      <c r="B1496" s="17"/>
    </row>
    <row r="1497" spans="2:2" x14ac:dyDescent="0.25">
      <c r="B1497" s="17"/>
    </row>
    <row r="1498" spans="2:2" x14ac:dyDescent="0.25">
      <c r="B1498" s="17"/>
    </row>
    <row r="1499" spans="2:2" x14ac:dyDescent="0.25">
      <c r="B1499" s="17"/>
    </row>
    <row r="1500" spans="2:2" x14ac:dyDescent="0.25">
      <c r="B1500" s="17"/>
    </row>
    <row r="1501" spans="2:2" x14ac:dyDescent="0.25">
      <c r="B1501" s="17"/>
    </row>
    <row r="1502" spans="2:2" x14ac:dyDescent="0.25">
      <c r="B1502" s="17"/>
    </row>
    <row r="1503" spans="2:2" x14ac:dyDescent="0.25">
      <c r="B1503" s="17"/>
    </row>
    <row r="1504" spans="2:2" x14ac:dyDescent="0.25">
      <c r="B1504" s="17"/>
    </row>
    <row r="1505" spans="2:2" x14ac:dyDescent="0.25">
      <c r="B1505" s="17"/>
    </row>
    <row r="1506" spans="2:2" x14ac:dyDescent="0.25">
      <c r="B1506" s="17"/>
    </row>
    <row r="1507" spans="2:2" x14ac:dyDescent="0.25">
      <c r="B1507" s="17"/>
    </row>
    <row r="1508" spans="2:2" x14ac:dyDescent="0.25">
      <c r="B1508" s="17"/>
    </row>
    <row r="1509" spans="2:2" x14ac:dyDescent="0.25">
      <c r="B1509" s="17"/>
    </row>
    <row r="1510" spans="2:2" x14ac:dyDescent="0.25">
      <c r="B1510" s="17"/>
    </row>
    <row r="1511" spans="2:2" x14ac:dyDescent="0.25">
      <c r="B1511" s="17"/>
    </row>
    <row r="1512" spans="2:2" x14ac:dyDescent="0.25">
      <c r="B1512" s="17"/>
    </row>
    <row r="1513" spans="2:2" x14ac:dyDescent="0.25">
      <c r="B1513" s="17"/>
    </row>
    <row r="1514" spans="2:2" x14ac:dyDescent="0.25">
      <c r="B1514" s="17"/>
    </row>
    <row r="1515" spans="2:2" x14ac:dyDescent="0.25">
      <c r="B1515" s="17"/>
    </row>
    <row r="1516" spans="2:2" x14ac:dyDescent="0.25">
      <c r="B1516" s="17"/>
    </row>
    <row r="1517" spans="2:2" x14ac:dyDescent="0.25">
      <c r="B1517" s="17"/>
    </row>
    <row r="1518" spans="2:2" x14ac:dyDescent="0.25">
      <c r="B1518" s="17"/>
    </row>
    <row r="1519" spans="2:2" x14ac:dyDescent="0.25">
      <c r="B1519" s="17"/>
    </row>
    <row r="1520" spans="2:2" x14ac:dyDescent="0.25">
      <c r="B1520" s="17"/>
    </row>
    <row r="1521" spans="2:2" x14ac:dyDescent="0.25">
      <c r="B1521" s="17"/>
    </row>
    <row r="1522" spans="2:2" x14ac:dyDescent="0.25">
      <c r="B1522" s="17"/>
    </row>
    <row r="1523" spans="2:2" x14ac:dyDescent="0.25">
      <c r="B1523" s="17"/>
    </row>
    <row r="1524" spans="2:2" x14ac:dyDescent="0.25">
      <c r="B1524" s="17"/>
    </row>
    <row r="1525" spans="2:2" x14ac:dyDescent="0.25">
      <c r="B1525" s="17"/>
    </row>
    <row r="1526" spans="2:2" x14ac:dyDescent="0.25">
      <c r="B1526" s="17"/>
    </row>
    <row r="1527" spans="2:2" x14ac:dyDescent="0.25">
      <c r="B1527" s="17"/>
    </row>
    <row r="1528" spans="2:2" x14ac:dyDescent="0.25">
      <c r="B1528" s="17"/>
    </row>
    <row r="1529" spans="2:2" x14ac:dyDescent="0.25">
      <c r="B1529" s="17"/>
    </row>
    <row r="1530" spans="2:2" x14ac:dyDescent="0.25">
      <c r="B1530" s="17"/>
    </row>
    <row r="1531" spans="2:2" x14ac:dyDescent="0.25">
      <c r="B1531" s="17"/>
    </row>
    <row r="1532" spans="2:2" x14ac:dyDescent="0.25">
      <c r="B1532" s="17"/>
    </row>
    <row r="1533" spans="2:2" x14ac:dyDescent="0.25">
      <c r="B1533" s="17"/>
    </row>
    <row r="1534" spans="2:2" x14ac:dyDescent="0.25">
      <c r="B1534" s="17"/>
    </row>
    <row r="1535" spans="2:2" x14ac:dyDescent="0.25">
      <c r="B1535" s="17"/>
    </row>
    <row r="1536" spans="2:2" x14ac:dyDescent="0.25">
      <c r="B1536" s="17"/>
    </row>
    <row r="1537" spans="2:2" x14ac:dyDescent="0.25">
      <c r="B1537" s="17"/>
    </row>
    <row r="1538" spans="2:2" x14ac:dyDescent="0.25">
      <c r="B1538" s="17"/>
    </row>
    <row r="1539" spans="2:2" x14ac:dyDescent="0.25">
      <c r="B1539" s="17"/>
    </row>
    <row r="1540" spans="2:2" x14ac:dyDescent="0.25">
      <c r="B1540" s="17"/>
    </row>
    <row r="1541" spans="2:2" x14ac:dyDescent="0.25">
      <c r="B1541" s="17"/>
    </row>
    <row r="1542" spans="2:2" x14ac:dyDescent="0.25">
      <c r="B1542" s="17"/>
    </row>
    <row r="1543" spans="2:2" x14ac:dyDescent="0.25">
      <c r="B1543" s="17"/>
    </row>
    <row r="1544" spans="2:2" x14ac:dyDescent="0.25">
      <c r="B1544" s="17"/>
    </row>
    <row r="1545" spans="2:2" x14ac:dyDescent="0.25">
      <c r="B1545" s="17"/>
    </row>
    <row r="1546" spans="2:2" x14ac:dyDescent="0.25">
      <c r="B1546" s="17"/>
    </row>
    <row r="1547" spans="2:2" x14ac:dyDescent="0.25">
      <c r="B1547" s="17"/>
    </row>
    <row r="1548" spans="2:2" x14ac:dyDescent="0.25">
      <c r="B1548" s="17"/>
    </row>
    <row r="1549" spans="2:2" x14ac:dyDescent="0.25">
      <c r="B1549" s="17"/>
    </row>
    <row r="1550" spans="2:2" x14ac:dyDescent="0.25">
      <c r="B1550" s="17"/>
    </row>
    <row r="1551" spans="2:2" x14ac:dyDescent="0.25">
      <c r="B1551" s="17"/>
    </row>
    <row r="1552" spans="2:2" x14ac:dyDescent="0.25">
      <c r="B1552" s="17"/>
    </row>
    <row r="1553" spans="2:2" x14ac:dyDescent="0.25">
      <c r="B1553" s="17"/>
    </row>
    <row r="1554" spans="2:2" x14ac:dyDescent="0.25">
      <c r="B1554" s="17"/>
    </row>
    <row r="1555" spans="2:2" x14ac:dyDescent="0.25">
      <c r="B1555" s="17"/>
    </row>
    <row r="1556" spans="2:2" x14ac:dyDescent="0.25">
      <c r="B1556" s="17"/>
    </row>
    <row r="1557" spans="2:2" x14ac:dyDescent="0.25">
      <c r="B1557" s="17"/>
    </row>
    <row r="1558" spans="2:2" x14ac:dyDescent="0.25">
      <c r="B1558" s="17"/>
    </row>
    <row r="1559" spans="2:2" x14ac:dyDescent="0.25">
      <c r="B1559" s="17"/>
    </row>
    <row r="1560" spans="2:2" x14ac:dyDescent="0.25">
      <c r="B1560" s="17"/>
    </row>
    <row r="1561" spans="2:2" x14ac:dyDescent="0.25">
      <c r="B1561" s="17"/>
    </row>
    <row r="1562" spans="2:2" x14ac:dyDescent="0.25">
      <c r="B1562" s="17"/>
    </row>
    <row r="1563" spans="2:2" x14ac:dyDescent="0.25">
      <c r="B1563" s="17"/>
    </row>
    <row r="1564" spans="2:2" x14ac:dyDescent="0.25">
      <c r="B1564" s="17"/>
    </row>
    <row r="1565" spans="2:2" x14ac:dyDescent="0.25">
      <c r="B1565" s="17"/>
    </row>
    <row r="1566" spans="2:2" x14ac:dyDescent="0.25">
      <c r="B1566" s="17"/>
    </row>
    <row r="1567" spans="2:2" x14ac:dyDescent="0.25">
      <c r="B1567" s="17"/>
    </row>
    <row r="1568" spans="2:2" x14ac:dyDescent="0.25">
      <c r="B1568" s="17"/>
    </row>
    <row r="1569" spans="2:2" x14ac:dyDescent="0.25">
      <c r="B1569" s="17"/>
    </row>
    <row r="1570" spans="2:2" x14ac:dyDescent="0.25">
      <c r="B1570" s="17"/>
    </row>
    <row r="1571" spans="2:2" x14ac:dyDescent="0.25">
      <c r="B1571" s="17"/>
    </row>
    <row r="1572" spans="2:2" x14ac:dyDescent="0.25">
      <c r="B1572" s="17"/>
    </row>
    <row r="1573" spans="2:2" x14ac:dyDescent="0.25">
      <c r="B1573" s="17"/>
    </row>
    <row r="1574" spans="2:2" x14ac:dyDescent="0.25">
      <c r="B1574" s="17"/>
    </row>
    <row r="1575" spans="2:2" x14ac:dyDescent="0.25">
      <c r="B1575" s="17"/>
    </row>
    <row r="1576" spans="2:2" x14ac:dyDescent="0.25">
      <c r="B1576" s="17"/>
    </row>
    <row r="1577" spans="2:2" x14ac:dyDescent="0.25">
      <c r="B1577" s="17"/>
    </row>
    <row r="1578" spans="2:2" x14ac:dyDescent="0.25">
      <c r="B1578" s="17"/>
    </row>
    <row r="1579" spans="2:2" x14ac:dyDescent="0.25">
      <c r="B1579" s="17"/>
    </row>
    <row r="1580" spans="2:2" x14ac:dyDescent="0.25">
      <c r="B1580" s="17"/>
    </row>
    <row r="1581" spans="2:2" x14ac:dyDescent="0.25">
      <c r="B1581" s="17"/>
    </row>
    <row r="1582" spans="2:2" x14ac:dyDescent="0.25">
      <c r="B1582" s="17"/>
    </row>
    <row r="1583" spans="2:2" x14ac:dyDescent="0.25">
      <c r="B1583" s="17"/>
    </row>
    <row r="1584" spans="2:2" x14ac:dyDescent="0.25">
      <c r="B1584" s="17"/>
    </row>
    <row r="1585" spans="2:2" x14ac:dyDescent="0.25">
      <c r="B1585" s="17"/>
    </row>
    <row r="1586" spans="2:2" x14ac:dyDescent="0.25">
      <c r="B1586" s="17"/>
    </row>
    <row r="1587" spans="2:2" x14ac:dyDescent="0.25">
      <c r="B1587" s="17"/>
    </row>
    <row r="1588" spans="2:2" x14ac:dyDescent="0.25">
      <c r="B1588" s="17"/>
    </row>
    <row r="1589" spans="2:2" x14ac:dyDescent="0.25">
      <c r="B1589" s="17"/>
    </row>
    <row r="1590" spans="2:2" x14ac:dyDescent="0.25">
      <c r="B1590" s="17"/>
    </row>
    <row r="1591" spans="2:2" x14ac:dyDescent="0.25">
      <c r="B1591" s="17"/>
    </row>
    <row r="1592" spans="2:2" x14ac:dyDescent="0.25">
      <c r="B1592" s="17"/>
    </row>
    <row r="1593" spans="2:2" x14ac:dyDescent="0.25">
      <c r="B1593" s="17"/>
    </row>
    <row r="1594" spans="2:2" x14ac:dyDescent="0.25">
      <c r="B1594" s="17"/>
    </row>
    <row r="1595" spans="2:2" x14ac:dyDescent="0.25">
      <c r="B1595" s="17"/>
    </row>
    <row r="1596" spans="2:2" x14ac:dyDescent="0.25">
      <c r="B1596" s="17"/>
    </row>
    <row r="1597" spans="2:2" x14ac:dyDescent="0.25">
      <c r="B1597" s="17"/>
    </row>
    <row r="1598" spans="2:2" x14ac:dyDescent="0.25">
      <c r="B1598" s="17"/>
    </row>
    <row r="1599" spans="2:2" x14ac:dyDescent="0.25">
      <c r="B1599" s="17"/>
    </row>
    <row r="1600" spans="2:2" x14ac:dyDescent="0.25">
      <c r="B1600" s="17"/>
    </row>
    <row r="1601" spans="2:2" x14ac:dyDescent="0.25">
      <c r="B1601" s="17"/>
    </row>
    <row r="1602" spans="2:2" x14ac:dyDescent="0.25">
      <c r="B1602" s="17"/>
    </row>
    <row r="1603" spans="2:2" x14ac:dyDescent="0.25">
      <c r="B1603" s="17"/>
    </row>
    <row r="1604" spans="2:2" x14ac:dyDescent="0.25">
      <c r="B1604" s="17"/>
    </row>
    <row r="1605" spans="2:2" x14ac:dyDescent="0.25">
      <c r="B1605" s="17"/>
    </row>
    <row r="1606" spans="2:2" x14ac:dyDescent="0.25">
      <c r="B1606" s="17"/>
    </row>
    <row r="1607" spans="2:2" x14ac:dyDescent="0.25">
      <c r="B1607" s="17"/>
    </row>
    <row r="1608" spans="2:2" x14ac:dyDescent="0.25">
      <c r="B1608" s="17"/>
    </row>
    <row r="1609" spans="2:2" x14ac:dyDescent="0.25">
      <c r="B1609" s="17"/>
    </row>
    <row r="1610" spans="2:2" x14ac:dyDescent="0.25">
      <c r="B1610" s="17"/>
    </row>
    <row r="1611" spans="2:2" x14ac:dyDescent="0.25">
      <c r="B1611" s="17"/>
    </row>
    <row r="1612" spans="2:2" x14ac:dyDescent="0.25">
      <c r="B1612" s="17"/>
    </row>
    <row r="1613" spans="2:2" x14ac:dyDescent="0.25">
      <c r="B1613" s="17"/>
    </row>
    <row r="1614" spans="2:2" x14ac:dyDescent="0.25">
      <c r="B1614" s="17"/>
    </row>
    <row r="1615" spans="2:2" x14ac:dyDescent="0.25">
      <c r="B1615" s="17"/>
    </row>
    <row r="1616" spans="2:2" x14ac:dyDescent="0.25">
      <c r="B1616" s="17"/>
    </row>
    <row r="1617" spans="2:2" x14ac:dyDescent="0.25">
      <c r="B1617" s="17"/>
    </row>
    <row r="1618" spans="2:2" x14ac:dyDescent="0.25">
      <c r="B1618" s="17"/>
    </row>
    <row r="1619" spans="2:2" x14ac:dyDescent="0.25">
      <c r="B1619" s="17"/>
    </row>
    <row r="1620" spans="2:2" x14ac:dyDescent="0.25">
      <c r="B1620" s="17"/>
    </row>
    <row r="1621" spans="2:2" x14ac:dyDescent="0.25">
      <c r="B1621" s="17"/>
    </row>
    <row r="1622" spans="2:2" x14ac:dyDescent="0.25">
      <c r="B1622" s="17"/>
    </row>
    <row r="1623" spans="2:2" x14ac:dyDescent="0.25">
      <c r="B1623" s="17"/>
    </row>
    <row r="1624" spans="2:2" x14ac:dyDescent="0.25">
      <c r="B1624" s="17"/>
    </row>
    <row r="1625" spans="2:2" x14ac:dyDescent="0.25">
      <c r="B1625" s="17"/>
    </row>
    <row r="1626" spans="2:2" x14ac:dyDescent="0.25">
      <c r="B1626" s="17"/>
    </row>
    <row r="1627" spans="2:2" x14ac:dyDescent="0.25">
      <c r="B1627" s="17"/>
    </row>
    <row r="1628" spans="2:2" x14ac:dyDescent="0.25">
      <c r="B1628" s="17"/>
    </row>
    <row r="1629" spans="2:2" x14ac:dyDescent="0.25">
      <c r="B1629" s="17"/>
    </row>
    <row r="1630" spans="2:2" x14ac:dyDescent="0.25">
      <c r="B1630" s="17"/>
    </row>
    <row r="1631" spans="2:2" x14ac:dyDescent="0.25">
      <c r="B1631" s="17"/>
    </row>
    <row r="1632" spans="2:2" x14ac:dyDescent="0.25">
      <c r="B1632" s="17"/>
    </row>
    <row r="1633" spans="2:2" x14ac:dyDescent="0.25">
      <c r="B1633" s="17"/>
    </row>
    <row r="1634" spans="2:2" x14ac:dyDescent="0.25">
      <c r="B1634" s="17"/>
    </row>
    <row r="1635" spans="2:2" x14ac:dyDescent="0.25">
      <c r="B1635" s="17"/>
    </row>
    <row r="1636" spans="2:2" x14ac:dyDescent="0.25">
      <c r="B1636" s="17"/>
    </row>
    <row r="1637" spans="2:2" x14ac:dyDescent="0.25">
      <c r="B1637" s="17"/>
    </row>
    <row r="1638" spans="2:2" x14ac:dyDescent="0.25">
      <c r="B1638" s="17"/>
    </row>
    <row r="1639" spans="2:2" x14ac:dyDescent="0.25">
      <c r="B1639" s="17"/>
    </row>
    <row r="1640" spans="2:2" x14ac:dyDescent="0.25">
      <c r="B1640" s="17"/>
    </row>
    <row r="1641" spans="2:2" x14ac:dyDescent="0.25">
      <c r="B1641" s="17"/>
    </row>
    <row r="1642" spans="2:2" x14ac:dyDescent="0.25">
      <c r="B1642" s="17"/>
    </row>
    <row r="1643" spans="2:2" x14ac:dyDescent="0.25">
      <c r="B1643" s="17"/>
    </row>
    <row r="1644" spans="2:2" x14ac:dyDescent="0.25">
      <c r="B1644" s="17"/>
    </row>
    <row r="1645" spans="2:2" x14ac:dyDescent="0.25">
      <c r="B1645" s="17"/>
    </row>
    <row r="1646" spans="2:2" x14ac:dyDescent="0.25">
      <c r="B1646" s="17"/>
    </row>
    <row r="1647" spans="2:2" x14ac:dyDescent="0.25">
      <c r="B1647" s="17"/>
    </row>
    <row r="1648" spans="2:2" x14ac:dyDescent="0.25">
      <c r="B1648" s="17"/>
    </row>
    <row r="1649" spans="2:2" x14ac:dyDescent="0.25">
      <c r="B1649" s="17"/>
    </row>
    <row r="1650" spans="2:2" x14ac:dyDescent="0.25">
      <c r="B1650" s="17"/>
    </row>
    <row r="1651" spans="2:2" x14ac:dyDescent="0.25">
      <c r="B1651" s="17"/>
    </row>
    <row r="1652" spans="2:2" x14ac:dyDescent="0.25">
      <c r="B1652" s="17"/>
    </row>
    <row r="1653" spans="2:2" x14ac:dyDescent="0.25">
      <c r="B1653" s="17"/>
    </row>
    <row r="1654" spans="2:2" x14ac:dyDescent="0.25">
      <c r="B1654" s="17"/>
    </row>
    <row r="1655" spans="2:2" x14ac:dyDescent="0.25">
      <c r="B1655" s="17"/>
    </row>
    <row r="1656" spans="2:2" x14ac:dyDescent="0.25">
      <c r="B1656" s="17"/>
    </row>
    <row r="1657" spans="2:2" x14ac:dyDescent="0.25">
      <c r="B1657" s="17"/>
    </row>
    <row r="1658" spans="2:2" x14ac:dyDescent="0.25">
      <c r="B1658" s="17"/>
    </row>
    <row r="1659" spans="2:2" x14ac:dyDescent="0.25">
      <c r="B1659" s="17"/>
    </row>
    <row r="1660" spans="2:2" x14ac:dyDescent="0.25">
      <c r="B1660" s="17"/>
    </row>
    <row r="1661" spans="2:2" x14ac:dyDescent="0.25">
      <c r="B1661" s="17"/>
    </row>
    <row r="1662" spans="2:2" x14ac:dyDescent="0.25">
      <c r="B1662" s="17"/>
    </row>
    <row r="1663" spans="2:2" x14ac:dyDescent="0.25">
      <c r="B1663" s="17"/>
    </row>
    <row r="1664" spans="2:2" x14ac:dyDescent="0.25">
      <c r="B1664" s="17"/>
    </row>
    <row r="1665" spans="2:2" x14ac:dyDescent="0.25">
      <c r="B1665" s="17"/>
    </row>
    <row r="1666" spans="2:2" x14ac:dyDescent="0.25">
      <c r="B1666" s="17"/>
    </row>
    <row r="1667" spans="2:2" x14ac:dyDescent="0.25">
      <c r="B1667" s="17"/>
    </row>
    <row r="1668" spans="2:2" x14ac:dyDescent="0.25">
      <c r="B1668" s="17"/>
    </row>
    <row r="1669" spans="2:2" x14ac:dyDescent="0.25">
      <c r="B1669" s="17"/>
    </row>
    <row r="1670" spans="2:2" x14ac:dyDescent="0.25">
      <c r="B1670" s="17"/>
    </row>
    <row r="1671" spans="2:2" x14ac:dyDescent="0.25">
      <c r="B1671" s="17"/>
    </row>
    <row r="1672" spans="2:2" x14ac:dyDescent="0.25">
      <c r="B1672" s="17"/>
    </row>
    <row r="1673" spans="2:2" x14ac:dyDescent="0.25">
      <c r="B1673" s="17"/>
    </row>
    <row r="1674" spans="2:2" x14ac:dyDescent="0.25">
      <c r="B1674" s="17"/>
    </row>
    <row r="1675" spans="2:2" x14ac:dyDescent="0.25">
      <c r="B1675" s="17"/>
    </row>
    <row r="1676" spans="2:2" x14ac:dyDescent="0.25">
      <c r="B1676" s="17"/>
    </row>
    <row r="1677" spans="2:2" x14ac:dyDescent="0.25">
      <c r="B1677" s="17"/>
    </row>
    <row r="1678" spans="2:2" x14ac:dyDescent="0.25">
      <c r="B1678" s="17"/>
    </row>
    <row r="1679" spans="2:2" x14ac:dyDescent="0.25">
      <c r="B1679" s="17"/>
    </row>
    <row r="1680" spans="2:2" x14ac:dyDescent="0.25">
      <c r="B1680" s="17"/>
    </row>
    <row r="1681" spans="2:2" x14ac:dyDescent="0.25">
      <c r="B1681" s="17"/>
    </row>
    <row r="1682" spans="2:2" x14ac:dyDescent="0.25">
      <c r="B1682" s="17"/>
    </row>
    <row r="1683" spans="2:2" x14ac:dyDescent="0.25">
      <c r="B1683" s="17"/>
    </row>
    <row r="1684" spans="2:2" x14ac:dyDescent="0.25">
      <c r="B1684" s="17"/>
    </row>
    <row r="1685" spans="2:2" x14ac:dyDescent="0.25">
      <c r="B1685" s="17"/>
    </row>
    <row r="1686" spans="2:2" x14ac:dyDescent="0.25">
      <c r="B1686" s="17"/>
    </row>
    <row r="1687" spans="2:2" x14ac:dyDescent="0.25">
      <c r="B1687" s="17"/>
    </row>
    <row r="1688" spans="2:2" x14ac:dyDescent="0.25">
      <c r="B1688" s="17"/>
    </row>
    <row r="1689" spans="2:2" x14ac:dyDescent="0.25">
      <c r="B1689" s="17"/>
    </row>
    <row r="1690" spans="2:2" x14ac:dyDescent="0.25">
      <c r="B1690" s="17"/>
    </row>
    <row r="1691" spans="2:2" x14ac:dyDescent="0.25">
      <c r="B1691" s="17"/>
    </row>
    <row r="1692" spans="2:2" x14ac:dyDescent="0.25">
      <c r="B1692" s="17"/>
    </row>
    <row r="1693" spans="2:2" x14ac:dyDescent="0.25">
      <c r="B1693" s="17"/>
    </row>
    <row r="1694" spans="2:2" x14ac:dyDescent="0.25">
      <c r="B1694" s="17"/>
    </row>
    <row r="1695" spans="2:2" x14ac:dyDescent="0.25">
      <c r="B1695" s="17"/>
    </row>
    <row r="1696" spans="2:2" x14ac:dyDescent="0.25">
      <c r="B1696" s="17"/>
    </row>
    <row r="1697" spans="2:2" x14ac:dyDescent="0.25">
      <c r="B1697" s="17"/>
    </row>
    <row r="1698" spans="2:2" x14ac:dyDescent="0.25">
      <c r="B1698" s="17"/>
    </row>
    <row r="1699" spans="2:2" x14ac:dyDescent="0.25">
      <c r="B1699" s="17"/>
    </row>
    <row r="1700" spans="2:2" x14ac:dyDescent="0.25">
      <c r="B1700" s="17"/>
    </row>
    <row r="1701" spans="2:2" x14ac:dyDescent="0.25">
      <c r="B1701" s="17"/>
    </row>
    <row r="1702" spans="2:2" x14ac:dyDescent="0.25">
      <c r="B1702" s="17"/>
    </row>
    <row r="1703" spans="2:2" x14ac:dyDescent="0.25">
      <c r="B1703" s="17"/>
    </row>
    <row r="1704" spans="2:2" x14ac:dyDescent="0.25">
      <c r="B1704" s="17"/>
    </row>
    <row r="1705" spans="2:2" x14ac:dyDescent="0.25">
      <c r="B1705" s="17"/>
    </row>
    <row r="1706" spans="2:2" x14ac:dyDescent="0.25">
      <c r="B1706" s="17"/>
    </row>
    <row r="1707" spans="2:2" x14ac:dyDescent="0.25">
      <c r="B1707" s="17"/>
    </row>
    <row r="1708" spans="2:2" x14ac:dyDescent="0.25">
      <c r="B1708" s="17"/>
    </row>
    <row r="1709" spans="2:2" x14ac:dyDescent="0.25">
      <c r="B1709" s="17"/>
    </row>
    <row r="1710" spans="2:2" x14ac:dyDescent="0.25">
      <c r="B1710" s="17"/>
    </row>
    <row r="1711" spans="2:2" x14ac:dyDescent="0.25">
      <c r="B1711" s="17"/>
    </row>
    <row r="1712" spans="2:2" x14ac:dyDescent="0.25">
      <c r="B1712" s="17"/>
    </row>
    <row r="1713" spans="2:2" x14ac:dyDescent="0.25">
      <c r="B1713" s="17"/>
    </row>
    <row r="1714" spans="2:2" x14ac:dyDescent="0.25">
      <c r="B1714" s="17"/>
    </row>
    <row r="1715" spans="2:2" x14ac:dyDescent="0.25">
      <c r="B1715" s="17"/>
    </row>
    <row r="1716" spans="2:2" x14ac:dyDescent="0.25">
      <c r="B1716" s="17"/>
    </row>
    <row r="1717" spans="2:2" x14ac:dyDescent="0.25">
      <c r="B1717" s="17"/>
    </row>
    <row r="1718" spans="2:2" x14ac:dyDescent="0.25">
      <c r="B1718" s="17"/>
    </row>
    <row r="1719" spans="2:2" x14ac:dyDescent="0.25">
      <c r="B1719" s="17"/>
    </row>
    <row r="1720" spans="2:2" x14ac:dyDescent="0.25">
      <c r="B1720" s="17"/>
    </row>
    <row r="1721" spans="2:2" x14ac:dyDescent="0.25">
      <c r="B1721" s="17"/>
    </row>
    <row r="1722" spans="2:2" x14ac:dyDescent="0.25">
      <c r="B1722" s="17"/>
    </row>
    <row r="1723" spans="2:2" x14ac:dyDescent="0.25">
      <c r="B1723" s="17"/>
    </row>
    <row r="1724" spans="2:2" x14ac:dyDescent="0.25">
      <c r="B1724" s="17"/>
    </row>
    <row r="1725" spans="2:2" x14ac:dyDescent="0.25">
      <c r="B1725" s="17"/>
    </row>
    <row r="1726" spans="2:2" x14ac:dyDescent="0.25">
      <c r="B1726" s="17"/>
    </row>
    <row r="1727" spans="2:2" x14ac:dyDescent="0.25">
      <c r="B1727" s="17"/>
    </row>
    <row r="1728" spans="2:2" x14ac:dyDescent="0.25">
      <c r="B1728" s="17"/>
    </row>
    <row r="1729" spans="2:2" x14ac:dyDescent="0.25">
      <c r="B1729" s="17"/>
    </row>
    <row r="1730" spans="2:2" x14ac:dyDescent="0.25">
      <c r="B1730" s="17"/>
    </row>
    <row r="1731" spans="2:2" x14ac:dyDescent="0.25">
      <c r="B1731" s="17"/>
    </row>
    <row r="1732" spans="2:2" x14ac:dyDescent="0.25">
      <c r="B1732" s="17"/>
    </row>
    <row r="1733" spans="2:2" x14ac:dyDescent="0.25">
      <c r="B1733" s="17"/>
    </row>
    <row r="1734" spans="2:2" x14ac:dyDescent="0.25">
      <c r="B1734" s="17"/>
    </row>
    <row r="1735" spans="2:2" x14ac:dyDescent="0.25">
      <c r="B1735" s="17"/>
    </row>
    <row r="1736" spans="2:2" x14ac:dyDescent="0.25">
      <c r="B1736" s="17"/>
    </row>
    <row r="1737" spans="2:2" x14ac:dyDescent="0.25">
      <c r="B1737" s="17"/>
    </row>
    <row r="1738" spans="2:2" x14ac:dyDescent="0.25">
      <c r="B1738" s="17"/>
    </row>
    <row r="1739" spans="2:2" x14ac:dyDescent="0.25">
      <c r="B1739" s="17"/>
    </row>
    <row r="1740" spans="2:2" x14ac:dyDescent="0.25">
      <c r="B1740" s="17"/>
    </row>
    <row r="1741" spans="2:2" x14ac:dyDescent="0.25">
      <c r="B1741" s="17"/>
    </row>
    <row r="1742" spans="2:2" x14ac:dyDescent="0.25">
      <c r="B1742" s="17"/>
    </row>
    <row r="1743" spans="2:2" x14ac:dyDescent="0.25">
      <c r="B1743" s="17"/>
    </row>
    <row r="1744" spans="2:2" x14ac:dyDescent="0.25">
      <c r="B1744" s="17"/>
    </row>
    <row r="1745" spans="2:2" x14ac:dyDescent="0.25">
      <c r="B1745" s="17"/>
    </row>
    <row r="1746" spans="2:2" x14ac:dyDescent="0.25">
      <c r="B1746" s="17"/>
    </row>
    <row r="1747" spans="2:2" x14ac:dyDescent="0.25">
      <c r="B1747" s="17"/>
    </row>
    <row r="1748" spans="2:2" x14ac:dyDescent="0.25">
      <c r="B1748" s="17"/>
    </row>
    <row r="1749" spans="2:2" x14ac:dyDescent="0.25">
      <c r="B1749" s="17"/>
    </row>
    <row r="1750" spans="2:2" x14ac:dyDescent="0.25">
      <c r="B1750" s="17"/>
    </row>
    <row r="1751" spans="2:2" x14ac:dyDescent="0.25">
      <c r="B1751" s="17"/>
    </row>
    <row r="1752" spans="2:2" x14ac:dyDescent="0.25">
      <c r="B1752" s="17"/>
    </row>
    <row r="1753" spans="2:2" x14ac:dyDescent="0.25">
      <c r="B1753" s="17"/>
    </row>
    <row r="1754" spans="2:2" x14ac:dyDescent="0.25">
      <c r="B1754" s="17"/>
    </row>
    <row r="1755" spans="2:2" x14ac:dyDescent="0.25">
      <c r="B1755" s="17"/>
    </row>
    <row r="1756" spans="2:2" x14ac:dyDescent="0.25">
      <c r="B1756" s="17"/>
    </row>
    <row r="1757" spans="2:2" x14ac:dyDescent="0.25">
      <c r="B1757" s="17"/>
    </row>
    <row r="1758" spans="2:2" x14ac:dyDescent="0.25">
      <c r="B1758" s="17"/>
    </row>
    <row r="1759" spans="2:2" x14ac:dyDescent="0.25">
      <c r="B1759" s="17"/>
    </row>
    <row r="1760" spans="2:2" x14ac:dyDescent="0.25">
      <c r="B1760" s="17"/>
    </row>
    <row r="1761" spans="2:2" x14ac:dyDescent="0.25">
      <c r="B1761" s="17"/>
    </row>
    <row r="1762" spans="2:2" x14ac:dyDescent="0.25">
      <c r="B1762" s="17"/>
    </row>
    <row r="1763" spans="2:2" x14ac:dyDescent="0.25">
      <c r="B1763" s="17"/>
    </row>
    <row r="1764" spans="2:2" x14ac:dyDescent="0.25">
      <c r="B1764" s="17"/>
    </row>
    <row r="1765" spans="2:2" x14ac:dyDescent="0.25">
      <c r="B1765" s="17"/>
    </row>
    <row r="1766" spans="2:2" x14ac:dyDescent="0.25">
      <c r="B1766" s="17"/>
    </row>
    <row r="1767" spans="2:2" x14ac:dyDescent="0.25">
      <c r="B1767" s="17"/>
    </row>
    <row r="1768" spans="2:2" x14ac:dyDescent="0.25">
      <c r="B1768" s="17"/>
    </row>
    <row r="1769" spans="2:2" x14ac:dyDescent="0.25">
      <c r="B1769" s="17"/>
    </row>
    <row r="1770" spans="2:2" x14ac:dyDescent="0.25">
      <c r="B1770" s="17"/>
    </row>
    <row r="1771" spans="2:2" x14ac:dyDescent="0.25">
      <c r="B1771" s="17"/>
    </row>
    <row r="1772" spans="2:2" x14ac:dyDescent="0.25">
      <c r="B1772" s="17"/>
    </row>
    <row r="1773" spans="2:2" x14ac:dyDescent="0.25">
      <c r="B1773" s="17"/>
    </row>
    <row r="1774" spans="2:2" x14ac:dyDescent="0.25">
      <c r="B1774" s="17"/>
    </row>
    <row r="1775" spans="2:2" x14ac:dyDescent="0.25">
      <c r="B1775" s="17"/>
    </row>
    <row r="1776" spans="2:2" x14ac:dyDescent="0.25">
      <c r="B1776" s="17"/>
    </row>
    <row r="1777" spans="2:2" x14ac:dyDescent="0.25">
      <c r="B1777" s="17"/>
    </row>
    <row r="1778" spans="2:2" x14ac:dyDescent="0.25">
      <c r="B1778" s="17"/>
    </row>
    <row r="1779" spans="2:2" x14ac:dyDescent="0.25">
      <c r="B1779" s="17"/>
    </row>
    <row r="1780" spans="2:2" x14ac:dyDescent="0.25">
      <c r="B1780" s="17"/>
    </row>
    <row r="1781" spans="2:2" x14ac:dyDescent="0.25">
      <c r="B1781" s="17"/>
    </row>
    <row r="1782" spans="2:2" x14ac:dyDescent="0.25">
      <c r="B1782" s="17"/>
    </row>
    <row r="1783" spans="2:2" x14ac:dyDescent="0.25">
      <c r="B1783" s="17"/>
    </row>
    <row r="1784" spans="2:2" x14ac:dyDescent="0.25">
      <c r="B1784" s="17"/>
    </row>
    <row r="1785" spans="2:2" x14ac:dyDescent="0.25">
      <c r="B1785" s="17"/>
    </row>
    <row r="1786" spans="2:2" x14ac:dyDescent="0.25">
      <c r="B1786" s="17"/>
    </row>
    <row r="1787" spans="2:2" x14ac:dyDescent="0.25">
      <c r="B1787" s="17"/>
    </row>
    <row r="1788" spans="2:2" x14ac:dyDescent="0.25">
      <c r="B1788" s="17"/>
    </row>
    <row r="1789" spans="2:2" x14ac:dyDescent="0.25">
      <c r="B1789" s="17"/>
    </row>
    <row r="1790" spans="2:2" x14ac:dyDescent="0.25">
      <c r="B1790" s="17"/>
    </row>
    <row r="1791" spans="2:2" x14ac:dyDescent="0.25">
      <c r="B1791" s="17"/>
    </row>
    <row r="1792" spans="2:2" x14ac:dyDescent="0.25">
      <c r="B1792" s="17"/>
    </row>
    <row r="1793" spans="2:2" x14ac:dyDescent="0.25">
      <c r="B1793" s="17"/>
    </row>
    <row r="1794" spans="2:2" x14ac:dyDescent="0.25">
      <c r="B1794" s="17"/>
    </row>
    <row r="1795" spans="2:2" x14ac:dyDescent="0.25">
      <c r="B1795" s="17"/>
    </row>
    <row r="1796" spans="2:2" x14ac:dyDescent="0.25">
      <c r="B1796" s="17"/>
    </row>
    <row r="1797" spans="2:2" x14ac:dyDescent="0.25">
      <c r="B1797" s="17"/>
    </row>
    <row r="1798" spans="2:2" x14ac:dyDescent="0.25">
      <c r="B1798" s="17"/>
    </row>
    <row r="1799" spans="2:2" x14ac:dyDescent="0.25">
      <c r="B1799" s="17"/>
    </row>
    <row r="1800" spans="2:2" x14ac:dyDescent="0.25">
      <c r="B1800" s="17"/>
    </row>
    <row r="1801" spans="2:2" x14ac:dyDescent="0.25">
      <c r="B1801" s="17"/>
    </row>
    <row r="1802" spans="2:2" x14ac:dyDescent="0.25">
      <c r="B1802" s="17"/>
    </row>
    <row r="1803" spans="2:2" x14ac:dyDescent="0.25">
      <c r="B1803" s="17"/>
    </row>
    <row r="1804" spans="2:2" x14ac:dyDescent="0.25">
      <c r="B1804" s="17"/>
    </row>
    <row r="1805" spans="2:2" x14ac:dyDescent="0.25">
      <c r="B1805" s="17"/>
    </row>
    <row r="1806" spans="2:2" x14ac:dyDescent="0.25">
      <c r="B1806" s="17"/>
    </row>
    <row r="1807" spans="2:2" x14ac:dyDescent="0.25">
      <c r="B1807" s="17"/>
    </row>
    <row r="1808" spans="2:2" x14ac:dyDescent="0.25">
      <c r="B1808" s="17"/>
    </row>
    <row r="1809" spans="2:2" x14ac:dyDescent="0.25">
      <c r="B1809" s="17"/>
    </row>
    <row r="1810" spans="2:2" x14ac:dyDescent="0.25">
      <c r="B1810" s="17"/>
    </row>
    <row r="1811" spans="2:2" x14ac:dyDescent="0.25">
      <c r="B1811" s="17"/>
    </row>
    <row r="1812" spans="2:2" x14ac:dyDescent="0.25">
      <c r="B1812" s="17"/>
    </row>
    <row r="1813" spans="2:2" x14ac:dyDescent="0.25">
      <c r="B1813" s="17"/>
    </row>
    <row r="1814" spans="2:2" x14ac:dyDescent="0.25">
      <c r="B1814" s="17"/>
    </row>
    <row r="1815" spans="2:2" x14ac:dyDescent="0.25">
      <c r="B1815" s="17"/>
    </row>
    <row r="1816" spans="2:2" x14ac:dyDescent="0.25">
      <c r="B1816" s="17"/>
    </row>
  </sheetData>
  <autoFilter ref="A1:G395" xr:uid="{3EFE5DB0-A495-4361-8F9A-BF1064B7F589}"/>
  <conditionalFormatting sqref="B2:B11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{6607AE46-CF17-4E2D-84A0-CF9DF226F4CC}</x14:id>
        </ext>
      </extLst>
    </cfRule>
  </conditionalFormatting>
  <conditionalFormatting sqref="B1142:B18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{959AE18C-9A0E-48E8-8A74-9D3961ADDE54}</x14:id>
        </ext>
      </extLst>
    </cfRule>
  </conditionalFormatting>
  <pageMargins left="0.7" right="0.7" top="0.75" bottom="0.75" header="0.3" footer="0.3"/>
  <pageSetup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07AE46-CF17-4E2D-84A0-CF9DF226F4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B2:B1139</xm:sqref>
        </x14:conditionalFormatting>
        <x14:conditionalFormatting xmlns:xm="http://schemas.microsoft.com/office/excel/2006/main">
          <x14:cfRule type="dataBar" id="{959AE18C-9A0E-48E8-8A74-9D3961ADDE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B1142:B1816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AC37-26FD-48F9-A381-AD77BFCB138A}">
  <dimension ref="A1:V1816"/>
  <sheetViews>
    <sheetView topLeftCell="L76" zoomScale="70" zoomScaleNormal="70" workbookViewId="0">
      <selection activeCell="U108" sqref="U108"/>
    </sheetView>
  </sheetViews>
  <sheetFormatPr defaultRowHeight="15" x14ac:dyDescent="0.25"/>
  <cols>
    <col min="1" max="1" width="15" customWidth="1"/>
    <col min="7" max="7" width="15.42578125" customWidth="1"/>
    <col min="12" max="12" width="19.140625" bestFit="1" customWidth="1"/>
    <col min="13" max="13" width="21.7109375" style="14" bestFit="1" customWidth="1"/>
    <col min="14" max="14" width="13" style="14" bestFit="1" customWidth="1"/>
    <col min="15" max="15" width="15" style="14" bestFit="1" customWidth="1"/>
    <col min="16" max="16" width="17.7109375" bestFit="1" customWidth="1"/>
    <col min="17" max="17" width="17.85546875" bestFit="1" customWidth="1"/>
    <col min="18" max="18" width="23.85546875" bestFit="1" customWidth="1"/>
    <col min="19" max="19" width="22.5703125" bestFit="1" customWidth="1"/>
    <col min="20" max="20" width="24" bestFit="1" customWidth="1"/>
    <col min="21" max="21" width="22.85546875" bestFit="1" customWidth="1"/>
    <col min="22" max="22" width="17.7109375" bestFit="1" customWidth="1"/>
    <col min="23" max="23" width="18.85546875" bestFit="1" customWidth="1"/>
    <col min="24" max="25" width="17.7109375" bestFit="1" customWidth="1"/>
    <col min="26" max="26" width="18.85546875" bestFit="1" customWidth="1"/>
    <col min="27" max="27" width="17.42578125" bestFit="1" customWidth="1"/>
    <col min="28" max="28" width="17.7109375" bestFit="1" customWidth="1"/>
    <col min="29" max="29" width="18.85546875" bestFit="1" customWidth="1"/>
    <col min="30" max="31" width="17.7109375" bestFit="1" customWidth="1"/>
    <col min="32" max="36" width="18.85546875" bestFit="1" customWidth="1"/>
    <col min="37" max="38" width="17.7109375" bestFit="1" customWidth="1"/>
    <col min="39" max="40" width="18.85546875" bestFit="1" customWidth="1"/>
    <col min="41" max="44" width="17.7109375" bestFit="1" customWidth="1"/>
    <col min="45" max="45" width="18.85546875" bestFit="1" customWidth="1"/>
    <col min="46" max="53" width="17.7109375" bestFit="1" customWidth="1"/>
    <col min="54" max="55" width="18.85546875" bestFit="1" customWidth="1"/>
    <col min="56" max="58" width="17.7109375" bestFit="1" customWidth="1"/>
    <col min="59" max="60" width="18.85546875" bestFit="1" customWidth="1"/>
    <col min="61" max="62" width="16" bestFit="1" customWidth="1"/>
    <col min="63" max="73" width="17.7109375" bestFit="1" customWidth="1"/>
    <col min="74" max="75" width="16" bestFit="1" customWidth="1"/>
    <col min="76" max="76" width="13" bestFit="1" customWidth="1"/>
    <col min="77" max="77" width="13.85546875" bestFit="1" customWidth="1"/>
    <col min="78" max="91" width="17.7109375" bestFit="1" customWidth="1"/>
    <col min="92" max="93" width="18.85546875" bestFit="1" customWidth="1"/>
    <col min="94" max="97" width="17.7109375" bestFit="1" customWidth="1"/>
    <col min="98" max="99" width="18.85546875" bestFit="1" customWidth="1"/>
    <col min="100" max="104" width="17.7109375" bestFit="1" customWidth="1"/>
    <col min="105" max="106" width="17.42578125" bestFit="1" customWidth="1"/>
    <col min="107" max="113" width="18.85546875" bestFit="1" customWidth="1"/>
    <col min="114" max="115" width="17.7109375" bestFit="1" customWidth="1"/>
    <col min="116" max="117" width="18.85546875" bestFit="1" customWidth="1"/>
    <col min="118" max="119" width="17.7109375" bestFit="1" customWidth="1"/>
    <col min="120" max="120" width="18.85546875" bestFit="1" customWidth="1"/>
    <col min="121" max="126" width="17.7109375" bestFit="1" customWidth="1"/>
    <col min="127" max="128" width="18.85546875" bestFit="1" customWidth="1"/>
    <col min="129" max="129" width="17.7109375" bestFit="1" customWidth="1"/>
    <col min="130" max="131" width="18.85546875" bestFit="1" customWidth="1"/>
    <col min="132" max="139" width="17.7109375" bestFit="1" customWidth="1"/>
  </cols>
  <sheetData>
    <row r="1" spans="1:15" x14ac:dyDescent="0.25">
      <c r="A1" t="s">
        <v>84</v>
      </c>
      <c r="B1" t="s">
        <v>86</v>
      </c>
      <c r="C1" t="s">
        <v>88</v>
      </c>
      <c r="D1" t="s">
        <v>21</v>
      </c>
      <c r="E1" t="s">
        <v>164</v>
      </c>
      <c r="H1" t="s">
        <v>90</v>
      </c>
      <c r="I1" t="s">
        <v>89</v>
      </c>
    </row>
    <row r="2" spans="1:15" x14ac:dyDescent="0.25">
      <c r="A2" s="28">
        <v>44848</v>
      </c>
      <c r="B2" s="17">
        <v>-7.1118769999999997E-4</v>
      </c>
      <c r="C2" t="str">
        <f t="shared" ref="C2" si="0">IF(B2&gt;0,"Green","Red")</f>
        <v>Red</v>
      </c>
      <c r="D2">
        <f>IF(B2&gt;0,1,0)</f>
        <v>0</v>
      </c>
      <c r="E2">
        <f>MONTH(A2)</f>
        <v>10</v>
      </c>
    </row>
    <row r="3" spans="1:15" x14ac:dyDescent="0.25">
      <c r="A3" s="28">
        <v>44834</v>
      </c>
      <c r="B3" s="17">
        <v>-9.339567E-2</v>
      </c>
      <c r="C3" t="str">
        <f t="shared" ref="C3:C66" si="1">IF(B3&gt;0,"Green","Red")</f>
        <v>Red</v>
      </c>
      <c r="D3">
        <f>IF(B3&gt;0,1,0)</f>
        <v>0</v>
      </c>
      <c r="E3">
        <f>MONTH(A3)</f>
        <v>9</v>
      </c>
      <c r="G3" t="s">
        <v>27</v>
      </c>
      <c r="H3">
        <v>2.2000000000000002</v>
      </c>
      <c r="I3">
        <v>1.2</v>
      </c>
    </row>
    <row r="4" spans="1:15" x14ac:dyDescent="0.25">
      <c r="A4" s="28">
        <v>44804</v>
      </c>
      <c r="B4" s="17">
        <v>-4.2440128258508597E-2</v>
      </c>
      <c r="C4" t="str">
        <f t="shared" si="1"/>
        <v>Red</v>
      </c>
      <c r="D4">
        <f t="shared" ref="D4:D67" si="2">IF(B4&gt;0,1,0)</f>
        <v>0</v>
      </c>
      <c r="E4">
        <f t="shared" ref="E4:E67" si="3">MONTH(A4)</f>
        <v>8</v>
      </c>
      <c r="G4" t="s">
        <v>26</v>
      </c>
      <c r="H4">
        <v>2</v>
      </c>
      <c r="I4">
        <v>1</v>
      </c>
      <c r="L4" s="29" t="s">
        <v>109</v>
      </c>
      <c r="M4" s="36" t="s">
        <v>108</v>
      </c>
      <c r="N4" s="21"/>
      <c r="O4" s="21"/>
    </row>
    <row r="5" spans="1:15" x14ac:dyDescent="0.25">
      <c r="A5" s="28">
        <v>44771</v>
      </c>
      <c r="B5" s="17">
        <v>9.1116391659653406E-2</v>
      </c>
      <c r="C5" t="str">
        <f t="shared" si="1"/>
        <v>Green</v>
      </c>
      <c r="D5">
        <f t="shared" si="2"/>
        <v>1</v>
      </c>
      <c r="E5">
        <f t="shared" si="3"/>
        <v>7</v>
      </c>
      <c r="G5" t="s">
        <v>25</v>
      </c>
      <c r="H5">
        <v>2.6</v>
      </c>
      <c r="I5">
        <v>1.8</v>
      </c>
      <c r="L5" s="29" t="s">
        <v>91</v>
      </c>
      <c r="M5" s="21" t="s">
        <v>90</v>
      </c>
      <c r="N5" s="21" t="s">
        <v>89</v>
      </c>
      <c r="O5" s="21" t="s">
        <v>92</v>
      </c>
    </row>
    <row r="6" spans="1:15" x14ac:dyDescent="0.25">
      <c r="A6" s="28">
        <v>44742</v>
      </c>
      <c r="B6" s="17">
        <v>-8.3919999812243101E-2</v>
      </c>
      <c r="C6" t="str">
        <f t="shared" si="1"/>
        <v>Red</v>
      </c>
      <c r="D6">
        <f t="shared" si="2"/>
        <v>0</v>
      </c>
      <c r="E6">
        <f t="shared" si="3"/>
        <v>6</v>
      </c>
      <c r="G6" s="17" t="s">
        <v>76</v>
      </c>
      <c r="H6" s="17">
        <v>0.1455939</v>
      </c>
      <c r="I6" s="17">
        <v>0.19465650000000001</v>
      </c>
      <c r="L6" s="30" t="s">
        <v>138</v>
      </c>
      <c r="M6" s="21">
        <v>0.29352482880987218</v>
      </c>
      <c r="N6" s="21">
        <v>-0.2808958250957071</v>
      </c>
      <c r="O6" s="21">
        <v>1.2629003714165109E-2</v>
      </c>
    </row>
    <row r="7" spans="1:15" x14ac:dyDescent="0.25">
      <c r="A7" s="28">
        <v>44712</v>
      </c>
      <c r="B7" s="17">
        <v>5.3177568506868103E-5</v>
      </c>
      <c r="C7" t="str">
        <f t="shared" si="1"/>
        <v>Green</v>
      </c>
      <c r="D7">
        <f t="shared" si="2"/>
        <v>1</v>
      </c>
      <c r="E7">
        <f t="shared" si="3"/>
        <v>5</v>
      </c>
      <c r="G7" s="17" t="s">
        <v>133</v>
      </c>
      <c r="H7" s="17">
        <v>7.6628349999999998E-2</v>
      </c>
      <c r="I7" s="17">
        <v>4.1984729999999998E-2</v>
      </c>
      <c r="L7" s="32" t="s">
        <v>122</v>
      </c>
      <c r="M7" s="21"/>
      <c r="N7" s="21">
        <v>-4.05228758169935E-2</v>
      </c>
      <c r="O7" s="21">
        <v>-4.05228758169935E-2</v>
      </c>
    </row>
    <row r="8" spans="1:15" x14ac:dyDescent="0.25">
      <c r="A8" s="28">
        <v>44680</v>
      </c>
      <c r="B8" s="17">
        <v>-8.7956711705729301E-2</v>
      </c>
      <c r="C8" t="str">
        <f t="shared" si="1"/>
        <v>Red</v>
      </c>
      <c r="D8">
        <f t="shared" si="2"/>
        <v>0</v>
      </c>
      <c r="E8">
        <f t="shared" si="3"/>
        <v>4</v>
      </c>
      <c r="G8" t="s">
        <v>78</v>
      </c>
      <c r="H8" s="17">
        <v>0.2183908</v>
      </c>
      <c r="I8" s="17">
        <v>0.19465650000000001</v>
      </c>
      <c r="L8" s="32" t="s">
        <v>123</v>
      </c>
      <c r="M8" s="21"/>
      <c r="N8" s="21">
        <v>-5.1089918256130698E-2</v>
      </c>
      <c r="O8" s="21">
        <v>-5.1089918256130698E-2</v>
      </c>
    </row>
    <row r="9" spans="1:15" x14ac:dyDescent="0.25">
      <c r="A9" s="28">
        <v>44651</v>
      </c>
      <c r="B9" s="17">
        <v>3.5773288410591901E-2</v>
      </c>
      <c r="C9" t="str">
        <f t="shared" si="1"/>
        <v>Green</v>
      </c>
      <c r="D9">
        <f t="shared" si="2"/>
        <v>1</v>
      </c>
      <c r="E9">
        <f t="shared" si="3"/>
        <v>3</v>
      </c>
      <c r="G9" t="s">
        <v>152</v>
      </c>
      <c r="H9" s="17">
        <v>0.1455939</v>
      </c>
      <c r="I9" s="17">
        <v>8.3969470000000004E-2</v>
      </c>
      <c r="L9" s="32" t="s">
        <v>124</v>
      </c>
      <c r="M9" s="21">
        <v>8.2555635319454507E-2</v>
      </c>
      <c r="N9" s="21"/>
      <c r="O9" s="21">
        <v>8.2555635319454507E-2</v>
      </c>
    </row>
    <row r="10" spans="1:15" x14ac:dyDescent="0.25">
      <c r="A10" s="28">
        <v>44620</v>
      </c>
      <c r="B10" s="17">
        <v>-3.1360492102910101E-2</v>
      </c>
      <c r="C10" t="str">
        <f t="shared" si="1"/>
        <v>Red</v>
      </c>
      <c r="D10">
        <f t="shared" si="2"/>
        <v>0</v>
      </c>
      <c r="E10">
        <f t="shared" si="3"/>
        <v>2</v>
      </c>
      <c r="G10" t="s">
        <v>157</v>
      </c>
      <c r="H10" s="17">
        <v>3.7219364891055741E-2</v>
      </c>
      <c r="I10" s="23">
        <v>-3.9228379945631275E-2</v>
      </c>
      <c r="L10" s="32" t="s">
        <v>125</v>
      </c>
      <c r="M10" s="21">
        <v>2.6525198938992099E-2</v>
      </c>
      <c r="N10" s="21"/>
      <c r="O10" s="21">
        <v>2.6525198938992099E-2</v>
      </c>
    </row>
    <row r="11" spans="1:15" x14ac:dyDescent="0.25">
      <c r="A11" s="28">
        <v>44592</v>
      </c>
      <c r="B11" s="17">
        <v>-5.2585165005310602E-2</v>
      </c>
      <c r="C11" t="str">
        <f t="shared" si="1"/>
        <v>Red</v>
      </c>
      <c r="D11">
        <f t="shared" si="2"/>
        <v>0</v>
      </c>
      <c r="E11">
        <f t="shared" si="3"/>
        <v>1</v>
      </c>
      <c r="G11" t="s">
        <v>26</v>
      </c>
      <c r="H11" s="17">
        <v>3.0688978344087799E-2</v>
      </c>
      <c r="I11" s="23">
        <v>-2.7150915654315301E-2</v>
      </c>
      <c r="L11" s="32" t="s">
        <v>126</v>
      </c>
      <c r="M11" s="21">
        <v>7.8165439276485699E-2</v>
      </c>
      <c r="N11" s="21"/>
      <c r="O11" s="21">
        <v>7.8165439276485699E-2</v>
      </c>
    </row>
    <row r="12" spans="1:15" x14ac:dyDescent="0.25">
      <c r="A12" s="28">
        <v>44561</v>
      </c>
      <c r="B12" s="17">
        <v>4.3612913509962797E-2</v>
      </c>
      <c r="C12" t="str">
        <f t="shared" si="1"/>
        <v>Green</v>
      </c>
      <c r="D12">
        <f t="shared" si="2"/>
        <v>1</v>
      </c>
      <c r="E12">
        <f t="shared" si="3"/>
        <v>12</v>
      </c>
      <c r="G12" t="s">
        <v>27</v>
      </c>
      <c r="H12" s="17">
        <v>3.6934777772802192E-2</v>
      </c>
      <c r="I12" s="23">
        <v>4.0609143290987325E-2</v>
      </c>
      <c r="L12" s="32" t="s">
        <v>127</v>
      </c>
      <c r="M12" s="21">
        <v>2.9957457761686799E-3</v>
      </c>
      <c r="N12" s="21"/>
      <c r="O12" s="21">
        <v>2.9957457761686799E-3</v>
      </c>
    </row>
    <row r="13" spans="1:15" x14ac:dyDescent="0.25">
      <c r="A13" s="28">
        <v>44530</v>
      </c>
      <c r="B13" s="17">
        <v>-8.3337062251199693E-3</v>
      </c>
      <c r="C13" t="str">
        <f t="shared" si="1"/>
        <v>Red</v>
      </c>
      <c r="D13">
        <f t="shared" si="2"/>
        <v>0</v>
      </c>
      <c r="E13">
        <f t="shared" si="3"/>
        <v>11</v>
      </c>
      <c r="L13" s="32" t="s">
        <v>128</v>
      </c>
      <c r="M13" s="21"/>
      <c r="N13" s="21">
        <v>-5.3166069295101502E-2</v>
      </c>
      <c r="O13" s="21">
        <v>-5.3166069295101502E-2</v>
      </c>
    </row>
    <row r="14" spans="1:15" x14ac:dyDescent="0.25">
      <c r="A14" s="28">
        <v>44498</v>
      </c>
      <c r="B14" s="17">
        <v>6.9143836459647501E-2</v>
      </c>
      <c r="C14" t="str">
        <f t="shared" si="1"/>
        <v>Green</v>
      </c>
      <c r="D14">
        <f t="shared" si="2"/>
        <v>1</v>
      </c>
      <c r="E14">
        <f t="shared" si="3"/>
        <v>10</v>
      </c>
      <c r="L14" s="32" t="s">
        <v>129</v>
      </c>
      <c r="M14" s="21">
        <v>7.57097791798111E-3</v>
      </c>
      <c r="N14" s="21"/>
      <c r="O14" s="21">
        <v>7.57097791798111E-3</v>
      </c>
    </row>
    <row r="15" spans="1:15" x14ac:dyDescent="0.25">
      <c r="A15" s="28">
        <v>44469</v>
      </c>
      <c r="B15" s="17">
        <v>-4.75691688617867E-2</v>
      </c>
      <c r="C15" t="str">
        <f t="shared" si="1"/>
        <v>Red</v>
      </c>
      <c r="D15">
        <f t="shared" si="2"/>
        <v>0</v>
      </c>
      <c r="E15">
        <f t="shared" si="3"/>
        <v>9</v>
      </c>
      <c r="L15" s="32" t="s">
        <v>107</v>
      </c>
      <c r="M15" s="21"/>
      <c r="N15" s="21">
        <v>-3.0056355666875399E-2</v>
      </c>
      <c r="O15" s="21">
        <v>-3.0056355666875399E-2</v>
      </c>
    </row>
    <row r="16" spans="1:15" x14ac:dyDescent="0.25">
      <c r="A16" s="28">
        <v>44439</v>
      </c>
      <c r="B16" s="17">
        <v>2.8990416217415299E-2</v>
      </c>
      <c r="C16" t="str">
        <f t="shared" si="1"/>
        <v>Green</v>
      </c>
      <c r="D16">
        <f t="shared" si="2"/>
        <v>1</v>
      </c>
      <c r="E16">
        <f t="shared" si="3"/>
        <v>8</v>
      </c>
      <c r="L16" s="32" t="s">
        <v>130</v>
      </c>
      <c r="M16" s="21">
        <v>6.5203357004519E-2</v>
      </c>
      <c r="N16" s="21"/>
      <c r="O16" s="21">
        <v>6.5203357004519E-2</v>
      </c>
    </row>
    <row r="17" spans="1:15" x14ac:dyDescent="0.25">
      <c r="A17" s="28">
        <v>44407</v>
      </c>
      <c r="B17" s="17">
        <v>2.2748054915648699E-2</v>
      </c>
      <c r="C17" t="str">
        <f t="shared" si="1"/>
        <v>Green</v>
      </c>
      <c r="D17">
        <f t="shared" si="2"/>
        <v>1</v>
      </c>
      <c r="E17">
        <f t="shared" si="3"/>
        <v>7</v>
      </c>
      <c r="L17" s="32" t="s">
        <v>131</v>
      </c>
      <c r="M17" s="21"/>
      <c r="N17" s="21">
        <v>-0.10606060606060599</v>
      </c>
      <c r="O17" s="21">
        <v>-0.10606060606060599</v>
      </c>
    </row>
    <row r="18" spans="1:15" x14ac:dyDescent="0.25">
      <c r="A18" s="28">
        <v>44377</v>
      </c>
      <c r="B18" s="17">
        <v>2.2214009634219802E-2</v>
      </c>
      <c r="C18" t="str">
        <f t="shared" si="1"/>
        <v>Green</v>
      </c>
      <c r="D18">
        <f t="shared" si="2"/>
        <v>1</v>
      </c>
      <c r="E18">
        <f t="shared" si="3"/>
        <v>6</v>
      </c>
      <c r="L18" s="32" t="s">
        <v>93</v>
      </c>
      <c r="M18" s="21">
        <v>3.0508474576271101E-2</v>
      </c>
      <c r="N18" s="21"/>
      <c r="O18" s="21">
        <v>3.0508474576271101E-2</v>
      </c>
    </row>
    <row r="19" spans="1:15" x14ac:dyDescent="0.25">
      <c r="A19" s="28">
        <v>44344</v>
      </c>
      <c r="B19" s="17">
        <v>5.4864885732810497E-3</v>
      </c>
      <c r="C19" t="str">
        <f t="shared" si="1"/>
        <v>Green</v>
      </c>
      <c r="D19">
        <f t="shared" si="2"/>
        <v>1</v>
      </c>
      <c r="E19">
        <f t="shared" si="3"/>
        <v>5</v>
      </c>
      <c r="L19" s="30" t="s">
        <v>139</v>
      </c>
      <c r="M19" s="21">
        <v>0.20540614163354931</v>
      </c>
      <c r="N19" s="21">
        <v>-0.10012645212567679</v>
      </c>
      <c r="O19" s="21">
        <v>0.10527968950787252</v>
      </c>
    </row>
    <row r="20" spans="1:15" x14ac:dyDescent="0.25">
      <c r="A20" s="28">
        <v>44316</v>
      </c>
      <c r="B20" s="17">
        <v>5.2425321267266303E-2</v>
      </c>
      <c r="C20" t="str">
        <f t="shared" si="1"/>
        <v>Green</v>
      </c>
      <c r="D20">
        <f t="shared" si="2"/>
        <v>1</v>
      </c>
      <c r="E20">
        <f t="shared" si="3"/>
        <v>4</v>
      </c>
      <c r="L20" s="32" t="s">
        <v>122</v>
      </c>
      <c r="M20" s="21">
        <v>1.3157894736843801E-3</v>
      </c>
      <c r="N20" s="21"/>
      <c r="O20" s="21">
        <v>1.3157894736843801E-3</v>
      </c>
    </row>
    <row r="21" spans="1:15" x14ac:dyDescent="0.25">
      <c r="A21" s="28">
        <v>44286</v>
      </c>
      <c r="B21" s="17">
        <v>4.24386327378838E-2</v>
      </c>
      <c r="C21" t="str">
        <f t="shared" si="1"/>
        <v>Green</v>
      </c>
      <c r="D21">
        <f t="shared" si="2"/>
        <v>1</v>
      </c>
      <c r="E21">
        <f t="shared" si="3"/>
        <v>3</v>
      </c>
      <c r="L21" s="32" t="s">
        <v>123</v>
      </c>
      <c r="M21" s="21"/>
      <c r="N21" s="21">
        <v>-3.9421813403416703E-2</v>
      </c>
      <c r="O21" s="21">
        <v>-3.9421813403416703E-2</v>
      </c>
    </row>
    <row r="22" spans="1:15" x14ac:dyDescent="0.25">
      <c r="A22" s="28">
        <v>44253</v>
      </c>
      <c r="B22" s="17">
        <v>2.60914513496475E-2</v>
      </c>
      <c r="C22" t="str">
        <f t="shared" si="1"/>
        <v>Green</v>
      </c>
      <c r="D22">
        <f t="shared" si="2"/>
        <v>1</v>
      </c>
      <c r="E22">
        <f t="shared" si="3"/>
        <v>2</v>
      </c>
      <c r="L22" s="32" t="s">
        <v>124</v>
      </c>
      <c r="M22" s="21">
        <v>3.0095759233926201E-2</v>
      </c>
      <c r="N22" s="21"/>
      <c r="O22" s="21">
        <v>3.0095759233926201E-2</v>
      </c>
    </row>
    <row r="23" spans="1:15" x14ac:dyDescent="0.25">
      <c r="A23" s="28">
        <v>44225</v>
      </c>
      <c r="B23" s="17">
        <v>-1.11366607232312E-2</v>
      </c>
      <c r="C23" t="str">
        <f t="shared" si="1"/>
        <v>Red</v>
      </c>
      <c r="D23">
        <f t="shared" si="2"/>
        <v>0</v>
      </c>
      <c r="E23">
        <f t="shared" si="3"/>
        <v>1</v>
      </c>
      <c r="L23" s="32" t="s">
        <v>125</v>
      </c>
      <c r="M23" s="21"/>
      <c r="N23" s="21">
        <v>-2.3240371845949501E-2</v>
      </c>
      <c r="O23" s="21">
        <v>-2.3240371845949501E-2</v>
      </c>
    </row>
    <row r="24" spans="1:15" x14ac:dyDescent="0.25">
      <c r="A24" s="28">
        <v>44196</v>
      </c>
      <c r="B24" s="17">
        <v>3.7121458940645703E-2</v>
      </c>
      <c r="C24" t="str">
        <f t="shared" si="1"/>
        <v>Green</v>
      </c>
      <c r="D24">
        <f t="shared" si="2"/>
        <v>1</v>
      </c>
      <c r="E24">
        <f t="shared" si="3"/>
        <v>12</v>
      </c>
      <c r="L24" s="32" t="s">
        <v>126</v>
      </c>
      <c r="M24" s="21"/>
      <c r="N24" s="21">
        <v>-3.5350101971448097E-2</v>
      </c>
      <c r="O24" s="21">
        <v>-3.5350101971448097E-2</v>
      </c>
    </row>
    <row r="25" spans="1:15" x14ac:dyDescent="0.25">
      <c r="A25" s="28">
        <v>44165</v>
      </c>
      <c r="B25" s="17">
        <v>0.10754563548003</v>
      </c>
      <c r="C25" t="str">
        <f t="shared" si="1"/>
        <v>Green</v>
      </c>
      <c r="D25">
        <f t="shared" si="2"/>
        <v>1</v>
      </c>
      <c r="E25">
        <f t="shared" si="3"/>
        <v>11</v>
      </c>
      <c r="L25" s="32" t="s">
        <v>127</v>
      </c>
      <c r="M25" s="21"/>
      <c r="N25" s="21">
        <v>-2.11416490486249E-3</v>
      </c>
      <c r="O25" s="21">
        <v>-2.11416490486249E-3</v>
      </c>
    </row>
    <row r="26" spans="1:15" x14ac:dyDescent="0.25">
      <c r="A26" s="28">
        <v>44134</v>
      </c>
      <c r="B26" s="17">
        <v>-2.7665786202795101E-2</v>
      </c>
      <c r="C26" t="str">
        <f t="shared" si="1"/>
        <v>Red</v>
      </c>
      <c r="D26">
        <f t="shared" si="2"/>
        <v>0</v>
      </c>
      <c r="E26">
        <f t="shared" si="3"/>
        <v>10</v>
      </c>
      <c r="L26" s="32" t="s">
        <v>128</v>
      </c>
      <c r="M26" s="21">
        <v>6.21468926553672E-2</v>
      </c>
      <c r="N26" s="21"/>
      <c r="O26" s="21">
        <v>6.21468926553672E-2</v>
      </c>
    </row>
    <row r="27" spans="1:15" x14ac:dyDescent="0.25">
      <c r="A27" s="28">
        <v>44104</v>
      </c>
      <c r="B27" s="17">
        <v>-3.9227970289931399E-2</v>
      </c>
      <c r="C27" t="str">
        <f t="shared" si="1"/>
        <v>Red</v>
      </c>
      <c r="D27">
        <f t="shared" si="2"/>
        <v>0</v>
      </c>
      <c r="E27">
        <f t="shared" si="3"/>
        <v>9</v>
      </c>
      <c r="L27" s="32" t="s">
        <v>129</v>
      </c>
      <c r="M27" s="21">
        <v>1.1968085106382999E-2</v>
      </c>
      <c r="N27" s="21"/>
      <c r="O27" s="21">
        <v>1.1968085106382999E-2</v>
      </c>
    </row>
    <row r="28" spans="1:15" x14ac:dyDescent="0.25">
      <c r="A28" s="28">
        <v>44074</v>
      </c>
      <c r="B28" s="17">
        <v>7.0064667087246499E-2</v>
      </c>
      <c r="C28" t="str">
        <f t="shared" si="1"/>
        <v>Green</v>
      </c>
      <c r="D28">
        <f t="shared" si="2"/>
        <v>1</v>
      </c>
      <c r="E28">
        <f t="shared" si="3"/>
        <v>8</v>
      </c>
      <c r="L28" s="32" t="s">
        <v>107</v>
      </c>
      <c r="M28" s="21">
        <v>2.36530880420498E-2</v>
      </c>
      <c r="N28" s="21"/>
      <c r="O28" s="21">
        <v>2.36530880420498E-2</v>
      </c>
    </row>
    <row r="29" spans="1:15" x14ac:dyDescent="0.25">
      <c r="A29" s="28">
        <v>44043</v>
      </c>
      <c r="B29" s="17">
        <v>5.5101321441235702E-2</v>
      </c>
      <c r="C29" t="str">
        <f t="shared" si="1"/>
        <v>Green</v>
      </c>
      <c r="D29">
        <f t="shared" si="2"/>
        <v>1</v>
      </c>
      <c r="E29">
        <f t="shared" si="3"/>
        <v>7</v>
      </c>
      <c r="L29" s="32" t="s">
        <v>130</v>
      </c>
      <c r="M29" s="21">
        <v>2.95250962772786E-2</v>
      </c>
      <c r="N29" s="21"/>
      <c r="O29" s="21">
        <v>2.95250962772786E-2</v>
      </c>
    </row>
    <row r="30" spans="1:15" x14ac:dyDescent="0.25">
      <c r="A30" s="28">
        <v>44012</v>
      </c>
      <c r="B30" s="17">
        <v>1.8388396357494698E-2</v>
      </c>
      <c r="C30" t="str">
        <f t="shared" si="1"/>
        <v>Green</v>
      </c>
      <c r="D30">
        <f t="shared" si="2"/>
        <v>1</v>
      </c>
      <c r="E30">
        <f t="shared" si="3"/>
        <v>6</v>
      </c>
      <c r="L30" s="32" t="s">
        <v>131</v>
      </c>
      <c r="M30" s="21">
        <v>1.24675802701013E-3</v>
      </c>
      <c r="N30" s="21"/>
      <c r="O30" s="21">
        <v>1.24675802701013E-3</v>
      </c>
    </row>
    <row r="31" spans="1:15" x14ac:dyDescent="0.25">
      <c r="A31" s="28">
        <v>43980</v>
      </c>
      <c r="B31" s="17">
        <v>4.52818196760656E-2</v>
      </c>
      <c r="C31" t="str">
        <f t="shared" si="1"/>
        <v>Green</v>
      </c>
      <c r="D31">
        <f t="shared" si="2"/>
        <v>1</v>
      </c>
      <c r="E31">
        <f t="shared" si="3"/>
        <v>5</v>
      </c>
      <c r="L31" s="32" t="s">
        <v>93</v>
      </c>
      <c r="M31" s="21">
        <v>4.5454672817849998E-2</v>
      </c>
      <c r="N31" s="21"/>
      <c r="O31" s="21">
        <v>4.5454672817849998E-2</v>
      </c>
    </row>
    <row r="32" spans="1:15" x14ac:dyDescent="0.25">
      <c r="A32" s="28">
        <v>43951</v>
      </c>
      <c r="B32" s="17">
        <v>0.12684403825663801</v>
      </c>
      <c r="C32" t="str">
        <f t="shared" si="1"/>
        <v>Green</v>
      </c>
      <c r="D32">
        <f t="shared" si="2"/>
        <v>1</v>
      </c>
      <c r="E32">
        <f t="shared" si="3"/>
        <v>4</v>
      </c>
      <c r="L32" s="30" t="s">
        <v>153</v>
      </c>
      <c r="M32" s="21">
        <v>0.25778299598002907</v>
      </c>
      <c r="N32" s="21">
        <v>-9.8504105389968094E-2</v>
      </c>
      <c r="O32" s="21">
        <v>0.15927889059006095</v>
      </c>
    </row>
    <row r="33" spans="1:15" x14ac:dyDescent="0.25">
      <c r="A33" s="28">
        <v>43921</v>
      </c>
      <c r="B33" s="17">
        <v>-0.12511928245982301</v>
      </c>
      <c r="C33" t="str">
        <f t="shared" si="1"/>
        <v>Red</v>
      </c>
      <c r="D33">
        <f t="shared" si="2"/>
        <v>0</v>
      </c>
      <c r="E33">
        <f t="shared" si="3"/>
        <v>3</v>
      </c>
      <c r="L33" s="32" t="s">
        <v>122</v>
      </c>
      <c r="M33" s="21">
        <v>6.0205580029368599E-2</v>
      </c>
      <c r="N33" s="21"/>
      <c r="O33" s="21">
        <v>6.0205580029368599E-2</v>
      </c>
    </row>
    <row r="34" spans="1:15" x14ac:dyDescent="0.25">
      <c r="A34" s="28">
        <v>43889</v>
      </c>
      <c r="B34" s="17">
        <v>-8.4110483679465706E-2</v>
      </c>
      <c r="C34" t="str">
        <f t="shared" si="1"/>
        <v>Red</v>
      </c>
      <c r="D34">
        <f t="shared" si="2"/>
        <v>0</v>
      </c>
      <c r="E34">
        <f t="shared" si="3"/>
        <v>2</v>
      </c>
      <c r="L34" s="32" t="s">
        <v>123</v>
      </c>
      <c r="M34" s="21">
        <v>6.4634810710988396E-3</v>
      </c>
      <c r="N34" s="21"/>
      <c r="O34" s="21">
        <v>6.4634810710988396E-3</v>
      </c>
    </row>
    <row r="35" spans="1:15" x14ac:dyDescent="0.25">
      <c r="A35" s="28">
        <v>43861</v>
      </c>
      <c r="B35" s="17">
        <v>-1.6280925822201901E-3</v>
      </c>
      <c r="C35" t="str">
        <f t="shared" si="1"/>
        <v>Red</v>
      </c>
      <c r="D35">
        <f t="shared" si="2"/>
        <v>0</v>
      </c>
      <c r="E35">
        <f t="shared" si="3"/>
        <v>1</v>
      </c>
      <c r="L35" s="32" t="s">
        <v>124</v>
      </c>
      <c r="M35" s="21"/>
      <c r="N35" s="21">
        <v>-1.46788538843511E-2</v>
      </c>
      <c r="O35" s="21">
        <v>-1.46788538843511E-2</v>
      </c>
    </row>
    <row r="36" spans="1:15" x14ac:dyDescent="0.25">
      <c r="A36" s="28">
        <v>43830</v>
      </c>
      <c r="B36" s="17">
        <v>2.85898189647169E-2</v>
      </c>
      <c r="C36" t="str">
        <f t="shared" si="1"/>
        <v>Green</v>
      </c>
      <c r="D36">
        <f t="shared" si="2"/>
        <v>1</v>
      </c>
      <c r="E36">
        <f t="shared" si="3"/>
        <v>12</v>
      </c>
      <c r="L36" s="32" t="s">
        <v>125</v>
      </c>
      <c r="M36" s="21">
        <v>4.4227188081936701E-2</v>
      </c>
      <c r="N36" s="21"/>
      <c r="O36" s="21">
        <v>4.4227188081936701E-2</v>
      </c>
    </row>
    <row r="37" spans="1:15" x14ac:dyDescent="0.25">
      <c r="A37" s="28">
        <v>43798</v>
      </c>
      <c r="B37" s="17">
        <v>3.4047037421886202E-2</v>
      </c>
      <c r="C37" t="str">
        <f t="shared" si="1"/>
        <v>Green</v>
      </c>
      <c r="D37">
        <f t="shared" si="2"/>
        <v>1</v>
      </c>
      <c r="E37">
        <f t="shared" si="3"/>
        <v>11</v>
      </c>
      <c r="L37" s="32" t="s">
        <v>126</v>
      </c>
      <c r="M37" s="21"/>
      <c r="N37" s="21">
        <v>-4.05706642888988E-2</v>
      </c>
      <c r="O37" s="21">
        <v>-4.05706642888988E-2</v>
      </c>
    </row>
    <row r="38" spans="1:15" x14ac:dyDescent="0.25">
      <c r="A38" s="28">
        <v>43769</v>
      </c>
      <c r="B38" s="17">
        <v>2.0431770730503101E-2</v>
      </c>
      <c r="C38" t="str">
        <f t="shared" si="1"/>
        <v>Green</v>
      </c>
      <c r="D38">
        <f t="shared" si="2"/>
        <v>1</v>
      </c>
      <c r="E38">
        <f t="shared" si="3"/>
        <v>10</v>
      </c>
      <c r="L38" s="32" t="s">
        <v>127</v>
      </c>
      <c r="M38" s="21"/>
      <c r="N38" s="21">
        <v>-2.6022351301115201E-2</v>
      </c>
      <c r="O38" s="21">
        <v>-2.6022351301115201E-2</v>
      </c>
    </row>
    <row r="39" spans="1:15" x14ac:dyDescent="0.25">
      <c r="A39" s="28">
        <v>43738</v>
      </c>
      <c r="B39" s="17">
        <v>1.71811778292086E-2</v>
      </c>
      <c r="C39" t="str">
        <f t="shared" si="1"/>
        <v>Green</v>
      </c>
      <c r="D39">
        <f t="shared" si="2"/>
        <v>1</v>
      </c>
      <c r="E39">
        <f t="shared" si="3"/>
        <v>9</v>
      </c>
      <c r="L39" s="32" t="s">
        <v>128</v>
      </c>
      <c r="M39" s="21">
        <v>6.8702341064042799E-2</v>
      </c>
      <c r="N39" s="21"/>
      <c r="O39" s="21">
        <v>6.8702341064042799E-2</v>
      </c>
    </row>
    <row r="40" spans="1:15" x14ac:dyDescent="0.25">
      <c r="A40" s="28">
        <v>43707</v>
      </c>
      <c r="B40" s="17">
        <v>-1.8091627281326701E-2</v>
      </c>
      <c r="C40" t="str">
        <f t="shared" si="1"/>
        <v>Red</v>
      </c>
      <c r="D40">
        <f t="shared" si="2"/>
        <v>0</v>
      </c>
      <c r="E40">
        <f t="shared" si="3"/>
        <v>8</v>
      </c>
      <c r="L40" s="32" t="s">
        <v>129</v>
      </c>
      <c r="M40" s="21">
        <v>3.92857589285713E-2</v>
      </c>
      <c r="N40" s="21"/>
      <c r="O40" s="21">
        <v>3.92857589285713E-2</v>
      </c>
    </row>
    <row r="41" spans="1:15" x14ac:dyDescent="0.25">
      <c r="A41" s="28">
        <v>43677</v>
      </c>
      <c r="B41" s="17">
        <v>1.31281521499778E-2</v>
      </c>
      <c r="C41" t="str">
        <f t="shared" si="1"/>
        <v>Green</v>
      </c>
      <c r="D41">
        <f t="shared" si="2"/>
        <v>1</v>
      </c>
      <c r="E41">
        <f t="shared" si="3"/>
        <v>7</v>
      </c>
      <c r="L41" s="32" t="s">
        <v>107</v>
      </c>
      <c r="M41" s="21"/>
      <c r="N41" s="21">
        <v>-8.5914944763087998E-4</v>
      </c>
      <c r="O41" s="21">
        <v>-8.5914944763087998E-4</v>
      </c>
    </row>
    <row r="42" spans="1:15" x14ac:dyDescent="0.25">
      <c r="A42" s="28">
        <v>43644</v>
      </c>
      <c r="B42" s="17">
        <v>6.8930163925612103E-2</v>
      </c>
      <c r="C42" t="str">
        <f t="shared" si="1"/>
        <v>Green</v>
      </c>
      <c r="D42">
        <f t="shared" si="2"/>
        <v>1</v>
      </c>
      <c r="E42">
        <f t="shared" si="3"/>
        <v>6</v>
      </c>
      <c r="L42" s="32" t="s">
        <v>130</v>
      </c>
      <c r="M42" s="21"/>
      <c r="N42" s="21">
        <v>-1.37574806534825E-2</v>
      </c>
      <c r="O42" s="21">
        <v>-1.37574806534825E-2</v>
      </c>
    </row>
    <row r="43" spans="1:15" x14ac:dyDescent="0.25">
      <c r="A43" s="28">
        <v>43616</v>
      </c>
      <c r="B43" s="17">
        <v>-6.5777731189286898E-2</v>
      </c>
      <c r="C43" t="str">
        <f t="shared" si="1"/>
        <v>Red</v>
      </c>
      <c r="D43">
        <f t="shared" si="2"/>
        <v>0</v>
      </c>
      <c r="E43">
        <f t="shared" si="3"/>
        <v>5</v>
      </c>
      <c r="L43" s="32" t="s">
        <v>131</v>
      </c>
      <c r="M43" s="21"/>
      <c r="N43" s="21">
        <v>-2.6156058144896099E-3</v>
      </c>
      <c r="O43" s="21">
        <v>-2.6156058144896099E-3</v>
      </c>
    </row>
    <row r="44" spans="1:15" x14ac:dyDescent="0.25">
      <c r="A44" s="28">
        <v>43585</v>
      </c>
      <c r="B44" s="17">
        <v>3.9313498395682697E-2</v>
      </c>
      <c r="C44" t="str">
        <f t="shared" si="1"/>
        <v>Green</v>
      </c>
      <c r="D44">
        <f t="shared" si="2"/>
        <v>1</v>
      </c>
      <c r="E44">
        <f t="shared" si="3"/>
        <v>4</v>
      </c>
      <c r="L44" s="32" t="s">
        <v>93</v>
      </c>
      <c r="M44" s="21">
        <v>3.8898646805010803E-2</v>
      </c>
      <c r="N44" s="21"/>
      <c r="O44" s="21">
        <v>3.8898646805010803E-2</v>
      </c>
    </row>
    <row r="45" spans="1:15" x14ac:dyDescent="0.25">
      <c r="A45" s="28">
        <v>43553</v>
      </c>
      <c r="B45" s="17">
        <v>1.7924256211817102E-2</v>
      </c>
      <c r="C45" t="str">
        <f t="shared" si="1"/>
        <v>Green</v>
      </c>
      <c r="D45">
        <f t="shared" si="2"/>
        <v>1</v>
      </c>
      <c r="E45">
        <f t="shared" si="3"/>
        <v>3</v>
      </c>
      <c r="L45" s="30" t="s">
        <v>154</v>
      </c>
      <c r="M45" s="21">
        <v>0.2321302216571717</v>
      </c>
      <c r="N45" s="21">
        <v>-0.11449821257338239</v>
      </c>
      <c r="O45" s="21">
        <v>0.1176320090837893</v>
      </c>
    </row>
    <row r="46" spans="1:15" x14ac:dyDescent="0.25">
      <c r="A46" s="28">
        <v>43524</v>
      </c>
      <c r="B46" s="17">
        <v>2.9728889126352302E-2</v>
      </c>
      <c r="C46" t="str">
        <f t="shared" si="1"/>
        <v>Green</v>
      </c>
      <c r="D46">
        <f t="shared" si="2"/>
        <v>1</v>
      </c>
      <c r="E46">
        <f t="shared" si="3"/>
        <v>2</v>
      </c>
      <c r="L46" s="32" t="s">
        <v>122</v>
      </c>
      <c r="M46" s="21">
        <v>1.5565797223390901E-2</v>
      </c>
      <c r="N46" s="21"/>
      <c r="O46" s="21">
        <v>1.5565797223390901E-2</v>
      </c>
    </row>
    <row r="47" spans="1:15" x14ac:dyDescent="0.25">
      <c r="A47" s="28">
        <v>43496</v>
      </c>
      <c r="B47" s="17">
        <v>7.8684401655036804E-2</v>
      </c>
      <c r="C47" t="str">
        <f t="shared" si="1"/>
        <v>Green</v>
      </c>
      <c r="D47">
        <f t="shared" si="2"/>
        <v>1</v>
      </c>
      <c r="E47">
        <f t="shared" si="3"/>
        <v>1</v>
      </c>
      <c r="L47" s="32" t="s">
        <v>123</v>
      </c>
      <c r="M47" s="21"/>
      <c r="N47" s="21">
        <v>-3.6453978312095098E-2</v>
      </c>
      <c r="O47" s="21">
        <v>-3.6453978312095098E-2</v>
      </c>
    </row>
    <row r="48" spans="1:15" x14ac:dyDescent="0.25">
      <c r="A48" s="28">
        <v>43465</v>
      </c>
      <c r="B48" s="17">
        <v>-9.1776894596563893E-2</v>
      </c>
      <c r="C48" t="str">
        <f t="shared" si="1"/>
        <v>Red</v>
      </c>
      <c r="D48">
        <f t="shared" si="2"/>
        <v>0</v>
      </c>
      <c r="E48">
        <f t="shared" si="3"/>
        <v>12</v>
      </c>
      <c r="L48" s="32" t="s">
        <v>124</v>
      </c>
      <c r="M48" s="21">
        <v>4.7721453138434899E-2</v>
      </c>
      <c r="N48" s="21"/>
      <c r="O48" s="21">
        <v>4.7721453138434899E-2</v>
      </c>
    </row>
    <row r="49" spans="1:15" x14ac:dyDescent="0.25">
      <c r="A49" s="28">
        <v>43434</v>
      </c>
      <c r="B49" s="17">
        <v>1.7859356788849E-2</v>
      </c>
      <c r="C49" t="str">
        <f t="shared" si="1"/>
        <v>Green</v>
      </c>
      <c r="D49">
        <f t="shared" si="2"/>
        <v>1</v>
      </c>
      <c r="E49">
        <f t="shared" si="3"/>
        <v>11</v>
      </c>
      <c r="L49" s="32" t="s">
        <v>125</v>
      </c>
      <c r="M49" s="21"/>
      <c r="N49" s="21">
        <v>-4.3085800447853803E-2</v>
      </c>
      <c r="O49" s="21">
        <v>-4.3085800447853803E-2</v>
      </c>
    </row>
    <row r="50" spans="1:15" x14ac:dyDescent="0.25">
      <c r="A50" s="28">
        <v>43404</v>
      </c>
      <c r="B50" s="17">
        <v>-6.9403356024429499E-2</v>
      </c>
      <c r="C50" t="str">
        <f t="shared" si="1"/>
        <v>Red</v>
      </c>
      <c r="D50">
        <f t="shared" si="2"/>
        <v>0</v>
      </c>
      <c r="E50">
        <f t="shared" si="3"/>
        <v>10</v>
      </c>
      <c r="L50" s="32" t="s">
        <v>126</v>
      </c>
      <c r="M50" s="21">
        <v>2.3156132075471601E-2</v>
      </c>
      <c r="N50" s="21"/>
      <c r="O50" s="21">
        <v>2.3156132075471601E-2</v>
      </c>
    </row>
    <row r="51" spans="1:15" x14ac:dyDescent="0.25">
      <c r="A51" s="28">
        <v>43371</v>
      </c>
      <c r="B51" s="17">
        <v>4.29428710266144E-3</v>
      </c>
      <c r="C51" t="str">
        <f t="shared" si="1"/>
        <v>Green</v>
      </c>
      <c r="D51">
        <f t="shared" si="2"/>
        <v>1</v>
      </c>
      <c r="E51">
        <f t="shared" si="3"/>
        <v>9</v>
      </c>
      <c r="L51" s="32" t="s">
        <v>127</v>
      </c>
      <c r="M51" s="21">
        <v>4.6102177447519897E-2</v>
      </c>
      <c r="N51" s="21"/>
      <c r="O51" s="21">
        <v>4.6102177447519897E-2</v>
      </c>
    </row>
    <row r="52" spans="1:15" x14ac:dyDescent="0.25">
      <c r="A52" s="28">
        <v>43343</v>
      </c>
      <c r="B52" s="17">
        <v>3.0263211466054599E-2</v>
      </c>
      <c r="C52" t="str">
        <f t="shared" si="1"/>
        <v>Green</v>
      </c>
      <c r="D52">
        <f t="shared" si="2"/>
        <v>1</v>
      </c>
      <c r="E52">
        <f t="shared" si="3"/>
        <v>8</v>
      </c>
      <c r="L52" s="32" t="s">
        <v>128</v>
      </c>
      <c r="M52" s="21">
        <v>1.7628245898567499E-2</v>
      </c>
      <c r="N52" s="21"/>
      <c r="O52" s="21">
        <v>1.7628245898567499E-2</v>
      </c>
    </row>
    <row r="53" spans="1:15" x14ac:dyDescent="0.25">
      <c r="A53" s="28">
        <v>43312</v>
      </c>
      <c r="B53" s="17">
        <v>3.6021556221367303E-2</v>
      </c>
      <c r="C53" t="str">
        <f t="shared" si="1"/>
        <v>Green</v>
      </c>
      <c r="D53">
        <f t="shared" si="2"/>
        <v>1</v>
      </c>
      <c r="E53">
        <f t="shared" si="3"/>
        <v>7</v>
      </c>
      <c r="L53" s="32" t="s">
        <v>129</v>
      </c>
      <c r="M53" s="21"/>
      <c r="N53" s="21">
        <v>-1.4566889763779499E-2</v>
      </c>
      <c r="O53" s="21">
        <v>-1.4566889763779499E-2</v>
      </c>
    </row>
    <row r="54" spans="1:15" x14ac:dyDescent="0.25">
      <c r="A54" s="28">
        <v>43280</v>
      </c>
      <c r="B54" s="17">
        <v>4.8424360241865498E-3</v>
      </c>
      <c r="C54" t="str">
        <f t="shared" si="1"/>
        <v>Green</v>
      </c>
      <c r="D54">
        <f t="shared" si="2"/>
        <v>1</v>
      </c>
      <c r="E54">
        <f t="shared" si="3"/>
        <v>6</v>
      </c>
      <c r="L54" s="32" t="s">
        <v>107</v>
      </c>
      <c r="M54" s="21"/>
      <c r="N54" s="21">
        <v>-1.9576507408049899E-2</v>
      </c>
      <c r="O54" s="21">
        <v>-1.9576507408049899E-2</v>
      </c>
    </row>
    <row r="55" spans="1:15" x14ac:dyDescent="0.25">
      <c r="A55" s="28">
        <v>43251</v>
      </c>
      <c r="B55" s="17">
        <v>2.1608341965291902E-2</v>
      </c>
      <c r="C55" t="str">
        <f t="shared" si="1"/>
        <v>Green</v>
      </c>
      <c r="D55">
        <f t="shared" si="2"/>
        <v>1</v>
      </c>
      <c r="E55">
        <f t="shared" si="3"/>
        <v>5</v>
      </c>
      <c r="L55" s="32" t="s">
        <v>130</v>
      </c>
      <c r="M55" s="21"/>
      <c r="N55" s="21">
        <v>-8.1503664160409396E-4</v>
      </c>
      <c r="O55" s="21">
        <v>-8.1503664160409396E-4</v>
      </c>
    </row>
    <row r="56" spans="1:15" x14ac:dyDescent="0.25">
      <c r="A56" s="28">
        <v>43220</v>
      </c>
      <c r="B56" s="17">
        <v>2.7187751316435399E-3</v>
      </c>
      <c r="C56" t="str">
        <f t="shared" si="1"/>
        <v>Green</v>
      </c>
      <c r="D56">
        <f t="shared" si="2"/>
        <v>1</v>
      </c>
      <c r="E56">
        <f t="shared" si="3"/>
        <v>4</v>
      </c>
      <c r="L56" s="32" t="s">
        <v>131</v>
      </c>
      <c r="M56" s="21">
        <v>4.64926590538337E-2</v>
      </c>
      <c r="N56" s="21"/>
      <c r="O56" s="21">
        <v>4.64926590538337E-2</v>
      </c>
    </row>
    <row r="57" spans="1:15" x14ac:dyDescent="0.25">
      <c r="A57" s="28">
        <v>43188</v>
      </c>
      <c r="B57" s="17">
        <v>-2.6884498624825101E-2</v>
      </c>
      <c r="C57" t="str">
        <f t="shared" si="1"/>
        <v>Red</v>
      </c>
      <c r="D57">
        <f t="shared" si="2"/>
        <v>0</v>
      </c>
      <c r="E57">
        <f t="shared" si="3"/>
        <v>3</v>
      </c>
      <c r="L57" s="32" t="s">
        <v>93</v>
      </c>
      <c r="M57" s="21">
        <v>3.5463756819953202E-2</v>
      </c>
      <c r="N57" s="21"/>
      <c r="O57" s="21">
        <v>3.5463756819953202E-2</v>
      </c>
    </row>
    <row r="58" spans="1:15" x14ac:dyDescent="0.25">
      <c r="A58" s="28">
        <v>43159</v>
      </c>
      <c r="B58" s="17">
        <v>-3.8947372061896898E-2</v>
      </c>
      <c r="C58" t="str">
        <f t="shared" si="1"/>
        <v>Red</v>
      </c>
      <c r="D58">
        <f t="shared" si="2"/>
        <v>0</v>
      </c>
      <c r="E58">
        <f t="shared" si="3"/>
        <v>2</v>
      </c>
      <c r="L58" s="30" t="s">
        <v>140</v>
      </c>
      <c r="M58" s="21">
        <v>9.4647326872920393E-2</v>
      </c>
      <c r="N58" s="21">
        <v>-0.27412921769001924</v>
      </c>
      <c r="O58" s="21">
        <v>-0.17948189081709881</v>
      </c>
    </row>
    <row r="59" spans="1:15" x14ac:dyDescent="0.25">
      <c r="A59" s="28">
        <v>43131</v>
      </c>
      <c r="B59" s="17">
        <v>5.6178704444133101E-2</v>
      </c>
      <c r="C59" t="str">
        <f t="shared" si="1"/>
        <v>Green</v>
      </c>
      <c r="D59">
        <f t="shared" si="2"/>
        <v>1</v>
      </c>
      <c r="E59">
        <f t="shared" si="3"/>
        <v>1</v>
      </c>
      <c r="L59" s="32" t="s">
        <v>122</v>
      </c>
      <c r="M59" s="21"/>
      <c r="N59" s="21">
        <v>-1.71114269264355E-2</v>
      </c>
      <c r="O59" s="21">
        <v>-1.71114269264355E-2</v>
      </c>
    </row>
    <row r="60" spans="1:15" x14ac:dyDescent="0.25">
      <c r="A60" s="28">
        <v>43098</v>
      </c>
      <c r="B60" s="17">
        <v>9.8316304826040497E-3</v>
      </c>
      <c r="C60" t="str">
        <f t="shared" si="1"/>
        <v>Green</v>
      </c>
      <c r="D60">
        <f t="shared" si="2"/>
        <v>1</v>
      </c>
      <c r="E60">
        <f t="shared" si="3"/>
        <v>12</v>
      </c>
      <c r="L60" s="32" t="s">
        <v>123</v>
      </c>
      <c r="M60" s="21"/>
      <c r="N60" s="21">
        <v>-3.7490295936312097E-2</v>
      </c>
      <c r="O60" s="21">
        <v>-3.7490295936312097E-2</v>
      </c>
    </row>
    <row r="61" spans="1:15" x14ac:dyDescent="0.25">
      <c r="A61" s="28">
        <v>43069</v>
      </c>
      <c r="B61" s="17">
        <v>2.8082627664458602E-2</v>
      </c>
      <c r="C61" t="str">
        <f t="shared" si="1"/>
        <v>Green</v>
      </c>
      <c r="D61">
        <f t="shared" si="2"/>
        <v>1</v>
      </c>
      <c r="E61">
        <f t="shared" si="3"/>
        <v>11</v>
      </c>
      <c r="L61" s="32" t="s">
        <v>124</v>
      </c>
      <c r="M61" s="21"/>
      <c r="N61" s="21">
        <v>-1.43269161891124E-3</v>
      </c>
      <c r="O61" s="21">
        <v>-1.43269161891124E-3</v>
      </c>
    </row>
    <row r="62" spans="1:15" x14ac:dyDescent="0.25">
      <c r="A62" s="28">
        <v>43039</v>
      </c>
      <c r="B62" s="17">
        <v>2.21881353303497E-2</v>
      </c>
      <c r="C62" t="str">
        <f t="shared" si="1"/>
        <v>Green</v>
      </c>
      <c r="D62">
        <f t="shared" si="2"/>
        <v>1</v>
      </c>
      <c r="E62">
        <f t="shared" si="3"/>
        <v>10</v>
      </c>
      <c r="L62" s="32" t="s">
        <v>125</v>
      </c>
      <c r="M62" s="21"/>
      <c r="N62" s="21">
        <v>-4.0799821757527499E-2</v>
      </c>
      <c r="O62" s="21">
        <v>-4.0799821757527499E-2</v>
      </c>
    </row>
    <row r="63" spans="1:15" x14ac:dyDescent="0.25">
      <c r="A63" s="28">
        <v>43007</v>
      </c>
      <c r="B63" s="17">
        <v>1.9302978533243701E-2</v>
      </c>
      <c r="C63" t="str">
        <f t="shared" si="1"/>
        <v>Green</v>
      </c>
      <c r="D63">
        <f t="shared" si="2"/>
        <v>1</v>
      </c>
      <c r="E63">
        <f t="shared" si="3"/>
        <v>9</v>
      </c>
      <c r="L63" s="32" t="s">
        <v>126</v>
      </c>
      <c r="M63" s="21"/>
      <c r="N63" s="21">
        <v>-1.8883836413164001E-2</v>
      </c>
      <c r="O63" s="21">
        <v>-1.8883836413164001E-2</v>
      </c>
    </row>
    <row r="64" spans="1:15" x14ac:dyDescent="0.25">
      <c r="A64" s="28">
        <v>42978</v>
      </c>
      <c r="B64" s="17">
        <v>5.4643281108557296E-4</v>
      </c>
      <c r="C64" t="str">
        <f t="shared" si="1"/>
        <v>Green</v>
      </c>
      <c r="D64">
        <f t="shared" si="2"/>
        <v>1</v>
      </c>
      <c r="E64">
        <f t="shared" si="3"/>
        <v>8</v>
      </c>
      <c r="L64" s="32" t="s">
        <v>127</v>
      </c>
      <c r="M64" s="21"/>
      <c r="N64" s="21">
        <v>-6.5745118601575597E-3</v>
      </c>
      <c r="O64" s="21">
        <v>-6.5745118601575597E-3</v>
      </c>
    </row>
    <row r="65" spans="1:15" x14ac:dyDescent="0.25">
      <c r="A65" s="28">
        <v>42947</v>
      </c>
      <c r="B65" s="17">
        <v>1.9348826118030599E-2</v>
      </c>
      <c r="C65" t="str">
        <f t="shared" si="1"/>
        <v>Green</v>
      </c>
      <c r="D65">
        <f t="shared" si="2"/>
        <v>1</v>
      </c>
      <c r="E65">
        <f t="shared" si="3"/>
        <v>7</v>
      </c>
      <c r="L65" s="32" t="s">
        <v>128</v>
      </c>
      <c r="M65" s="21">
        <v>3.7981957836524798E-2</v>
      </c>
      <c r="N65" s="21"/>
      <c r="O65" s="21">
        <v>3.7981957836524798E-2</v>
      </c>
    </row>
    <row r="66" spans="1:15" x14ac:dyDescent="0.25">
      <c r="A66" s="28">
        <v>42916</v>
      </c>
      <c r="B66" s="17">
        <v>4.8137750908554501E-3</v>
      </c>
      <c r="C66" t="str">
        <f t="shared" si="1"/>
        <v>Green</v>
      </c>
      <c r="D66">
        <f t="shared" si="2"/>
        <v>1</v>
      </c>
      <c r="E66">
        <f t="shared" si="3"/>
        <v>6</v>
      </c>
      <c r="L66" s="32" t="s">
        <v>129</v>
      </c>
      <c r="M66" s="21"/>
      <c r="N66" s="21">
        <v>-3.6684540411342302E-2</v>
      </c>
      <c r="O66" s="21">
        <v>-3.6684540411342302E-2</v>
      </c>
    </row>
    <row r="67" spans="1:15" x14ac:dyDescent="0.25">
      <c r="A67" s="28">
        <v>42886</v>
      </c>
      <c r="B67" s="17">
        <v>1.1576251391341301E-2</v>
      </c>
      <c r="C67" t="str">
        <f t="shared" ref="C67:C130" si="4">IF(B67&gt;0,"Green","Red")</f>
        <v>Green</v>
      </c>
      <c r="D67">
        <f t="shared" si="2"/>
        <v>1</v>
      </c>
      <c r="E67">
        <f t="shared" si="3"/>
        <v>5</v>
      </c>
      <c r="L67" s="32" t="s">
        <v>107</v>
      </c>
      <c r="M67" s="21">
        <v>4.0095923261390901E-2</v>
      </c>
      <c r="N67" s="21"/>
      <c r="O67" s="21">
        <v>4.0095923261390901E-2</v>
      </c>
    </row>
    <row r="68" spans="1:15" x14ac:dyDescent="0.25">
      <c r="A68" s="28">
        <v>42853</v>
      </c>
      <c r="B68" s="17">
        <v>9.0912085493182193E-3</v>
      </c>
      <c r="C68" t="str">
        <f t="shared" si="4"/>
        <v>Green</v>
      </c>
      <c r="D68">
        <f t="shared" ref="D68:D131" si="5">IF(B68&gt;0,1,0)</f>
        <v>1</v>
      </c>
      <c r="E68">
        <f t="shared" ref="E68:E131" si="6">MONTH(A68)</f>
        <v>4</v>
      </c>
      <c r="L68" s="32" t="s">
        <v>130</v>
      </c>
      <c r="M68" s="21"/>
      <c r="N68" s="21">
        <v>-1.29114636170802E-3</v>
      </c>
      <c r="O68" s="21">
        <v>-1.29114636170802E-3</v>
      </c>
    </row>
    <row r="69" spans="1:15" x14ac:dyDescent="0.25">
      <c r="A69" s="28">
        <v>42825</v>
      </c>
      <c r="B69" s="17">
        <v>-3.891971880845E-4</v>
      </c>
      <c r="C69" t="str">
        <f t="shared" si="4"/>
        <v>Red</v>
      </c>
      <c r="D69">
        <f t="shared" si="5"/>
        <v>0</v>
      </c>
      <c r="E69">
        <f t="shared" si="6"/>
        <v>3</v>
      </c>
      <c r="L69" s="32" t="s">
        <v>131</v>
      </c>
      <c r="M69" s="21"/>
      <c r="N69" s="21">
        <v>-0.113860946404461</v>
      </c>
      <c r="O69" s="21">
        <v>-0.113860946404461</v>
      </c>
    </row>
    <row r="70" spans="1:15" x14ac:dyDescent="0.25">
      <c r="A70" s="28">
        <v>42794</v>
      </c>
      <c r="B70" s="17">
        <v>3.7198160337279101E-2</v>
      </c>
      <c r="C70" t="str">
        <f t="shared" si="4"/>
        <v>Green</v>
      </c>
      <c r="D70">
        <f t="shared" si="5"/>
        <v>1</v>
      </c>
      <c r="E70">
        <f t="shared" si="6"/>
        <v>2</v>
      </c>
      <c r="L70" s="32" t="s">
        <v>93</v>
      </c>
      <c r="M70" s="21">
        <v>1.6569445775004701E-2</v>
      </c>
      <c r="N70" s="21"/>
      <c r="O70" s="21">
        <v>1.6569445775004701E-2</v>
      </c>
    </row>
    <row r="71" spans="1:15" x14ac:dyDescent="0.25">
      <c r="A71" s="28">
        <v>42766</v>
      </c>
      <c r="B71" s="17">
        <v>1.7884358171464498E-2</v>
      </c>
      <c r="C71" t="str">
        <f t="shared" si="4"/>
        <v>Green</v>
      </c>
      <c r="D71">
        <f t="shared" si="5"/>
        <v>1</v>
      </c>
      <c r="E71">
        <f t="shared" si="6"/>
        <v>1</v>
      </c>
      <c r="L71" s="30" t="s">
        <v>141</v>
      </c>
      <c r="M71" s="21">
        <v>0.163046912762875</v>
      </c>
      <c r="N71" s="21">
        <v>-0.48495344227897991</v>
      </c>
      <c r="O71" s="21">
        <v>-0.32190652951610493</v>
      </c>
    </row>
    <row r="72" spans="1:15" x14ac:dyDescent="0.25">
      <c r="A72" s="28">
        <v>42734</v>
      </c>
      <c r="B72" s="17">
        <v>1.82007621968951E-2</v>
      </c>
      <c r="C72" t="str">
        <f t="shared" si="4"/>
        <v>Green</v>
      </c>
      <c r="D72">
        <f t="shared" si="5"/>
        <v>1</v>
      </c>
      <c r="E72">
        <f t="shared" si="6"/>
        <v>12</v>
      </c>
      <c r="L72" s="32" t="s">
        <v>122</v>
      </c>
      <c r="M72" s="21"/>
      <c r="N72" s="21">
        <v>-1.0046160634152E-2</v>
      </c>
      <c r="O72" s="21">
        <v>-1.0046160634152E-2</v>
      </c>
    </row>
    <row r="73" spans="1:15" x14ac:dyDescent="0.25">
      <c r="A73" s="28">
        <v>42704</v>
      </c>
      <c r="B73" s="17">
        <v>3.4174522187570402E-2</v>
      </c>
      <c r="C73" t="str">
        <f t="shared" si="4"/>
        <v>Green</v>
      </c>
      <c r="D73">
        <f t="shared" si="5"/>
        <v>1</v>
      </c>
      <c r="E73">
        <f t="shared" si="6"/>
        <v>11</v>
      </c>
      <c r="L73" s="32" t="s">
        <v>123</v>
      </c>
      <c r="M73" s="21"/>
      <c r="N73" s="21">
        <v>-3.62430361395871E-3</v>
      </c>
      <c r="O73" s="21">
        <v>-3.62430361395871E-3</v>
      </c>
    </row>
    <row r="74" spans="1:15" x14ac:dyDescent="0.25">
      <c r="A74" s="28">
        <v>42674</v>
      </c>
      <c r="B74" s="17">
        <v>-1.94256792795575E-2</v>
      </c>
      <c r="C74" t="str">
        <f t="shared" si="4"/>
        <v>Red</v>
      </c>
      <c r="D74">
        <f t="shared" si="5"/>
        <v>0</v>
      </c>
      <c r="E74">
        <f t="shared" si="6"/>
        <v>10</v>
      </c>
      <c r="L74" s="32" t="s">
        <v>124</v>
      </c>
      <c r="M74" s="21"/>
      <c r="N74" s="21">
        <v>-2.3279962343795799E-2</v>
      </c>
      <c r="O74" s="21">
        <v>-2.3279962343795799E-2</v>
      </c>
    </row>
    <row r="75" spans="1:15" x14ac:dyDescent="0.25">
      <c r="A75" s="28">
        <v>42643</v>
      </c>
      <c r="B75" s="17">
        <v>-1.23445084432539E-3</v>
      </c>
      <c r="C75" t="str">
        <f t="shared" si="4"/>
        <v>Red</v>
      </c>
      <c r="D75">
        <f t="shared" si="5"/>
        <v>0</v>
      </c>
      <c r="E75">
        <f t="shared" si="6"/>
        <v>9</v>
      </c>
      <c r="L75" s="32" t="s">
        <v>125</v>
      </c>
      <c r="M75" s="21"/>
      <c r="N75" s="21">
        <v>-3.9050913841745701E-2</v>
      </c>
      <c r="O75" s="21">
        <v>-3.9050913841745701E-2</v>
      </c>
    </row>
    <row r="76" spans="1:15" x14ac:dyDescent="0.25">
      <c r="A76" s="28">
        <v>42613</v>
      </c>
      <c r="B76" s="17">
        <v>-1.2192431360480401E-3</v>
      </c>
      <c r="C76" t="str">
        <f t="shared" si="4"/>
        <v>Red</v>
      </c>
      <c r="D76">
        <f t="shared" si="5"/>
        <v>0</v>
      </c>
      <c r="E76">
        <f t="shared" si="6"/>
        <v>8</v>
      </c>
      <c r="L76" s="32" t="s">
        <v>126</v>
      </c>
      <c r="M76" s="21"/>
      <c r="N76" s="21">
        <v>-3.3551091430651901E-2</v>
      </c>
      <c r="O76" s="21">
        <v>-3.3551091430651901E-2</v>
      </c>
    </row>
    <row r="77" spans="1:15" x14ac:dyDescent="0.25">
      <c r="A77" s="28">
        <v>42580</v>
      </c>
      <c r="B77" s="17">
        <v>3.5609801125254401E-2</v>
      </c>
      <c r="C77" t="str">
        <f t="shared" si="4"/>
        <v>Green</v>
      </c>
      <c r="D77">
        <f t="shared" si="5"/>
        <v>1</v>
      </c>
      <c r="E77">
        <f t="shared" si="6"/>
        <v>7</v>
      </c>
      <c r="L77" s="32" t="s">
        <v>127</v>
      </c>
      <c r="M77" s="21"/>
      <c r="N77" s="21">
        <v>-1.46654332569367E-2</v>
      </c>
      <c r="O77" s="21">
        <v>-1.46654332569367E-2</v>
      </c>
    </row>
    <row r="78" spans="1:15" x14ac:dyDescent="0.25">
      <c r="A78" s="28">
        <v>42551</v>
      </c>
      <c r="B78" s="17">
        <v>9.1092112097812495E-4</v>
      </c>
      <c r="C78" t="str">
        <f t="shared" si="4"/>
        <v>Green</v>
      </c>
      <c r="D78">
        <f t="shared" si="5"/>
        <v>1</v>
      </c>
      <c r="E78">
        <f t="shared" si="6"/>
        <v>6</v>
      </c>
      <c r="L78" s="32" t="s">
        <v>128</v>
      </c>
      <c r="M78" s="21"/>
      <c r="N78" s="21">
        <v>-7.7790720930232607E-2</v>
      </c>
      <c r="O78" s="21">
        <v>-7.7790720930232607E-2</v>
      </c>
    </row>
    <row r="79" spans="1:15" x14ac:dyDescent="0.25">
      <c r="A79" s="28">
        <v>42521</v>
      </c>
      <c r="B79" s="17">
        <v>1.53246023575726E-2</v>
      </c>
      <c r="C79" t="str">
        <f t="shared" si="4"/>
        <v>Green</v>
      </c>
      <c r="D79">
        <f t="shared" si="5"/>
        <v>1</v>
      </c>
      <c r="E79">
        <f t="shared" si="6"/>
        <v>5</v>
      </c>
      <c r="L79" s="32" t="s">
        <v>129</v>
      </c>
      <c r="M79" s="21"/>
      <c r="N79" s="21">
        <v>-9.0278605227048295E-2</v>
      </c>
      <c r="O79" s="21">
        <v>-9.0278605227048295E-2</v>
      </c>
    </row>
    <row r="80" spans="1:15" x14ac:dyDescent="0.25">
      <c r="A80" s="28">
        <v>42489</v>
      </c>
      <c r="B80" s="17">
        <v>2.6993984808731902E-3</v>
      </c>
      <c r="C80" t="str">
        <f t="shared" si="4"/>
        <v>Green</v>
      </c>
      <c r="D80">
        <f t="shared" si="5"/>
        <v>1</v>
      </c>
      <c r="E80">
        <f t="shared" si="6"/>
        <v>4</v>
      </c>
      <c r="L80" s="32" t="s">
        <v>107</v>
      </c>
      <c r="M80" s="21"/>
      <c r="N80" s="21">
        <v>-0.119334729886771</v>
      </c>
      <c r="O80" s="21">
        <v>-0.119334729886771</v>
      </c>
    </row>
    <row r="81" spans="1:21" x14ac:dyDescent="0.25">
      <c r="A81" s="28">
        <v>42460</v>
      </c>
      <c r="B81" s="17">
        <v>6.5991114577365104E-2</v>
      </c>
      <c r="C81" t="str">
        <f t="shared" si="4"/>
        <v>Green</v>
      </c>
      <c r="D81">
        <f t="shared" si="5"/>
        <v>1</v>
      </c>
      <c r="E81">
        <f t="shared" si="6"/>
        <v>3</v>
      </c>
      <c r="L81" s="32" t="s">
        <v>130</v>
      </c>
      <c r="M81" s="21">
        <v>0.163046912762875</v>
      </c>
      <c r="N81" s="21"/>
      <c r="O81" s="21">
        <v>0.163046912762875</v>
      </c>
    </row>
    <row r="82" spans="1:21" x14ac:dyDescent="0.25">
      <c r="A82" s="28">
        <v>42429</v>
      </c>
      <c r="B82" s="17">
        <v>-4.12836043029907E-3</v>
      </c>
      <c r="C82" t="str">
        <f t="shared" si="4"/>
        <v>Red</v>
      </c>
      <c r="D82">
        <f t="shared" si="5"/>
        <v>0</v>
      </c>
      <c r="E82">
        <f t="shared" si="6"/>
        <v>2</v>
      </c>
      <c r="L82" s="32" t="s">
        <v>131</v>
      </c>
      <c r="M82" s="21"/>
      <c r="N82" s="21">
        <v>-5.3179985028958501E-2</v>
      </c>
      <c r="O82" s="21">
        <v>-5.3179985028958501E-2</v>
      </c>
    </row>
    <row r="83" spans="1:21" x14ac:dyDescent="0.25">
      <c r="A83" s="28">
        <v>42398</v>
      </c>
      <c r="B83" s="17">
        <v>-5.0735321972946397E-2</v>
      </c>
      <c r="C83" t="str">
        <f t="shared" si="4"/>
        <v>Red</v>
      </c>
      <c r="D83">
        <f t="shared" si="5"/>
        <v>0</v>
      </c>
      <c r="E83">
        <f t="shared" si="6"/>
        <v>1</v>
      </c>
      <c r="L83" s="32" t="s">
        <v>93</v>
      </c>
      <c r="M83" s="21"/>
      <c r="N83" s="21">
        <v>-2.0151536084728701E-2</v>
      </c>
      <c r="O83" s="21">
        <v>-2.0151536084728701E-2</v>
      </c>
    </row>
    <row r="84" spans="1:21" x14ac:dyDescent="0.25">
      <c r="A84" s="28">
        <v>42369</v>
      </c>
      <c r="B84" s="17">
        <v>-1.7530185176314401E-2</v>
      </c>
      <c r="C84" t="str">
        <f t="shared" si="4"/>
        <v>Red</v>
      </c>
      <c r="D84">
        <f t="shared" si="5"/>
        <v>0</v>
      </c>
      <c r="E84">
        <f t="shared" si="6"/>
        <v>12</v>
      </c>
      <c r="L84" s="30" t="s">
        <v>142</v>
      </c>
      <c r="M84" s="21">
        <v>0.42643088772134108</v>
      </c>
      <c r="N84" s="21">
        <v>-0.13487812833539761</v>
      </c>
      <c r="O84" s="21">
        <v>0.29155275938594349</v>
      </c>
    </row>
    <row r="85" spans="1:21" x14ac:dyDescent="0.25">
      <c r="A85" s="28">
        <v>42338</v>
      </c>
      <c r="B85" s="17">
        <v>5.0486926072412796E-4</v>
      </c>
      <c r="C85" t="str">
        <f t="shared" si="4"/>
        <v>Green</v>
      </c>
      <c r="D85">
        <f t="shared" si="5"/>
        <v>1</v>
      </c>
      <c r="E85">
        <f t="shared" si="6"/>
        <v>11</v>
      </c>
      <c r="L85" s="32" t="s">
        <v>122</v>
      </c>
      <c r="M85" s="21">
        <v>0.122812211867334</v>
      </c>
      <c r="N85" s="21"/>
      <c r="O85" s="21">
        <v>0.122812211867334</v>
      </c>
    </row>
    <row r="86" spans="1:21" x14ac:dyDescent="0.25">
      <c r="A86" s="28">
        <v>42307</v>
      </c>
      <c r="B86" s="17">
        <v>8.2983117760394104E-2</v>
      </c>
      <c r="C86" t="str">
        <f t="shared" si="4"/>
        <v>Green</v>
      </c>
      <c r="D86">
        <f t="shared" si="5"/>
        <v>1</v>
      </c>
      <c r="E86">
        <f t="shared" si="6"/>
        <v>10</v>
      </c>
      <c r="L86" s="32" t="s">
        <v>123</v>
      </c>
      <c r="M86" s="21">
        <v>5.9885591326880101E-2</v>
      </c>
      <c r="N86" s="21"/>
      <c r="O86" s="21">
        <v>5.9885591326880101E-2</v>
      </c>
    </row>
    <row r="87" spans="1:21" x14ac:dyDescent="0.25">
      <c r="A87" s="28">
        <v>42277</v>
      </c>
      <c r="B87" s="17">
        <v>-2.6442831573227101E-2</v>
      </c>
      <c r="C87" t="str">
        <f t="shared" si="4"/>
        <v>Red</v>
      </c>
      <c r="D87">
        <f t="shared" si="5"/>
        <v>0</v>
      </c>
      <c r="E87">
        <f t="shared" si="6"/>
        <v>9</v>
      </c>
      <c r="L87" s="32" t="s">
        <v>124</v>
      </c>
      <c r="M87" s="21">
        <v>2.1693897374379E-2</v>
      </c>
      <c r="N87" s="21"/>
      <c r="O87" s="21">
        <v>2.1693897374379E-2</v>
      </c>
    </row>
    <row r="88" spans="1:21" x14ac:dyDescent="0.25">
      <c r="A88" s="28">
        <v>42247</v>
      </c>
      <c r="B88" s="17">
        <v>-6.2580818167202804E-2</v>
      </c>
      <c r="C88" t="str">
        <f t="shared" si="4"/>
        <v>Red</v>
      </c>
      <c r="D88">
        <f t="shared" si="5"/>
        <v>0</v>
      </c>
      <c r="E88">
        <f t="shared" si="6"/>
        <v>8</v>
      </c>
      <c r="L88" s="32" t="s">
        <v>125</v>
      </c>
      <c r="M88" s="21">
        <v>4.7264898665248398E-2</v>
      </c>
      <c r="N88" s="21"/>
      <c r="O88" s="21">
        <v>4.7264898665248398E-2</v>
      </c>
    </row>
    <row r="89" spans="1:21" x14ac:dyDescent="0.25">
      <c r="A89" s="28">
        <v>42216</v>
      </c>
      <c r="B89" s="17">
        <v>1.9742029696721501E-2</v>
      </c>
      <c r="C89" t="str">
        <f t="shared" si="4"/>
        <v>Green</v>
      </c>
      <c r="D89">
        <f t="shared" si="5"/>
        <v>1</v>
      </c>
      <c r="E89">
        <f t="shared" si="6"/>
        <v>7</v>
      </c>
      <c r="L89" s="32" t="s">
        <v>126</v>
      </c>
      <c r="M89" s="21">
        <v>4.4100788862515797E-2</v>
      </c>
      <c r="N89" s="21"/>
      <c r="O89" s="21">
        <v>4.4100788862515797E-2</v>
      </c>
    </row>
    <row r="90" spans="1:21" x14ac:dyDescent="0.25">
      <c r="A90" s="28">
        <v>42185</v>
      </c>
      <c r="B90" s="17">
        <v>-2.10116723759005E-2</v>
      </c>
      <c r="C90" t="str">
        <f t="shared" si="4"/>
        <v>Red</v>
      </c>
      <c r="D90">
        <f t="shared" si="5"/>
        <v>0</v>
      </c>
      <c r="E90">
        <f t="shared" si="6"/>
        <v>6</v>
      </c>
      <c r="L90" s="32" t="s">
        <v>127</v>
      </c>
      <c r="M90" s="21">
        <v>4.43225442825552E-2</v>
      </c>
      <c r="N90" s="21"/>
      <c r="O90" s="21">
        <v>4.43225442825552E-2</v>
      </c>
    </row>
    <row r="91" spans="1:21" x14ac:dyDescent="0.25">
      <c r="A91" s="28">
        <v>42153</v>
      </c>
      <c r="B91" s="17">
        <v>1.04913823933168E-2</v>
      </c>
      <c r="C91" t="str">
        <f t="shared" si="4"/>
        <v>Green</v>
      </c>
      <c r="D91">
        <f t="shared" si="5"/>
        <v>1</v>
      </c>
      <c r="E91">
        <f t="shared" si="6"/>
        <v>5</v>
      </c>
      <c r="L91" s="32" t="s">
        <v>128</v>
      </c>
      <c r="M91" s="21"/>
      <c r="N91" s="21">
        <v>-6.7654184942658194E-2</v>
      </c>
      <c r="O91" s="21">
        <v>-6.7654184942658194E-2</v>
      </c>
    </row>
    <row r="92" spans="1:21" x14ac:dyDescent="0.25">
      <c r="A92" s="28">
        <v>42124</v>
      </c>
      <c r="B92" s="17">
        <v>8.5208197301247495E-3</v>
      </c>
      <c r="C92" t="str">
        <f t="shared" si="4"/>
        <v>Green</v>
      </c>
      <c r="D92">
        <f t="shared" si="5"/>
        <v>1</v>
      </c>
      <c r="E92">
        <f t="shared" si="6"/>
        <v>4</v>
      </c>
      <c r="L92" s="32" t="s">
        <v>129</v>
      </c>
      <c r="M92" s="21"/>
      <c r="N92" s="21">
        <v>-2.10704563380282E-2</v>
      </c>
      <c r="O92" s="21">
        <v>-2.10704563380282E-2</v>
      </c>
    </row>
    <row r="93" spans="1:21" x14ac:dyDescent="0.25">
      <c r="A93" s="28">
        <v>42094</v>
      </c>
      <c r="B93" s="17">
        <v>-1.7396106913756301E-2</v>
      </c>
      <c r="C93" t="str">
        <f t="shared" si="4"/>
        <v>Red</v>
      </c>
      <c r="D93">
        <f t="shared" si="5"/>
        <v>0</v>
      </c>
      <c r="E93">
        <f t="shared" si="6"/>
        <v>3</v>
      </c>
      <c r="L93" s="32" t="s">
        <v>107</v>
      </c>
      <c r="M93" s="21"/>
      <c r="N93" s="21">
        <v>-3.4645420165012299E-2</v>
      </c>
      <c r="O93" s="21">
        <v>-3.4645420165012299E-2</v>
      </c>
    </row>
    <row r="94" spans="1:21" x14ac:dyDescent="0.25">
      <c r="A94" s="28">
        <v>42062</v>
      </c>
      <c r="B94" s="17">
        <v>5.4892511014553898E-2</v>
      </c>
      <c r="C94" t="str">
        <f t="shared" si="4"/>
        <v>Green</v>
      </c>
      <c r="D94">
        <f t="shared" si="5"/>
        <v>1</v>
      </c>
      <c r="E94">
        <f t="shared" si="6"/>
        <v>2</v>
      </c>
      <c r="L94" s="32" t="s">
        <v>130</v>
      </c>
      <c r="M94" s="21">
        <v>6.16429929065343E-2</v>
      </c>
      <c r="N94" s="21"/>
      <c r="O94" s="21">
        <v>6.16429929065343E-2</v>
      </c>
    </row>
    <row r="95" spans="1:21" x14ac:dyDescent="0.25">
      <c r="A95" s="28">
        <v>42034</v>
      </c>
      <c r="B95" s="17">
        <v>-3.1040805790470201E-2</v>
      </c>
      <c r="C95" t="str">
        <f t="shared" si="4"/>
        <v>Red</v>
      </c>
      <c r="D95">
        <f t="shared" si="5"/>
        <v>0</v>
      </c>
      <c r="E95">
        <f t="shared" si="6"/>
        <v>1</v>
      </c>
      <c r="L95" s="32" t="s">
        <v>131</v>
      </c>
      <c r="M95" s="21">
        <v>2.47079624358943E-2</v>
      </c>
      <c r="N95" s="21"/>
      <c r="O95" s="21">
        <v>2.47079624358943E-2</v>
      </c>
      <c r="U95" t="s">
        <v>167</v>
      </c>
    </row>
    <row r="96" spans="1:21" x14ac:dyDescent="0.25">
      <c r="A96" s="28">
        <v>42004</v>
      </c>
      <c r="B96" s="17">
        <v>-4.1885878779204201E-3</v>
      </c>
      <c r="C96" t="str">
        <f t="shared" si="4"/>
        <v>Red</v>
      </c>
      <c r="D96">
        <f t="shared" si="5"/>
        <v>0</v>
      </c>
      <c r="E96">
        <f t="shared" si="6"/>
        <v>12</v>
      </c>
      <c r="L96" s="32" t="s">
        <v>93</v>
      </c>
      <c r="M96" s="21"/>
      <c r="N96" s="21">
        <v>-1.15080668896989E-2</v>
      </c>
      <c r="O96" s="21">
        <v>-1.15080668896989E-2</v>
      </c>
      <c r="U96" s="14">
        <f>_xlfn.STDEV.S(R98:R109)</f>
        <v>7.7978831383775302E-3</v>
      </c>
    </row>
    <row r="97" spans="1:22" x14ac:dyDescent="0.25">
      <c r="A97" s="28">
        <v>41971</v>
      </c>
      <c r="B97" s="17">
        <v>2.4533588760364801E-2</v>
      </c>
      <c r="C97" t="str">
        <f t="shared" si="4"/>
        <v>Green</v>
      </c>
      <c r="D97">
        <f t="shared" si="5"/>
        <v>1</v>
      </c>
      <c r="E97">
        <f t="shared" si="6"/>
        <v>11</v>
      </c>
      <c r="L97" s="30" t="s">
        <v>143</v>
      </c>
      <c r="M97" s="21">
        <v>0.26505973192677823</v>
      </c>
      <c r="N97" s="21">
        <v>-7.9950146512591386E-2</v>
      </c>
      <c r="O97" s="21">
        <v>0.18510958541418684</v>
      </c>
      <c r="Q97" s="29" t="s">
        <v>91</v>
      </c>
      <c r="R97" t="s">
        <v>165</v>
      </c>
      <c r="S97" t="s">
        <v>166</v>
      </c>
      <c r="T97" t="s">
        <v>169</v>
      </c>
      <c r="U97" t="s">
        <v>168</v>
      </c>
    </row>
    <row r="98" spans="1:22" x14ac:dyDescent="0.25">
      <c r="A98" s="28">
        <v>41943</v>
      </c>
      <c r="B98" s="17">
        <v>2.32014607867723E-2</v>
      </c>
      <c r="C98" t="str">
        <f t="shared" si="4"/>
        <v>Green</v>
      </c>
      <c r="D98">
        <f t="shared" si="5"/>
        <v>1</v>
      </c>
      <c r="E98">
        <f t="shared" si="6"/>
        <v>10</v>
      </c>
      <c r="L98" s="32" t="s">
        <v>122</v>
      </c>
      <c r="M98" s="21">
        <v>0.118305785157871</v>
      </c>
      <c r="N98" s="21"/>
      <c r="O98" s="21">
        <v>0.118305785157871</v>
      </c>
      <c r="Q98" s="30">
        <v>1</v>
      </c>
      <c r="R98" s="21">
        <v>1.1395600340007826E-2</v>
      </c>
      <c r="S98" s="21">
        <v>4.7650733136250706E-2</v>
      </c>
      <c r="T98" s="35">
        <v>0.61052631578947369</v>
      </c>
      <c r="U98" s="13">
        <f>GETPIVOTDATA("Average of Returns",$Q$97,"Month",1)/$U$96</f>
        <v>1.4613710077192636</v>
      </c>
      <c r="V98" s="40">
        <f>GETPIVOTDATA("Average of Returns",$Q$97,"Month",Q98)/GETPIVOTDATA("StdDev of Returns",$Q$97,"Month",Q98)</f>
        <v>0.23914847873218817</v>
      </c>
    </row>
    <row r="99" spans="1:22" x14ac:dyDescent="0.25">
      <c r="A99" s="28">
        <v>41912</v>
      </c>
      <c r="B99" s="17">
        <v>-1.5513837223063799E-2</v>
      </c>
      <c r="C99" t="str">
        <f t="shared" si="4"/>
        <v>Red</v>
      </c>
      <c r="D99">
        <f t="shared" si="5"/>
        <v>0</v>
      </c>
      <c r="E99">
        <f t="shared" si="6"/>
        <v>9</v>
      </c>
      <c r="L99" s="32" t="s">
        <v>123</v>
      </c>
      <c r="M99" s="21"/>
      <c r="N99" s="21">
        <v>-1.14019630041448E-2</v>
      </c>
      <c r="O99" s="21">
        <v>-1.14019630041448E-2</v>
      </c>
      <c r="Q99" s="30">
        <v>2</v>
      </c>
      <c r="R99" s="21">
        <v>-1.1487942390538326E-3</v>
      </c>
      <c r="S99" s="21">
        <v>4.2354549358388234E-2</v>
      </c>
      <c r="T99" s="35">
        <v>0.52631578947368418</v>
      </c>
      <c r="U99" s="13">
        <f>GETPIVOTDATA("Average of Returns",$Q$97,"Month",2)/$U$96</f>
        <v>-0.14732129459596607</v>
      </c>
      <c r="V99" s="40">
        <f t="shared" ref="V99:V109" si="7">GETPIVOTDATA("Average of Returns",$Q$97,"Month",Q99)/GETPIVOTDATA("StdDev of Returns",$Q$97,"Month",Q99)</f>
        <v>-2.7123278525127695E-2</v>
      </c>
    </row>
    <row r="100" spans="1:22" x14ac:dyDescent="0.25">
      <c r="A100" s="28">
        <v>41880</v>
      </c>
      <c r="B100" s="17">
        <v>3.7655295489735098E-2</v>
      </c>
      <c r="C100" t="str">
        <f t="shared" si="4"/>
        <v>Green</v>
      </c>
      <c r="D100">
        <f t="shared" si="5"/>
        <v>1</v>
      </c>
      <c r="E100">
        <f t="shared" si="6"/>
        <v>8</v>
      </c>
      <c r="L100" s="32" t="s">
        <v>124</v>
      </c>
      <c r="M100" s="21">
        <v>3.0688978344087799E-2</v>
      </c>
      <c r="N100" s="21"/>
      <c r="O100" s="21">
        <v>3.0688978344087799E-2</v>
      </c>
      <c r="Q100" s="30">
        <v>3</v>
      </c>
      <c r="R100" s="21">
        <v>4.8488776245975505E-3</v>
      </c>
      <c r="S100" s="21">
        <v>5.0721631332635062E-2</v>
      </c>
      <c r="T100" s="35">
        <v>0.61052631578947369</v>
      </c>
      <c r="U100" s="13">
        <f>GETPIVOTDATA("Average of Returns",$Q$97,"Month",3)/$U$96</f>
        <v>0.62181973473462882</v>
      </c>
      <c r="V100" s="40">
        <f t="shared" si="7"/>
        <v>9.5597824778118082E-2</v>
      </c>
    </row>
    <row r="101" spans="1:22" x14ac:dyDescent="0.25">
      <c r="A101" s="28">
        <v>41851</v>
      </c>
      <c r="B101" s="17">
        <v>-1.50798305819199E-2</v>
      </c>
      <c r="C101" t="str">
        <f t="shared" si="4"/>
        <v>Red</v>
      </c>
      <c r="D101">
        <f t="shared" si="5"/>
        <v>0</v>
      </c>
      <c r="E101">
        <f t="shared" si="6"/>
        <v>7</v>
      </c>
      <c r="L101" s="32" t="s">
        <v>125</v>
      </c>
      <c r="M101" s="21"/>
      <c r="N101" s="21">
        <v>-1.0995407540977199E-2</v>
      </c>
      <c r="O101" s="21">
        <v>-1.0995407540977199E-2</v>
      </c>
      <c r="Q101" s="30">
        <v>4</v>
      </c>
      <c r="R101" s="21">
        <v>1.3410864869179353E-2</v>
      </c>
      <c r="S101" s="21">
        <v>6.0848992710328662E-2</v>
      </c>
      <c r="T101" s="35">
        <v>0.66315789473684206</v>
      </c>
      <c r="U101" s="13">
        <f>GETPIVOTDATA("Average of Returns",$Q$97,"Month",4)/$U$96</f>
        <v>1.719808393021095</v>
      </c>
      <c r="V101" s="40">
        <f t="shared" si="7"/>
        <v>0.22039584012543498</v>
      </c>
    </row>
    <row r="102" spans="1:22" x14ac:dyDescent="0.25">
      <c r="A102" s="28">
        <v>41820</v>
      </c>
      <c r="B102" s="17">
        <v>1.90583316589206E-2</v>
      </c>
      <c r="C102" t="str">
        <f t="shared" si="4"/>
        <v>Green</v>
      </c>
      <c r="D102">
        <f t="shared" si="5"/>
        <v>1</v>
      </c>
      <c r="E102">
        <f t="shared" si="6"/>
        <v>6</v>
      </c>
      <c r="L102" s="32" t="s">
        <v>126</v>
      </c>
      <c r="M102" s="21"/>
      <c r="N102" s="21">
        <v>-1.4364413758012701E-2</v>
      </c>
      <c r="O102" s="21">
        <v>-1.4364413758012701E-2</v>
      </c>
      <c r="Q102" s="30">
        <v>5</v>
      </c>
      <c r="R102" s="21">
        <v>-3.9218791296049426E-4</v>
      </c>
      <c r="S102" s="21">
        <v>5.7819676597013821E-2</v>
      </c>
      <c r="T102" s="35">
        <v>0.58947368421052626</v>
      </c>
      <c r="U102" s="13">
        <f>GETPIVOTDATA("Average of Returns",$Q$97,"Month",5)/$U$96</f>
        <v>-5.0294151117798745E-2</v>
      </c>
      <c r="V102" s="40">
        <f t="shared" si="7"/>
        <v>-6.7829489205539651E-3</v>
      </c>
    </row>
    <row r="103" spans="1:22" x14ac:dyDescent="0.25">
      <c r="A103" s="28">
        <v>41789</v>
      </c>
      <c r="B103" s="17">
        <v>2.1030280012995999E-2</v>
      </c>
      <c r="C103" t="str">
        <f t="shared" si="4"/>
        <v>Green</v>
      </c>
      <c r="D103">
        <f t="shared" si="5"/>
        <v>1</v>
      </c>
      <c r="E103">
        <f t="shared" si="6"/>
        <v>5</v>
      </c>
      <c r="L103" s="32" t="s">
        <v>127</v>
      </c>
      <c r="M103" s="21">
        <v>4.0926322619285298E-2</v>
      </c>
      <c r="N103" s="21"/>
      <c r="O103" s="21">
        <v>4.0926322619285298E-2</v>
      </c>
      <c r="Q103" s="30">
        <v>6</v>
      </c>
      <c r="R103" s="21">
        <v>6.7322358321540649E-3</v>
      </c>
      <c r="S103" s="21">
        <v>5.1984002719267612E-2</v>
      </c>
      <c r="T103" s="35">
        <v>0.55789473684210522</v>
      </c>
      <c r="U103" s="13">
        <f>GETPIVOTDATA("Average of Returns",$Q$97,"Month",6)/$U$96</f>
        <v>0.86334146237985432</v>
      </c>
      <c r="V103" s="40">
        <f t="shared" si="7"/>
        <v>0.12950591489675334</v>
      </c>
    </row>
    <row r="104" spans="1:22" x14ac:dyDescent="0.25">
      <c r="A104" s="28">
        <v>41759</v>
      </c>
      <c r="B104" s="17">
        <v>6.2007889650528298E-3</v>
      </c>
      <c r="C104" t="str">
        <f t="shared" si="4"/>
        <v>Green</v>
      </c>
      <c r="D104">
        <f t="shared" si="5"/>
        <v>1</v>
      </c>
      <c r="E104">
        <f t="shared" si="6"/>
        <v>4</v>
      </c>
      <c r="L104" s="32" t="s">
        <v>128</v>
      </c>
      <c r="M104" s="21"/>
      <c r="N104" s="21">
        <v>-8.0552072118834604E-3</v>
      </c>
      <c r="O104" s="21">
        <v>-8.0552072118834604E-3</v>
      </c>
      <c r="Q104" s="30">
        <v>7</v>
      </c>
      <c r="R104" s="21">
        <v>1.6784807314270258E-2</v>
      </c>
      <c r="S104" s="21">
        <v>5.7680750816073316E-2</v>
      </c>
      <c r="T104" s="35">
        <v>0.6</v>
      </c>
      <c r="U104" s="13">
        <f>GETPIVOTDATA("Average of Returns",$Q$97,"Month",7)/$U$96</f>
        <v>2.1524825412762723</v>
      </c>
      <c r="V104" s="40">
        <f t="shared" si="7"/>
        <v>0.29099495198653003</v>
      </c>
    </row>
    <row r="105" spans="1:22" x14ac:dyDescent="0.25">
      <c r="A105" s="28">
        <v>41729</v>
      </c>
      <c r="B105" s="17">
        <v>6.93216560793575E-3</v>
      </c>
      <c r="C105" t="str">
        <f t="shared" si="4"/>
        <v>Green</v>
      </c>
      <c r="D105">
        <f t="shared" si="5"/>
        <v>1</v>
      </c>
      <c r="E105">
        <f t="shared" si="6"/>
        <v>3</v>
      </c>
      <c r="L105" s="32" t="s">
        <v>129</v>
      </c>
      <c r="M105" s="21"/>
      <c r="N105" s="21">
        <v>-5.1237237988452904E-3</v>
      </c>
      <c r="O105" s="21">
        <v>-5.1237237988452904E-3</v>
      </c>
      <c r="Q105" s="30">
        <v>8</v>
      </c>
      <c r="R105" s="21">
        <v>6.7394932244355431E-3</v>
      </c>
      <c r="S105" s="21">
        <v>6.0741257723780841E-2</v>
      </c>
      <c r="T105" s="35">
        <v>0.57894736842105265</v>
      </c>
      <c r="U105" s="13">
        <f>GETPIVOTDATA("Average of Returns",$Q$97,"Month",8)/$U$96</f>
        <v>0.8642721498693553</v>
      </c>
      <c r="V105" s="40">
        <f t="shared" si="7"/>
        <v>0.11095412701335884</v>
      </c>
    </row>
    <row r="106" spans="1:22" x14ac:dyDescent="0.25">
      <c r="A106" s="28">
        <v>41698</v>
      </c>
      <c r="B106" s="17">
        <v>4.3117029976595299E-2</v>
      </c>
      <c r="C106" t="str">
        <f t="shared" si="4"/>
        <v>Green</v>
      </c>
      <c r="D106">
        <f t="shared" si="5"/>
        <v>1</v>
      </c>
      <c r="E106">
        <f t="shared" si="6"/>
        <v>2</v>
      </c>
      <c r="L106" s="32" t="s">
        <v>107</v>
      </c>
      <c r="M106" s="21">
        <v>2.2641083562682698E-2</v>
      </c>
      <c r="N106" s="21"/>
      <c r="O106" s="21">
        <v>2.2641083562682698E-2</v>
      </c>
      <c r="Q106" s="30">
        <v>9</v>
      </c>
      <c r="R106" s="21">
        <v>-1.1596697510170248E-2</v>
      </c>
      <c r="S106" s="21">
        <v>5.7741370459080225E-2</v>
      </c>
      <c r="T106" s="35">
        <v>0.44210526315789472</v>
      </c>
      <c r="U106" s="13">
        <f>GETPIVOTDATA("Average of Returns",$Q$97,"Month",9)/$U$96</f>
        <v>-1.487159695058359</v>
      </c>
      <c r="V106" s="40">
        <f t="shared" si="7"/>
        <v>-0.20083862606601136</v>
      </c>
    </row>
    <row r="107" spans="1:22" x14ac:dyDescent="0.25">
      <c r="A107" s="28">
        <v>41670</v>
      </c>
      <c r="B107" s="17">
        <v>-3.5582905675162597E-2</v>
      </c>
      <c r="C107" t="str">
        <f t="shared" si="4"/>
        <v>Red</v>
      </c>
      <c r="D107">
        <f t="shared" si="5"/>
        <v>0</v>
      </c>
      <c r="E107">
        <f t="shared" si="6"/>
        <v>1</v>
      </c>
      <c r="L107" s="32" t="s">
        <v>130</v>
      </c>
      <c r="M107" s="21"/>
      <c r="N107" s="21">
        <v>-2.2234854090362102E-2</v>
      </c>
      <c r="O107" s="21">
        <v>-2.2234854090362102E-2</v>
      </c>
      <c r="Q107" s="30">
        <v>10</v>
      </c>
      <c r="R107" s="21">
        <v>4.9527705682119207E-3</v>
      </c>
      <c r="S107" s="21">
        <v>6.0638421248258606E-2</v>
      </c>
      <c r="T107" s="35">
        <v>0.5957446808510638</v>
      </c>
      <c r="U107" s="13">
        <f>GETPIVOTDATA("Average of Returns",$Q$97,"Month",10)/$U$96</f>
        <v>0.63514295871359017</v>
      </c>
      <c r="V107" s="40">
        <f t="shared" si="7"/>
        <v>8.1677102837735119E-2</v>
      </c>
    </row>
    <row r="108" spans="1:22" x14ac:dyDescent="0.25">
      <c r="A108" s="28">
        <v>41639</v>
      </c>
      <c r="B108" s="17">
        <v>2.35627915504928E-2</v>
      </c>
      <c r="C108" t="str">
        <f t="shared" si="4"/>
        <v>Green</v>
      </c>
      <c r="D108">
        <f t="shared" si="5"/>
        <v>1</v>
      </c>
      <c r="E108">
        <f t="shared" si="6"/>
        <v>12</v>
      </c>
      <c r="L108" s="32" t="s">
        <v>131</v>
      </c>
      <c r="M108" s="21"/>
      <c r="N108" s="21">
        <v>-7.7745771083658202E-3</v>
      </c>
      <c r="O108" s="21">
        <v>-7.7745771083658202E-3</v>
      </c>
      <c r="Q108" s="30">
        <v>11</v>
      </c>
      <c r="R108" s="21">
        <v>8.3579151657748301E-3</v>
      </c>
      <c r="S108" s="21">
        <v>5.1084429044441243E-2</v>
      </c>
      <c r="T108" s="35">
        <v>0.6063829787234043</v>
      </c>
      <c r="U108" s="13">
        <f>GETPIVOTDATA("Average of Returns",$Q$97,"Month",11)/$U$96</f>
        <v>1.0718184688663881</v>
      </c>
      <c r="V108" s="40">
        <f t="shared" si="7"/>
        <v>0.16360983810749466</v>
      </c>
    </row>
    <row r="109" spans="1:22" x14ac:dyDescent="0.25">
      <c r="A109" s="28">
        <v>41607</v>
      </c>
      <c r="B109" s="17">
        <v>2.80494716351865E-2</v>
      </c>
      <c r="C109" t="str">
        <f t="shared" si="4"/>
        <v>Green</v>
      </c>
      <c r="D109">
        <f t="shared" si="5"/>
        <v>1</v>
      </c>
      <c r="E109">
        <f t="shared" si="6"/>
        <v>11</v>
      </c>
      <c r="L109" s="32" t="s">
        <v>93</v>
      </c>
      <c r="M109" s="21">
        <v>5.2497562242851403E-2</v>
      </c>
      <c r="N109" s="21"/>
      <c r="O109" s="21">
        <v>5.2497562242851403E-2</v>
      </c>
      <c r="Q109" s="30">
        <v>12</v>
      </c>
      <c r="R109" s="21">
        <v>1.3622372040678E-2</v>
      </c>
      <c r="S109" s="21">
        <v>3.6743820275517779E-2</v>
      </c>
      <c r="T109" s="35">
        <v>0.74468085106382975</v>
      </c>
      <c r="U109" s="13">
        <f>GETPIVOTDATA("Average of Returns",$Q$97,"Month",12)/$U$96</f>
        <v>1.7469320582191161</v>
      </c>
      <c r="V109" s="40">
        <f t="shared" si="7"/>
        <v>0.37073913214610721</v>
      </c>
    </row>
    <row r="110" spans="1:22" x14ac:dyDescent="0.25">
      <c r="A110" s="28">
        <v>41578</v>
      </c>
      <c r="B110" s="17">
        <v>4.45957526180061E-2</v>
      </c>
      <c r="C110" t="str">
        <f t="shared" si="4"/>
        <v>Green</v>
      </c>
      <c r="D110">
        <f t="shared" si="5"/>
        <v>1</v>
      </c>
      <c r="E110">
        <f t="shared" si="6"/>
        <v>10</v>
      </c>
      <c r="L110" s="30" t="s">
        <v>144</v>
      </c>
      <c r="M110" s="21">
        <v>7.5376002879288195E-2</v>
      </c>
      <c r="N110" s="21">
        <v>-0.19293411681855638</v>
      </c>
      <c r="O110" s="21">
        <v>-0.11755811393926817</v>
      </c>
      <c r="Q110" s="30" t="s">
        <v>92</v>
      </c>
      <c r="R110" s="21">
        <v>6.1347901383924184E-3</v>
      </c>
      <c r="S110" s="21">
        <v>5.3790069664424733E-2</v>
      </c>
      <c r="T110" s="35">
        <v>0.59366754617414252</v>
      </c>
    </row>
    <row r="111" spans="1:22" x14ac:dyDescent="0.25">
      <c r="A111" s="28">
        <v>41547</v>
      </c>
      <c r="B111" s="17">
        <v>2.9749523177239098E-2</v>
      </c>
      <c r="C111" t="str">
        <f t="shared" si="4"/>
        <v>Green</v>
      </c>
      <c r="D111">
        <f t="shared" si="5"/>
        <v>1</v>
      </c>
      <c r="E111">
        <f t="shared" si="6"/>
        <v>9</v>
      </c>
      <c r="L111" s="32" t="s">
        <v>122</v>
      </c>
      <c r="M111" s="21"/>
      <c r="N111" s="21">
        <v>-5.0530430397640297E-2</v>
      </c>
      <c r="O111" s="21">
        <v>-5.0530430397640297E-2</v>
      </c>
    </row>
    <row r="112" spans="1:22" x14ac:dyDescent="0.25">
      <c r="A112" s="28">
        <v>41516</v>
      </c>
      <c r="B112" s="17">
        <v>-3.1298019033866899E-2</v>
      </c>
      <c r="C112" t="str">
        <f t="shared" si="4"/>
        <v>Red</v>
      </c>
      <c r="D112">
        <f t="shared" si="5"/>
        <v>0</v>
      </c>
      <c r="E112">
        <f t="shared" si="6"/>
        <v>8</v>
      </c>
      <c r="L112" s="32" t="s">
        <v>123</v>
      </c>
      <c r="M112" s="21"/>
      <c r="N112" s="21">
        <v>-2.1660286402629601E-2</v>
      </c>
      <c r="O112" s="21">
        <v>-2.1660286402629601E-2</v>
      </c>
    </row>
    <row r="113" spans="1:19" x14ac:dyDescent="0.25">
      <c r="A113" s="28">
        <v>41486</v>
      </c>
      <c r="B113" s="17">
        <v>4.9462079815224998E-2</v>
      </c>
      <c r="C113" t="str">
        <f t="shared" si="4"/>
        <v>Green</v>
      </c>
      <c r="D113">
        <f t="shared" si="5"/>
        <v>1</v>
      </c>
      <c r="E113">
        <f t="shared" si="6"/>
        <v>7</v>
      </c>
      <c r="L113" s="32" t="s">
        <v>124</v>
      </c>
      <c r="M113" s="21"/>
      <c r="N113" s="21">
        <v>-1.402526547786E-2</v>
      </c>
      <c r="O113" s="21">
        <v>-1.402526547786E-2</v>
      </c>
    </row>
    <row r="114" spans="1:19" x14ac:dyDescent="0.25">
      <c r="A114" s="28">
        <v>41453</v>
      </c>
      <c r="B114" s="17">
        <v>-1.4999301636062799E-2</v>
      </c>
      <c r="C114" t="str">
        <f t="shared" si="4"/>
        <v>Red</v>
      </c>
      <c r="D114">
        <f t="shared" si="5"/>
        <v>0</v>
      </c>
      <c r="E114">
        <f t="shared" si="6"/>
        <v>6</v>
      </c>
      <c r="L114" s="32" t="s">
        <v>125</v>
      </c>
      <c r="M114" s="21">
        <v>2.0325137580279299E-4</v>
      </c>
      <c r="N114" s="21"/>
      <c r="O114" s="21">
        <v>2.0325137580279299E-4</v>
      </c>
    </row>
    <row r="115" spans="1:19" x14ac:dyDescent="0.25">
      <c r="A115" s="28">
        <v>41425</v>
      </c>
      <c r="B115" s="17">
        <v>2.07628117210461E-2</v>
      </c>
      <c r="C115" t="str">
        <f t="shared" si="4"/>
        <v>Green</v>
      </c>
      <c r="D115">
        <f t="shared" si="5"/>
        <v>1</v>
      </c>
      <c r="E115">
        <f t="shared" si="6"/>
        <v>5</v>
      </c>
      <c r="L115" s="32" t="s">
        <v>126</v>
      </c>
      <c r="M115" s="21"/>
      <c r="N115" s="21">
        <v>-2.3567644787329499E-2</v>
      </c>
      <c r="O115" s="21">
        <v>-2.3567644787329499E-2</v>
      </c>
      <c r="S115" t="s">
        <v>170</v>
      </c>
    </row>
    <row r="116" spans="1:19" x14ac:dyDescent="0.25">
      <c r="A116" s="28">
        <v>41394</v>
      </c>
      <c r="B116" s="17">
        <v>1.80857678592523E-2</v>
      </c>
      <c r="C116" t="str">
        <f t="shared" si="4"/>
        <v>Green</v>
      </c>
      <c r="D116">
        <f t="shared" si="5"/>
        <v>1</v>
      </c>
      <c r="E116">
        <f t="shared" si="6"/>
        <v>4</v>
      </c>
      <c r="L116" s="32" t="s">
        <v>127</v>
      </c>
      <c r="M116" s="21">
        <v>4.5359965292551999E-2</v>
      </c>
      <c r="N116" s="21"/>
      <c r="O116" s="21">
        <v>4.5359965292551999E-2</v>
      </c>
      <c r="S116" t="s">
        <v>171</v>
      </c>
    </row>
    <row r="117" spans="1:19" x14ac:dyDescent="0.25">
      <c r="A117" s="28">
        <v>41361</v>
      </c>
      <c r="B117" s="17">
        <v>3.5987723516956102E-2</v>
      </c>
      <c r="C117" t="str">
        <f t="shared" si="4"/>
        <v>Green</v>
      </c>
      <c r="D117">
        <f t="shared" si="5"/>
        <v>1</v>
      </c>
      <c r="E117">
        <f t="shared" si="6"/>
        <v>3</v>
      </c>
      <c r="L117" s="32" t="s">
        <v>128</v>
      </c>
      <c r="M117" s="21"/>
      <c r="N117" s="21">
        <v>-1.62221830347676E-2</v>
      </c>
      <c r="O117" s="21">
        <v>-1.62221830347676E-2</v>
      </c>
    </row>
    <row r="118" spans="1:19" x14ac:dyDescent="0.25">
      <c r="A118" s="28">
        <v>41333</v>
      </c>
      <c r="B118" s="17">
        <v>1.10606491952592E-2</v>
      </c>
      <c r="C118" t="str">
        <f t="shared" si="4"/>
        <v>Green</v>
      </c>
      <c r="D118">
        <f t="shared" si="5"/>
        <v>1</v>
      </c>
      <c r="E118">
        <f t="shared" si="6"/>
        <v>2</v>
      </c>
      <c r="L118" s="32" t="s">
        <v>129</v>
      </c>
      <c r="M118" s="21"/>
      <c r="N118" s="21">
        <v>-2.1041993344299199E-2</v>
      </c>
      <c r="O118" s="21">
        <v>-2.1041993344299199E-2</v>
      </c>
    </row>
    <row r="119" spans="1:19" x14ac:dyDescent="0.25">
      <c r="A119" s="28">
        <v>41305</v>
      </c>
      <c r="B119" s="17">
        <v>5.0428096519578497E-2</v>
      </c>
      <c r="C119" t="str">
        <f t="shared" si="4"/>
        <v>Green</v>
      </c>
      <c r="D119">
        <f t="shared" si="5"/>
        <v>1</v>
      </c>
      <c r="E119">
        <f t="shared" si="6"/>
        <v>1</v>
      </c>
      <c r="L119" s="32" t="s">
        <v>107</v>
      </c>
      <c r="M119" s="21"/>
      <c r="N119" s="21">
        <v>-2.4800868806474901E-3</v>
      </c>
      <c r="O119" s="21">
        <v>-2.4800868806474901E-3</v>
      </c>
    </row>
    <row r="120" spans="1:19" x14ac:dyDescent="0.25">
      <c r="A120" s="28">
        <v>41274</v>
      </c>
      <c r="B120" s="17">
        <v>7.0682304638645102E-3</v>
      </c>
      <c r="C120" t="str">
        <f t="shared" si="4"/>
        <v>Green</v>
      </c>
      <c r="D120">
        <f t="shared" si="5"/>
        <v>1</v>
      </c>
      <c r="E120">
        <f t="shared" si="6"/>
        <v>12</v>
      </c>
      <c r="L120" s="32" t="s">
        <v>130</v>
      </c>
      <c r="M120" s="21"/>
      <c r="N120" s="21">
        <v>-4.3406226493382702E-2</v>
      </c>
      <c r="O120" s="21">
        <v>-4.3406226493382702E-2</v>
      </c>
    </row>
    <row r="121" spans="1:19" x14ac:dyDescent="0.25">
      <c r="A121" s="28">
        <v>41243</v>
      </c>
      <c r="B121" s="17">
        <v>2.8467170173434001E-3</v>
      </c>
      <c r="C121" t="str">
        <f t="shared" si="4"/>
        <v>Green</v>
      </c>
      <c r="D121">
        <f t="shared" si="5"/>
        <v>1</v>
      </c>
      <c r="E121">
        <f t="shared" si="6"/>
        <v>11</v>
      </c>
      <c r="L121" s="32" t="s">
        <v>131</v>
      </c>
      <c r="M121" s="21">
        <v>2.6965628198641001E-2</v>
      </c>
      <c r="N121" s="21"/>
      <c r="O121" s="21">
        <v>2.6965628198641001E-2</v>
      </c>
    </row>
    <row r="122" spans="1:19" x14ac:dyDescent="0.25">
      <c r="A122" s="28">
        <v>41213</v>
      </c>
      <c r="B122" s="17">
        <v>-1.9789409878227401E-2</v>
      </c>
      <c r="C122" t="str">
        <f t="shared" si="4"/>
        <v>Red</v>
      </c>
      <c r="D122">
        <f t="shared" si="5"/>
        <v>0</v>
      </c>
      <c r="E122">
        <f t="shared" si="6"/>
        <v>10</v>
      </c>
      <c r="L122" s="32" t="s">
        <v>93</v>
      </c>
      <c r="M122" s="21">
        <v>2.84715801229241E-3</v>
      </c>
      <c r="N122" s="21"/>
      <c r="O122" s="21">
        <v>2.84715801229241E-3</v>
      </c>
    </row>
    <row r="123" spans="1:19" x14ac:dyDescent="0.25">
      <c r="A123" s="28">
        <v>41180</v>
      </c>
      <c r="B123" s="17">
        <v>2.4236153696477001E-2</v>
      </c>
      <c r="C123" t="str">
        <f t="shared" si="4"/>
        <v>Green</v>
      </c>
      <c r="D123">
        <f t="shared" si="5"/>
        <v>1</v>
      </c>
      <c r="E123">
        <f t="shared" si="6"/>
        <v>9</v>
      </c>
      <c r="L123" s="30" t="s">
        <v>145</v>
      </c>
      <c r="M123" s="21">
        <v>0.22594414086790643</v>
      </c>
      <c r="N123" s="21">
        <v>-0.20269653397926413</v>
      </c>
      <c r="O123" s="21">
        <v>2.324760688864233E-2</v>
      </c>
    </row>
    <row r="124" spans="1:19" x14ac:dyDescent="0.25">
      <c r="A124" s="28">
        <v>41152</v>
      </c>
      <c r="B124" s="17">
        <v>1.9763369680148201E-2</v>
      </c>
      <c r="C124" t="str">
        <f t="shared" si="4"/>
        <v>Green</v>
      </c>
      <c r="D124">
        <f t="shared" si="5"/>
        <v>1</v>
      </c>
      <c r="E124">
        <f t="shared" si="6"/>
        <v>8</v>
      </c>
      <c r="L124" s="32" t="s">
        <v>122</v>
      </c>
      <c r="M124" s="21"/>
      <c r="N124" s="21">
        <v>-6.1514175846775501E-2</v>
      </c>
      <c r="O124" s="21">
        <v>-6.1514175846775501E-2</v>
      </c>
    </row>
    <row r="125" spans="1:19" x14ac:dyDescent="0.25">
      <c r="A125" s="28">
        <v>41121</v>
      </c>
      <c r="B125" s="17">
        <v>1.25975741261544E-2</v>
      </c>
      <c r="C125" t="str">
        <f t="shared" si="4"/>
        <v>Green</v>
      </c>
      <c r="D125">
        <f t="shared" si="5"/>
        <v>1</v>
      </c>
      <c r="E125">
        <f t="shared" si="6"/>
        <v>7</v>
      </c>
      <c r="L125" s="32" t="s">
        <v>123</v>
      </c>
      <c r="M125" s="21"/>
      <c r="N125" s="21">
        <v>-2.4761893557423E-2</v>
      </c>
      <c r="O125" s="21">
        <v>-2.4761893557423E-2</v>
      </c>
    </row>
    <row r="126" spans="1:19" x14ac:dyDescent="0.25">
      <c r="A126" s="28">
        <v>41089</v>
      </c>
      <c r="B126" s="17">
        <v>3.95549821345915E-2</v>
      </c>
      <c r="C126" t="str">
        <f t="shared" si="4"/>
        <v>Green</v>
      </c>
      <c r="D126">
        <f t="shared" si="5"/>
        <v>1</v>
      </c>
      <c r="E126">
        <f t="shared" si="6"/>
        <v>6</v>
      </c>
      <c r="L126" s="32" t="s">
        <v>124</v>
      </c>
      <c r="M126" s="21">
        <v>2.49310429120972E-2</v>
      </c>
      <c r="N126" s="21"/>
      <c r="O126" s="21">
        <v>2.49310429120972E-2</v>
      </c>
    </row>
    <row r="127" spans="1:19" x14ac:dyDescent="0.25">
      <c r="A127" s="28">
        <v>41060</v>
      </c>
      <c r="B127" s="17">
        <v>-6.2650725633177598E-2</v>
      </c>
      <c r="C127" t="str">
        <f t="shared" si="4"/>
        <v>Red</v>
      </c>
      <c r="D127">
        <f t="shared" si="5"/>
        <v>0</v>
      </c>
      <c r="E127">
        <f t="shared" si="6"/>
        <v>5</v>
      </c>
      <c r="L127" s="32" t="s">
        <v>125</v>
      </c>
      <c r="M127" s="21">
        <v>8.5416467721292105E-2</v>
      </c>
      <c r="N127" s="21"/>
      <c r="O127" s="21">
        <v>8.5416467721292105E-2</v>
      </c>
    </row>
    <row r="128" spans="1:19" x14ac:dyDescent="0.25">
      <c r="A128" s="28">
        <v>41029</v>
      </c>
      <c r="B128" s="17">
        <v>-7.4974527092703802E-3</v>
      </c>
      <c r="C128" t="str">
        <f t="shared" si="4"/>
        <v>Red</v>
      </c>
      <c r="D128">
        <f t="shared" si="5"/>
        <v>0</v>
      </c>
      <c r="E128">
        <f t="shared" si="6"/>
        <v>4</v>
      </c>
      <c r="L128" s="32" t="s">
        <v>126</v>
      </c>
      <c r="M128" s="21">
        <v>4.2341835333228302E-3</v>
      </c>
      <c r="N128" s="21"/>
      <c r="O128" s="21">
        <v>4.2341835333228302E-3</v>
      </c>
    </row>
    <row r="129" spans="1:15" x14ac:dyDescent="0.25">
      <c r="A129" s="28">
        <v>40998</v>
      </c>
      <c r="B129" s="17">
        <v>3.1332314530530599E-2</v>
      </c>
      <c r="C129" t="str">
        <f t="shared" si="4"/>
        <v>Green</v>
      </c>
      <c r="D129">
        <f t="shared" si="5"/>
        <v>1</v>
      </c>
      <c r="E129">
        <f t="shared" si="6"/>
        <v>3</v>
      </c>
      <c r="L129" s="32" t="s">
        <v>127</v>
      </c>
      <c r="M129" s="21"/>
      <c r="N129" s="21">
        <v>-1.7585345898505699E-2</v>
      </c>
      <c r="O129" s="21">
        <v>-1.7585345898505699E-2</v>
      </c>
    </row>
    <row r="130" spans="1:15" x14ac:dyDescent="0.25">
      <c r="A130" s="28">
        <v>40968</v>
      </c>
      <c r="B130" s="17">
        <v>4.0589464130841697E-2</v>
      </c>
      <c r="C130" t="str">
        <f t="shared" si="4"/>
        <v>Green</v>
      </c>
      <c r="D130">
        <f t="shared" si="5"/>
        <v>1</v>
      </c>
      <c r="E130">
        <f t="shared" si="6"/>
        <v>2</v>
      </c>
      <c r="L130" s="32" t="s">
        <v>128</v>
      </c>
      <c r="M130" s="21">
        <v>5.3909777597715799E-2</v>
      </c>
      <c r="N130" s="21"/>
      <c r="O130" s="21">
        <v>5.3909777597715799E-2</v>
      </c>
    </row>
    <row r="131" spans="1:15" x14ac:dyDescent="0.25">
      <c r="A131" s="28">
        <v>40939</v>
      </c>
      <c r="B131" s="17">
        <v>4.3583062218506302E-2</v>
      </c>
      <c r="C131" t="str">
        <f t="shared" ref="C131:C194" si="8">IF(B131&gt;0,"Green","Red")</f>
        <v>Green</v>
      </c>
      <c r="D131">
        <f t="shared" si="5"/>
        <v>1</v>
      </c>
      <c r="E131">
        <f t="shared" si="6"/>
        <v>1</v>
      </c>
      <c r="L131" s="32" t="s">
        <v>129</v>
      </c>
      <c r="M131" s="21">
        <v>2.5923728645212502E-2</v>
      </c>
      <c r="N131" s="21"/>
      <c r="O131" s="21">
        <v>2.5923728645212502E-2</v>
      </c>
    </row>
    <row r="132" spans="1:15" x14ac:dyDescent="0.25">
      <c r="A132" s="28">
        <v>40907</v>
      </c>
      <c r="B132" s="17">
        <v>8.5327639481440603E-3</v>
      </c>
      <c r="C132" t="str">
        <f t="shared" si="8"/>
        <v>Green</v>
      </c>
      <c r="D132">
        <f t="shared" ref="D132:D195" si="9">IF(B132&gt;0,1,0)</f>
        <v>1</v>
      </c>
      <c r="E132">
        <f t="shared" ref="E132:E195" si="10">MONTH(A132)</f>
        <v>12</v>
      </c>
      <c r="L132" s="32" t="s">
        <v>107</v>
      </c>
      <c r="M132" s="21"/>
      <c r="N132" s="21">
        <v>-7.2611094272329001E-3</v>
      </c>
      <c r="O132" s="21">
        <v>-7.2611094272329001E-3</v>
      </c>
    </row>
    <row r="133" spans="1:15" x14ac:dyDescent="0.25">
      <c r="A133" s="28">
        <v>40877</v>
      </c>
      <c r="B133" s="17">
        <v>-5.0587151935872496E-3</v>
      </c>
      <c r="C133" t="str">
        <f t="shared" si="8"/>
        <v>Red</v>
      </c>
      <c r="D133">
        <f t="shared" si="9"/>
        <v>0</v>
      </c>
      <c r="E133">
        <f t="shared" si="10"/>
        <v>11</v>
      </c>
      <c r="L133" s="32" t="s">
        <v>130</v>
      </c>
      <c r="M133" s="21"/>
      <c r="N133" s="21">
        <v>-9.1574009249327001E-2</v>
      </c>
      <c r="O133" s="21">
        <v>-9.1574009249327001E-2</v>
      </c>
    </row>
    <row r="134" spans="1:15" x14ac:dyDescent="0.25">
      <c r="A134" s="28">
        <v>40847</v>
      </c>
      <c r="B134" s="17">
        <v>0.10772303853581</v>
      </c>
      <c r="C134" t="str">
        <f t="shared" si="8"/>
        <v>Green</v>
      </c>
      <c r="D134">
        <f t="shared" si="9"/>
        <v>1</v>
      </c>
      <c r="E134">
        <f t="shared" si="10"/>
        <v>10</v>
      </c>
      <c r="L134" s="32" t="s">
        <v>131</v>
      </c>
      <c r="M134" s="21">
        <v>1.66397741998974E-2</v>
      </c>
      <c r="N134" s="21"/>
      <c r="O134" s="21">
        <v>1.66397741998974E-2</v>
      </c>
    </row>
    <row r="135" spans="1:15" x14ac:dyDescent="0.25">
      <c r="A135" s="28">
        <v>40816</v>
      </c>
      <c r="B135" s="17">
        <v>-7.1761988303760099E-2</v>
      </c>
      <c r="C135" t="str">
        <f t="shared" si="8"/>
        <v>Red</v>
      </c>
      <c r="D135">
        <f t="shared" si="9"/>
        <v>0</v>
      </c>
      <c r="E135">
        <f t="shared" si="10"/>
        <v>9</v>
      </c>
      <c r="L135" s="32" t="s">
        <v>93</v>
      </c>
      <c r="M135" s="21">
        <v>1.48891662583686E-2</v>
      </c>
      <c r="N135" s="21"/>
      <c r="O135" s="21">
        <v>1.48891662583686E-2</v>
      </c>
    </row>
    <row r="136" spans="1:15" x14ac:dyDescent="0.25">
      <c r="A136" s="28">
        <v>40786</v>
      </c>
      <c r="B136" s="17">
        <v>-5.6791107463597598E-2</v>
      </c>
      <c r="C136" t="str">
        <f t="shared" si="8"/>
        <v>Red</v>
      </c>
      <c r="D136">
        <f t="shared" si="9"/>
        <v>0</v>
      </c>
      <c r="E136">
        <f t="shared" si="10"/>
        <v>8</v>
      </c>
      <c r="L136" s="30" t="s">
        <v>146</v>
      </c>
      <c r="M136" s="21">
        <v>0.13504753337223629</v>
      </c>
      <c r="N136" s="21">
        <v>-0.22947892298774855</v>
      </c>
      <c r="O136" s="21">
        <v>-9.4431389615512257E-2</v>
      </c>
    </row>
    <row r="137" spans="1:15" x14ac:dyDescent="0.25">
      <c r="A137" s="28">
        <v>40753</v>
      </c>
      <c r="B137" s="17">
        <v>-2.1474425791951999E-2</v>
      </c>
      <c r="C137" t="str">
        <f t="shared" si="8"/>
        <v>Red</v>
      </c>
      <c r="D137">
        <f t="shared" si="9"/>
        <v>0</v>
      </c>
      <c r="E137">
        <f t="shared" si="10"/>
        <v>7</v>
      </c>
      <c r="L137" s="32" t="s">
        <v>122</v>
      </c>
      <c r="M137" s="21"/>
      <c r="N137" s="21">
        <v>-4.5742429498469003E-2</v>
      </c>
      <c r="O137" s="21">
        <v>-4.5742429498469003E-2</v>
      </c>
    </row>
    <row r="138" spans="1:15" x14ac:dyDescent="0.25">
      <c r="A138" s="28">
        <v>40724</v>
      </c>
      <c r="B138" s="17">
        <v>-1.8257461265697099E-2</v>
      </c>
      <c r="C138" t="str">
        <f t="shared" si="8"/>
        <v>Red</v>
      </c>
      <c r="D138">
        <f t="shared" si="9"/>
        <v>0</v>
      </c>
      <c r="E138">
        <f t="shared" si="10"/>
        <v>6</v>
      </c>
      <c r="L138" s="32" t="s">
        <v>123</v>
      </c>
      <c r="M138" s="21">
        <v>1.32767345439582E-2</v>
      </c>
      <c r="N138" s="21"/>
      <c r="O138" s="21">
        <v>1.32767345439582E-2</v>
      </c>
    </row>
    <row r="139" spans="1:15" x14ac:dyDescent="0.25">
      <c r="A139" s="28">
        <v>40694</v>
      </c>
      <c r="B139" s="17">
        <v>-1.3500952766930601E-2</v>
      </c>
      <c r="C139" t="str">
        <f t="shared" si="8"/>
        <v>Red</v>
      </c>
      <c r="D139">
        <f t="shared" si="9"/>
        <v>0</v>
      </c>
      <c r="E139">
        <f t="shared" si="10"/>
        <v>5</v>
      </c>
      <c r="L139" s="32" t="s">
        <v>124</v>
      </c>
      <c r="M139" s="21">
        <v>3.60325729859809E-2</v>
      </c>
      <c r="N139" s="21"/>
      <c r="O139" s="21">
        <v>3.60325729859809E-2</v>
      </c>
    </row>
    <row r="140" spans="1:15" x14ac:dyDescent="0.25">
      <c r="A140" s="28">
        <v>40662</v>
      </c>
      <c r="B140" s="17">
        <v>2.8495380443795099E-2</v>
      </c>
      <c r="C140" t="str">
        <f t="shared" si="8"/>
        <v>Green</v>
      </c>
      <c r="D140">
        <f t="shared" si="9"/>
        <v>1</v>
      </c>
      <c r="E140">
        <f t="shared" si="10"/>
        <v>4</v>
      </c>
      <c r="L140" s="32" t="s">
        <v>125</v>
      </c>
      <c r="M140" s="21"/>
      <c r="N140" s="21">
        <v>-2.3455897058823401E-2</v>
      </c>
      <c r="O140" s="21">
        <v>-2.3455897058823401E-2</v>
      </c>
    </row>
    <row r="141" spans="1:15" x14ac:dyDescent="0.25">
      <c r="A141" s="28">
        <v>40633</v>
      </c>
      <c r="B141" s="17">
        <v>-1.0473132038185699E-3</v>
      </c>
      <c r="C141" t="str">
        <f t="shared" si="8"/>
        <v>Red</v>
      </c>
      <c r="D141">
        <f t="shared" si="9"/>
        <v>0</v>
      </c>
      <c r="E141">
        <f t="shared" si="10"/>
        <v>3</v>
      </c>
      <c r="L141" s="32" t="s">
        <v>126</v>
      </c>
      <c r="M141" s="21"/>
      <c r="N141" s="21">
        <v>-1.6565168534976599E-3</v>
      </c>
      <c r="O141" s="21">
        <v>-1.6565168534976599E-3</v>
      </c>
    </row>
    <row r="142" spans="1:15" x14ac:dyDescent="0.25">
      <c r="A142" s="28">
        <v>40602</v>
      </c>
      <c r="B142" s="17">
        <v>3.1956564052952198E-2</v>
      </c>
      <c r="C142" t="str">
        <f t="shared" si="8"/>
        <v>Green</v>
      </c>
      <c r="D142">
        <f t="shared" si="9"/>
        <v>1</v>
      </c>
      <c r="E142">
        <f t="shared" si="10"/>
        <v>2</v>
      </c>
      <c r="L142" s="32" t="s">
        <v>127</v>
      </c>
      <c r="M142" s="21"/>
      <c r="N142" s="21">
        <v>-1.04079420893868E-2</v>
      </c>
      <c r="O142" s="21">
        <v>-1.04079420893868E-2</v>
      </c>
    </row>
    <row r="143" spans="1:15" x14ac:dyDescent="0.25">
      <c r="A143" s="28">
        <v>40574</v>
      </c>
      <c r="B143" s="17">
        <v>2.2645573980086799E-2</v>
      </c>
      <c r="C143" t="str">
        <f t="shared" si="8"/>
        <v>Green</v>
      </c>
      <c r="D143">
        <f t="shared" si="9"/>
        <v>1</v>
      </c>
      <c r="E143">
        <f t="shared" si="10"/>
        <v>1</v>
      </c>
      <c r="L143" s="32" t="s">
        <v>128</v>
      </c>
      <c r="M143" s="21"/>
      <c r="N143" s="21">
        <v>-2.2102658679073999E-3</v>
      </c>
      <c r="O143" s="21">
        <v>-2.2102658679073999E-3</v>
      </c>
    </row>
    <row r="144" spans="1:15" x14ac:dyDescent="0.25">
      <c r="A144" s="28">
        <v>40543</v>
      </c>
      <c r="B144" s="17">
        <v>6.5300040489854702E-2</v>
      </c>
      <c r="C144" t="str">
        <f t="shared" si="8"/>
        <v>Green</v>
      </c>
      <c r="D144">
        <f t="shared" si="9"/>
        <v>1</v>
      </c>
      <c r="E144">
        <f t="shared" si="10"/>
        <v>12</v>
      </c>
      <c r="L144" s="32" t="s">
        <v>129</v>
      </c>
      <c r="M144" s="21"/>
      <c r="N144" s="21">
        <v>-6.2098969784585498E-2</v>
      </c>
      <c r="O144" s="21">
        <v>-6.2098969784585498E-2</v>
      </c>
    </row>
    <row r="145" spans="1:15" x14ac:dyDescent="0.25">
      <c r="A145" s="28">
        <v>40512</v>
      </c>
      <c r="B145" s="17">
        <v>-2.29024979894321E-3</v>
      </c>
      <c r="C145" t="str">
        <f t="shared" si="8"/>
        <v>Red</v>
      </c>
      <c r="D145">
        <f t="shared" si="9"/>
        <v>0</v>
      </c>
      <c r="E145">
        <f t="shared" si="10"/>
        <v>11</v>
      </c>
      <c r="L145" s="32" t="s">
        <v>107</v>
      </c>
      <c r="M145" s="21"/>
      <c r="N145" s="21">
        <v>-5.3831752961708897E-2</v>
      </c>
      <c r="O145" s="21">
        <v>-5.3831752961708897E-2</v>
      </c>
    </row>
    <row r="146" spans="1:15" x14ac:dyDescent="0.25">
      <c r="A146" s="28">
        <v>40480</v>
      </c>
      <c r="B146" s="17">
        <v>3.68559943970765E-2</v>
      </c>
      <c r="C146" t="str">
        <f t="shared" si="8"/>
        <v>Green</v>
      </c>
      <c r="D146">
        <f t="shared" si="9"/>
        <v>1</v>
      </c>
      <c r="E146">
        <f t="shared" si="10"/>
        <v>10</v>
      </c>
      <c r="L146" s="32" t="s">
        <v>130</v>
      </c>
      <c r="M146" s="21">
        <v>4.9147865381304903E-2</v>
      </c>
      <c r="N146" s="21"/>
      <c r="O146" s="21">
        <v>4.9147865381304903E-2</v>
      </c>
    </row>
    <row r="147" spans="1:15" x14ac:dyDescent="0.25">
      <c r="A147" s="28">
        <v>40451</v>
      </c>
      <c r="B147" s="17">
        <v>8.7551102944020104E-2</v>
      </c>
      <c r="C147" t="str">
        <f t="shared" si="8"/>
        <v>Green</v>
      </c>
      <c r="D147">
        <f t="shared" si="9"/>
        <v>1</v>
      </c>
      <c r="E147">
        <f t="shared" si="10"/>
        <v>9</v>
      </c>
      <c r="L147" s="32" t="s">
        <v>131</v>
      </c>
      <c r="M147" s="21">
        <v>3.6590360460992302E-2</v>
      </c>
      <c r="N147" s="21"/>
      <c r="O147" s="21">
        <v>3.6590360460992302E-2</v>
      </c>
    </row>
    <row r="148" spans="1:15" x14ac:dyDescent="0.25">
      <c r="A148" s="28">
        <v>40421</v>
      </c>
      <c r="B148" s="17">
        <v>-4.7449184040287203E-2</v>
      </c>
      <c r="C148" t="str">
        <f t="shared" si="8"/>
        <v>Red</v>
      </c>
      <c r="D148">
        <f t="shared" si="9"/>
        <v>0</v>
      </c>
      <c r="E148">
        <f t="shared" si="10"/>
        <v>8</v>
      </c>
      <c r="L148" s="32" t="s">
        <v>93</v>
      </c>
      <c r="M148" s="21"/>
      <c r="N148" s="21">
        <v>-3.00751488733699E-2</v>
      </c>
      <c r="O148" s="21">
        <v>-3.00751488733699E-2</v>
      </c>
    </row>
    <row r="149" spans="1:15" x14ac:dyDescent="0.25">
      <c r="A149" s="28">
        <v>40389</v>
      </c>
      <c r="B149" s="17">
        <v>6.8777849911552294E-2</v>
      </c>
      <c r="C149" t="str">
        <f t="shared" si="8"/>
        <v>Green</v>
      </c>
      <c r="D149">
        <f t="shared" si="9"/>
        <v>1</v>
      </c>
      <c r="E149">
        <f t="shared" si="10"/>
        <v>7</v>
      </c>
      <c r="L149" s="30" t="s">
        <v>147</v>
      </c>
      <c r="M149" s="21">
        <v>0.32525480984353089</v>
      </c>
      <c r="N149" s="21">
        <v>-0.17070121058574111</v>
      </c>
      <c r="O149" s="21">
        <v>0.15455359925778978</v>
      </c>
    </row>
    <row r="150" spans="1:15" x14ac:dyDescent="0.25">
      <c r="A150" s="28">
        <v>40359</v>
      </c>
      <c r="B150" s="17">
        <v>-5.3882442026415102E-2</v>
      </c>
      <c r="C150" t="str">
        <f t="shared" si="8"/>
        <v>Red</v>
      </c>
      <c r="D150">
        <f t="shared" si="9"/>
        <v>0</v>
      </c>
      <c r="E150">
        <f t="shared" si="10"/>
        <v>6</v>
      </c>
      <c r="L150" s="32" t="s">
        <v>122</v>
      </c>
      <c r="M150" s="21"/>
      <c r="N150" s="21">
        <v>-1.7543867379587099E-2</v>
      </c>
      <c r="O150" s="21">
        <v>-1.7543867379587099E-2</v>
      </c>
    </row>
    <row r="151" spans="1:15" x14ac:dyDescent="0.25">
      <c r="A151" s="28">
        <v>40326</v>
      </c>
      <c r="B151" s="17">
        <v>-8.1975841910334496E-2</v>
      </c>
      <c r="C151" t="str">
        <f t="shared" si="8"/>
        <v>Red</v>
      </c>
      <c r="D151">
        <f t="shared" si="9"/>
        <v>0</v>
      </c>
      <c r="E151">
        <f t="shared" si="10"/>
        <v>5</v>
      </c>
      <c r="L151" s="32" t="s">
        <v>123</v>
      </c>
      <c r="M151" s="21"/>
      <c r="N151" s="21">
        <v>-6.0548180057339203E-2</v>
      </c>
      <c r="O151" s="21">
        <v>-6.0548180057339203E-2</v>
      </c>
    </row>
    <row r="152" spans="1:15" x14ac:dyDescent="0.25">
      <c r="A152" s="28">
        <v>40298</v>
      </c>
      <c r="B152" s="17">
        <v>1.47592298837911E-2</v>
      </c>
      <c r="C152" t="str">
        <f t="shared" si="8"/>
        <v>Green</v>
      </c>
      <c r="D152">
        <f t="shared" si="9"/>
        <v>1</v>
      </c>
      <c r="E152">
        <f t="shared" si="10"/>
        <v>4</v>
      </c>
      <c r="L152" s="32" t="s">
        <v>124</v>
      </c>
      <c r="M152" s="21"/>
      <c r="N152" s="21">
        <v>-1.0167111571327801E-2</v>
      </c>
      <c r="O152" s="21">
        <v>-1.0167111571327801E-2</v>
      </c>
    </row>
    <row r="153" spans="1:15" x14ac:dyDescent="0.25">
      <c r="A153" s="28">
        <v>40268</v>
      </c>
      <c r="B153" s="17">
        <v>5.8796426031891801E-2</v>
      </c>
      <c r="C153" t="str">
        <f t="shared" si="8"/>
        <v>Green</v>
      </c>
      <c r="D153">
        <f t="shared" si="9"/>
        <v>1</v>
      </c>
      <c r="E153">
        <f t="shared" si="10"/>
        <v>3</v>
      </c>
      <c r="L153" s="32" t="s">
        <v>125</v>
      </c>
      <c r="M153" s="21">
        <v>4.0014317970831902E-2</v>
      </c>
      <c r="N153" s="21"/>
      <c r="O153" s="21">
        <v>4.0014317970831902E-2</v>
      </c>
    </row>
    <row r="154" spans="1:15" x14ac:dyDescent="0.25">
      <c r="A154" s="28">
        <v>40235</v>
      </c>
      <c r="B154" s="17">
        <v>2.8513688940531301E-2</v>
      </c>
      <c r="C154" t="str">
        <f t="shared" si="8"/>
        <v>Green</v>
      </c>
      <c r="D154">
        <f t="shared" si="9"/>
        <v>1</v>
      </c>
      <c r="E154">
        <f t="shared" si="10"/>
        <v>2</v>
      </c>
      <c r="L154" s="32" t="s">
        <v>126</v>
      </c>
      <c r="M154" s="21"/>
      <c r="N154" s="21">
        <v>-3.9161842336622503E-2</v>
      </c>
      <c r="O154" s="21">
        <v>-3.9161842336622503E-2</v>
      </c>
    </row>
    <row r="155" spans="1:15" x14ac:dyDescent="0.25">
      <c r="A155" s="28">
        <v>40207</v>
      </c>
      <c r="B155" s="17">
        <v>-3.6974246154947397E-2</v>
      </c>
      <c r="C155" t="str">
        <f t="shared" si="8"/>
        <v>Red</v>
      </c>
      <c r="D155">
        <f t="shared" si="9"/>
        <v>0</v>
      </c>
      <c r="E155">
        <f t="shared" si="10"/>
        <v>1</v>
      </c>
      <c r="L155" s="32" t="s">
        <v>127</v>
      </c>
      <c r="M155" s="21"/>
      <c r="N155" s="21">
        <v>-2.02895607871709E-2</v>
      </c>
      <c r="O155" s="21">
        <v>-2.02895607871709E-2</v>
      </c>
    </row>
    <row r="156" spans="1:15" x14ac:dyDescent="0.25">
      <c r="A156" s="28">
        <v>40178</v>
      </c>
      <c r="B156" s="17">
        <v>1.7770571188400398E-2</v>
      </c>
      <c r="C156" t="str">
        <f t="shared" si="8"/>
        <v>Green</v>
      </c>
      <c r="D156">
        <f t="shared" si="9"/>
        <v>1</v>
      </c>
      <c r="E156">
        <f t="shared" si="10"/>
        <v>12</v>
      </c>
      <c r="L156" s="32" t="s">
        <v>128</v>
      </c>
      <c r="M156" s="21"/>
      <c r="N156" s="21">
        <v>-2.2990648453693599E-2</v>
      </c>
      <c r="O156" s="21">
        <v>-2.2990648453693599E-2</v>
      </c>
    </row>
    <row r="157" spans="1:15" x14ac:dyDescent="0.25">
      <c r="A157" s="28">
        <v>40147</v>
      </c>
      <c r="B157" s="17">
        <v>5.7364061981373601E-2</v>
      </c>
      <c r="C157" t="str">
        <f t="shared" si="8"/>
        <v>Green</v>
      </c>
      <c r="D157">
        <f t="shared" si="9"/>
        <v>1</v>
      </c>
      <c r="E157">
        <f t="shared" si="10"/>
        <v>11</v>
      </c>
      <c r="L157" s="32" t="s">
        <v>129</v>
      </c>
      <c r="M157" s="21">
        <v>0.115977275785873</v>
      </c>
      <c r="N157" s="21"/>
      <c r="O157" s="21">
        <v>0.115977275785873</v>
      </c>
    </row>
    <row r="158" spans="1:15" x14ac:dyDescent="0.25">
      <c r="A158" s="28">
        <v>40116</v>
      </c>
      <c r="B158" s="17">
        <v>-1.9762000860415501E-2</v>
      </c>
      <c r="C158" t="str">
        <f t="shared" si="8"/>
        <v>Red</v>
      </c>
      <c r="D158">
        <f t="shared" si="9"/>
        <v>0</v>
      </c>
      <c r="E158">
        <f t="shared" si="10"/>
        <v>10</v>
      </c>
      <c r="L158" s="32" t="s">
        <v>107</v>
      </c>
      <c r="M158" s="21">
        <v>7.6143919736526601E-3</v>
      </c>
      <c r="N158" s="21"/>
      <c r="O158" s="21">
        <v>7.6143919736526601E-3</v>
      </c>
    </row>
    <row r="159" spans="1:15" x14ac:dyDescent="0.25">
      <c r="A159" s="28">
        <v>40086</v>
      </c>
      <c r="B159" s="17">
        <v>3.5723345788458698E-2</v>
      </c>
      <c r="C159" t="str">
        <f t="shared" si="8"/>
        <v>Green</v>
      </c>
      <c r="D159">
        <f t="shared" si="9"/>
        <v>1</v>
      </c>
      <c r="E159">
        <f t="shared" si="10"/>
        <v>9</v>
      </c>
      <c r="L159" s="32" t="s">
        <v>130</v>
      </c>
      <c r="M159" s="21">
        <v>0.110446796386759</v>
      </c>
      <c r="N159" s="21"/>
      <c r="O159" s="21">
        <v>0.110446796386759</v>
      </c>
    </row>
    <row r="160" spans="1:15" x14ac:dyDescent="0.25">
      <c r="A160" s="28">
        <v>40056</v>
      </c>
      <c r="B160" s="17">
        <v>3.3560189240494899E-2</v>
      </c>
      <c r="C160" t="str">
        <f t="shared" si="8"/>
        <v>Green</v>
      </c>
      <c r="D160">
        <f t="shared" si="9"/>
        <v>1</v>
      </c>
      <c r="E160">
        <f t="shared" si="10"/>
        <v>8</v>
      </c>
      <c r="L160" s="32" t="s">
        <v>131</v>
      </c>
      <c r="M160" s="21">
        <v>3.5970669787835301E-2</v>
      </c>
      <c r="N160" s="21"/>
      <c r="O160" s="21">
        <v>3.5970669787835301E-2</v>
      </c>
    </row>
    <row r="161" spans="1:15" x14ac:dyDescent="0.25">
      <c r="A161" s="28">
        <v>40025</v>
      </c>
      <c r="B161" s="17">
        <v>7.4141727016716605E-2</v>
      </c>
      <c r="C161" t="str">
        <f t="shared" si="8"/>
        <v>Green</v>
      </c>
      <c r="D161">
        <f t="shared" si="9"/>
        <v>1</v>
      </c>
      <c r="E161">
        <f t="shared" si="10"/>
        <v>7</v>
      </c>
      <c r="L161" s="32" t="s">
        <v>93</v>
      </c>
      <c r="M161" s="21">
        <v>1.5231357938579E-2</v>
      </c>
      <c r="N161" s="21"/>
      <c r="O161" s="21">
        <v>1.5231357938579E-2</v>
      </c>
    </row>
    <row r="162" spans="1:15" x14ac:dyDescent="0.25">
      <c r="A162" s="28">
        <v>39994</v>
      </c>
      <c r="B162" s="17">
        <v>1.9582653030303401E-4</v>
      </c>
      <c r="C162" t="str">
        <f t="shared" si="8"/>
        <v>Green</v>
      </c>
      <c r="D162">
        <f t="shared" si="9"/>
        <v>1</v>
      </c>
      <c r="E162">
        <f t="shared" si="10"/>
        <v>6</v>
      </c>
      <c r="L162" s="30" t="s">
        <v>155</v>
      </c>
      <c r="M162" s="21">
        <v>0.23144349092845204</v>
      </c>
      <c r="N162" s="21">
        <v>-6.6717984122901836E-2</v>
      </c>
      <c r="O162" s="21">
        <v>0.16472550680555018</v>
      </c>
    </row>
    <row r="163" spans="1:15" x14ac:dyDescent="0.25">
      <c r="A163" s="28">
        <v>39962</v>
      </c>
      <c r="B163" s="17">
        <v>5.3081446255385502E-2</v>
      </c>
      <c r="C163" t="str">
        <f t="shared" si="8"/>
        <v>Green</v>
      </c>
      <c r="D163">
        <f t="shared" si="9"/>
        <v>1</v>
      </c>
      <c r="E163">
        <f t="shared" si="10"/>
        <v>5</v>
      </c>
      <c r="L163" s="32" t="s">
        <v>122</v>
      </c>
      <c r="M163" s="21">
        <v>3.3134272135482798E-2</v>
      </c>
      <c r="N163" s="21"/>
      <c r="O163" s="21">
        <v>3.3134272135482798E-2</v>
      </c>
    </row>
    <row r="164" spans="1:15" x14ac:dyDescent="0.25">
      <c r="A164" s="28">
        <v>39933</v>
      </c>
      <c r="B164" s="17">
        <v>9.3925079862164695E-2</v>
      </c>
      <c r="C164" t="str">
        <f t="shared" si="8"/>
        <v>Green</v>
      </c>
      <c r="D164">
        <f t="shared" si="9"/>
        <v>1</v>
      </c>
      <c r="E164">
        <f t="shared" si="10"/>
        <v>4</v>
      </c>
      <c r="L164" s="32" t="s">
        <v>123</v>
      </c>
      <c r="M164" s="21">
        <v>1.8995147577526302E-2</v>
      </c>
      <c r="N164" s="21"/>
      <c r="O164" s="21">
        <v>1.8995147577526302E-2</v>
      </c>
    </row>
    <row r="165" spans="1:15" x14ac:dyDescent="0.25">
      <c r="A165" s="28">
        <v>39903</v>
      </c>
      <c r="B165" s="17">
        <v>8.5404461622494696E-2</v>
      </c>
      <c r="C165" t="str">
        <f t="shared" si="8"/>
        <v>Green</v>
      </c>
      <c r="D165">
        <f t="shared" si="9"/>
        <v>1</v>
      </c>
      <c r="E165">
        <f t="shared" si="10"/>
        <v>3</v>
      </c>
      <c r="L165" s="32" t="s">
        <v>124</v>
      </c>
      <c r="M165" s="21">
        <v>3.30947525745608E-2</v>
      </c>
      <c r="N165" s="21"/>
      <c r="O165" s="21">
        <v>3.30947525745608E-2</v>
      </c>
    </row>
    <row r="166" spans="1:15" x14ac:dyDescent="0.25">
      <c r="A166" s="28">
        <v>39871</v>
      </c>
      <c r="B166" s="17">
        <v>-0.109931197571492</v>
      </c>
      <c r="C166" t="str">
        <f t="shared" si="8"/>
        <v>Red</v>
      </c>
      <c r="D166">
        <f t="shared" si="9"/>
        <v>0</v>
      </c>
      <c r="E166">
        <f t="shared" si="10"/>
        <v>2</v>
      </c>
      <c r="L166" s="32" t="s">
        <v>125</v>
      </c>
      <c r="M166" s="21">
        <v>7.4986829727328605E-2</v>
      </c>
      <c r="N166" s="21"/>
      <c r="O166" s="21">
        <v>7.4986829727328605E-2</v>
      </c>
    </row>
    <row r="167" spans="1:15" x14ac:dyDescent="0.25">
      <c r="A167" s="28">
        <v>39843</v>
      </c>
      <c r="B167" s="17">
        <v>-8.5657342928314395E-2</v>
      </c>
      <c r="C167" t="str">
        <f t="shared" si="8"/>
        <v>Red</v>
      </c>
      <c r="D167">
        <f t="shared" si="9"/>
        <v>0</v>
      </c>
      <c r="E167">
        <f t="shared" si="10"/>
        <v>1</v>
      </c>
      <c r="L167" s="32" t="s">
        <v>126</v>
      </c>
      <c r="M167" s="21"/>
      <c r="N167" s="21">
        <v>-1.24064592035834E-2</v>
      </c>
      <c r="O167" s="21">
        <v>-1.24064592035834E-2</v>
      </c>
    </row>
    <row r="168" spans="1:15" x14ac:dyDescent="0.25">
      <c r="A168" s="28">
        <v>39813</v>
      </c>
      <c r="B168" s="17">
        <v>7.8215768970539799E-3</v>
      </c>
      <c r="C168" t="str">
        <f t="shared" si="8"/>
        <v>Green</v>
      </c>
      <c r="D168">
        <f t="shared" si="9"/>
        <v>1</v>
      </c>
      <c r="E168">
        <f t="shared" si="10"/>
        <v>12</v>
      </c>
      <c r="L168" s="32" t="s">
        <v>127</v>
      </c>
      <c r="M168" s="21">
        <v>3.2329577143479102E-2</v>
      </c>
      <c r="N168" s="21"/>
      <c r="O168" s="21">
        <v>3.2329577143479102E-2</v>
      </c>
    </row>
    <row r="169" spans="1:15" x14ac:dyDescent="0.25">
      <c r="A169" s="28">
        <v>39780</v>
      </c>
      <c r="B169" s="17">
        <v>-7.4849042580645203E-2</v>
      </c>
      <c r="C169" t="str">
        <f t="shared" si="8"/>
        <v>Red</v>
      </c>
      <c r="D169">
        <f t="shared" si="9"/>
        <v>0</v>
      </c>
      <c r="E169">
        <f t="shared" si="10"/>
        <v>11</v>
      </c>
      <c r="L169" s="32" t="s">
        <v>128</v>
      </c>
      <c r="M169" s="21"/>
      <c r="N169" s="21">
        <v>-3.0303036448956201E-2</v>
      </c>
      <c r="O169" s="21">
        <v>-3.0303036448956201E-2</v>
      </c>
    </row>
    <row r="170" spans="1:15" x14ac:dyDescent="0.25">
      <c r="A170" s="28">
        <v>39752</v>
      </c>
      <c r="B170" s="17">
        <v>-0.16942452376742001</v>
      </c>
      <c r="C170" t="str">
        <f t="shared" si="8"/>
        <v>Red</v>
      </c>
      <c r="D170">
        <f t="shared" si="9"/>
        <v>0</v>
      </c>
      <c r="E170">
        <f t="shared" si="10"/>
        <v>10</v>
      </c>
      <c r="L170" s="32" t="s">
        <v>129</v>
      </c>
      <c r="M170" s="21">
        <v>1.1318873170753901E-2</v>
      </c>
      <c r="N170" s="21"/>
      <c r="O170" s="21">
        <v>1.1318873170753901E-2</v>
      </c>
    </row>
    <row r="171" spans="1:15" x14ac:dyDescent="0.25">
      <c r="A171" s="28">
        <v>39721</v>
      </c>
      <c r="B171" s="17">
        <v>-9.0791433779084593E-2</v>
      </c>
      <c r="C171" t="str">
        <f t="shared" si="8"/>
        <v>Red</v>
      </c>
      <c r="D171">
        <f t="shared" si="9"/>
        <v>0</v>
      </c>
      <c r="E171">
        <f t="shared" si="10"/>
        <v>9</v>
      </c>
      <c r="L171" s="32" t="s">
        <v>107</v>
      </c>
      <c r="M171" s="21">
        <v>1.01582302977457E-2</v>
      </c>
      <c r="N171" s="21"/>
      <c r="O171" s="21">
        <v>1.01582302977457E-2</v>
      </c>
    </row>
    <row r="172" spans="1:15" x14ac:dyDescent="0.25">
      <c r="A172" s="28">
        <v>39689</v>
      </c>
      <c r="B172" s="17">
        <v>1.2190464532379999E-2</v>
      </c>
      <c r="C172" t="str">
        <f t="shared" si="8"/>
        <v>Green</v>
      </c>
      <c r="D172">
        <f t="shared" si="9"/>
        <v>1</v>
      </c>
      <c r="E172">
        <f t="shared" si="10"/>
        <v>8</v>
      </c>
      <c r="L172" s="32" t="s">
        <v>130</v>
      </c>
      <c r="M172" s="21"/>
      <c r="N172" s="21">
        <v>-1.5174347526823499E-2</v>
      </c>
      <c r="O172" s="21">
        <v>-1.5174347526823499E-2</v>
      </c>
    </row>
    <row r="173" spans="1:15" x14ac:dyDescent="0.25">
      <c r="A173" s="28">
        <v>39660</v>
      </c>
      <c r="B173" s="17">
        <v>-9.8593710937500099E-3</v>
      </c>
      <c r="C173" t="str">
        <f t="shared" si="8"/>
        <v>Red</v>
      </c>
      <c r="D173">
        <f t="shared" si="9"/>
        <v>0</v>
      </c>
      <c r="E173">
        <f t="shared" si="10"/>
        <v>7</v>
      </c>
      <c r="L173" s="32" t="s">
        <v>131</v>
      </c>
      <c r="M173" s="21">
        <v>1.7425808301574801E-2</v>
      </c>
      <c r="N173" s="21"/>
      <c r="O173" s="21">
        <v>1.7425808301574801E-2</v>
      </c>
    </row>
    <row r="174" spans="1:15" x14ac:dyDescent="0.25">
      <c r="A174" s="28">
        <v>39629</v>
      </c>
      <c r="B174" s="17">
        <v>-8.5962384902803599E-2</v>
      </c>
      <c r="C174" t="str">
        <f t="shared" si="8"/>
        <v>Red</v>
      </c>
      <c r="D174">
        <f t="shared" si="9"/>
        <v>0</v>
      </c>
      <c r="E174">
        <f t="shared" si="10"/>
        <v>6</v>
      </c>
      <c r="L174" s="32" t="s">
        <v>93</v>
      </c>
      <c r="M174" s="21"/>
      <c r="N174" s="21">
        <v>-8.8341409435387392E-3</v>
      </c>
      <c r="O174" s="21">
        <v>-8.8341409435387392E-3</v>
      </c>
    </row>
    <row r="175" spans="1:15" x14ac:dyDescent="0.25">
      <c r="A175" s="28">
        <v>39598</v>
      </c>
      <c r="B175" s="17">
        <v>1.06741816575771E-2</v>
      </c>
      <c r="C175" t="str">
        <f t="shared" si="8"/>
        <v>Green</v>
      </c>
      <c r="D175">
        <f t="shared" si="9"/>
        <v>1</v>
      </c>
      <c r="E175">
        <f t="shared" si="10"/>
        <v>5</v>
      </c>
      <c r="L175" s="30" t="s">
        <v>148</v>
      </c>
      <c r="M175" s="21">
        <v>0.21848792137538456</v>
      </c>
      <c r="N175" s="21">
        <v>-9.62456194654394E-2</v>
      </c>
      <c r="O175" s="21">
        <v>0.12224230190994517</v>
      </c>
    </row>
    <row r="176" spans="1:15" x14ac:dyDescent="0.25">
      <c r="A176" s="28">
        <v>39568</v>
      </c>
      <c r="B176" s="17">
        <v>4.7546697913198897E-2</v>
      </c>
      <c r="C176" t="str">
        <f t="shared" si="8"/>
        <v>Green</v>
      </c>
      <c r="D176">
        <f t="shared" si="9"/>
        <v>1</v>
      </c>
      <c r="E176">
        <f t="shared" si="10"/>
        <v>4</v>
      </c>
      <c r="L176" s="32" t="s">
        <v>122</v>
      </c>
      <c r="M176" s="21">
        <v>4.0432268573479903E-2</v>
      </c>
      <c r="N176" s="21"/>
      <c r="O176" s="21">
        <v>4.0432268573479903E-2</v>
      </c>
    </row>
    <row r="177" spans="1:15" x14ac:dyDescent="0.25">
      <c r="A177" s="28">
        <v>39538</v>
      </c>
      <c r="B177" s="17">
        <v>-5.95962361452984E-3</v>
      </c>
      <c r="C177" t="str">
        <f t="shared" si="8"/>
        <v>Red</v>
      </c>
      <c r="D177">
        <f t="shared" si="9"/>
        <v>0</v>
      </c>
      <c r="E177">
        <f t="shared" si="10"/>
        <v>3</v>
      </c>
      <c r="L177" s="32" t="s">
        <v>123</v>
      </c>
      <c r="M177" s="21">
        <v>4.1817402681285899E-2</v>
      </c>
      <c r="N177" s="21"/>
      <c r="O177" s="21">
        <v>4.1817402681285899E-2</v>
      </c>
    </row>
    <row r="178" spans="1:15" x14ac:dyDescent="0.25">
      <c r="A178" s="28">
        <v>39507</v>
      </c>
      <c r="B178" s="17">
        <v>-3.4761192772624502E-2</v>
      </c>
      <c r="C178" t="str">
        <f t="shared" si="8"/>
        <v>Red</v>
      </c>
      <c r="D178">
        <f t="shared" si="9"/>
        <v>0</v>
      </c>
      <c r="E178">
        <f t="shared" si="10"/>
        <v>2</v>
      </c>
      <c r="L178" s="32" t="s">
        <v>124</v>
      </c>
      <c r="M178" s="21"/>
      <c r="N178" s="21">
        <v>-3.33432595272838E-2</v>
      </c>
      <c r="O178" s="21">
        <v>-3.33432595272838E-2</v>
      </c>
    </row>
    <row r="179" spans="1:15" x14ac:dyDescent="0.25">
      <c r="A179" s="28">
        <v>39478</v>
      </c>
      <c r="B179" s="17">
        <v>-6.1163431935936402E-2</v>
      </c>
      <c r="C179" t="str">
        <f t="shared" si="8"/>
        <v>Red</v>
      </c>
      <c r="D179">
        <f t="shared" si="9"/>
        <v>0</v>
      </c>
      <c r="E179">
        <f t="shared" si="10"/>
        <v>1</v>
      </c>
      <c r="L179" s="32" t="s">
        <v>125</v>
      </c>
      <c r="M179" s="21">
        <v>9.4247435537442303E-3</v>
      </c>
      <c r="N179" s="21"/>
      <c r="O179" s="21">
        <v>9.4247435537442303E-3</v>
      </c>
    </row>
    <row r="180" spans="1:15" x14ac:dyDescent="0.25">
      <c r="A180" s="28">
        <v>39447</v>
      </c>
      <c r="B180" s="17">
        <v>-8.6285090339686104E-3</v>
      </c>
      <c r="C180" t="str">
        <f t="shared" si="8"/>
        <v>Red</v>
      </c>
      <c r="D180">
        <f t="shared" si="9"/>
        <v>0</v>
      </c>
      <c r="E180">
        <f t="shared" si="10"/>
        <v>12</v>
      </c>
      <c r="L180" s="32" t="s">
        <v>126</v>
      </c>
      <c r="M180" s="21">
        <v>3.1761261289926499E-3</v>
      </c>
      <c r="N180" s="21"/>
      <c r="O180" s="21">
        <v>3.1761261289926499E-3</v>
      </c>
    </row>
    <row r="181" spans="1:15" x14ac:dyDescent="0.25">
      <c r="A181" s="28">
        <v>39416</v>
      </c>
      <c r="B181" s="17">
        <v>-4.4043417224814398E-2</v>
      </c>
      <c r="C181" t="str">
        <f t="shared" si="8"/>
        <v>Red</v>
      </c>
      <c r="D181">
        <f t="shared" si="9"/>
        <v>0</v>
      </c>
      <c r="E181">
        <f t="shared" si="10"/>
        <v>11</v>
      </c>
      <c r="L181" s="32" t="s">
        <v>127</v>
      </c>
      <c r="M181" s="21">
        <v>4.3256010935977897E-2</v>
      </c>
      <c r="N181" s="21"/>
      <c r="O181" s="21">
        <v>4.3256010935977897E-2</v>
      </c>
    </row>
    <row r="182" spans="1:15" x14ac:dyDescent="0.25">
      <c r="A182" s="28">
        <v>39386</v>
      </c>
      <c r="B182" s="17">
        <v>1.48223383003112E-2</v>
      </c>
      <c r="C182" t="str">
        <f t="shared" si="8"/>
        <v>Green</v>
      </c>
      <c r="D182">
        <f t="shared" si="9"/>
        <v>1</v>
      </c>
      <c r="E182">
        <f t="shared" si="10"/>
        <v>10</v>
      </c>
      <c r="L182" s="32" t="s">
        <v>128</v>
      </c>
      <c r="M182" s="21"/>
      <c r="N182" s="21">
        <v>-5.4113747714807899E-3</v>
      </c>
      <c r="O182" s="21">
        <v>-5.4113747714807899E-3</v>
      </c>
    </row>
    <row r="183" spans="1:15" x14ac:dyDescent="0.25">
      <c r="A183" s="28">
        <v>39353</v>
      </c>
      <c r="B183" s="17">
        <v>3.5794008343299502E-2</v>
      </c>
      <c r="C183" t="str">
        <f t="shared" si="8"/>
        <v>Green</v>
      </c>
      <c r="D183">
        <f t="shared" si="9"/>
        <v>1</v>
      </c>
      <c r="E183">
        <f t="shared" si="10"/>
        <v>9</v>
      </c>
      <c r="L183" s="32" t="s">
        <v>129</v>
      </c>
      <c r="M183" s="21"/>
      <c r="N183" s="21">
        <v>-3.8600104494526701E-2</v>
      </c>
      <c r="O183" s="21">
        <v>-3.8600104494526701E-2</v>
      </c>
    </row>
    <row r="184" spans="1:15" x14ac:dyDescent="0.25">
      <c r="A184" s="28">
        <v>39325</v>
      </c>
      <c r="B184" s="17">
        <v>1.2863571531556799E-2</v>
      </c>
      <c r="C184" t="str">
        <f t="shared" si="8"/>
        <v>Green</v>
      </c>
      <c r="D184">
        <f t="shared" si="9"/>
        <v>1</v>
      </c>
      <c r="E184">
        <f t="shared" si="10"/>
        <v>8</v>
      </c>
      <c r="L184" s="32" t="s">
        <v>107</v>
      </c>
      <c r="M184" s="21">
        <v>3.9729334035724498E-2</v>
      </c>
      <c r="N184" s="21"/>
      <c r="O184" s="21">
        <v>3.9729334035724498E-2</v>
      </c>
    </row>
    <row r="185" spans="1:15" x14ac:dyDescent="0.25">
      <c r="A185" s="28">
        <v>39294</v>
      </c>
      <c r="B185" s="17">
        <v>-3.1981878316802499E-2</v>
      </c>
      <c r="C185" t="str">
        <f t="shared" si="8"/>
        <v>Red</v>
      </c>
      <c r="D185">
        <f t="shared" si="9"/>
        <v>0</v>
      </c>
      <c r="E185">
        <f t="shared" si="10"/>
        <v>7</v>
      </c>
      <c r="L185" s="32" t="s">
        <v>130</v>
      </c>
      <c r="M185" s="21">
        <v>2.5964462124019601E-2</v>
      </c>
      <c r="N185" s="21"/>
      <c r="O185" s="21">
        <v>2.5964462124019601E-2</v>
      </c>
    </row>
    <row r="186" spans="1:15" x14ac:dyDescent="0.25">
      <c r="A186" s="28">
        <v>39262</v>
      </c>
      <c r="B186" s="17">
        <v>-1.7816322202167601E-2</v>
      </c>
      <c r="C186" t="str">
        <f t="shared" si="8"/>
        <v>Red</v>
      </c>
      <c r="D186">
        <f t="shared" si="9"/>
        <v>0</v>
      </c>
      <c r="E186">
        <f t="shared" si="10"/>
        <v>6</v>
      </c>
      <c r="L186" s="32" t="s">
        <v>131</v>
      </c>
      <c r="M186" s="21"/>
      <c r="N186" s="21">
        <v>-1.88908806721481E-2</v>
      </c>
      <c r="O186" s="21">
        <v>-1.88908806721481E-2</v>
      </c>
    </row>
    <row r="187" spans="1:15" x14ac:dyDescent="0.25">
      <c r="A187" s="28">
        <v>39233</v>
      </c>
      <c r="B187" s="17">
        <v>3.2549228709934902E-2</v>
      </c>
      <c r="C187" t="str">
        <f t="shared" si="8"/>
        <v>Green</v>
      </c>
      <c r="D187">
        <f t="shared" si="9"/>
        <v>1</v>
      </c>
      <c r="E187">
        <f t="shared" si="10"/>
        <v>5</v>
      </c>
      <c r="L187" s="32" t="s">
        <v>93</v>
      </c>
      <c r="M187" s="21">
        <v>1.46875733421599E-2</v>
      </c>
      <c r="N187" s="21"/>
      <c r="O187" s="21">
        <v>1.46875733421599E-2</v>
      </c>
    </row>
    <row r="188" spans="1:15" x14ac:dyDescent="0.25">
      <c r="A188" s="28">
        <v>39202</v>
      </c>
      <c r="B188" s="17">
        <v>4.3290690602424201E-2</v>
      </c>
      <c r="C188" t="str">
        <f t="shared" si="8"/>
        <v>Green</v>
      </c>
      <c r="D188">
        <f t="shared" si="9"/>
        <v>1</v>
      </c>
      <c r="E188">
        <f t="shared" si="10"/>
        <v>4</v>
      </c>
      <c r="L188" s="30" t="s">
        <v>149</v>
      </c>
      <c r="M188" s="21">
        <v>0.31899330265800824</v>
      </c>
      <c r="N188" s="21">
        <v>-6.8588522655051942E-2</v>
      </c>
      <c r="O188" s="21">
        <v>0.25040478000295624</v>
      </c>
    </row>
    <row r="189" spans="1:15" x14ac:dyDescent="0.25">
      <c r="A189" s="28">
        <v>39171</v>
      </c>
      <c r="B189" s="17">
        <v>9.9799828968305491E-3</v>
      </c>
      <c r="C189" t="str">
        <f t="shared" si="8"/>
        <v>Green</v>
      </c>
      <c r="D189">
        <f t="shared" si="9"/>
        <v>1</v>
      </c>
      <c r="E189">
        <f t="shared" si="10"/>
        <v>3</v>
      </c>
      <c r="L189" s="32" t="s">
        <v>122</v>
      </c>
      <c r="M189" s="21">
        <v>7.1114791620643797E-2</v>
      </c>
      <c r="N189" s="21"/>
      <c r="O189" s="21">
        <v>7.1114791620643797E-2</v>
      </c>
    </row>
    <row r="190" spans="1:15" x14ac:dyDescent="0.25">
      <c r="A190" s="28">
        <v>39141</v>
      </c>
      <c r="B190" s="17">
        <v>-2.1846176033528199E-2</v>
      </c>
      <c r="C190" t="str">
        <f t="shared" si="8"/>
        <v>Red</v>
      </c>
      <c r="D190">
        <f t="shared" si="9"/>
        <v>0</v>
      </c>
      <c r="E190">
        <f t="shared" si="10"/>
        <v>2</v>
      </c>
      <c r="L190" s="32" t="s">
        <v>123</v>
      </c>
      <c r="M190" s="21"/>
      <c r="N190" s="21">
        <v>-2.8944148892513202E-2</v>
      </c>
      <c r="O190" s="21">
        <v>-2.8944148892513202E-2</v>
      </c>
    </row>
    <row r="191" spans="1:15" x14ac:dyDescent="0.25">
      <c r="A191" s="28">
        <v>39113</v>
      </c>
      <c r="B191" s="17">
        <v>1.4059042735039801E-2</v>
      </c>
      <c r="C191" t="str">
        <f t="shared" si="8"/>
        <v>Green</v>
      </c>
      <c r="D191">
        <f t="shared" si="9"/>
        <v>1</v>
      </c>
      <c r="E191">
        <f t="shared" si="10"/>
        <v>1</v>
      </c>
      <c r="L191" s="32" t="s">
        <v>124</v>
      </c>
      <c r="M191" s="21">
        <v>2.0805962445785E-2</v>
      </c>
      <c r="N191" s="21"/>
      <c r="O191" s="21">
        <v>2.0805962445785E-2</v>
      </c>
    </row>
    <row r="192" spans="1:15" x14ac:dyDescent="0.25">
      <c r="A192" s="28">
        <v>39080</v>
      </c>
      <c r="B192" s="17">
        <v>1.26157828526599E-2</v>
      </c>
      <c r="C192" t="str">
        <f t="shared" si="8"/>
        <v>Green</v>
      </c>
      <c r="D192">
        <f t="shared" si="9"/>
        <v>1</v>
      </c>
      <c r="E192">
        <f t="shared" si="10"/>
        <v>12</v>
      </c>
      <c r="L192" s="32" t="s">
        <v>125</v>
      </c>
      <c r="M192" s="21">
        <v>5.0089938788108898E-2</v>
      </c>
      <c r="N192" s="21"/>
      <c r="O192" s="21">
        <v>5.0089938788108898E-2</v>
      </c>
    </row>
    <row r="193" spans="1:15" x14ac:dyDescent="0.25">
      <c r="A193" s="28">
        <v>39051</v>
      </c>
      <c r="B193" s="17">
        <v>1.64666567278202E-2</v>
      </c>
      <c r="C193" t="str">
        <f t="shared" si="8"/>
        <v>Green</v>
      </c>
      <c r="D193">
        <f t="shared" si="9"/>
        <v>1</v>
      </c>
      <c r="E193">
        <f t="shared" si="10"/>
        <v>11</v>
      </c>
      <c r="L193" s="32" t="s">
        <v>126</v>
      </c>
      <c r="M193" s="21">
        <v>3.5137493453486698E-2</v>
      </c>
      <c r="N193" s="21"/>
      <c r="O193" s="21">
        <v>3.5137493453486698E-2</v>
      </c>
    </row>
    <row r="194" spans="1:15" x14ac:dyDescent="0.25">
      <c r="A194" s="28">
        <v>39021</v>
      </c>
      <c r="B194" s="17">
        <v>3.1508002961554198E-2</v>
      </c>
      <c r="C194" t="str">
        <f t="shared" si="8"/>
        <v>Green</v>
      </c>
      <c r="D194">
        <f t="shared" si="9"/>
        <v>1</v>
      </c>
      <c r="E194">
        <f t="shared" si="10"/>
        <v>10</v>
      </c>
      <c r="L194" s="32" t="s">
        <v>127</v>
      </c>
      <c r="M194" s="21"/>
      <c r="N194" s="21">
        <v>-7.9245541219584697E-3</v>
      </c>
      <c r="O194" s="21">
        <v>-7.9245541219584697E-3</v>
      </c>
    </row>
    <row r="195" spans="1:15" x14ac:dyDescent="0.25">
      <c r="A195" s="28">
        <v>38989</v>
      </c>
      <c r="B195" s="17">
        <v>2.45662985125095E-2</v>
      </c>
      <c r="C195" t="str">
        <f t="shared" ref="C195:C258" si="11">IF(B195&gt;0,"Green","Red")</f>
        <v>Green</v>
      </c>
      <c r="D195">
        <f t="shared" si="9"/>
        <v>1</v>
      </c>
      <c r="E195">
        <f t="shared" si="10"/>
        <v>9</v>
      </c>
      <c r="L195" s="32" t="s">
        <v>128</v>
      </c>
      <c r="M195" s="21">
        <v>8.8370259223621503E-2</v>
      </c>
      <c r="N195" s="21"/>
      <c r="O195" s="21">
        <v>8.8370259223621503E-2</v>
      </c>
    </row>
    <row r="196" spans="1:15" x14ac:dyDescent="0.25">
      <c r="A196" s="28">
        <v>38960</v>
      </c>
      <c r="B196" s="17">
        <v>2.12741930323481E-2</v>
      </c>
      <c r="C196" t="str">
        <f t="shared" si="11"/>
        <v>Green</v>
      </c>
      <c r="D196">
        <f t="shared" ref="D196:D259" si="12">IF(B196&gt;0,1,0)</f>
        <v>1</v>
      </c>
      <c r="E196">
        <f t="shared" ref="E196:E259" si="13">MONTH(A196)</f>
        <v>8</v>
      </c>
      <c r="L196" s="32" t="s">
        <v>129</v>
      </c>
      <c r="M196" s="21">
        <v>1.5516716371120299E-2</v>
      </c>
      <c r="N196" s="21"/>
      <c r="O196" s="21">
        <v>1.5516716371120299E-2</v>
      </c>
    </row>
    <row r="197" spans="1:15" x14ac:dyDescent="0.25">
      <c r="A197" s="28">
        <v>38929</v>
      </c>
      <c r="B197" s="17">
        <v>5.0858787979908299E-3</v>
      </c>
      <c r="C197" t="str">
        <f t="shared" si="11"/>
        <v>Green</v>
      </c>
      <c r="D197">
        <f t="shared" si="12"/>
        <v>1</v>
      </c>
      <c r="E197">
        <f t="shared" si="13"/>
        <v>7</v>
      </c>
      <c r="L197" s="32" t="s">
        <v>107</v>
      </c>
      <c r="M197" s="21"/>
      <c r="N197" s="21">
        <v>-6.5443673964080702E-3</v>
      </c>
      <c r="O197" s="21">
        <v>-6.5443673964080702E-3</v>
      </c>
    </row>
    <row r="198" spans="1:15" x14ac:dyDescent="0.25">
      <c r="A198" s="28">
        <v>38898</v>
      </c>
      <c r="B198" s="17">
        <v>8.6596227782509403E-5</v>
      </c>
      <c r="C198" t="str">
        <f t="shared" si="11"/>
        <v>Green</v>
      </c>
      <c r="D198">
        <f t="shared" si="12"/>
        <v>1</v>
      </c>
      <c r="E198">
        <f t="shared" si="13"/>
        <v>6</v>
      </c>
      <c r="L198" s="32" t="s">
        <v>130</v>
      </c>
      <c r="M198" s="21"/>
      <c r="N198" s="21">
        <v>-2.5175452244172201E-2</v>
      </c>
      <c r="O198" s="21">
        <v>-2.5175452244172201E-2</v>
      </c>
    </row>
    <row r="199" spans="1:15" x14ac:dyDescent="0.25">
      <c r="A199" s="28">
        <v>38868</v>
      </c>
      <c r="B199" s="17">
        <v>-3.0916916141150899E-2</v>
      </c>
      <c r="C199" t="str">
        <f t="shared" si="11"/>
        <v>Red</v>
      </c>
      <c r="D199">
        <f t="shared" si="12"/>
        <v>0</v>
      </c>
      <c r="E199">
        <f t="shared" si="13"/>
        <v>5</v>
      </c>
      <c r="L199" s="32" t="s">
        <v>131</v>
      </c>
      <c r="M199" s="21">
        <v>1.65413246213417E-2</v>
      </c>
      <c r="N199" s="21"/>
      <c r="O199" s="21">
        <v>1.65413246213417E-2</v>
      </c>
    </row>
    <row r="200" spans="1:15" x14ac:dyDescent="0.25">
      <c r="A200" s="28">
        <v>38835</v>
      </c>
      <c r="B200" s="17">
        <v>1.21556527379414E-2</v>
      </c>
      <c r="C200" t="str">
        <f t="shared" si="11"/>
        <v>Green</v>
      </c>
      <c r="D200">
        <f t="shared" si="12"/>
        <v>1</v>
      </c>
      <c r="E200">
        <f t="shared" si="13"/>
        <v>4</v>
      </c>
      <c r="G200" s="22"/>
      <c r="L200" s="32" t="s">
        <v>93</v>
      </c>
      <c r="M200" s="21">
        <v>2.1416816133900299E-2</v>
      </c>
      <c r="N200" s="21"/>
      <c r="O200" s="21">
        <v>2.1416816133900299E-2</v>
      </c>
    </row>
    <row r="201" spans="1:15" x14ac:dyDescent="0.25">
      <c r="A201" s="28">
        <v>38807</v>
      </c>
      <c r="B201" s="17">
        <v>1.10958104592496E-2</v>
      </c>
      <c r="C201" t="str">
        <f t="shared" si="11"/>
        <v>Green</v>
      </c>
      <c r="D201">
        <f t="shared" si="12"/>
        <v>1</v>
      </c>
      <c r="E201">
        <f t="shared" si="13"/>
        <v>3</v>
      </c>
      <c r="L201" s="30" t="s">
        <v>150</v>
      </c>
      <c r="M201" s="21">
        <v>0.20954518783306933</v>
      </c>
      <c r="N201" s="21">
        <v>-0.26201059176836677</v>
      </c>
      <c r="O201" s="21">
        <v>-5.2465403935297472E-2</v>
      </c>
    </row>
    <row r="202" spans="1:15" x14ac:dyDescent="0.25">
      <c r="A202" s="28">
        <v>38776</v>
      </c>
      <c r="B202" s="17">
        <v>4.53157630725398E-4</v>
      </c>
      <c r="C202" t="str">
        <f t="shared" si="11"/>
        <v>Green</v>
      </c>
      <c r="D202">
        <f t="shared" si="12"/>
        <v>1</v>
      </c>
      <c r="E202">
        <f t="shared" si="13"/>
        <v>2</v>
      </c>
      <c r="L202" s="32" t="s">
        <v>122</v>
      </c>
      <c r="M202" s="21"/>
      <c r="N202" s="21">
        <v>-6.8817225277032601E-2</v>
      </c>
      <c r="O202" s="21">
        <v>-6.8817225277032601E-2</v>
      </c>
    </row>
    <row r="203" spans="1:15" x14ac:dyDescent="0.25">
      <c r="A203" s="28">
        <v>38748</v>
      </c>
      <c r="B203" s="17">
        <v>2.5466771348641601E-2</v>
      </c>
      <c r="C203" t="str">
        <f t="shared" si="11"/>
        <v>Green</v>
      </c>
      <c r="D203">
        <f t="shared" si="12"/>
        <v>1</v>
      </c>
      <c r="E203">
        <f t="shared" si="13"/>
        <v>1</v>
      </c>
      <c r="L203" s="32" t="s">
        <v>123</v>
      </c>
      <c r="M203" s="21">
        <v>8.5390425155207304E-3</v>
      </c>
      <c r="N203" s="21"/>
      <c r="O203" s="21">
        <v>8.5390425155207304E-3</v>
      </c>
    </row>
    <row r="204" spans="1:15" x14ac:dyDescent="0.25">
      <c r="A204" s="28">
        <v>38716</v>
      </c>
      <c r="B204" s="17">
        <v>-9.5234899241847205E-4</v>
      </c>
      <c r="C204" t="str">
        <f t="shared" si="11"/>
        <v>Red</v>
      </c>
      <c r="D204">
        <f t="shared" si="12"/>
        <v>0</v>
      </c>
      <c r="E204">
        <f t="shared" si="13"/>
        <v>12</v>
      </c>
      <c r="L204" s="32" t="s">
        <v>124</v>
      </c>
      <c r="M204" s="21">
        <v>2.4254983989199001E-2</v>
      </c>
      <c r="N204" s="21"/>
      <c r="O204" s="21">
        <v>2.4254983989199001E-2</v>
      </c>
    </row>
    <row r="205" spans="1:15" x14ac:dyDescent="0.25">
      <c r="A205" s="28">
        <v>38686</v>
      </c>
      <c r="B205" s="17">
        <v>3.5186095929726498E-2</v>
      </c>
      <c r="C205" t="str">
        <f t="shared" si="11"/>
        <v>Green</v>
      </c>
      <c r="D205">
        <f t="shared" si="12"/>
        <v>1</v>
      </c>
      <c r="E205">
        <f t="shared" si="13"/>
        <v>11</v>
      </c>
      <c r="L205" s="32" t="s">
        <v>125</v>
      </c>
      <c r="M205" s="21"/>
      <c r="N205" s="21">
        <v>-2.6887138748678398E-2</v>
      </c>
      <c r="O205" s="21">
        <v>-2.6887138748678398E-2</v>
      </c>
    </row>
    <row r="206" spans="1:15" x14ac:dyDescent="0.25">
      <c r="A206" s="28">
        <v>38656</v>
      </c>
      <c r="B206" s="17">
        <v>-1.7740780066319399E-2</v>
      </c>
      <c r="C206" t="str">
        <f t="shared" si="11"/>
        <v>Red</v>
      </c>
      <c r="D206">
        <f t="shared" si="12"/>
        <v>0</v>
      </c>
      <c r="E206">
        <f t="shared" si="13"/>
        <v>10</v>
      </c>
      <c r="L206" s="32" t="s">
        <v>126</v>
      </c>
      <c r="M206" s="21">
        <v>9.1989190156802597E-2</v>
      </c>
      <c r="N206" s="21"/>
      <c r="O206" s="21">
        <v>9.1989190156802597E-2</v>
      </c>
    </row>
    <row r="207" spans="1:15" x14ac:dyDescent="0.25">
      <c r="A207" s="28">
        <v>38625</v>
      </c>
      <c r="B207" s="17">
        <v>6.9490246947603298E-3</v>
      </c>
      <c r="C207" t="str">
        <f t="shared" si="11"/>
        <v>Green</v>
      </c>
      <c r="D207">
        <f t="shared" si="12"/>
        <v>1</v>
      </c>
      <c r="E207">
        <f t="shared" si="13"/>
        <v>9</v>
      </c>
      <c r="L207" s="32" t="s">
        <v>127</v>
      </c>
      <c r="M207" s="21"/>
      <c r="N207" s="21">
        <v>-8.8863657565815303E-3</v>
      </c>
      <c r="O207" s="21">
        <v>-8.8863657565815303E-3</v>
      </c>
    </row>
    <row r="208" spans="1:15" x14ac:dyDescent="0.25">
      <c r="A208" s="28">
        <v>38595</v>
      </c>
      <c r="B208" s="17">
        <v>-1.12221048744966E-2</v>
      </c>
      <c r="C208" t="str">
        <f t="shared" si="11"/>
        <v>Red</v>
      </c>
      <c r="D208">
        <f t="shared" si="12"/>
        <v>0</v>
      </c>
      <c r="E208">
        <f t="shared" si="13"/>
        <v>8</v>
      </c>
      <c r="L208" s="32" t="s">
        <v>128</v>
      </c>
      <c r="M208" s="21"/>
      <c r="N208" s="21">
        <v>-5.2231580846174904E-3</v>
      </c>
      <c r="O208" s="21">
        <v>-5.2231580846174904E-3</v>
      </c>
    </row>
    <row r="209" spans="1:15" x14ac:dyDescent="0.25">
      <c r="A209" s="28">
        <v>38562</v>
      </c>
      <c r="B209" s="17">
        <v>3.5968287193812301E-2</v>
      </c>
      <c r="C209" t="str">
        <f t="shared" si="11"/>
        <v>Green</v>
      </c>
      <c r="D209">
        <f t="shared" si="12"/>
        <v>1</v>
      </c>
      <c r="E209">
        <f t="shared" si="13"/>
        <v>7</v>
      </c>
      <c r="L209" s="32" t="s">
        <v>129</v>
      </c>
      <c r="M209" s="21"/>
      <c r="N209" s="21">
        <v>-9.43141838154853E-2</v>
      </c>
      <c r="O209" s="21">
        <v>-9.43141838154853E-2</v>
      </c>
    </row>
    <row r="210" spans="1:15" x14ac:dyDescent="0.25">
      <c r="A210" s="28">
        <v>38533</v>
      </c>
      <c r="B210" s="17">
        <v>-1.42714225765839E-4</v>
      </c>
      <c r="C210" t="str">
        <f t="shared" si="11"/>
        <v>Red</v>
      </c>
      <c r="D210">
        <f t="shared" si="12"/>
        <v>0</v>
      </c>
      <c r="E210">
        <f t="shared" si="13"/>
        <v>6</v>
      </c>
      <c r="L210" s="32" t="s">
        <v>107</v>
      </c>
      <c r="M210" s="21"/>
      <c r="N210" s="21">
        <v>-5.1184307112997998E-2</v>
      </c>
      <c r="O210" s="21">
        <v>-5.1184307112997998E-2</v>
      </c>
    </row>
    <row r="211" spans="1:15" x14ac:dyDescent="0.25">
      <c r="A211" s="28">
        <v>38503</v>
      </c>
      <c r="B211" s="17">
        <v>2.9952046262565798E-2</v>
      </c>
      <c r="C211" t="str">
        <f t="shared" si="11"/>
        <v>Green</v>
      </c>
      <c r="D211">
        <f t="shared" si="12"/>
        <v>1</v>
      </c>
      <c r="E211">
        <f t="shared" si="13"/>
        <v>5</v>
      </c>
      <c r="L211" s="32" t="s">
        <v>130</v>
      </c>
      <c r="M211" s="21"/>
      <c r="N211" s="21">
        <v>-6.6982129729734599E-3</v>
      </c>
      <c r="O211" s="21">
        <v>-6.6982129729734599E-3</v>
      </c>
    </row>
    <row r="212" spans="1:15" x14ac:dyDescent="0.25">
      <c r="A212" s="28">
        <v>38471</v>
      </c>
      <c r="B212" s="17">
        <v>-2.0108581881679299E-2</v>
      </c>
      <c r="C212" t="str">
        <f t="shared" si="11"/>
        <v>Red</v>
      </c>
      <c r="D212">
        <f t="shared" si="12"/>
        <v>0</v>
      </c>
      <c r="E212">
        <f t="shared" si="13"/>
        <v>4</v>
      </c>
      <c r="L212" s="32" t="s">
        <v>131</v>
      </c>
      <c r="M212" s="21">
        <v>5.9934213815789401E-2</v>
      </c>
      <c r="N212" s="21"/>
      <c r="O212" s="21">
        <v>5.9934213815789401E-2</v>
      </c>
    </row>
    <row r="213" spans="1:15" x14ac:dyDescent="0.25">
      <c r="A213" s="28">
        <v>38442</v>
      </c>
      <c r="B213" s="17">
        <v>-1.9117655748441001E-2</v>
      </c>
      <c r="C213" t="str">
        <f t="shared" si="11"/>
        <v>Red</v>
      </c>
      <c r="D213">
        <f t="shared" si="12"/>
        <v>0</v>
      </c>
      <c r="E213">
        <f t="shared" si="13"/>
        <v>3</v>
      </c>
      <c r="L213" s="32" t="s">
        <v>93</v>
      </c>
      <c r="M213" s="21">
        <v>2.4827757355757599E-2</v>
      </c>
      <c r="N213" s="21"/>
      <c r="O213" s="21">
        <v>2.4827757355757599E-2</v>
      </c>
    </row>
    <row r="214" spans="1:15" x14ac:dyDescent="0.25">
      <c r="A214" s="28">
        <v>38411</v>
      </c>
      <c r="B214" s="17">
        <v>1.8903346078316601E-2</v>
      </c>
      <c r="C214" t="str">
        <f t="shared" si="11"/>
        <v>Green</v>
      </c>
      <c r="D214">
        <f t="shared" si="12"/>
        <v>1</v>
      </c>
      <c r="E214">
        <f t="shared" si="13"/>
        <v>2</v>
      </c>
      <c r="L214" s="30" t="s">
        <v>151</v>
      </c>
      <c r="M214" s="21">
        <v>0.35785675234337633</v>
      </c>
      <c r="N214" s="21">
        <v>-0.11094007537339159</v>
      </c>
      <c r="O214" s="21">
        <v>0.24691667696998471</v>
      </c>
    </row>
    <row r="215" spans="1:15" x14ac:dyDescent="0.25">
      <c r="A215" s="28">
        <v>38383</v>
      </c>
      <c r="B215" s="17">
        <v>-2.5290467099494601E-2</v>
      </c>
      <c r="C215" t="str">
        <f t="shared" si="11"/>
        <v>Red</v>
      </c>
      <c r="D215">
        <f t="shared" si="12"/>
        <v>0</v>
      </c>
      <c r="E215">
        <f t="shared" si="13"/>
        <v>1</v>
      </c>
      <c r="L215" s="32" t="s">
        <v>122</v>
      </c>
      <c r="M215" s="21">
        <v>4.1517751676101597E-2</v>
      </c>
      <c r="N215" s="21"/>
      <c r="O215" s="21">
        <v>4.1517751676101597E-2</v>
      </c>
    </row>
    <row r="216" spans="1:15" x14ac:dyDescent="0.25">
      <c r="A216" s="28">
        <v>38352</v>
      </c>
      <c r="B216" s="17">
        <v>3.24582131440454E-2</v>
      </c>
      <c r="C216" t="str">
        <f t="shared" si="11"/>
        <v>Green</v>
      </c>
      <c r="D216">
        <f t="shared" si="12"/>
        <v>1</v>
      </c>
      <c r="E216">
        <f t="shared" si="13"/>
        <v>12</v>
      </c>
      <c r="L216" s="32" t="s">
        <v>123</v>
      </c>
      <c r="M216" s="21">
        <v>6.7281174863978596E-2</v>
      </c>
      <c r="N216" s="21"/>
      <c r="O216" s="21">
        <v>6.7281174863978596E-2</v>
      </c>
    </row>
    <row r="217" spans="1:15" x14ac:dyDescent="0.25">
      <c r="A217" s="28">
        <v>38321</v>
      </c>
      <c r="B217" s="17">
        <v>3.8594936198152401E-2</v>
      </c>
      <c r="C217" t="str">
        <f t="shared" si="11"/>
        <v>Green</v>
      </c>
      <c r="D217">
        <f t="shared" si="12"/>
        <v>1</v>
      </c>
      <c r="E217">
        <f t="shared" si="13"/>
        <v>11</v>
      </c>
      <c r="L217" s="32" t="s">
        <v>124</v>
      </c>
      <c r="M217" s="21">
        <v>2.22028328236583E-2</v>
      </c>
      <c r="N217" s="21"/>
      <c r="O217" s="21">
        <v>2.22028328236583E-2</v>
      </c>
    </row>
    <row r="218" spans="1:15" x14ac:dyDescent="0.25">
      <c r="A218" s="28">
        <v>38289</v>
      </c>
      <c r="B218" s="17">
        <v>1.4014243586487E-2</v>
      </c>
      <c r="C218" t="str">
        <f t="shared" si="11"/>
        <v>Green</v>
      </c>
      <c r="D218">
        <f t="shared" si="12"/>
        <v>1</v>
      </c>
      <c r="E218">
        <f t="shared" si="13"/>
        <v>10</v>
      </c>
      <c r="L218" s="32" t="s">
        <v>125</v>
      </c>
      <c r="M218" s="21">
        <v>3.1979905037093898E-4</v>
      </c>
      <c r="N218" s="21"/>
      <c r="O218" s="21">
        <v>3.1979905037093898E-4</v>
      </c>
    </row>
    <row r="219" spans="1:15" x14ac:dyDescent="0.25">
      <c r="A219" s="28">
        <v>38260</v>
      </c>
      <c r="B219" s="17">
        <v>9.3638756915515008E-3</v>
      </c>
      <c r="C219" t="str">
        <f t="shared" si="11"/>
        <v>Green</v>
      </c>
      <c r="D219">
        <f t="shared" si="12"/>
        <v>1</v>
      </c>
      <c r="E219">
        <f t="shared" si="13"/>
        <v>9</v>
      </c>
      <c r="L219" s="32" t="s">
        <v>126</v>
      </c>
      <c r="M219" s="21">
        <v>3.8604974568177998E-2</v>
      </c>
      <c r="N219" s="21"/>
      <c r="O219" s="21">
        <v>3.8604974568177998E-2</v>
      </c>
    </row>
    <row r="220" spans="1:15" x14ac:dyDescent="0.25">
      <c r="A220" s="28">
        <v>38230</v>
      </c>
      <c r="B220" s="17">
        <v>2.28734984055223E-3</v>
      </c>
      <c r="C220" t="str">
        <f t="shared" si="11"/>
        <v>Green</v>
      </c>
      <c r="D220">
        <f t="shared" si="12"/>
        <v>1</v>
      </c>
      <c r="E220">
        <f t="shared" si="13"/>
        <v>8</v>
      </c>
      <c r="L220" s="32" t="s">
        <v>127</v>
      </c>
      <c r="M220" s="21"/>
      <c r="N220" s="21">
        <v>-4.7892629152718302E-2</v>
      </c>
      <c r="O220" s="21">
        <v>-4.7892629152718302E-2</v>
      </c>
    </row>
    <row r="221" spans="1:15" x14ac:dyDescent="0.25">
      <c r="A221" s="28">
        <v>38198</v>
      </c>
      <c r="B221" s="17">
        <v>-3.4290519411905002E-2</v>
      </c>
      <c r="C221" t="str">
        <f t="shared" si="11"/>
        <v>Red</v>
      </c>
      <c r="D221">
        <f t="shared" si="12"/>
        <v>0</v>
      </c>
      <c r="E221">
        <f t="shared" si="13"/>
        <v>7</v>
      </c>
      <c r="L221" s="32" t="s">
        <v>128</v>
      </c>
      <c r="M221" s="21">
        <v>4.4859343195825498E-2</v>
      </c>
      <c r="N221" s="21"/>
      <c r="O221" s="21">
        <v>4.4859343195825498E-2</v>
      </c>
    </row>
    <row r="222" spans="1:15" x14ac:dyDescent="0.25">
      <c r="A222" s="28">
        <v>38168</v>
      </c>
      <c r="B222" s="17">
        <v>1.7988998669195701E-2</v>
      </c>
      <c r="C222" t="str">
        <f t="shared" si="11"/>
        <v>Green</v>
      </c>
      <c r="D222">
        <f t="shared" si="12"/>
        <v>1</v>
      </c>
      <c r="E222">
        <f t="shared" si="13"/>
        <v>6</v>
      </c>
      <c r="L222" s="32" t="s">
        <v>129</v>
      </c>
      <c r="M222" s="21">
        <v>1.96487842997797E-2</v>
      </c>
      <c r="N222" s="21"/>
      <c r="O222" s="21">
        <v>1.96487842997797E-2</v>
      </c>
    </row>
    <row r="223" spans="1:15" x14ac:dyDescent="0.25">
      <c r="A223" s="28">
        <v>38135</v>
      </c>
      <c r="B223" s="17">
        <v>1.2083450201310301E-2</v>
      </c>
      <c r="C223" t="str">
        <f t="shared" si="11"/>
        <v>Green</v>
      </c>
      <c r="D223">
        <f t="shared" si="12"/>
        <v>1</v>
      </c>
      <c r="E223">
        <f t="shared" si="13"/>
        <v>5</v>
      </c>
      <c r="L223" s="32" t="s">
        <v>107</v>
      </c>
      <c r="M223" s="21"/>
      <c r="N223" s="21">
        <v>-1.9143737536368399E-2</v>
      </c>
      <c r="O223" s="21">
        <v>-1.9143737536368399E-2</v>
      </c>
    </row>
    <row r="224" spans="1:15" x14ac:dyDescent="0.25">
      <c r="A224" s="28">
        <v>38107</v>
      </c>
      <c r="B224" s="17">
        <v>-1.6790751862298701E-2</v>
      </c>
      <c r="C224" t="str">
        <f t="shared" si="11"/>
        <v>Red</v>
      </c>
      <c r="D224">
        <f t="shared" si="12"/>
        <v>0</v>
      </c>
      <c r="E224">
        <f t="shared" si="13"/>
        <v>4</v>
      </c>
      <c r="L224" s="32" t="s">
        <v>130</v>
      </c>
      <c r="M224" s="21">
        <v>1.1834237037883701E-2</v>
      </c>
      <c r="N224" s="21"/>
      <c r="O224" s="21">
        <v>1.1834237037883701E-2</v>
      </c>
    </row>
    <row r="225" spans="1:15" x14ac:dyDescent="0.25">
      <c r="A225" s="28">
        <v>38077</v>
      </c>
      <c r="B225" s="17">
        <v>-1.6358919214261199E-2</v>
      </c>
      <c r="C225" t="str">
        <f t="shared" si="11"/>
        <v>Red</v>
      </c>
      <c r="D225">
        <f t="shared" si="12"/>
        <v>0</v>
      </c>
      <c r="E225">
        <f t="shared" si="13"/>
        <v>3</v>
      </c>
      <c r="L225" s="32" t="s">
        <v>131</v>
      </c>
      <c r="M225" s="21"/>
      <c r="N225" s="21">
        <v>-4.3903708684304897E-2</v>
      </c>
      <c r="O225" s="21">
        <v>-4.3903708684304897E-2</v>
      </c>
    </row>
    <row r="226" spans="1:15" x14ac:dyDescent="0.25">
      <c r="A226" s="28">
        <v>38044</v>
      </c>
      <c r="B226" s="17">
        <v>1.22089732735895E-2</v>
      </c>
      <c r="C226" t="str">
        <f t="shared" si="11"/>
        <v>Green</v>
      </c>
      <c r="D226">
        <f t="shared" si="12"/>
        <v>1</v>
      </c>
      <c r="E226">
        <f t="shared" si="13"/>
        <v>2</v>
      </c>
      <c r="L226" s="32" t="s">
        <v>93</v>
      </c>
      <c r="M226" s="21">
        <v>0.1115878548276</v>
      </c>
      <c r="N226" s="21"/>
      <c r="O226" s="21">
        <v>0.1115878548276</v>
      </c>
    </row>
    <row r="227" spans="1:15" x14ac:dyDescent="0.25">
      <c r="A227" s="28">
        <v>38016</v>
      </c>
      <c r="B227" s="17">
        <v>1.7276387006114599E-2</v>
      </c>
      <c r="C227" t="str">
        <f t="shared" si="11"/>
        <v>Green</v>
      </c>
      <c r="D227">
        <f t="shared" si="12"/>
        <v>1</v>
      </c>
      <c r="E227">
        <f t="shared" si="13"/>
        <v>1</v>
      </c>
      <c r="L227" s="30" t="s">
        <v>156</v>
      </c>
      <c r="M227" s="21">
        <v>0.12940134739606335</v>
      </c>
      <c r="N227" s="21">
        <v>-8.3111975258926704E-2</v>
      </c>
      <c r="O227" s="21">
        <v>4.6289372137136645E-2</v>
      </c>
    </row>
    <row r="228" spans="1:15" x14ac:dyDescent="0.25">
      <c r="A228" s="28">
        <v>37986</v>
      </c>
      <c r="B228" s="17">
        <v>5.0765541001239298E-2</v>
      </c>
      <c r="C228" t="str">
        <f t="shared" si="11"/>
        <v>Green</v>
      </c>
      <c r="D228">
        <f t="shared" si="12"/>
        <v>1</v>
      </c>
      <c r="E228">
        <f t="shared" si="13"/>
        <v>12</v>
      </c>
      <c r="L228" s="32" t="s">
        <v>122</v>
      </c>
      <c r="M228" s="21"/>
      <c r="N228" s="21">
        <v>-1.9923750460799899E-2</v>
      </c>
      <c r="O228" s="21">
        <v>-1.9923750460799899E-2</v>
      </c>
    </row>
    <row r="229" spans="1:15" x14ac:dyDescent="0.25">
      <c r="A229" s="28">
        <v>37953</v>
      </c>
      <c r="B229" s="17">
        <v>7.1285038478854403E-3</v>
      </c>
      <c r="C229" t="str">
        <f t="shared" si="11"/>
        <v>Green</v>
      </c>
      <c r="D229">
        <f t="shared" si="12"/>
        <v>1</v>
      </c>
      <c r="E229">
        <f t="shared" si="13"/>
        <v>11</v>
      </c>
      <c r="L229" s="32" t="s">
        <v>123</v>
      </c>
      <c r="M229" s="21">
        <v>9.5895420754186205E-3</v>
      </c>
      <c r="N229" s="21"/>
      <c r="O229" s="21">
        <v>9.5895420754186205E-3</v>
      </c>
    </row>
    <row r="230" spans="1:15" x14ac:dyDescent="0.25">
      <c r="A230" s="28">
        <v>37925</v>
      </c>
      <c r="B230" s="17">
        <v>5.4961486384010702E-2</v>
      </c>
      <c r="C230" t="str">
        <f t="shared" si="11"/>
        <v>Green</v>
      </c>
      <c r="D230">
        <f t="shared" si="12"/>
        <v>1</v>
      </c>
      <c r="E230">
        <f t="shared" si="13"/>
        <v>10</v>
      </c>
      <c r="L230" s="32" t="s">
        <v>124</v>
      </c>
      <c r="M230" s="21"/>
      <c r="N230" s="21">
        <v>-2.1831862704186199E-2</v>
      </c>
      <c r="O230" s="21">
        <v>-2.1831862704186199E-2</v>
      </c>
    </row>
    <row r="231" spans="1:15" x14ac:dyDescent="0.25">
      <c r="A231" s="28">
        <v>37894</v>
      </c>
      <c r="B231" s="17">
        <v>-1.1944364520745199E-2</v>
      </c>
      <c r="C231" t="str">
        <f t="shared" si="11"/>
        <v>Red</v>
      </c>
      <c r="D231">
        <f t="shared" si="12"/>
        <v>0</v>
      </c>
      <c r="E231">
        <f t="shared" si="13"/>
        <v>9</v>
      </c>
      <c r="L231" s="32" t="s">
        <v>125</v>
      </c>
      <c r="M231" s="21">
        <v>2.78927145686407E-2</v>
      </c>
      <c r="N231" s="21"/>
      <c r="O231" s="21">
        <v>2.78927145686407E-2</v>
      </c>
    </row>
    <row r="232" spans="1:15" x14ac:dyDescent="0.25">
      <c r="A232" s="28">
        <v>37862</v>
      </c>
      <c r="B232" s="17">
        <v>1.7873203376464399E-2</v>
      </c>
      <c r="C232" t="str">
        <f t="shared" si="11"/>
        <v>Green</v>
      </c>
      <c r="D232">
        <f t="shared" si="12"/>
        <v>1</v>
      </c>
      <c r="E232">
        <f t="shared" si="13"/>
        <v>8</v>
      </c>
      <c r="L232" s="32" t="s">
        <v>126</v>
      </c>
      <c r="M232" s="21">
        <v>9.6395707538854403E-4</v>
      </c>
      <c r="N232" s="21"/>
      <c r="O232" s="21">
        <v>9.6395707538854403E-4</v>
      </c>
    </row>
    <row r="233" spans="1:15" x14ac:dyDescent="0.25">
      <c r="A233" s="28">
        <v>37833</v>
      </c>
      <c r="B233" s="17">
        <v>1.62237024114931E-2</v>
      </c>
      <c r="C233" t="str">
        <f t="shared" si="11"/>
        <v>Green</v>
      </c>
      <c r="D233">
        <f t="shared" si="12"/>
        <v>1</v>
      </c>
      <c r="E233">
        <f t="shared" si="13"/>
        <v>7</v>
      </c>
      <c r="L233" s="32" t="s">
        <v>127</v>
      </c>
      <c r="M233" s="21"/>
      <c r="N233" s="21">
        <v>-1.7358832059340301E-2</v>
      </c>
      <c r="O233" s="21">
        <v>-1.7358832059340301E-2</v>
      </c>
    </row>
    <row r="234" spans="1:15" x14ac:dyDescent="0.25">
      <c r="A234" s="28">
        <v>37802</v>
      </c>
      <c r="B234" s="17">
        <v>1.13222145251615E-2</v>
      </c>
      <c r="C234" t="str">
        <f t="shared" si="11"/>
        <v>Green</v>
      </c>
      <c r="D234">
        <f t="shared" si="12"/>
        <v>1</v>
      </c>
      <c r="E234">
        <f t="shared" si="13"/>
        <v>6</v>
      </c>
      <c r="L234" s="32" t="s">
        <v>128</v>
      </c>
      <c r="M234" s="21">
        <v>3.9373684053008097E-2</v>
      </c>
      <c r="N234" s="21"/>
      <c r="O234" s="21">
        <v>3.9373684053008097E-2</v>
      </c>
    </row>
    <row r="235" spans="1:15" x14ac:dyDescent="0.25">
      <c r="A235" s="28">
        <v>37771</v>
      </c>
      <c r="B235" s="17">
        <v>5.0898709664177998E-2</v>
      </c>
      <c r="C235" t="str">
        <f t="shared" si="11"/>
        <v>Green</v>
      </c>
      <c r="D235">
        <f t="shared" si="12"/>
        <v>1</v>
      </c>
      <c r="E235">
        <f t="shared" si="13"/>
        <v>5</v>
      </c>
      <c r="L235" s="32" t="s">
        <v>129</v>
      </c>
      <c r="M235" s="21"/>
      <c r="N235" s="21">
        <v>-2.3997530034600301E-2</v>
      </c>
      <c r="O235" s="21">
        <v>-2.3997530034600301E-2</v>
      </c>
    </row>
    <row r="236" spans="1:15" x14ac:dyDescent="0.25">
      <c r="A236" s="28">
        <v>37741</v>
      </c>
      <c r="B236" s="17">
        <v>8.1044106872726104E-2</v>
      </c>
      <c r="C236" t="str">
        <f t="shared" si="11"/>
        <v>Green</v>
      </c>
      <c r="D236">
        <f t="shared" si="12"/>
        <v>1</v>
      </c>
      <c r="E236">
        <f t="shared" si="13"/>
        <v>4</v>
      </c>
      <c r="L236" s="32" t="s">
        <v>107</v>
      </c>
      <c r="M236" s="21">
        <v>9.1055938195434595E-3</v>
      </c>
      <c r="N236" s="21"/>
      <c r="O236" s="21">
        <v>9.1055938195434595E-3</v>
      </c>
    </row>
    <row r="237" spans="1:15" x14ac:dyDescent="0.25">
      <c r="A237" s="28">
        <v>37711</v>
      </c>
      <c r="B237" s="17">
        <v>8.3575685661514392E-3</v>
      </c>
      <c r="C237" t="str">
        <f t="shared" si="11"/>
        <v>Green</v>
      </c>
      <c r="D237">
        <f t="shared" si="12"/>
        <v>1</v>
      </c>
      <c r="E237">
        <f t="shared" si="13"/>
        <v>3</v>
      </c>
      <c r="L237" s="32" t="s">
        <v>130</v>
      </c>
      <c r="M237" s="21">
        <v>2.1062829709799199E-3</v>
      </c>
      <c r="N237" s="21"/>
      <c r="O237" s="21">
        <v>2.1062829709799199E-3</v>
      </c>
    </row>
    <row r="238" spans="1:15" x14ac:dyDescent="0.25">
      <c r="A238" s="28">
        <v>37680</v>
      </c>
      <c r="B238" s="17">
        <v>-1.7003608502929399E-2</v>
      </c>
      <c r="C238" t="str">
        <f t="shared" si="11"/>
        <v>Red</v>
      </c>
      <c r="D238">
        <f t="shared" si="12"/>
        <v>0</v>
      </c>
      <c r="E238">
        <f t="shared" si="13"/>
        <v>2</v>
      </c>
      <c r="L238" s="32" t="s">
        <v>131</v>
      </c>
      <c r="M238" s="21">
        <v>3.02618066586238E-2</v>
      </c>
      <c r="N238" s="21"/>
      <c r="O238" s="21">
        <v>3.02618066586238E-2</v>
      </c>
    </row>
    <row r="239" spans="1:15" x14ac:dyDescent="0.25">
      <c r="A239" s="28">
        <v>37652</v>
      </c>
      <c r="B239" s="17">
        <v>-2.74146925599522E-2</v>
      </c>
      <c r="C239" t="str">
        <f t="shared" si="11"/>
        <v>Red</v>
      </c>
      <c r="D239">
        <f t="shared" si="12"/>
        <v>0</v>
      </c>
      <c r="E239">
        <f t="shared" si="13"/>
        <v>1</v>
      </c>
      <c r="L239" s="32" t="s">
        <v>93</v>
      </c>
      <c r="M239" s="21">
        <v>1.01077661744602E-2</v>
      </c>
      <c r="N239" s="21"/>
      <c r="O239" s="21">
        <v>1.01077661744602E-2</v>
      </c>
    </row>
    <row r="240" spans="1:15" x14ac:dyDescent="0.25">
      <c r="A240" s="28">
        <v>37621</v>
      </c>
      <c r="B240" s="17">
        <v>-6.0332572674290597E-2</v>
      </c>
      <c r="C240" t="str">
        <f t="shared" si="11"/>
        <v>Red</v>
      </c>
      <c r="D240">
        <f t="shared" si="12"/>
        <v>0</v>
      </c>
      <c r="E240">
        <f t="shared" si="13"/>
        <v>12</v>
      </c>
      <c r="L240" s="30" t="s">
        <v>99</v>
      </c>
      <c r="M240" s="21">
        <v>7.8232921000209982E-2</v>
      </c>
      <c r="N240" s="21">
        <v>-0.53277100444679415</v>
      </c>
      <c r="O240" s="21">
        <v>-0.4545380834465842</v>
      </c>
    </row>
    <row r="241" spans="1:15" x14ac:dyDescent="0.25">
      <c r="A241" s="28">
        <v>37589</v>
      </c>
      <c r="B241" s="17">
        <v>5.7069620923617899E-2</v>
      </c>
      <c r="C241" t="str">
        <f t="shared" si="11"/>
        <v>Green</v>
      </c>
      <c r="D241">
        <f t="shared" si="12"/>
        <v>1</v>
      </c>
      <c r="E241">
        <f t="shared" si="13"/>
        <v>11</v>
      </c>
      <c r="L241" s="32" t="s">
        <v>122</v>
      </c>
      <c r="M241" s="21"/>
      <c r="N241" s="21">
        <v>-6.1163431935936402E-2</v>
      </c>
      <c r="O241" s="21">
        <v>-6.1163431935936402E-2</v>
      </c>
    </row>
    <row r="242" spans="1:15" x14ac:dyDescent="0.25">
      <c r="A242" s="28">
        <v>37560</v>
      </c>
      <c r="B242" s="17">
        <v>8.6448801016809906E-2</v>
      </c>
      <c r="C242" t="str">
        <f t="shared" si="11"/>
        <v>Green</v>
      </c>
      <c r="D242">
        <f t="shared" si="12"/>
        <v>1</v>
      </c>
      <c r="E242">
        <f t="shared" si="13"/>
        <v>10</v>
      </c>
      <c r="L242" s="32" t="s">
        <v>123</v>
      </c>
      <c r="M242" s="21"/>
      <c r="N242" s="21">
        <v>-3.4761192772624502E-2</v>
      </c>
      <c r="O242" s="21">
        <v>-3.4761192772624502E-2</v>
      </c>
    </row>
    <row r="243" spans="1:15" x14ac:dyDescent="0.25">
      <c r="A243" s="28">
        <v>37529</v>
      </c>
      <c r="B243" s="17">
        <v>-0.110024318261519</v>
      </c>
      <c r="C243" t="str">
        <f t="shared" si="11"/>
        <v>Red</v>
      </c>
      <c r="D243">
        <f t="shared" si="12"/>
        <v>0</v>
      </c>
      <c r="E243">
        <f t="shared" si="13"/>
        <v>9</v>
      </c>
      <c r="L243" s="32" t="s">
        <v>124</v>
      </c>
      <c r="M243" s="21"/>
      <c r="N243" s="21">
        <v>-5.95962361452984E-3</v>
      </c>
      <c r="O243" s="21">
        <v>-5.95962361452984E-3</v>
      </c>
    </row>
    <row r="244" spans="1:15" x14ac:dyDescent="0.25">
      <c r="A244" s="28">
        <v>37498</v>
      </c>
      <c r="B244" s="17">
        <v>4.8814330800193203E-3</v>
      </c>
      <c r="C244" t="str">
        <f t="shared" si="11"/>
        <v>Green</v>
      </c>
      <c r="D244">
        <f t="shared" si="12"/>
        <v>1</v>
      </c>
      <c r="E244">
        <f t="shared" si="13"/>
        <v>8</v>
      </c>
      <c r="L244" s="32" t="s">
        <v>125</v>
      </c>
      <c r="M244" s="21">
        <v>4.7546697913198897E-2</v>
      </c>
      <c r="N244" s="21"/>
      <c r="O244" s="21">
        <v>4.7546697913198897E-2</v>
      </c>
    </row>
    <row r="245" spans="1:15" x14ac:dyDescent="0.25">
      <c r="A245" s="28">
        <v>37468</v>
      </c>
      <c r="B245" s="17">
        <v>-7.9004274966125304E-2</v>
      </c>
      <c r="C245" t="str">
        <f t="shared" si="11"/>
        <v>Red</v>
      </c>
      <c r="D245">
        <f t="shared" si="12"/>
        <v>0</v>
      </c>
      <c r="E245">
        <f t="shared" si="13"/>
        <v>7</v>
      </c>
      <c r="L245" s="32" t="s">
        <v>126</v>
      </c>
      <c r="M245" s="21">
        <v>1.06741816575771E-2</v>
      </c>
      <c r="N245" s="21"/>
      <c r="O245" s="21">
        <v>1.06741816575771E-2</v>
      </c>
    </row>
    <row r="246" spans="1:15" x14ac:dyDescent="0.25">
      <c r="A246" s="28">
        <v>37435</v>
      </c>
      <c r="B246" s="17">
        <v>-7.2455354417573697E-2</v>
      </c>
      <c r="C246" t="str">
        <f t="shared" si="11"/>
        <v>Red</v>
      </c>
      <c r="D246">
        <f t="shared" si="12"/>
        <v>0</v>
      </c>
      <c r="E246">
        <f t="shared" si="13"/>
        <v>6</v>
      </c>
      <c r="L246" s="32" t="s">
        <v>127</v>
      </c>
      <c r="M246" s="21"/>
      <c r="N246" s="21">
        <v>-8.5962384902803599E-2</v>
      </c>
      <c r="O246" s="21">
        <v>-8.5962384902803599E-2</v>
      </c>
    </row>
    <row r="247" spans="1:15" x14ac:dyDescent="0.25">
      <c r="A247" s="28">
        <v>37407</v>
      </c>
      <c r="B247" s="17">
        <v>-9.0814810760454501E-3</v>
      </c>
      <c r="C247" t="str">
        <f t="shared" si="11"/>
        <v>Red</v>
      </c>
      <c r="D247">
        <f t="shared" si="12"/>
        <v>0</v>
      </c>
      <c r="E247">
        <f t="shared" si="13"/>
        <v>5</v>
      </c>
      <c r="L247" s="32" t="s">
        <v>128</v>
      </c>
      <c r="M247" s="21"/>
      <c r="N247" s="21">
        <v>-9.8593710937500099E-3</v>
      </c>
      <c r="O247" s="21">
        <v>-9.8593710937500099E-3</v>
      </c>
    </row>
    <row r="248" spans="1:15" x14ac:dyDescent="0.25">
      <c r="A248" s="28">
        <v>37376</v>
      </c>
      <c r="B248" s="17">
        <v>-6.1417626159139899E-2</v>
      </c>
      <c r="C248" t="str">
        <f t="shared" si="11"/>
        <v>Red</v>
      </c>
      <c r="D248">
        <f t="shared" si="12"/>
        <v>0</v>
      </c>
      <c r="E248">
        <f t="shared" si="13"/>
        <v>4</v>
      </c>
      <c r="L248" s="32" t="s">
        <v>129</v>
      </c>
      <c r="M248" s="21">
        <v>1.2190464532379999E-2</v>
      </c>
      <c r="N248" s="21"/>
      <c r="O248" s="21">
        <v>1.2190464532379999E-2</v>
      </c>
    </row>
    <row r="249" spans="1:15" x14ac:dyDescent="0.25">
      <c r="A249" s="28">
        <v>37343</v>
      </c>
      <c r="B249" s="17">
        <v>3.67388936188391E-2</v>
      </c>
      <c r="C249" t="str">
        <f t="shared" si="11"/>
        <v>Green</v>
      </c>
      <c r="D249">
        <f t="shared" si="12"/>
        <v>1</v>
      </c>
      <c r="E249">
        <f t="shared" si="13"/>
        <v>3</v>
      </c>
      <c r="L249" s="32" t="s">
        <v>107</v>
      </c>
      <c r="M249" s="21"/>
      <c r="N249" s="21">
        <v>-9.0791433779084593E-2</v>
      </c>
      <c r="O249" s="21">
        <v>-9.0791433779084593E-2</v>
      </c>
    </row>
    <row r="250" spans="1:15" x14ac:dyDescent="0.25">
      <c r="A250" s="28">
        <v>37315</v>
      </c>
      <c r="B250" s="17">
        <v>-2.0766211305560299E-2</v>
      </c>
      <c r="C250" t="str">
        <f t="shared" si="11"/>
        <v>Red</v>
      </c>
      <c r="D250">
        <f t="shared" si="12"/>
        <v>0</v>
      </c>
      <c r="E250">
        <f t="shared" si="13"/>
        <v>2</v>
      </c>
      <c r="L250" s="32" t="s">
        <v>130</v>
      </c>
      <c r="M250" s="21"/>
      <c r="N250" s="21">
        <v>-0.16942452376742001</v>
      </c>
      <c r="O250" s="21">
        <v>-0.16942452376742001</v>
      </c>
    </row>
    <row r="251" spans="1:15" x14ac:dyDescent="0.25">
      <c r="A251" s="28">
        <v>37287</v>
      </c>
      <c r="B251" s="17">
        <v>-1.55738325597943E-2</v>
      </c>
      <c r="C251" t="str">
        <f t="shared" si="11"/>
        <v>Red</v>
      </c>
      <c r="D251">
        <f t="shared" si="12"/>
        <v>0</v>
      </c>
      <c r="E251">
        <f t="shared" si="13"/>
        <v>1</v>
      </c>
      <c r="L251" s="32" t="s">
        <v>131</v>
      </c>
      <c r="M251" s="21"/>
      <c r="N251" s="21">
        <v>-7.4849042580645203E-2</v>
      </c>
      <c r="O251" s="21">
        <v>-7.4849042580645203E-2</v>
      </c>
    </row>
    <row r="252" spans="1:15" x14ac:dyDescent="0.25">
      <c r="A252" s="28">
        <v>37256</v>
      </c>
      <c r="B252" s="17">
        <v>7.5738341929156797E-3</v>
      </c>
      <c r="C252" t="str">
        <f t="shared" si="11"/>
        <v>Green</v>
      </c>
      <c r="D252">
        <f t="shared" si="12"/>
        <v>1</v>
      </c>
      <c r="E252">
        <f t="shared" si="13"/>
        <v>12</v>
      </c>
      <c r="L252" s="32" t="s">
        <v>93</v>
      </c>
      <c r="M252" s="21">
        <v>7.8215768970539799E-3</v>
      </c>
      <c r="N252" s="21"/>
      <c r="O252" s="21">
        <v>7.8215768970539799E-3</v>
      </c>
    </row>
    <row r="253" spans="1:15" x14ac:dyDescent="0.25">
      <c r="A253" s="28">
        <v>37225</v>
      </c>
      <c r="B253" s="17">
        <v>7.5175904263053497E-2</v>
      </c>
      <c r="C253" t="str">
        <f t="shared" si="11"/>
        <v>Green</v>
      </c>
      <c r="D253">
        <f t="shared" si="12"/>
        <v>1</v>
      </c>
      <c r="E253">
        <f t="shared" si="13"/>
        <v>11</v>
      </c>
      <c r="L253" s="30" t="s">
        <v>100</v>
      </c>
      <c r="M253" s="21">
        <v>0.45116670948579218</v>
      </c>
      <c r="N253" s="21">
        <v>-0.21535054136022189</v>
      </c>
      <c r="O253" s="21">
        <v>0.23581616812557024</v>
      </c>
    </row>
    <row r="254" spans="1:15" x14ac:dyDescent="0.25">
      <c r="A254" s="28">
        <v>37195</v>
      </c>
      <c r="B254" s="17">
        <v>1.8099111445277798E-2</v>
      </c>
      <c r="C254" t="str">
        <f t="shared" si="11"/>
        <v>Green</v>
      </c>
      <c r="D254">
        <f t="shared" si="12"/>
        <v>1</v>
      </c>
      <c r="E254">
        <f t="shared" si="13"/>
        <v>10</v>
      </c>
      <c r="L254" s="32" t="s">
        <v>122</v>
      </c>
      <c r="M254" s="21"/>
      <c r="N254" s="21">
        <v>-8.5657342928314395E-2</v>
      </c>
      <c r="O254" s="21">
        <v>-8.5657342928314395E-2</v>
      </c>
    </row>
    <row r="255" spans="1:15" x14ac:dyDescent="0.25">
      <c r="A255" s="28">
        <v>37162</v>
      </c>
      <c r="B255" s="17">
        <v>-8.1723406019716199E-2</v>
      </c>
      <c r="C255" t="str">
        <f t="shared" si="11"/>
        <v>Red</v>
      </c>
      <c r="D255">
        <f t="shared" si="12"/>
        <v>0</v>
      </c>
      <c r="E255">
        <f t="shared" si="13"/>
        <v>9</v>
      </c>
      <c r="L255" s="32" t="s">
        <v>123</v>
      </c>
      <c r="M255" s="21"/>
      <c r="N255" s="21">
        <v>-0.109931197571492</v>
      </c>
      <c r="O255" s="21">
        <v>-0.109931197571492</v>
      </c>
    </row>
    <row r="256" spans="1:15" x14ac:dyDescent="0.25">
      <c r="A256" s="28">
        <v>37134</v>
      </c>
      <c r="B256" s="17">
        <v>-6.4108406563714707E-2</v>
      </c>
      <c r="C256" t="str">
        <f t="shared" si="11"/>
        <v>Red</v>
      </c>
      <c r="D256">
        <f t="shared" si="12"/>
        <v>0</v>
      </c>
      <c r="E256">
        <f t="shared" si="13"/>
        <v>8</v>
      </c>
      <c r="L256" s="32" t="s">
        <v>124</v>
      </c>
      <c r="M256" s="21">
        <v>8.5404461622494696E-2</v>
      </c>
      <c r="N256" s="21"/>
      <c r="O256" s="21">
        <v>8.5404461622494696E-2</v>
      </c>
    </row>
    <row r="257" spans="1:15" x14ac:dyDescent="0.25">
      <c r="A257" s="28">
        <v>37103</v>
      </c>
      <c r="B257" s="17">
        <v>-1.0740150072934201E-2</v>
      </c>
      <c r="C257" t="str">
        <f t="shared" si="11"/>
        <v>Red</v>
      </c>
      <c r="D257">
        <f t="shared" si="12"/>
        <v>0</v>
      </c>
      <c r="E257">
        <f t="shared" si="13"/>
        <v>7</v>
      </c>
      <c r="L257" s="32" t="s">
        <v>125</v>
      </c>
      <c r="M257" s="21">
        <v>9.3925079862164695E-2</v>
      </c>
      <c r="N257" s="21"/>
      <c r="O257" s="21">
        <v>9.3925079862164695E-2</v>
      </c>
    </row>
    <row r="258" spans="1:15" x14ac:dyDescent="0.25">
      <c r="A258" s="28">
        <v>37071</v>
      </c>
      <c r="B258" s="17">
        <v>-2.5035389109833502E-2</v>
      </c>
      <c r="C258" t="str">
        <f t="shared" si="11"/>
        <v>Red</v>
      </c>
      <c r="D258">
        <f t="shared" si="12"/>
        <v>0</v>
      </c>
      <c r="E258">
        <f t="shared" si="13"/>
        <v>6</v>
      </c>
      <c r="L258" s="32" t="s">
        <v>126</v>
      </c>
      <c r="M258" s="21">
        <v>5.3081446255385502E-2</v>
      </c>
      <c r="N258" s="21"/>
      <c r="O258" s="21">
        <v>5.3081446255385502E-2</v>
      </c>
    </row>
    <row r="259" spans="1:15" x14ac:dyDescent="0.25">
      <c r="A259" s="28">
        <v>37042</v>
      </c>
      <c r="B259" s="17">
        <v>5.0901871196495901E-3</v>
      </c>
      <c r="C259" t="str">
        <f t="shared" ref="C259:C322" si="14">IF(B259&gt;0,"Green","Red")</f>
        <v>Green</v>
      </c>
      <c r="D259">
        <f t="shared" si="12"/>
        <v>1</v>
      </c>
      <c r="E259">
        <f t="shared" si="13"/>
        <v>5</v>
      </c>
      <c r="L259" s="32" t="s">
        <v>127</v>
      </c>
      <c r="M259" s="21">
        <v>1.9582653030303401E-4</v>
      </c>
      <c r="N259" s="21"/>
      <c r="O259" s="21">
        <v>1.9582653030303401E-4</v>
      </c>
    </row>
    <row r="260" spans="1:15" x14ac:dyDescent="0.25">
      <c r="A260" s="28">
        <v>37011</v>
      </c>
      <c r="B260" s="17">
        <v>7.6814361759009797E-2</v>
      </c>
      <c r="C260" t="str">
        <f t="shared" si="14"/>
        <v>Green</v>
      </c>
      <c r="D260">
        <f t="shared" ref="D260:D323" si="15">IF(B260&gt;0,1,0)</f>
        <v>1</v>
      </c>
      <c r="E260">
        <f t="shared" ref="E260:E323" si="16">MONTH(A260)</f>
        <v>4</v>
      </c>
      <c r="L260" s="32" t="s">
        <v>128</v>
      </c>
      <c r="M260" s="21">
        <v>7.4141727016716605E-2</v>
      </c>
      <c r="N260" s="21"/>
      <c r="O260" s="21">
        <v>7.4141727016716605E-2</v>
      </c>
    </row>
    <row r="261" spans="1:15" x14ac:dyDescent="0.25">
      <c r="A261" s="28">
        <v>36980</v>
      </c>
      <c r="B261" s="17">
        <v>-6.4204710540895493E-2</v>
      </c>
      <c r="C261" t="str">
        <f t="shared" si="14"/>
        <v>Red</v>
      </c>
      <c r="D261">
        <f t="shared" si="15"/>
        <v>0</v>
      </c>
      <c r="E261">
        <f t="shared" si="16"/>
        <v>3</v>
      </c>
      <c r="L261" s="32" t="s">
        <v>129</v>
      </c>
      <c r="M261" s="21">
        <v>3.3560189240494899E-2</v>
      </c>
      <c r="N261" s="21"/>
      <c r="O261" s="21">
        <v>3.3560189240494899E-2</v>
      </c>
    </row>
    <row r="262" spans="1:15" x14ac:dyDescent="0.25">
      <c r="A262" s="28">
        <v>36950</v>
      </c>
      <c r="B262" s="17">
        <v>-9.2290735848999994E-2</v>
      </c>
      <c r="C262" t="str">
        <f t="shared" si="14"/>
        <v>Red</v>
      </c>
      <c r="D262">
        <f t="shared" si="15"/>
        <v>0</v>
      </c>
      <c r="E262">
        <f t="shared" si="16"/>
        <v>2</v>
      </c>
      <c r="L262" s="32" t="s">
        <v>107</v>
      </c>
      <c r="M262" s="21">
        <v>3.5723345788458698E-2</v>
      </c>
      <c r="N262" s="21"/>
      <c r="O262" s="21">
        <v>3.5723345788458698E-2</v>
      </c>
    </row>
    <row r="263" spans="1:15" x14ac:dyDescent="0.25">
      <c r="A263" s="28">
        <v>36922</v>
      </c>
      <c r="B263" s="17">
        <v>3.4636577086329501E-2</v>
      </c>
      <c r="C263" t="str">
        <f t="shared" si="14"/>
        <v>Green</v>
      </c>
      <c r="D263">
        <f t="shared" si="15"/>
        <v>1</v>
      </c>
      <c r="E263">
        <f t="shared" si="16"/>
        <v>1</v>
      </c>
      <c r="L263" s="32" t="s">
        <v>130</v>
      </c>
      <c r="M263" s="21"/>
      <c r="N263" s="21">
        <v>-1.9762000860415501E-2</v>
      </c>
      <c r="O263" s="21">
        <v>-1.9762000860415501E-2</v>
      </c>
    </row>
    <row r="264" spans="1:15" x14ac:dyDescent="0.25">
      <c r="A264" s="28">
        <v>36889</v>
      </c>
      <c r="B264" s="17">
        <v>4.0534455291978402E-3</v>
      </c>
      <c r="C264" t="str">
        <f t="shared" si="14"/>
        <v>Green</v>
      </c>
      <c r="D264">
        <f t="shared" si="15"/>
        <v>1</v>
      </c>
      <c r="E264">
        <f t="shared" si="16"/>
        <v>12</v>
      </c>
      <c r="L264" s="32" t="s">
        <v>131</v>
      </c>
      <c r="M264" s="21">
        <v>5.7364061981373601E-2</v>
      </c>
      <c r="N264" s="21"/>
      <c r="O264" s="21">
        <v>5.7364061981373601E-2</v>
      </c>
    </row>
    <row r="265" spans="1:15" x14ac:dyDescent="0.25">
      <c r="A265" s="28">
        <v>36860</v>
      </c>
      <c r="B265" s="17">
        <v>-8.0068609961069903E-2</v>
      </c>
      <c r="C265" t="str">
        <f t="shared" si="14"/>
        <v>Red</v>
      </c>
      <c r="D265">
        <f t="shared" si="15"/>
        <v>0</v>
      </c>
      <c r="E265">
        <f t="shared" si="16"/>
        <v>11</v>
      </c>
      <c r="L265" s="32" t="s">
        <v>93</v>
      </c>
      <c r="M265" s="21">
        <v>1.7770571188400398E-2</v>
      </c>
      <c r="N265" s="21"/>
      <c r="O265" s="21">
        <v>1.7770571188400398E-2</v>
      </c>
    </row>
    <row r="266" spans="1:15" x14ac:dyDescent="0.25">
      <c r="A266" s="28">
        <v>36830</v>
      </c>
      <c r="B266" s="17">
        <v>-4.9494858723608797E-3</v>
      </c>
      <c r="C266" t="str">
        <f t="shared" si="14"/>
        <v>Red</v>
      </c>
      <c r="D266">
        <f t="shared" si="15"/>
        <v>0</v>
      </c>
      <c r="E266">
        <f t="shared" si="16"/>
        <v>10</v>
      </c>
      <c r="L266" s="30" t="s">
        <v>105</v>
      </c>
      <c r="M266" s="21">
        <v>0.31315112466497275</v>
      </c>
      <c r="N266" s="21">
        <v>-6.7039535810137871E-2</v>
      </c>
      <c r="O266" s="21">
        <v>0.24611158885483486</v>
      </c>
    </row>
    <row r="267" spans="1:15" x14ac:dyDescent="0.25">
      <c r="A267" s="28">
        <v>36798</v>
      </c>
      <c r="B267" s="17">
        <v>-5.3482974745611297E-2</v>
      </c>
      <c r="C267" t="str">
        <f t="shared" si="14"/>
        <v>Red</v>
      </c>
      <c r="D267">
        <f t="shared" si="15"/>
        <v>0</v>
      </c>
      <c r="E267">
        <f t="shared" si="16"/>
        <v>9</v>
      </c>
      <c r="L267" s="32" t="s">
        <v>122</v>
      </c>
      <c r="M267" s="21"/>
      <c r="N267" s="21">
        <v>-1.11366607232312E-2</v>
      </c>
      <c r="O267" s="21">
        <v>-1.11366607232312E-2</v>
      </c>
    </row>
    <row r="268" spans="1:15" x14ac:dyDescent="0.25">
      <c r="A268" s="28">
        <v>36769</v>
      </c>
      <c r="B268" s="17">
        <v>6.0699105184235998E-2</v>
      </c>
      <c r="C268" t="str">
        <f t="shared" si="14"/>
        <v>Green</v>
      </c>
      <c r="D268">
        <f t="shared" si="15"/>
        <v>1</v>
      </c>
      <c r="E268">
        <f t="shared" si="16"/>
        <v>8</v>
      </c>
      <c r="L268" s="32" t="s">
        <v>123</v>
      </c>
      <c r="M268" s="21">
        <v>2.60914513496475E-2</v>
      </c>
      <c r="N268" s="21"/>
      <c r="O268" s="21">
        <v>2.60914513496475E-2</v>
      </c>
    </row>
    <row r="269" spans="1:15" x14ac:dyDescent="0.25">
      <c r="A269" s="28">
        <v>36738</v>
      </c>
      <c r="B269" s="17">
        <v>-1.6341276221772699E-2</v>
      </c>
      <c r="C269" t="str">
        <f t="shared" si="14"/>
        <v>Red</v>
      </c>
      <c r="D269">
        <f t="shared" si="15"/>
        <v>0</v>
      </c>
      <c r="E269">
        <f t="shared" si="16"/>
        <v>7</v>
      </c>
      <c r="L269" s="32" t="s">
        <v>124</v>
      </c>
      <c r="M269" s="21">
        <v>4.24386327378838E-2</v>
      </c>
      <c r="N269" s="21"/>
      <c r="O269" s="21">
        <v>4.24386327378838E-2</v>
      </c>
    </row>
    <row r="270" spans="1:15" x14ac:dyDescent="0.25">
      <c r="A270" s="28">
        <v>36707</v>
      </c>
      <c r="B270" s="17">
        <v>2.3933549608901299E-2</v>
      </c>
      <c r="C270" t="str">
        <f t="shared" si="14"/>
        <v>Green</v>
      </c>
      <c r="D270">
        <f t="shared" si="15"/>
        <v>1</v>
      </c>
      <c r="E270">
        <f t="shared" si="16"/>
        <v>6</v>
      </c>
      <c r="L270" s="32" t="s">
        <v>125</v>
      </c>
      <c r="M270" s="21">
        <v>5.2425321267266303E-2</v>
      </c>
      <c r="N270" s="21"/>
      <c r="O270" s="21">
        <v>5.2425321267266303E-2</v>
      </c>
    </row>
    <row r="271" spans="1:15" x14ac:dyDescent="0.25">
      <c r="A271" s="28">
        <v>36677</v>
      </c>
      <c r="B271" s="17">
        <v>-2.1915050512993601E-2</v>
      </c>
      <c r="C271" t="str">
        <f t="shared" si="14"/>
        <v>Red</v>
      </c>
      <c r="D271">
        <f t="shared" si="15"/>
        <v>0</v>
      </c>
      <c r="E271">
        <f t="shared" si="16"/>
        <v>5</v>
      </c>
      <c r="L271" s="32" t="s">
        <v>126</v>
      </c>
      <c r="M271" s="21">
        <v>5.4864885732810497E-3</v>
      </c>
      <c r="N271" s="21"/>
      <c r="O271" s="21">
        <v>5.4864885732810497E-3</v>
      </c>
    </row>
    <row r="272" spans="1:15" x14ac:dyDescent="0.25">
      <c r="A272" s="28">
        <v>36644</v>
      </c>
      <c r="B272" s="17">
        <v>-3.0795755551931401E-2</v>
      </c>
      <c r="C272" t="str">
        <f t="shared" si="14"/>
        <v>Red</v>
      </c>
      <c r="D272">
        <f t="shared" si="15"/>
        <v>0</v>
      </c>
      <c r="E272">
        <f t="shared" si="16"/>
        <v>4</v>
      </c>
      <c r="L272" s="32" t="s">
        <v>127</v>
      </c>
      <c r="M272" s="21">
        <v>2.2214009634219802E-2</v>
      </c>
      <c r="N272" s="21"/>
      <c r="O272" s="21">
        <v>2.2214009634219802E-2</v>
      </c>
    </row>
    <row r="273" spans="1:15" x14ac:dyDescent="0.25">
      <c r="A273" s="28">
        <v>36616</v>
      </c>
      <c r="B273" s="17">
        <v>9.6719828269732397E-2</v>
      </c>
      <c r="C273" t="str">
        <f t="shared" si="14"/>
        <v>Green</v>
      </c>
      <c r="D273">
        <f t="shared" si="15"/>
        <v>1</v>
      </c>
      <c r="E273">
        <f t="shared" si="16"/>
        <v>3</v>
      </c>
      <c r="L273" s="32" t="s">
        <v>128</v>
      </c>
      <c r="M273" s="21">
        <v>2.2748054915648699E-2</v>
      </c>
      <c r="N273" s="21"/>
      <c r="O273" s="21">
        <v>2.2748054915648699E-2</v>
      </c>
    </row>
    <row r="274" spans="1:15" x14ac:dyDescent="0.25">
      <c r="A274" s="28">
        <v>36585</v>
      </c>
      <c r="B274" s="17">
        <v>-2.0108083261058299E-2</v>
      </c>
      <c r="C274" t="str">
        <f t="shared" si="14"/>
        <v>Red</v>
      </c>
      <c r="D274">
        <f t="shared" si="15"/>
        <v>0</v>
      </c>
      <c r="E274">
        <f t="shared" si="16"/>
        <v>2</v>
      </c>
      <c r="L274" s="32" t="s">
        <v>129</v>
      </c>
      <c r="M274" s="21">
        <v>2.8990416217415299E-2</v>
      </c>
      <c r="N274" s="21"/>
      <c r="O274" s="21">
        <v>2.8990416217415299E-2</v>
      </c>
    </row>
    <row r="275" spans="1:15" x14ac:dyDescent="0.25">
      <c r="A275" s="28">
        <v>36556</v>
      </c>
      <c r="B275" s="17">
        <v>-5.0903548749361899E-2</v>
      </c>
      <c r="C275" t="str">
        <f t="shared" si="14"/>
        <v>Red</v>
      </c>
      <c r="D275">
        <f t="shared" si="15"/>
        <v>0</v>
      </c>
      <c r="E275">
        <f t="shared" si="16"/>
        <v>1</v>
      </c>
      <c r="L275" s="32" t="s">
        <v>107</v>
      </c>
      <c r="M275" s="21"/>
      <c r="N275" s="21">
        <v>-4.75691688617867E-2</v>
      </c>
      <c r="O275" s="21">
        <v>-4.75691688617867E-2</v>
      </c>
    </row>
    <row r="276" spans="1:15" x14ac:dyDescent="0.25">
      <c r="A276" s="28">
        <v>36525</v>
      </c>
      <c r="B276" s="17">
        <v>5.7843894876779399E-2</v>
      </c>
      <c r="C276" t="str">
        <f t="shared" si="14"/>
        <v>Green</v>
      </c>
      <c r="D276">
        <f t="shared" si="15"/>
        <v>1</v>
      </c>
      <c r="E276">
        <f t="shared" si="16"/>
        <v>12</v>
      </c>
      <c r="L276" s="32" t="s">
        <v>130</v>
      </c>
      <c r="M276" s="21">
        <v>6.9143836459647501E-2</v>
      </c>
      <c r="N276" s="21"/>
      <c r="O276" s="21">
        <v>6.9143836459647501E-2</v>
      </c>
    </row>
    <row r="277" spans="1:15" x14ac:dyDescent="0.25">
      <c r="A277" s="28">
        <v>36494</v>
      </c>
      <c r="B277" s="17">
        <v>1.9061858621249601E-2</v>
      </c>
      <c r="C277" t="str">
        <f t="shared" si="14"/>
        <v>Green</v>
      </c>
      <c r="D277">
        <f t="shared" si="15"/>
        <v>1</v>
      </c>
      <c r="E277">
        <f t="shared" si="16"/>
        <v>11</v>
      </c>
      <c r="L277" s="32" t="s">
        <v>131</v>
      </c>
      <c r="M277" s="21"/>
      <c r="N277" s="21">
        <v>-8.3337062251199693E-3</v>
      </c>
      <c r="O277" s="21">
        <v>-8.3337062251199693E-3</v>
      </c>
    </row>
    <row r="278" spans="1:15" x14ac:dyDescent="0.25">
      <c r="A278" s="28">
        <v>36462</v>
      </c>
      <c r="B278" s="17">
        <v>6.2539541625965298E-2</v>
      </c>
      <c r="C278" t="str">
        <f t="shared" si="14"/>
        <v>Green</v>
      </c>
      <c r="D278">
        <f t="shared" si="15"/>
        <v>1</v>
      </c>
      <c r="E278">
        <f t="shared" si="16"/>
        <v>10</v>
      </c>
      <c r="L278" s="32" t="s">
        <v>93</v>
      </c>
      <c r="M278" s="21">
        <v>4.3612913509962797E-2</v>
      </c>
      <c r="N278" s="21"/>
      <c r="O278" s="21">
        <v>4.3612913509962797E-2</v>
      </c>
    </row>
    <row r="279" spans="1:15" x14ac:dyDescent="0.25">
      <c r="A279" s="28">
        <v>36433</v>
      </c>
      <c r="B279" s="17">
        <v>-2.85517922684916E-2</v>
      </c>
      <c r="C279" t="str">
        <f t="shared" si="14"/>
        <v>Red</v>
      </c>
      <c r="D279">
        <f t="shared" si="15"/>
        <v>0</v>
      </c>
      <c r="E279">
        <f t="shared" si="16"/>
        <v>9</v>
      </c>
      <c r="L279" s="30" t="s">
        <v>106</v>
      </c>
      <c r="M279" s="21">
        <v>0.12694285763875218</v>
      </c>
      <c r="N279" s="21">
        <v>-0.39165816688470173</v>
      </c>
      <c r="O279" s="21">
        <v>-0.26471530924594955</v>
      </c>
    </row>
    <row r="280" spans="1:15" x14ac:dyDescent="0.25">
      <c r="A280" s="28">
        <v>36403</v>
      </c>
      <c r="B280" s="17">
        <v>-6.2540920445004504E-3</v>
      </c>
      <c r="C280" t="str">
        <f t="shared" si="14"/>
        <v>Red</v>
      </c>
      <c r="D280">
        <f t="shared" si="15"/>
        <v>0</v>
      </c>
      <c r="E280">
        <f t="shared" si="16"/>
        <v>8</v>
      </c>
      <c r="L280" s="32" t="s">
        <v>122</v>
      </c>
      <c r="M280" s="21"/>
      <c r="N280" s="21">
        <v>-5.2585165005310602E-2</v>
      </c>
      <c r="O280" s="21">
        <v>-5.2585165005310602E-2</v>
      </c>
    </row>
    <row r="281" spans="1:15" x14ac:dyDescent="0.25">
      <c r="A281" s="28">
        <v>36371</v>
      </c>
      <c r="B281" s="17">
        <v>-3.2046092218893797E-2</v>
      </c>
      <c r="C281" t="str">
        <f t="shared" si="14"/>
        <v>Red</v>
      </c>
      <c r="D281">
        <f t="shared" si="15"/>
        <v>0</v>
      </c>
      <c r="E281">
        <f t="shared" si="16"/>
        <v>7</v>
      </c>
      <c r="L281" s="32" t="s">
        <v>123</v>
      </c>
      <c r="M281" s="21"/>
      <c r="N281" s="21">
        <v>-3.1360492102910101E-2</v>
      </c>
      <c r="O281" s="21">
        <v>-3.1360492102910101E-2</v>
      </c>
    </row>
    <row r="282" spans="1:15" x14ac:dyDescent="0.25">
      <c r="A282" s="28">
        <v>36341</v>
      </c>
      <c r="B282" s="17">
        <v>5.4438331016794198E-2</v>
      </c>
      <c r="C282" t="str">
        <f t="shared" si="14"/>
        <v>Green</v>
      </c>
      <c r="D282">
        <f t="shared" si="15"/>
        <v>1</v>
      </c>
      <c r="E282">
        <f t="shared" si="16"/>
        <v>6</v>
      </c>
      <c r="L282" s="32" t="s">
        <v>124</v>
      </c>
      <c r="M282" s="21">
        <v>3.5773288410591901E-2</v>
      </c>
      <c r="N282" s="21"/>
      <c r="O282" s="21">
        <v>3.5773288410591901E-2</v>
      </c>
    </row>
    <row r="283" spans="1:15" x14ac:dyDescent="0.25">
      <c r="A283" s="28">
        <v>36308</v>
      </c>
      <c r="B283" s="17">
        <v>-2.4970480872686801E-2</v>
      </c>
      <c r="C283" t="str">
        <f t="shared" si="14"/>
        <v>Red</v>
      </c>
      <c r="D283">
        <f t="shared" si="15"/>
        <v>0</v>
      </c>
      <c r="E283">
        <f t="shared" si="16"/>
        <v>5</v>
      </c>
      <c r="L283" s="32" t="s">
        <v>125</v>
      </c>
      <c r="M283" s="21"/>
      <c r="N283" s="21">
        <v>-8.7956711705729301E-2</v>
      </c>
      <c r="O283" s="21">
        <v>-8.7956711705729301E-2</v>
      </c>
    </row>
    <row r="284" spans="1:15" x14ac:dyDescent="0.25">
      <c r="A284" s="28">
        <v>36280</v>
      </c>
      <c r="B284" s="17">
        <v>3.7944027915545402E-2</v>
      </c>
      <c r="C284" t="str">
        <f t="shared" si="14"/>
        <v>Green</v>
      </c>
      <c r="D284">
        <f t="shared" si="15"/>
        <v>1</v>
      </c>
      <c r="E284">
        <f t="shared" si="16"/>
        <v>4</v>
      </c>
      <c r="L284" s="32" t="s">
        <v>126</v>
      </c>
      <c r="M284" s="21">
        <v>5.3177568506868103E-5</v>
      </c>
      <c r="N284" s="21"/>
      <c r="O284" s="21">
        <v>5.3177568506868103E-5</v>
      </c>
    </row>
    <row r="285" spans="1:15" x14ac:dyDescent="0.25">
      <c r="A285" s="28">
        <v>36250</v>
      </c>
      <c r="B285" s="17">
        <v>3.8794215360158799E-2</v>
      </c>
      <c r="C285" t="str">
        <f t="shared" si="14"/>
        <v>Green</v>
      </c>
      <c r="D285">
        <f t="shared" si="15"/>
        <v>1</v>
      </c>
      <c r="E285">
        <f t="shared" si="16"/>
        <v>3</v>
      </c>
      <c r="L285" s="32" t="s">
        <v>127</v>
      </c>
      <c r="M285" s="21"/>
      <c r="N285" s="21">
        <v>-8.3919999812243101E-2</v>
      </c>
      <c r="O285" s="21">
        <v>-8.3919999812243101E-2</v>
      </c>
    </row>
    <row r="286" spans="1:15" x14ac:dyDescent="0.25">
      <c r="A286" s="28">
        <v>36217</v>
      </c>
      <c r="B286" s="17">
        <v>-3.2282562686194102E-2</v>
      </c>
      <c r="C286" t="str">
        <f t="shared" si="14"/>
        <v>Red</v>
      </c>
      <c r="D286">
        <f t="shared" si="15"/>
        <v>0</v>
      </c>
      <c r="E286">
        <f t="shared" si="16"/>
        <v>2</v>
      </c>
      <c r="L286" s="32" t="s">
        <v>128</v>
      </c>
      <c r="M286" s="21">
        <v>9.1116391659653406E-2</v>
      </c>
      <c r="N286" s="21"/>
      <c r="O286" s="21">
        <v>9.1116391659653406E-2</v>
      </c>
    </row>
    <row r="287" spans="1:15" x14ac:dyDescent="0.25">
      <c r="A287" s="28">
        <v>36189</v>
      </c>
      <c r="B287" s="17">
        <v>4.1009441536725297E-2</v>
      </c>
      <c r="C287" t="str">
        <f t="shared" si="14"/>
        <v>Green</v>
      </c>
      <c r="D287">
        <f t="shared" si="15"/>
        <v>1</v>
      </c>
      <c r="E287">
        <f t="shared" si="16"/>
        <v>1</v>
      </c>
      <c r="L287" s="32" t="s">
        <v>129</v>
      </c>
      <c r="M287" s="21"/>
      <c r="N287" s="21">
        <v>-4.2440128258508597E-2</v>
      </c>
      <c r="O287" s="21">
        <v>-4.2440128258508597E-2</v>
      </c>
    </row>
    <row r="288" spans="1:15" x14ac:dyDescent="0.25">
      <c r="A288" s="28">
        <v>36160</v>
      </c>
      <c r="B288" s="17">
        <v>5.63752865757359E-2</v>
      </c>
      <c r="C288" t="str">
        <f t="shared" si="14"/>
        <v>Green</v>
      </c>
      <c r="D288">
        <f t="shared" si="15"/>
        <v>1</v>
      </c>
      <c r="E288">
        <f t="shared" si="16"/>
        <v>12</v>
      </c>
      <c r="L288" s="32" t="s">
        <v>107</v>
      </c>
      <c r="M288" s="21"/>
      <c r="N288" s="21">
        <v>-9.339567E-2</v>
      </c>
      <c r="O288" s="21">
        <v>-9.339567E-2</v>
      </c>
    </row>
    <row r="289" spans="1:15" x14ac:dyDescent="0.25">
      <c r="A289" s="28">
        <v>36129</v>
      </c>
      <c r="B289" s="17">
        <v>5.91259963396253E-2</v>
      </c>
      <c r="C289" t="str">
        <f t="shared" si="14"/>
        <v>Green</v>
      </c>
      <c r="D289">
        <f t="shared" si="15"/>
        <v>1</v>
      </c>
      <c r="E289">
        <f t="shared" si="16"/>
        <v>11</v>
      </c>
      <c r="L289" s="30" t="s">
        <v>92</v>
      </c>
      <c r="M289" s="21">
        <v>5.1348731496515798</v>
      </c>
      <c r="N289" s="21">
        <v>-4.2581803315189664</v>
      </c>
      <c r="O289" s="21">
        <v>0.87669281813261313</v>
      </c>
    </row>
    <row r="290" spans="1:15" x14ac:dyDescent="0.25">
      <c r="A290" s="28">
        <v>36098</v>
      </c>
      <c r="B290" s="17">
        <v>8.0294228372442406E-2</v>
      </c>
      <c r="C290" t="str">
        <f t="shared" si="14"/>
        <v>Green</v>
      </c>
      <c r="D290">
        <f t="shared" si="15"/>
        <v>1</v>
      </c>
      <c r="E290">
        <f t="shared" si="16"/>
        <v>10</v>
      </c>
    </row>
    <row r="291" spans="1:15" x14ac:dyDescent="0.25">
      <c r="A291" s="28">
        <v>36068</v>
      </c>
      <c r="B291" s="17">
        <v>6.2395515617718902E-2</v>
      </c>
      <c r="C291" t="str">
        <f t="shared" si="14"/>
        <v>Green</v>
      </c>
      <c r="D291">
        <f t="shared" si="15"/>
        <v>1</v>
      </c>
      <c r="E291">
        <f t="shared" si="16"/>
        <v>9</v>
      </c>
    </row>
    <row r="292" spans="1:15" x14ac:dyDescent="0.25">
      <c r="A292" s="28">
        <v>36038</v>
      </c>
      <c r="B292" s="17">
        <v>-0.14579671855670701</v>
      </c>
      <c r="C292" t="str">
        <f t="shared" si="14"/>
        <v>Red</v>
      </c>
      <c r="D292">
        <f t="shared" si="15"/>
        <v>0</v>
      </c>
      <c r="E292">
        <f t="shared" si="16"/>
        <v>8</v>
      </c>
    </row>
    <row r="293" spans="1:15" x14ac:dyDescent="0.25">
      <c r="A293" s="28">
        <v>36007</v>
      </c>
      <c r="B293" s="17">
        <v>-1.1615327025789501E-2</v>
      </c>
      <c r="C293" t="str">
        <f t="shared" si="14"/>
        <v>Red</v>
      </c>
      <c r="D293">
        <f t="shared" si="15"/>
        <v>0</v>
      </c>
      <c r="E293">
        <f t="shared" si="16"/>
        <v>7</v>
      </c>
    </row>
    <row r="294" spans="1:15" x14ac:dyDescent="0.25">
      <c r="A294" s="28">
        <v>35976</v>
      </c>
      <c r="B294" s="17">
        <v>3.9438241075214098E-2</v>
      </c>
      <c r="C294" t="str">
        <f t="shared" si="14"/>
        <v>Green</v>
      </c>
      <c r="D294">
        <f t="shared" si="15"/>
        <v>1</v>
      </c>
      <c r="E294">
        <f t="shared" si="16"/>
        <v>6</v>
      </c>
    </row>
    <row r="295" spans="1:15" x14ac:dyDescent="0.25">
      <c r="A295" s="28">
        <v>35944</v>
      </c>
      <c r="B295" s="17">
        <v>-1.8826223521475099E-2</v>
      </c>
      <c r="C295" t="str">
        <f t="shared" si="14"/>
        <v>Red</v>
      </c>
      <c r="D295">
        <f t="shared" si="15"/>
        <v>0</v>
      </c>
      <c r="E295">
        <f t="shared" si="16"/>
        <v>5</v>
      </c>
    </row>
    <row r="296" spans="1:15" x14ac:dyDescent="0.25">
      <c r="A296" s="28">
        <v>35915</v>
      </c>
      <c r="B296" s="17">
        <v>9.0764692534604004E-3</v>
      </c>
      <c r="C296" t="str">
        <f t="shared" si="14"/>
        <v>Green</v>
      </c>
      <c r="D296">
        <f t="shared" si="15"/>
        <v>1</v>
      </c>
      <c r="E296">
        <f t="shared" si="16"/>
        <v>4</v>
      </c>
    </row>
    <row r="297" spans="1:15" x14ac:dyDescent="0.25">
      <c r="A297" s="28">
        <v>35885</v>
      </c>
      <c r="B297" s="17">
        <v>4.9945714161429497E-2</v>
      </c>
      <c r="C297" t="str">
        <f t="shared" si="14"/>
        <v>Green</v>
      </c>
      <c r="D297">
        <f t="shared" si="15"/>
        <v>1</v>
      </c>
      <c r="E297">
        <f t="shared" si="16"/>
        <v>3</v>
      </c>
    </row>
    <row r="298" spans="1:15" x14ac:dyDescent="0.25">
      <c r="A298" s="28">
        <v>35853</v>
      </c>
      <c r="B298" s="17">
        <v>7.0449193043797195E-2</v>
      </c>
      <c r="C298" t="str">
        <f t="shared" si="14"/>
        <v>Green</v>
      </c>
      <c r="D298">
        <f t="shared" si="15"/>
        <v>1</v>
      </c>
      <c r="E298">
        <f t="shared" si="16"/>
        <v>2</v>
      </c>
    </row>
    <row r="299" spans="1:15" x14ac:dyDescent="0.25">
      <c r="A299" s="28">
        <v>35825</v>
      </c>
      <c r="B299" s="17">
        <v>1.01501767989975E-2</v>
      </c>
      <c r="C299" t="str">
        <f t="shared" si="14"/>
        <v>Green</v>
      </c>
      <c r="D299">
        <f t="shared" si="15"/>
        <v>1</v>
      </c>
      <c r="E299">
        <f t="shared" si="16"/>
        <v>1</v>
      </c>
    </row>
    <row r="300" spans="1:15" x14ac:dyDescent="0.25">
      <c r="A300" s="28">
        <v>35795</v>
      </c>
      <c r="B300" s="17">
        <v>1.5731597888257998E-2</v>
      </c>
      <c r="C300" t="str">
        <f t="shared" si="14"/>
        <v>Green</v>
      </c>
      <c r="D300">
        <f t="shared" si="15"/>
        <v>1</v>
      </c>
      <c r="E300">
        <f t="shared" si="16"/>
        <v>12</v>
      </c>
    </row>
    <row r="301" spans="1:15" x14ac:dyDescent="0.25">
      <c r="A301" s="28">
        <v>35762</v>
      </c>
      <c r="B301" s="17">
        <v>4.4586854893763801E-2</v>
      </c>
      <c r="C301" t="str">
        <f t="shared" si="14"/>
        <v>Green</v>
      </c>
      <c r="D301">
        <f t="shared" si="15"/>
        <v>1</v>
      </c>
      <c r="E301">
        <f t="shared" si="16"/>
        <v>11</v>
      </c>
    </row>
    <row r="302" spans="1:15" x14ac:dyDescent="0.25">
      <c r="A302" s="28">
        <v>35734</v>
      </c>
      <c r="B302" s="17">
        <v>-3.4477697196337802E-2</v>
      </c>
      <c r="C302" t="str">
        <f t="shared" si="14"/>
        <v>Red</v>
      </c>
      <c r="D302">
        <f t="shared" si="15"/>
        <v>0</v>
      </c>
      <c r="E302">
        <f t="shared" si="16"/>
        <v>10</v>
      </c>
    </row>
    <row r="303" spans="1:15" x14ac:dyDescent="0.25">
      <c r="A303" s="28">
        <v>35703</v>
      </c>
      <c r="B303" s="17">
        <v>5.3153589937912499E-2</v>
      </c>
      <c r="C303" t="str">
        <f t="shared" si="14"/>
        <v>Green</v>
      </c>
      <c r="D303">
        <f t="shared" si="15"/>
        <v>1</v>
      </c>
      <c r="E303">
        <f t="shared" si="16"/>
        <v>9</v>
      </c>
    </row>
    <row r="304" spans="1:15" x14ac:dyDescent="0.25">
      <c r="A304" s="28">
        <v>35671</v>
      </c>
      <c r="B304" s="17">
        <v>-5.7465631833399297E-2</v>
      </c>
      <c r="C304" t="str">
        <f t="shared" si="14"/>
        <v>Red</v>
      </c>
      <c r="D304">
        <f t="shared" si="15"/>
        <v>0</v>
      </c>
      <c r="E304">
        <f t="shared" si="16"/>
        <v>8</v>
      </c>
    </row>
    <row r="305" spans="1:5" x14ac:dyDescent="0.25">
      <c r="A305" s="28">
        <v>35642</v>
      </c>
      <c r="B305" s="17">
        <v>7.8145809507889102E-2</v>
      </c>
      <c r="C305" t="str">
        <f t="shared" si="14"/>
        <v>Green</v>
      </c>
      <c r="D305">
        <f t="shared" si="15"/>
        <v>1</v>
      </c>
      <c r="E305">
        <f t="shared" si="16"/>
        <v>7</v>
      </c>
    </row>
    <row r="306" spans="1:5" x14ac:dyDescent="0.25">
      <c r="A306" s="28">
        <v>35611</v>
      </c>
      <c r="B306" s="17">
        <v>4.3452615574897498E-2</v>
      </c>
      <c r="C306" t="str">
        <f t="shared" si="14"/>
        <v>Green</v>
      </c>
      <c r="D306">
        <f t="shared" si="15"/>
        <v>1</v>
      </c>
      <c r="E306">
        <f t="shared" si="16"/>
        <v>6</v>
      </c>
    </row>
    <row r="307" spans="1:5" x14ac:dyDescent="0.25">
      <c r="A307" s="28">
        <v>35580</v>
      </c>
      <c r="B307" s="17">
        <v>5.8576884241924997E-2</v>
      </c>
      <c r="C307" t="str">
        <f t="shared" si="14"/>
        <v>Green</v>
      </c>
      <c r="D307">
        <f t="shared" si="15"/>
        <v>1</v>
      </c>
      <c r="E307">
        <f t="shared" si="16"/>
        <v>5</v>
      </c>
    </row>
    <row r="308" spans="1:5" x14ac:dyDescent="0.25">
      <c r="A308" s="28">
        <v>35550</v>
      </c>
      <c r="B308" s="17">
        <v>5.8405579422057E-2</v>
      </c>
      <c r="C308" t="str">
        <f t="shared" si="14"/>
        <v>Green</v>
      </c>
      <c r="D308">
        <f t="shared" si="15"/>
        <v>1</v>
      </c>
      <c r="E308">
        <f t="shared" si="16"/>
        <v>4</v>
      </c>
    </row>
    <row r="309" spans="1:5" x14ac:dyDescent="0.25">
      <c r="A309" s="28">
        <v>35520</v>
      </c>
      <c r="B309" s="17">
        <v>-4.2614010396426399E-2</v>
      </c>
      <c r="C309" t="str">
        <f t="shared" si="14"/>
        <v>Red</v>
      </c>
      <c r="D309">
        <f t="shared" si="15"/>
        <v>0</v>
      </c>
      <c r="E309">
        <f t="shared" si="16"/>
        <v>3</v>
      </c>
    </row>
    <row r="310" spans="1:5" x14ac:dyDescent="0.25">
      <c r="A310" s="28">
        <v>35489</v>
      </c>
      <c r="B310" s="17">
        <v>5.9275900071804602E-3</v>
      </c>
      <c r="C310" t="str">
        <f t="shared" si="14"/>
        <v>Green</v>
      </c>
      <c r="D310">
        <f t="shared" si="15"/>
        <v>1</v>
      </c>
      <c r="E310">
        <f t="shared" si="16"/>
        <v>2</v>
      </c>
    </row>
    <row r="311" spans="1:5" x14ac:dyDescent="0.25">
      <c r="A311" s="28">
        <v>35461</v>
      </c>
      <c r="B311" s="17">
        <v>6.1317039194819199E-2</v>
      </c>
      <c r="C311" t="str">
        <f t="shared" si="14"/>
        <v>Green</v>
      </c>
      <c r="D311">
        <f t="shared" si="15"/>
        <v>1</v>
      </c>
      <c r="E311">
        <f t="shared" si="16"/>
        <v>1</v>
      </c>
    </row>
    <row r="312" spans="1:5" x14ac:dyDescent="0.25">
      <c r="A312" s="28">
        <v>35430</v>
      </c>
      <c r="B312" s="17">
        <v>-2.1505415404998202E-2</v>
      </c>
      <c r="C312" t="str">
        <f t="shared" si="14"/>
        <v>Red</v>
      </c>
      <c r="D312">
        <f t="shared" si="15"/>
        <v>0</v>
      </c>
      <c r="E312">
        <f t="shared" si="16"/>
        <v>12</v>
      </c>
    </row>
    <row r="313" spans="1:5" x14ac:dyDescent="0.25">
      <c r="A313" s="28">
        <v>35398</v>
      </c>
      <c r="B313" s="17">
        <v>7.3376151732636993E-2</v>
      </c>
      <c r="C313" t="str">
        <f t="shared" si="14"/>
        <v>Green</v>
      </c>
      <c r="D313">
        <f t="shared" si="15"/>
        <v>1</v>
      </c>
      <c r="E313">
        <f t="shared" si="16"/>
        <v>11</v>
      </c>
    </row>
    <row r="314" spans="1:5" x14ac:dyDescent="0.25">
      <c r="A314" s="28">
        <v>35369</v>
      </c>
      <c r="B314" s="17">
        <v>2.61010032390308E-2</v>
      </c>
      <c r="C314" t="str">
        <f t="shared" si="14"/>
        <v>Green</v>
      </c>
      <c r="D314">
        <f t="shared" si="15"/>
        <v>1</v>
      </c>
      <c r="E314">
        <f t="shared" si="16"/>
        <v>10</v>
      </c>
    </row>
    <row r="315" spans="1:5" x14ac:dyDescent="0.25">
      <c r="A315" s="28">
        <v>35338</v>
      </c>
      <c r="B315" s="17">
        <v>5.4203327569492199E-2</v>
      </c>
      <c r="C315" t="str">
        <f t="shared" si="14"/>
        <v>Green</v>
      </c>
      <c r="D315">
        <f t="shared" si="15"/>
        <v>1</v>
      </c>
      <c r="E315">
        <f t="shared" si="16"/>
        <v>9</v>
      </c>
    </row>
    <row r="316" spans="1:5" x14ac:dyDescent="0.25">
      <c r="A316" s="28">
        <v>35307</v>
      </c>
      <c r="B316" s="17">
        <v>1.8813935110919298E-2</v>
      </c>
      <c r="C316" t="str">
        <f t="shared" si="14"/>
        <v>Green</v>
      </c>
      <c r="D316">
        <f t="shared" si="15"/>
        <v>1</v>
      </c>
      <c r="E316">
        <f t="shared" si="16"/>
        <v>8</v>
      </c>
    </row>
    <row r="317" spans="1:5" x14ac:dyDescent="0.25">
      <c r="A317" s="28">
        <v>35277</v>
      </c>
      <c r="B317" s="17">
        <v>-4.5748017194667499E-2</v>
      </c>
      <c r="C317" t="str">
        <f t="shared" si="14"/>
        <v>Red</v>
      </c>
      <c r="D317">
        <f t="shared" si="15"/>
        <v>0</v>
      </c>
      <c r="E317">
        <f t="shared" si="16"/>
        <v>7</v>
      </c>
    </row>
    <row r="318" spans="1:5" x14ac:dyDescent="0.25">
      <c r="A318" s="28">
        <v>35244</v>
      </c>
      <c r="B318" s="17">
        <v>2.2567103229369501E-3</v>
      </c>
      <c r="C318" t="str">
        <f t="shared" si="14"/>
        <v>Green</v>
      </c>
      <c r="D318">
        <f t="shared" si="15"/>
        <v>1</v>
      </c>
      <c r="E318">
        <f t="shared" si="16"/>
        <v>6</v>
      </c>
    </row>
    <row r="319" spans="1:5" x14ac:dyDescent="0.25">
      <c r="A319" s="28">
        <v>35216</v>
      </c>
      <c r="B319" s="17">
        <v>2.2853405672084999E-2</v>
      </c>
      <c r="C319" t="str">
        <f t="shared" si="14"/>
        <v>Green</v>
      </c>
      <c r="D319">
        <f t="shared" si="15"/>
        <v>1</v>
      </c>
      <c r="E319">
        <f t="shared" si="16"/>
        <v>5</v>
      </c>
    </row>
    <row r="320" spans="1:5" x14ac:dyDescent="0.25">
      <c r="A320" s="28">
        <v>35185</v>
      </c>
      <c r="B320" s="17">
        <v>1.34314221533696E-2</v>
      </c>
      <c r="C320" t="str">
        <f t="shared" si="14"/>
        <v>Green</v>
      </c>
      <c r="D320">
        <f t="shared" si="15"/>
        <v>1</v>
      </c>
      <c r="E320">
        <f t="shared" si="16"/>
        <v>4</v>
      </c>
    </row>
    <row r="321" spans="1:5" x14ac:dyDescent="0.25">
      <c r="A321" s="28">
        <v>35153</v>
      </c>
      <c r="B321" s="17">
        <v>7.9165670805803091E-3</v>
      </c>
      <c r="C321" t="str">
        <f t="shared" si="14"/>
        <v>Green</v>
      </c>
      <c r="D321">
        <f t="shared" si="15"/>
        <v>1</v>
      </c>
      <c r="E321">
        <f t="shared" si="16"/>
        <v>3</v>
      </c>
    </row>
    <row r="322" spans="1:5" x14ac:dyDescent="0.25">
      <c r="A322" s="28">
        <v>35124</v>
      </c>
      <c r="B322" s="17">
        <v>6.9337015523502901E-3</v>
      </c>
      <c r="C322" t="str">
        <f t="shared" si="14"/>
        <v>Green</v>
      </c>
      <c r="D322">
        <f t="shared" si="15"/>
        <v>1</v>
      </c>
      <c r="E322">
        <f t="shared" si="16"/>
        <v>2</v>
      </c>
    </row>
    <row r="323" spans="1:5" x14ac:dyDescent="0.25">
      <c r="A323" s="28">
        <v>35095</v>
      </c>
      <c r="B323" s="17">
        <v>3.2617387086717201E-2</v>
      </c>
      <c r="C323" t="str">
        <f t="shared" ref="C323:C386" si="17">IF(B323&gt;0,"Green","Red")</f>
        <v>Green</v>
      </c>
      <c r="D323">
        <f t="shared" si="15"/>
        <v>1</v>
      </c>
      <c r="E323">
        <f t="shared" si="16"/>
        <v>1</v>
      </c>
    </row>
    <row r="324" spans="1:5" x14ac:dyDescent="0.25">
      <c r="A324" s="28">
        <v>35062</v>
      </c>
      <c r="B324" s="17">
        <v>1.7443874138492799E-2</v>
      </c>
      <c r="C324" t="str">
        <f t="shared" si="17"/>
        <v>Green</v>
      </c>
      <c r="D324">
        <f t="shared" ref="D324:D387" si="18">IF(B324&gt;0,1,0)</f>
        <v>1</v>
      </c>
      <c r="E324">
        <f t="shared" ref="E324:E387" si="19">MONTH(A324)</f>
        <v>12</v>
      </c>
    </row>
    <row r="325" spans="1:5" x14ac:dyDescent="0.25">
      <c r="A325" s="28">
        <v>35033</v>
      </c>
      <c r="B325" s="17">
        <v>4.1049002579535802E-2</v>
      </c>
      <c r="C325" t="str">
        <f t="shared" si="17"/>
        <v>Green</v>
      </c>
      <c r="D325">
        <f t="shared" si="18"/>
        <v>1</v>
      </c>
      <c r="E325">
        <f t="shared" si="19"/>
        <v>11</v>
      </c>
    </row>
    <row r="326" spans="1:5" x14ac:dyDescent="0.25">
      <c r="A326" s="28">
        <v>35003</v>
      </c>
      <c r="B326" s="17">
        <v>-4.9793349436904099E-3</v>
      </c>
      <c r="C326" t="str">
        <f t="shared" si="17"/>
        <v>Red</v>
      </c>
      <c r="D326">
        <f t="shared" si="18"/>
        <v>0</v>
      </c>
      <c r="E326">
        <f t="shared" si="19"/>
        <v>10</v>
      </c>
    </row>
    <row r="327" spans="1:5" x14ac:dyDescent="0.25">
      <c r="A327" s="28">
        <v>34971</v>
      </c>
      <c r="B327" s="17">
        <v>4.0097472413171298E-2</v>
      </c>
      <c r="C327" t="str">
        <f t="shared" si="17"/>
        <v>Green</v>
      </c>
      <c r="D327">
        <f t="shared" si="18"/>
        <v>1</v>
      </c>
      <c r="E327">
        <f t="shared" si="19"/>
        <v>9</v>
      </c>
    </row>
    <row r="328" spans="1:5" x14ac:dyDescent="0.25">
      <c r="A328" s="28">
        <v>34942</v>
      </c>
      <c r="B328" s="17">
        <v>-3.2023805401637501E-4</v>
      </c>
      <c r="C328" t="str">
        <f t="shared" si="17"/>
        <v>Red</v>
      </c>
      <c r="D328">
        <f t="shared" si="18"/>
        <v>0</v>
      </c>
      <c r="E328">
        <f t="shared" si="19"/>
        <v>8</v>
      </c>
    </row>
    <row r="329" spans="1:5" x14ac:dyDescent="0.25">
      <c r="A329" s="28">
        <v>34911</v>
      </c>
      <c r="B329" s="17">
        <v>3.1776040385497903E-2</v>
      </c>
      <c r="C329" t="str">
        <f t="shared" si="17"/>
        <v>Green</v>
      </c>
      <c r="D329">
        <f t="shared" si="18"/>
        <v>1</v>
      </c>
      <c r="E329">
        <f t="shared" si="19"/>
        <v>7</v>
      </c>
    </row>
    <row r="330" spans="1:5" x14ac:dyDescent="0.25">
      <c r="A330" s="28">
        <v>34880</v>
      </c>
      <c r="B330" s="17">
        <v>2.1278544224437399E-2</v>
      </c>
      <c r="C330" t="str">
        <f t="shared" si="17"/>
        <v>Green</v>
      </c>
      <c r="D330">
        <f t="shared" si="18"/>
        <v>1</v>
      </c>
      <c r="E330">
        <f t="shared" si="19"/>
        <v>6</v>
      </c>
    </row>
    <row r="331" spans="1:5" x14ac:dyDescent="0.25">
      <c r="A331" s="28">
        <v>34850</v>
      </c>
      <c r="B331" s="17">
        <v>3.6311711839953402E-2</v>
      </c>
      <c r="C331" t="str">
        <f t="shared" si="17"/>
        <v>Green</v>
      </c>
      <c r="D331">
        <f t="shared" si="18"/>
        <v>1</v>
      </c>
      <c r="E331">
        <f t="shared" si="19"/>
        <v>5</v>
      </c>
    </row>
    <row r="332" spans="1:5" x14ac:dyDescent="0.25">
      <c r="A332" s="28">
        <v>34817</v>
      </c>
      <c r="B332" s="17">
        <v>2.7960358793799302E-2</v>
      </c>
      <c r="C332" t="str">
        <f t="shared" si="17"/>
        <v>Green</v>
      </c>
      <c r="D332">
        <f t="shared" si="18"/>
        <v>1</v>
      </c>
      <c r="E332">
        <f t="shared" si="19"/>
        <v>4</v>
      </c>
    </row>
    <row r="333" spans="1:5" x14ac:dyDescent="0.25">
      <c r="A333" s="28">
        <v>34789</v>
      </c>
      <c r="B333" s="17">
        <v>2.7329193438646801E-2</v>
      </c>
      <c r="C333" t="str">
        <f t="shared" si="17"/>
        <v>Green</v>
      </c>
      <c r="D333">
        <f t="shared" si="18"/>
        <v>1</v>
      </c>
      <c r="E333">
        <f t="shared" si="19"/>
        <v>3</v>
      </c>
    </row>
    <row r="334" spans="1:5" x14ac:dyDescent="0.25">
      <c r="A334" s="28">
        <v>34758</v>
      </c>
      <c r="B334" s="17">
        <v>3.6074149761991602E-2</v>
      </c>
      <c r="C334" t="str">
        <f t="shared" si="17"/>
        <v>Green</v>
      </c>
      <c r="D334">
        <f t="shared" si="18"/>
        <v>1</v>
      </c>
      <c r="E334">
        <f t="shared" si="19"/>
        <v>2</v>
      </c>
    </row>
    <row r="335" spans="1:5" x14ac:dyDescent="0.25">
      <c r="A335" s="28">
        <v>34730</v>
      </c>
      <c r="B335" s="17">
        <v>2.4277710860833E-2</v>
      </c>
      <c r="C335" t="str">
        <f t="shared" si="17"/>
        <v>Green</v>
      </c>
      <c r="D335">
        <f t="shared" si="18"/>
        <v>1</v>
      </c>
      <c r="E335">
        <f t="shared" si="19"/>
        <v>1</v>
      </c>
    </row>
    <row r="336" spans="1:5" x14ac:dyDescent="0.25">
      <c r="A336" s="28">
        <v>34698</v>
      </c>
      <c r="B336" s="17">
        <v>1.22991182864991E-2</v>
      </c>
      <c r="C336" t="str">
        <f t="shared" si="17"/>
        <v>Green</v>
      </c>
      <c r="D336">
        <f t="shared" si="18"/>
        <v>1</v>
      </c>
      <c r="E336">
        <f t="shared" si="19"/>
        <v>12</v>
      </c>
    </row>
    <row r="337" spans="1:5" x14ac:dyDescent="0.25">
      <c r="A337" s="28">
        <v>34668</v>
      </c>
      <c r="B337" s="17">
        <v>-3.9504612602884202E-2</v>
      </c>
      <c r="C337" t="str">
        <f t="shared" si="17"/>
        <v>Red</v>
      </c>
      <c r="D337">
        <f t="shared" si="18"/>
        <v>0</v>
      </c>
      <c r="E337">
        <f t="shared" si="19"/>
        <v>11</v>
      </c>
    </row>
    <row r="338" spans="1:5" x14ac:dyDescent="0.25">
      <c r="A338" s="28">
        <v>34638</v>
      </c>
      <c r="B338" s="17">
        <v>2.0833816402291601E-2</v>
      </c>
      <c r="C338" t="str">
        <f t="shared" si="17"/>
        <v>Green</v>
      </c>
      <c r="D338">
        <f t="shared" si="18"/>
        <v>1</v>
      </c>
      <c r="E338">
        <f t="shared" si="19"/>
        <v>10</v>
      </c>
    </row>
    <row r="339" spans="1:5" x14ac:dyDescent="0.25">
      <c r="A339" s="28">
        <v>34607</v>
      </c>
      <c r="B339" s="17">
        <v>-2.68775353188823E-2</v>
      </c>
      <c r="C339" t="str">
        <f t="shared" si="17"/>
        <v>Red</v>
      </c>
      <c r="D339">
        <f t="shared" si="18"/>
        <v>0</v>
      </c>
      <c r="E339">
        <f t="shared" si="19"/>
        <v>9</v>
      </c>
    </row>
    <row r="340" spans="1:5" x14ac:dyDescent="0.25">
      <c r="A340" s="28">
        <v>34577</v>
      </c>
      <c r="B340" s="17">
        <v>3.7598698607805597E-2</v>
      </c>
      <c r="C340" t="str">
        <f t="shared" si="17"/>
        <v>Green</v>
      </c>
      <c r="D340">
        <f t="shared" si="18"/>
        <v>1</v>
      </c>
      <c r="E340">
        <f t="shared" si="19"/>
        <v>8</v>
      </c>
    </row>
    <row r="341" spans="1:5" x14ac:dyDescent="0.25">
      <c r="A341" s="28">
        <v>34544</v>
      </c>
      <c r="B341" s="17">
        <v>3.1489907818193802E-2</v>
      </c>
      <c r="C341" t="str">
        <f t="shared" si="17"/>
        <v>Green</v>
      </c>
      <c r="D341">
        <f t="shared" si="18"/>
        <v>1</v>
      </c>
      <c r="E341">
        <f t="shared" si="19"/>
        <v>7</v>
      </c>
    </row>
    <row r="342" spans="1:5" x14ac:dyDescent="0.25">
      <c r="A342" s="28">
        <v>34515</v>
      </c>
      <c r="B342" s="17">
        <v>-2.67908236582695E-2</v>
      </c>
      <c r="C342" t="str">
        <f t="shared" si="17"/>
        <v>Red</v>
      </c>
      <c r="D342">
        <f t="shared" si="18"/>
        <v>0</v>
      </c>
      <c r="E342">
        <f t="shared" si="19"/>
        <v>6</v>
      </c>
    </row>
    <row r="343" spans="1:5" x14ac:dyDescent="0.25">
      <c r="A343" s="28">
        <v>34485</v>
      </c>
      <c r="B343" s="17">
        <v>1.23971434441716E-2</v>
      </c>
      <c r="C343" t="str">
        <f t="shared" si="17"/>
        <v>Green</v>
      </c>
      <c r="D343">
        <f t="shared" si="18"/>
        <v>1</v>
      </c>
      <c r="E343">
        <f t="shared" si="19"/>
        <v>5</v>
      </c>
    </row>
    <row r="344" spans="1:5" x14ac:dyDescent="0.25">
      <c r="A344" s="28">
        <v>34453</v>
      </c>
      <c r="B344" s="17">
        <v>1.1530643889981601E-2</v>
      </c>
      <c r="C344" t="str">
        <f t="shared" si="17"/>
        <v>Green</v>
      </c>
      <c r="D344">
        <f t="shared" si="18"/>
        <v>1</v>
      </c>
      <c r="E344">
        <f t="shared" si="19"/>
        <v>4</v>
      </c>
    </row>
    <row r="345" spans="1:5" x14ac:dyDescent="0.25">
      <c r="A345" s="28">
        <v>34424</v>
      </c>
      <c r="B345" s="17">
        <v>-4.5746511353774701E-2</v>
      </c>
      <c r="C345" t="str">
        <f t="shared" si="17"/>
        <v>Red</v>
      </c>
      <c r="D345">
        <f t="shared" si="18"/>
        <v>0</v>
      </c>
      <c r="E345">
        <f t="shared" si="19"/>
        <v>3</v>
      </c>
    </row>
    <row r="346" spans="1:5" x14ac:dyDescent="0.25">
      <c r="A346" s="28">
        <v>34393</v>
      </c>
      <c r="B346" s="17">
        <v>-3.00449958486637E-2</v>
      </c>
      <c r="C346" t="str">
        <f t="shared" si="17"/>
        <v>Red</v>
      </c>
      <c r="D346">
        <f t="shared" si="18"/>
        <v>0</v>
      </c>
      <c r="E346">
        <f t="shared" si="19"/>
        <v>2</v>
      </c>
    </row>
    <row r="347" spans="1:5" x14ac:dyDescent="0.25">
      <c r="A347" s="28">
        <v>34365</v>
      </c>
      <c r="B347" s="17">
        <v>3.2500745224549397E-2</v>
      </c>
      <c r="C347" t="str">
        <f t="shared" si="17"/>
        <v>Green</v>
      </c>
      <c r="D347">
        <f t="shared" si="18"/>
        <v>1</v>
      </c>
      <c r="E347">
        <f t="shared" si="19"/>
        <v>1</v>
      </c>
    </row>
    <row r="348" spans="1:5" x14ac:dyDescent="0.25">
      <c r="A348" s="28">
        <v>34334</v>
      </c>
      <c r="B348" s="17">
        <v>1.0091173280450901E-2</v>
      </c>
      <c r="C348" t="str">
        <f t="shared" si="17"/>
        <v>Green</v>
      </c>
      <c r="D348">
        <f t="shared" si="18"/>
        <v>1</v>
      </c>
      <c r="E348">
        <f t="shared" si="19"/>
        <v>12</v>
      </c>
    </row>
    <row r="349" spans="1:5" x14ac:dyDescent="0.25">
      <c r="A349" s="28">
        <v>34303</v>
      </c>
      <c r="B349" s="17">
        <v>-1.2910626013377001E-2</v>
      </c>
      <c r="C349" t="str">
        <f t="shared" si="17"/>
        <v>Red</v>
      </c>
      <c r="D349">
        <f t="shared" si="18"/>
        <v>0</v>
      </c>
      <c r="E349">
        <f t="shared" si="19"/>
        <v>11</v>
      </c>
    </row>
    <row r="350" spans="1:5" x14ac:dyDescent="0.25">
      <c r="A350" s="28">
        <v>34271</v>
      </c>
      <c r="B350" s="17">
        <v>1.9392922963742801E-2</v>
      </c>
      <c r="C350" t="str">
        <f t="shared" si="17"/>
        <v>Green</v>
      </c>
      <c r="D350">
        <f t="shared" si="18"/>
        <v>1</v>
      </c>
      <c r="E350">
        <f t="shared" si="19"/>
        <v>10</v>
      </c>
    </row>
    <row r="351" spans="1:5" x14ac:dyDescent="0.25">
      <c r="A351" s="28">
        <v>34242</v>
      </c>
      <c r="B351" s="17">
        <v>-9.9879304080935406E-3</v>
      </c>
      <c r="C351" t="str">
        <f t="shared" si="17"/>
        <v>Red</v>
      </c>
      <c r="D351">
        <f t="shared" si="18"/>
        <v>0</v>
      </c>
      <c r="E351">
        <f t="shared" si="19"/>
        <v>9</v>
      </c>
    </row>
    <row r="352" spans="1:5" x14ac:dyDescent="0.25">
      <c r="A352" s="28">
        <v>34212</v>
      </c>
      <c r="B352" s="17">
        <v>3.4431956860375902E-2</v>
      </c>
      <c r="C352" t="str">
        <f t="shared" si="17"/>
        <v>Green</v>
      </c>
      <c r="D352">
        <f t="shared" si="18"/>
        <v>1</v>
      </c>
      <c r="E352">
        <f t="shared" si="19"/>
        <v>8</v>
      </c>
    </row>
    <row r="353" spans="1:5" x14ac:dyDescent="0.25">
      <c r="A353" s="28">
        <v>34180</v>
      </c>
      <c r="B353" s="17">
        <v>-5.3270459355138104E-3</v>
      </c>
      <c r="C353" t="str">
        <f t="shared" si="17"/>
        <v>Red</v>
      </c>
      <c r="D353">
        <f t="shared" si="18"/>
        <v>0</v>
      </c>
      <c r="E353">
        <f t="shared" si="19"/>
        <v>7</v>
      </c>
    </row>
    <row r="354" spans="1:5" x14ac:dyDescent="0.25">
      <c r="A354" s="28">
        <v>34150</v>
      </c>
      <c r="B354" s="17">
        <v>7.55230010638819E-4</v>
      </c>
      <c r="C354" t="str">
        <f t="shared" si="17"/>
        <v>Green</v>
      </c>
      <c r="D354">
        <f t="shared" si="18"/>
        <v>1</v>
      </c>
      <c r="E354">
        <f t="shared" si="19"/>
        <v>6</v>
      </c>
    </row>
    <row r="355" spans="1:5" x14ac:dyDescent="0.25">
      <c r="A355" s="28">
        <v>34117</v>
      </c>
      <c r="B355" s="17">
        <v>2.2717462810525099E-2</v>
      </c>
      <c r="C355" t="str">
        <f t="shared" si="17"/>
        <v>Green</v>
      </c>
      <c r="D355">
        <f t="shared" si="18"/>
        <v>1</v>
      </c>
      <c r="E355">
        <f t="shared" si="19"/>
        <v>5</v>
      </c>
    </row>
    <row r="356" spans="1:5" x14ac:dyDescent="0.25">
      <c r="A356" s="28">
        <v>34089</v>
      </c>
      <c r="B356" s="17">
        <v>-2.54168102144962E-2</v>
      </c>
      <c r="C356" t="str">
        <f t="shared" si="17"/>
        <v>Red</v>
      </c>
      <c r="D356">
        <f t="shared" si="18"/>
        <v>0</v>
      </c>
      <c r="E356">
        <f t="shared" si="19"/>
        <v>4</v>
      </c>
    </row>
    <row r="357" spans="1:5" x14ac:dyDescent="0.25">
      <c r="A357" s="28">
        <v>34059</v>
      </c>
      <c r="B357" s="17">
        <v>1.8697297817929399E-2</v>
      </c>
      <c r="C357" t="str">
        <f t="shared" si="17"/>
        <v>Green</v>
      </c>
      <c r="D357">
        <f t="shared" si="18"/>
        <v>1</v>
      </c>
      <c r="E357">
        <f t="shared" si="19"/>
        <v>3</v>
      </c>
    </row>
    <row r="358" spans="1:5" x14ac:dyDescent="0.25">
      <c r="A358" s="28">
        <v>34026</v>
      </c>
      <c r="B358" s="17">
        <v>1.0483627354217699E-2</v>
      </c>
      <c r="C358" t="str">
        <f t="shared" si="17"/>
        <v>Green</v>
      </c>
      <c r="D358">
        <f t="shared" si="18"/>
        <v>1</v>
      </c>
      <c r="E358">
        <f t="shared" si="19"/>
        <v>2</v>
      </c>
    </row>
    <row r="359" spans="1:5" x14ac:dyDescent="0.25">
      <c r="A359" s="28">
        <v>33998</v>
      </c>
      <c r="B359" s="17">
        <v>7.0459894503542798E-3</v>
      </c>
      <c r="C359" t="str">
        <f t="shared" si="17"/>
        <v>Green</v>
      </c>
      <c r="D359">
        <f t="shared" si="18"/>
        <v>1</v>
      </c>
      <c r="E359">
        <f t="shared" si="19"/>
        <v>1</v>
      </c>
    </row>
    <row r="360" spans="1:5" x14ac:dyDescent="0.25">
      <c r="A360" s="28">
        <v>33969</v>
      </c>
      <c r="B360" s="17">
        <v>1.01077661744602E-2</v>
      </c>
      <c r="C360" t="str">
        <f t="shared" si="17"/>
        <v>Green</v>
      </c>
      <c r="D360">
        <f t="shared" si="18"/>
        <v>1</v>
      </c>
      <c r="E360">
        <f t="shared" si="19"/>
        <v>12</v>
      </c>
    </row>
    <row r="361" spans="1:5" x14ac:dyDescent="0.25">
      <c r="A361" s="28">
        <v>33938</v>
      </c>
      <c r="B361" s="17">
        <v>3.02618066586238E-2</v>
      </c>
      <c r="C361" t="str">
        <f t="shared" si="17"/>
        <v>Green</v>
      </c>
      <c r="D361">
        <f t="shared" si="18"/>
        <v>1</v>
      </c>
      <c r="E361">
        <f t="shared" si="19"/>
        <v>11</v>
      </c>
    </row>
    <row r="362" spans="1:5" x14ac:dyDescent="0.25">
      <c r="A362" s="28">
        <v>33907</v>
      </c>
      <c r="B362" s="17">
        <v>2.1062829709799199E-3</v>
      </c>
      <c r="C362" t="str">
        <f t="shared" si="17"/>
        <v>Green</v>
      </c>
      <c r="D362">
        <f t="shared" si="18"/>
        <v>1</v>
      </c>
      <c r="E362">
        <f t="shared" si="19"/>
        <v>10</v>
      </c>
    </row>
    <row r="363" spans="1:5" x14ac:dyDescent="0.25">
      <c r="A363" s="28">
        <v>33877</v>
      </c>
      <c r="B363" s="17">
        <v>9.1055938195434595E-3</v>
      </c>
      <c r="C363" t="str">
        <f t="shared" si="17"/>
        <v>Green</v>
      </c>
      <c r="D363">
        <f t="shared" si="18"/>
        <v>1</v>
      </c>
      <c r="E363">
        <f t="shared" si="19"/>
        <v>9</v>
      </c>
    </row>
    <row r="364" spans="1:5" x14ac:dyDescent="0.25">
      <c r="A364" s="28">
        <v>33847</v>
      </c>
      <c r="B364" s="17">
        <v>-2.3997530034600301E-2</v>
      </c>
      <c r="C364" t="str">
        <f t="shared" si="17"/>
        <v>Red</v>
      </c>
      <c r="D364">
        <f t="shared" si="18"/>
        <v>0</v>
      </c>
      <c r="E364">
        <f t="shared" si="19"/>
        <v>8</v>
      </c>
    </row>
    <row r="365" spans="1:5" x14ac:dyDescent="0.25">
      <c r="A365" s="28">
        <v>33816</v>
      </c>
      <c r="B365" s="17">
        <v>3.9373684053008097E-2</v>
      </c>
      <c r="C365" t="str">
        <f t="shared" si="17"/>
        <v>Green</v>
      </c>
      <c r="D365">
        <f t="shared" si="18"/>
        <v>1</v>
      </c>
      <c r="E365">
        <f t="shared" si="19"/>
        <v>7</v>
      </c>
    </row>
    <row r="366" spans="1:5" x14ac:dyDescent="0.25">
      <c r="A366" s="28">
        <v>33785</v>
      </c>
      <c r="B366" s="17">
        <v>-1.7358832059340301E-2</v>
      </c>
      <c r="C366" t="str">
        <f t="shared" si="17"/>
        <v>Red</v>
      </c>
      <c r="D366">
        <f t="shared" si="18"/>
        <v>0</v>
      </c>
      <c r="E366">
        <f t="shared" si="19"/>
        <v>6</v>
      </c>
    </row>
    <row r="367" spans="1:5" x14ac:dyDescent="0.25">
      <c r="A367" s="28">
        <v>33753</v>
      </c>
      <c r="B367" s="17">
        <v>9.6395707538854403E-4</v>
      </c>
      <c r="C367" t="str">
        <f t="shared" si="17"/>
        <v>Green</v>
      </c>
      <c r="D367">
        <f t="shared" si="18"/>
        <v>1</v>
      </c>
      <c r="E367">
        <f t="shared" si="19"/>
        <v>5</v>
      </c>
    </row>
    <row r="368" spans="1:5" x14ac:dyDescent="0.25">
      <c r="A368" s="28">
        <v>33724</v>
      </c>
      <c r="B368" s="17">
        <v>2.78927145686407E-2</v>
      </c>
      <c r="C368" t="str">
        <f t="shared" si="17"/>
        <v>Green</v>
      </c>
      <c r="D368">
        <f t="shared" si="18"/>
        <v>1</v>
      </c>
      <c r="E368">
        <f t="shared" si="19"/>
        <v>4</v>
      </c>
    </row>
    <row r="369" spans="1:5" x14ac:dyDescent="0.25">
      <c r="A369" s="28">
        <v>33694</v>
      </c>
      <c r="B369" s="17">
        <v>-2.1831862704186199E-2</v>
      </c>
      <c r="C369" t="str">
        <f t="shared" si="17"/>
        <v>Red</v>
      </c>
      <c r="D369">
        <f t="shared" si="18"/>
        <v>0</v>
      </c>
      <c r="E369">
        <f t="shared" si="19"/>
        <v>3</v>
      </c>
    </row>
    <row r="370" spans="1:5" x14ac:dyDescent="0.25">
      <c r="A370" s="28">
        <v>33662</v>
      </c>
      <c r="B370" s="17">
        <v>9.5895420754186205E-3</v>
      </c>
      <c r="C370" t="str">
        <f t="shared" si="17"/>
        <v>Green</v>
      </c>
      <c r="D370">
        <f t="shared" si="18"/>
        <v>1</v>
      </c>
      <c r="E370">
        <f t="shared" si="19"/>
        <v>2</v>
      </c>
    </row>
    <row r="371" spans="1:5" x14ac:dyDescent="0.25">
      <c r="A371" s="28">
        <v>33634</v>
      </c>
      <c r="B371" s="17">
        <v>-1.9923750460799899E-2</v>
      </c>
      <c r="C371" t="str">
        <f t="shared" si="17"/>
        <v>Red</v>
      </c>
      <c r="D371">
        <f t="shared" si="18"/>
        <v>0</v>
      </c>
      <c r="E371">
        <f t="shared" si="19"/>
        <v>1</v>
      </c>
    </row>
    <row r="372" spans="1:5" x14ac:dyDescent="0.25">
      <c r="A372" s="28">
        <v>33603</v>
      </c>
      <c r="B372" s="17">
        <v>0.1115878548276</v>
      </c>
      <c r="C372" t="str">
        <f t="shared" si="17"/>
        <v>Green</v>
      </c>
      <c r="D372">
        <f t="shared" si="18"/>
        <v>1</v>
      </c>
      <c r="E372">
        <f t="shared" si="19"/>
        <v>12</v>
      </c>
    </row>
    <row r="373" spans="1:5" x14ac:dyDescent="0.25">
      <c r="A373" s="28">
        <v>33571</v>
      </c>
      <c r="B373" s="17">
        <v>-4.3903708684304897E-2</v>
      </c>
      <c r="C373" t="str">
        <f t="shared" si="17"/>
        <v>Red</v>
      </c>
      <c r="D373">
        <f t="shared" si="18"/>
        <v>0</v>
      </c>
      <c r="E373">
        <f t="shared" si="19"/>
        <v>11</v>
      </c>
    </row>
    <row r="374" spans="1:5" x14ac:dyDescent="0.25">
      <c r="A374" s="28">
        <v>33542</v>
      </c>
      <c r="B374" s="17">
        <v>1.1834237037883701E-2</v>
      </c>
      <c r="C374" t="str">
        <f t="shared" si="17"/>
        <v>Green</v>
      </c>
      <c r="D374">
        <f t="shared" si="18"/>
        <v>1</v>
      </c>
      <c r="E374">
        <f t="shared" si="19"/>
        <v>10</v>
      </c>
    </row>
    <row r="375" spans="1:5" x14ac:dyDescent="0.25">
      <c r="A375" s="28">
        <v>33511</v>
      </c>
      <c r="B375" s="17">
        <v>-1.9143737536368399E-2</v>
      </c>
      <c r="C375" t="str">
        <f t="shared" si="17"/>
        <v>Red</v>
      </c>
      <c r="D375">
        <f t="shared" si="18"/>
        <v>0</v>
      </c>
      <c r="E375">
        <f t="shared" si="19"/>
        <v>9</v>
      </c>
    </row>
    <row r="376" spans="1:5" x14ac:dyDescent="0.25">
      <c r="A376" s="28">
        <v>33480</v>
      </c>
      <c r="B376" s="17">
        <v>1.96487842997797E-2</v>
      </c>
      <c r="C376" t="str">
        <f t="shared" si="17"/>
        <v>Green</v>
      </c>
      <c r="D376">
        <f t="shared" si="18"/>
        <v>1</v>
      </c>
      <c r="E376">
        <f t="shared" si="19"/>
        <v>8</v>
      </c>
    </row>
    <row r="377" spans="1:5" x14ac:dyDescent="0.25">
      <c r="A377" s="28">
        <v>33450</v>
      </c>
      <c r="B377" s="17">
        <v>4.4859343195825498E-2</v>
      </c>
      <c r="C377" t="str">
        <f t="shared" si="17"/>
        <v>Green</v>
      </c>
      <c r="D377">
        <f t="shared" si="18"/>
        <v>1</v>
      </c>
      <c r="E377">
        <f t="shared" si="19"/>
        <v>7</v>
      </c>
    </row>
    <row r="378" spans="1:5" x14ac:dyDescent="0.25">
      <c r="A378" s="28">
        <v>33417</v>
      </c>
      <c r="B378" s="17">
        <v>-4.7892629152718302E-2</v>
      </c>
      <c r="C378" t="str">
        <f t="shared" si="17"/>
        <v>Red</v>
      </c>
      <c r="D378">
        <f t="shared" si="18"/>
        <v>0</v>
      </c>
      <c r="E378">
        <f t="shared" si="19"/>
        <v>6</v>
      </c>
    </row>
    <row r="379" spans="1:5" x14ac:dyDescent="0.25">
      <c r="A379" s="28">
        <v>33389</v>
      </c>
      <c r="B379" s="17">
        <v>3.8604974568177998E-2</v>
      </c>
      <c r="C379" t="str">
        <f t="shared" si="17"/>
        <v>Green</v>
      </c>
      <c r="D379">
        <f t="shared" si="18"/>
        <v>1</v>
      </c>
      <c r="E379">
        <f t="shared" si="19"/>
        <v>5</v>
      </c>
    </row>
    <row r="380" spans="1:5" x14ac:dyDescent="0.25">
      <c r="A380" s="28">
        <v>33358</v>
      </c>
      <c r="B380" s="17">
        <v>3.1979905037093898E-4</v>
      </c>
      <c r="C380" t="str">
        <f t="shared" si="17"/>
        <v>Green</v>
      </c>
      <c r="D380">
        <f t="shared" si="18"/>
        <v>1</v>
      </c>
      <c r="E380">
        <f t="shared" si="19"/>
        <v>4</v>
      </c>
    </row>
    <row r="381" spans="1:5" x14ac:dyDescent="0.25">
      <c r="A381" s="28">
        <v>33325</v>
      </c>
      <c r="B381" s="17">
        <v>2.22028328236583E-2</v>
      </c>
      <c r="C381" t="str">
        <f t="shared" si="17"/>
        <v>Green</v>
      </c>
      <c r="D381">
        <f t="shared" si="18"/>
        <v>1</v>
      </c>
      <c r="E381">
        <f t="shared" si="19"/>
        <v>3</v>
      </c>
    </row>
    <row r="382" spans="1:5" x14ac:dyDescent="0.25">
      <c r="A382" s="28">
        <v>33297</v>
      </c>
      <c r="B382" s="17">
        <v>6.7281174863978596E-2</v>
      </c>
      <c r="C382" t="str">
        <f t="shared" si="17"/>
        <v>Green</v>
      </c>
      <c r="D382">
        <f t="shared" si="18"/>
        <v>1</v>
      </c>
      <c r="E382">
        <f t="shared" si="19"/>
        <v>2</v>
      </c>
    </row>
    <row r="383" spans="1:5" x14ac:dyDescent="0.25">
      <c r="A383" s="28">
        <v>33269</v>
      </c>
      <c r="B383" s="17">
        <v>4.1517751676101597E-2</v>
      </c>
      <c r="C383" t="str">
        <f t="shared" si="17"/>
        <v>Green</v>
      </c>
      <c r="D383">
        <f t="shared" si="18"/>
        <v>1</v>
      </c>
      <c r="E383">
        <f t="shared" si="19"/>
        <v>1</v>
      </c>
    </row>
    <row r="384" spans="1:5" x14ac:dyDescent="0.25">
      <c r="A384" s="28">
        <v>33238</v>
      </c>
      <c r="B384" s="17">
        <v>2.4827757355757599E-2</v>
      </c>
      <c r="C384" t="str">
        <f t="shared" si="17"/>
        <v>Green</v>
      </c>
      <c r="D384">
        <f t="shared" si="18"/>
        <v>1</v>
      </c>
      <c r="E384">
        <f t="shared" si="19"/>
        <v>12</v>
      </c>
    </row>
    <row r="385" spans="1:7" x14ac:dyDescent="0.25">
      <c r="A385" s="28">
        <v>33207</v>
      </c>
      <c r="B385" s="17">
        <v>5.9934213815789401E-2</v>
      </c>
      <c r="C385" t="str">
        <f t="shared" si="17"/>
        <v>Green</v>
      </c>
      <c r="D385">
        <f t="shared" si="18"/>
        <v>1</v>
      </c>
      <c r="E385">
        <f t="shared" si="19"/>
        <v>11</v>
      </c>
    </row>
    <row r="386" spans="1:7" x14ac:dyDescent="0.25">
      <c r="A386" s="28">
        <v>33177</v>
      </c>
      <c r="B386" s="17">
        <v>-6.6982129729734599E-3</v>
      </c>
      <c r="C386" t="str">
        <f t="shared" si="17"/>
        <v>Red</v>
      </c>
      <c r="D386">
        <f t="shared" si="18"/>
        <v>0</v>
      </c>
      <c r="E386">
        <f t="shared" si="19"/>
        <v>10</v>
      </c>
    </row>
    <row r="387" spans="1:7" x14ac:dyDescent="0.25">
      <c r="A387" s="28">
        <v>33144</v>
      </c>
      <c r="B387" s="17">
        <v>-5.1184307112997998E-2</v>
      </c>
      <c r="C387" t="str">
        <f t="shared" ref="C387:C450" si="20">IF(B387&gt;0,"Green","Red")</f>
        <v>Red</v>
      </c>
      <c r="D387">
        <f t="shared" si="18"/>
        <v>0</v>
      </c>
      <c r="E387">
        <f t="shared" si="19"/>
        <v>9</v>
      </c>
    </row>
    <row r="388" spans="1:7" x14ac:dyDescent="0.25">
      <c r="A388" s="28">
        <v>33116</v>
      </c>
      <c r="B388" s="17">
        <v>-9.43141838154853E-2</v>
      </c>
      <c r="C388" t="str">
        <f t="shared" si="20"/>
        <v>Red</v>
      </c>
      <c r="D388">
        <f t="shared" ref="D388:D451" si="21">IF(B388&gt;0,1,0)</f>
        <v>0</v>
      </c>
      <c r="E388">
        <f t="shared" ref="E388:E451" si="22">MONTH(A388)</f>
        <v>8</v>
      </c>
    </row>
    <row r="389" spans="1:7" x14ac:dyDescent="0.25">
      <c r="A389" s="28">
        <v>33085</v>
      </c>
      <c r="B389" s="17">
        <v>-5.2231580846174904E-3</v>
      </c>
      <c r="C389" t="str">
        <f t="shared" si="20"/>
        <v>Red</v>
      </c>
      <c r="D389">
        <f t="shared" si="21"/>
        <v>0</v>
      </c>
      <c r="E389">
        <f t="shared" si="22"/>
        <v>7</v>
      </c>
    </row>
    <row r="390" spans="1:7" x14ac:dyDescent="0.25">
      <c r="A390" s="28">
        <v>33053</v>
      </c>
      <c r="B390" s="17">
        <v>-8.8863657565815303E-3</v>
      </c>
      <c r="C390" t="str">
        <f t="shared" si="20"/>
        <v>Red</v>
      </c>
      <c r="D390">
        <f t="shared" si="21"/>
        <v>0</v>
      </c>
      <c r="E390">
        <f t="shared" si="22"/>
        <v>6</v>
      </c>
    </row>
    <row r="391" spans="1:7" x14ac:dyDescent="0.25">
      <c r="A391" s="28">
        <v>33024</v>
      </c>
      <c r="B391" s="17">
        <v>9.1989190156802597E-2</v>
      </c>
      <c r="C391" t="str">
        <f t="shared" si="20"/>
        <v>Green</v>
      </c>
      <c r="D391">
        <f t="shared" si="21"/>
        <v>1</v>
      </c>
      <c r="E391">
        <f t="shared" si="22"/>
        <v>5</v>
      </c>
      <c r="G391" s="22"/>
    </row>
    <row r="392" spans="1:7" x14ac:dyDescent="0.25">
      <c r="A392" s="28">
        <v>32993</v>
      </c>
      <c r="B392" s="17">
        <v>-2.6887138748678398E-2</v>
      </c>
      <c r="C392" t="str">
        <f t="shared" si="20"/>
        <v>Red</v>
      </c>
      <c r="D392">
        <f t="shared" si="21"/>
        <v>0</v>
      </c>
      <c r="E392">
        <f t="shared" si="22"/>
        <v>4</v>
      </c>
    </row>
    <row r="393" spans="1:7" x14ac:dyDescent="0.25">
      <c r="A393" s="28">
        <v>32962</v>
      </c>
      <c r="B393" s="17">
        <v>2.4254983989199001E-2</v>
      </c>
      <c r="C393" t="str">
        <f t="shared" si="20"/>
        <v>Green</v>
      </c>
      <c r="D393">
        <f t="shared" si="21"/>
        <v>1</v>
      </c>
      <c r="E393">
        <f t="shared" si="22"/>
        <v>3</v>
      </c>
    </row>
    <row r="394" spans="1:7" x14ac:dyDescent="0.25">
      <c r="A394" s="28">
        <v>32932</v>
      </c>
      <c r="B394" s="17">
        <v>8.5390425155207304E-3</v>
      </c>
      <c r="C394" t="str">
        <f t="shared" si="20"/>
        <v>Green</v>
      </c>
      <c r="D394">
        <f t="shared" si="21"/>
        <v>1</v>
      </c>
      <c r="E394">
        <f t="shared" si="22"/>
        <v>2</v>
      </c>
    </row>
    <row r="395" spans="1:7" x14ac:dyDescent="0.25">
      <c r="A395" s="28">
        <v>32904</v>
      </c>
      <c r="B395" s="17">
        <v>-6.8817225277032601E-2</v>
      </c>
      <c r="C395" t="str">
        <f t="shared" si="20"/>
        <v>Red</v>
      </c>
      <c r="D395">
        <f t="shared" si="21"/>
        <v>0</v>
      </c>
      <c r="E395">
        <f t="shared" si="22"/>
        <v>1</v>
      </c>
    </row>
    <row r="396" spans="1:7" x14ac:dyDescent="0.25">
      <c r="A396" s="28">
        <v>32871</v>
      </c>
      <c r="B396" s="17">
        <v>2.1416816133900299E-2</v>
      </c>
      <c r="C396" t="str">
        <f t="shared" si="20"/>
        <v>Green</v>
      </c>
      <c r="D396">
        <f t="shared" si="21"/>
        <v>1</v>
      </c>
      <c r="E396">
        <f t="shared" si="22"/>
        <v>12</v>
      </c>
    </row>
    <row r="397" spans="1:7" x14ac:dyDescent="0.25">
      <c r="A397" s="28">
        <v>32842</v>
      </c>
      <c r="B397" s="17">
        <v>1.65413246213417E-2</v>
      </c>
      <c r="C397" t="str">
        <f t="shared" si="20"/>
        <v>Green</v>
      </c>
      <c r="D397">
        <f t="shared" si="21"/>
        <v>1</v>
      </c>
      <c r="E397">
        <f t="shared" si="22"/>
        <v>11</v>
      </c>
    </row>
    <row r="398" spans="1:7" x14ac:dyDescent="0.25">
      <c r="A398" s="28">
        <v>32812</v>
      </c>
      <c r="B398" s="17">
        <v>-2.5175452244172201E-2</v>
      </c>
      <c r="C398" t="str">
        <f t="shared" si="20"/>
        <v>Red</v>
      </c>
      <c r="D398">
        <f t="shared" si="21"/>
        <v>0</v>
      </c>
      <c r="E398">
        <f t="shared" si="22"/>
        <v>10</v>
      </c>
    </row>
    <row r="399" spans="1:7" x14ac:dyDescent="0.25">
      <c r="A399" s="28">
        <v>32780</v>
      </c>
      <c r="B399" s="17">
        <v>-6.5443673964080702E-3</v>
      </c>
      <c r="C399" t="str">
        <f t="shared" si="20"/>
        <v>Red</v>
      </c>
      <c r="D399">
        <f t="shared" si="21"/>
        <v>0</v>
      </c>
      <c r="E399">
        <f t="shared" si="22"/>
        <v>9</v>
      </c>
    </row>
    <row r="400" spans="1:7" x14ac:dyDescent="0.25">
      <c r="A400" s="28">
        <v>32751</v>
      </c>
      <c r="B400" s="17">
        <v>1.5516716371120299E-2</v>
      </c>
      <c r="C400" t="str">
        <f t="shared" si="20"/>
        <v>Green</v>
      </c>
      <c r="D400">
        <f t="shared" si="21"/>
        <v>1</v>
      </c>
      <c r="E400">
        <f t="shared" si="22"/>
        <v>8</v>
      </c>
    </row>
    <row r="401" spans="1:5" x14ac:dyDescent="0.25">
      <c r="A401" s="28">
        <v>32720</v>
      </c>
      <c r="B401" s="17">
        <v>8.8370259223621503E-2</v>
      </c>
      <c r="C401" t="str">
        <f t="shared" si="20"/>
        <v>Green</v>
      </c>
      <c r="D401">
        <f t="shared" si="21"/>
        <v>1</v>
      </c>
      <c r="E401">
        <f t="shared" si="22"/>
        <v>7</v>
      </c>
    </row>
    <row r="402" spans="1:5" x14ac:dyDescent="0.25">
      <c r="A402" s="28">
        <v>32689</v>
      </c>
      <c r="B402" s="17">
        <v>-7.9245541219584697E-3</v>
      </c>
      <c r="C402" t="str">
        <f t="shared" si="20"/>
        <v>Red</v>
      </c>
      <c r="D402">
        <f t="shared" si="21"/>
        <v>0</v>
      </c>
      <c r="E402">
        <f t="shared" si="22"/>
        <v>6</v>
      </c>
    </row>
    <row r="403" spans="1:5" x14ac:dyDescent="0.25">
      <c r="A403" s="28">
        <v>32659</v>
      </c>
      <c r="B403" s="17">
        <v>3.5137493453486698E-2</v>
      </c>
      <c r="C403" t="str">
        <f t="shared" si="20"/>
        <v>Green</v>
      </c>
      <c r="D403">
        <f t="shared" si="21"/>
        <v>1</v>
      </c>
      <c r="E403">
        <f t="shared" si="22"/>
        <v>5</v>
      </c>
    </row>
    <row r="404" spans="1:5" x14ac:dyDescent="0.25">
      <c r="A404" s="28">
        <v>32626</v>
      </c>
      <c r="B404" s="17">
        <v>5.0089938788108898E-2</v>
      </c>
      <c r="C404" t="str">
        <f t="shared" si="20"/>
        <v>Green</v>
      </c>
      <c r="D404">
        <f t="shared" si="21"/>
        <v>1</v>
      </c>
      <c r="E404">
        <f t="shared" si="22"/>
        <v>4</v>
      </c>
    </row>
    <row r="405" spans="1:5" x14ac:dyDescent="0.25">
      <c r="A405" s="28">
        <v>32598</v>
      </c>
      <c r="B405" s="17">
        <v>2.0805962445785E-2</v>
      </c>
      <c r="C405" t="str">
        <f t="shared" si="20"/>
        <v>Green</v>
      </c>
      <c r="D405">
        <f t="shared" si="21"/>
        <v>1</v>
      </c>
      <c r="E405">
        <f t="shared" si="22"/>
        <v>3</v>
      </c>
    </row>
    <row r="406" spans="1:5" x14ac:dyDescent="0.25">
      <c r="A406" s="28">
        <v>32567</v>
      </c>
      <c r="B406" s="17">
        <v>-2.8944148892513202E-2</v>
      </c>
      <c r="C406" t="str">
        <f t="shared" si="20"/>
        <v>Red</v>
      </c>
      <c r="D406">
        <f t="shared" si="21"/>
        <v>0</v>
      </c>
      <c r="E406">
        <f t="shared" si="22"/>
        <v>2</v>
      </c>
    </row>
    <row r="407" spans="1:5" x14ac:dyDescent="0.25">
      <c r="A407" s="28">
        <v>32539</v>
      </c>
      <c r="B407" s="17">
        <v>7.1114791620643797E-2</v>
      </c>
      <c r="C407" t="str">
        <f t="shared" si="20"/>
        <v>Green</v>
      </c>
      <c r="D407">
        <f t="shared" si="21"/>
        <v>1</v>
      </c>
      <c r="E407">
        <f t="shared" si="22"/>
        <v>1</v>
      </c>
    </row>
    <row r="408" spans="1:5" x14ac:dyDescent="0.25">
      <c r="A408" s="28">
        <v>32507</v>
      </c>
      <c r="B408" s="17">
        <v>1.46875733421599E-2</v>
      </c>
      <c r="C408" t="str">
        <f t="shared" si="20"/>
        <v>Green</v>
      </c>
      <c r="D408">
        <f t="shared" si="21"/>
        <v>1</v>
      </c>
      <c r="E408">
        <f t="shared" si="22"/>
        <v>12</v>
      </c>
    </row>
    <row r="409" spans="1:5" x14ac:dyDescent="0.25">
      <c r="A409" s="28">
        <v>32477</v>
      </c>
      <c r="B409" s="17">
        <v>-1.88908806721481E-2</v>
      </c>
      <c r="C409" t="str">
        <f t="shared" si="20"/>
        <v>Red</v>
      </c>
      <c r="D409">
        <f t="shared" si="21"/>
        <v>0</v>
      </c>
      <c r="E409">
        <f t="shared" si="22"/>
        <v>11</v>
      </c>
    </row>
    <row r="410" spans="1:5" x14ac:dyDescent="0.25">
      <c r="A410" s="28">
        <v>32447</v>
      </c>
      <c r="B410" s="17">
        <v>2.5964462124019601E-2</v>
      </c>
      <c r="C410" t="str">
        <f t="shared" si="20"/>
        <v>Green</v>
      </c>
      <c r="D410">
        <f t="shared" si="21"/>
        <v>1</v>
      </c>
      <c r="E410">
        <f t="shared" si="22"/>
        <v>10</v>
      </c>
    </row>
    <row r="411" spans="1:5" x14ac:dyDescent="0.25">
      <c r="A411" s="28">
        <v>32416</v>
      </c>
      <c r="B411" s="17">
        <v>3.9729334035724498E-2</v>
      </c>
      <c r="C411" t="str">
        <f t="shared" si="20"/>
        <v>Green</v>
      </c>
      <c r="D411">
        <f t="shared" si="21"/>
        <v>1</v>
      </c>
      <c r="E411">
        <f t="shared" si="22"/>
        <v>9</v>
      </c>
    </row>
    <row r="412" spans="1:5" x14ac:dyDescent="0.25">
      <c r="A412" s="28">
        <v>32386</v>
      </c>
      <c r="B412" s="17">
        <v>-3.8600104494526701E-2</v>
      </c>
      <c r="C412" t="str">
        <f t="shared" si="20"/>
        <v>Red</v>
      </c>
      <c r="D412">
        <f t="shared" si="21"/>
        <v>0</v>
      </c>
      <c r="E412">
        <f t="shared" si="22"/>
        <v>8</v>
      </c>
    </row>
    <row r="413" spans="1:5" x14ac:dyDescent="0.25">
      <c r="A413" s="28">
        <v>32353</v>
      </c>
      <c r="B413" s="17">
        <v>-5.4113747714807899E-3</v>
      </c>
      <c r="C413" t="str">
        <f t="shared" si="20"/>
        <v>Red</v>
      </c>
      <c r="D413">
        <f t="shared" si="21"/>
        <v>0</v>
      </c>
      <c r="E413">
        <f t="shared" si="22"/>
        <v>7</v>
      </c>
    </row>
    <row r="414" spans="1:5" x14ac:dyDescent="0.25">
      <c r="A414" s="28">
        <v>32324</v>
      </c>
      <c r="B414" s="17">
        <v>4.3256010935977897E-2</v>
      </c>
      <c r="C414" t="str">
        <f t="shared" si="20"/>
        <v>Green</v>
      </c>
      <c r="D414">
        <f t="shared" si="21"/>
        <v>1</v>
      </c>
      <c r="E414">
        <f t="shared" si="22"/>
        <v>6</v>
      </c>
    </row>
    <row r="415" spans="1:5" x14ac:dyDescent="0.25">
      <c r="A415" s="28">
        <v>32294</v>
      </c>
      <c r="B415" s="17">
        <v>3.1761261289926499E-3</v>
      </c>
      <c r="C415" t="str">
        <f t="shared" si="20"/>
        <v>Green</v>
      </c>
      <c r="D415">
        <f t="shared" si="21"/>
        <v>1</v>
      </c>
      <c r="E415">
        <f t="shared" si="22"/>
        <v>5</v>
      </c>
    </row>
    <row r="416" spans="1:5" x14ac:dyDescent="0.25">
      <c r="A416" s="28">
        <v>32262</v>
      </c>
      <c r="B416" s="17">
        <v>9.4247435537442303E-3</v>
      </c>
      <c r="C416" t="str">
        <f t="shared" si="20"/>
        <v>Green</v>
      </c>
      <c r="D416">
        <f t="shared" si="21"/>
        <v>1</v>
      </c>
      <c r="E416">
        <f t="shared" si="22"/>
        <v>4</v>
      </c>
    </row>
    <row r="417" spans="1:5" x14ac:dyDescent="0.25">
      <c r="A417" s="28">
        <v>32233</v>
      </c>
      <c r="B417" s="17">
        <v>-3.33432595272838E-2</v>
      </c>
      <c r="C417" t="str">
        <f t="shared" si="20"/>
        <v>Red</v>
      </c>
      <c r="D417">
        <f t="shared" si="21"/>
        <v>0</v>
      </c>
      <c r="E417">
        <f t="shared" si="22"/>
        <v>3</v>
      </c>
    </row>
    <row r="418" spans="1:5" x14ac:dyDescent="0.25">
      <c r="A418" s="28">
        <v>32202</v>
      </c>
      <c r="B418" s="17">
        <v>4.1817402681285899E-2</v>
      </c>
      <c r="C418" t="str">
        <f t="shared" si="20"/>
        <v>Green</v>
      </c>
      <c r="D418">
        <f t="shared" si="21"/>
        <v>1</v>
      </c>
      <c r="E418">
        <f t="shared" si="22"/>
        <v>2</v>
      </c>
    </row>
    <row r="419" spans="1:5" x14ac:dyDescent="0.25">
      <c r="A419" s="28">
        <v>32171</v>
      </c>
      <c r="B419" s="17">
        <v>4.0432268573479903E-2</v>
      </c>
      <c r="C419" t="str">
        <f t="shared" si="20"/>
        <v>Green</v>
      </c>
      <c r="D419">
        <f t="shared" si="21"/>
        <v>1</v>
      </c>
      <c r="E419">
        <f t="shared" si="22"/>
        <v>1</v>
      </c>
    </row>
    <row r="420" spans="1:5" x14ac:dyDescent="0.25">
      <c r="A420" s="28">
        <v>32142</v>
      </c>
      <c r="B420" s="17">
        <v>7.2861479728248302E-2</v>
      </c>
      <c r="C420" t="str">
        <f t="shared" si="20"/>
        <v>Green</v>
      </c>
      <c r="D420">
        <f t="shared" si="21"/>
        <v>1</v>
      </c>
      <c r="E420">
        <f t="shared" si="22"/>
        <v>12</v>
      </c>
    </row>
    <row r="421" spans="1:5" x14ac:dyDescent="0.25">
      <c r="A421" s="28">
        <v>32111</v>
      </c>
      <c r="B421" s="17">
        <v>-8.5348864519806403E-2</v>
      </c>
      <c r="C421" t="str">
        <f t="shared" si="20"/>
        <v>Red</v>
      </c>
      <c r="D421">
        <f t="shared" si="21"/>
        <v>0</v>
      </c>
      <c r="E421">
        <f t="shared" si="22"/>
        <v>11</v>
      </c>
    </row>
    <row r="422" spans="1:5" x14ac:dyDescent="0.25">
      <c r="A422" s="28">
        <v>32080</v>
      </c>
      <c r="B422" s="17">
        <v>-0.21763041614888401</v>
      </c>
      <c r="C422" t="str">
        <f t="shared" si="20"/>
        <v>Red</v>
      </c>
      <c r="D422">
        <f t="shared" si="21"/>
        <v>0</v>
      </c>
      <c r="E422">
        <f t="shared" si="22"/>
        <v>10</v>
      </c>
    </row>
    <row r="423" spans="1:5" x14ac:dyDescent="0.25">
      <c r="A423" s="28">
        <v>32050</v>
      </c>
      <c r="B423" s="17">
        <v>-2.4166165221328001E-2</v>
      </c>
      <c r="C423" t="str">
        <f t="shared" si="20"/>
        <v>Red</v>
      </c>
      <c r="D423">
        <f t="shared" si="21"/>
        <v>0</v>
      </c>
      <c r="E423">
        <f t="shared" si="22"/>
        <v>9</v>
      </c>
    </row>
    <row r="424" spans="1:5" x14ac:dyDescent="0.25">
      <c r="A424" s="28">
        <v>32020</v>
      </c>
      <c r="B424" s="17">
        <v>3.4958839704276198E-2</v>
      </c>
      <c r="C424" t="str">
        <f t="shared" si="20"/>
        <v>Green</v>
      </c>
      <c r="D424">
        <f t="shared" si="21"/>
        <v>1</v>
      </c>
      <c r="E424">
        <f t="shared" si="22"/>
        <v>8</v>
      </c>
    </row>
    <row r="425" spans="1:5" x14ac:dyDescent="0.25">
      <c r="A425" s="28">
        <v>31989</v>
      </c>
      <c r="B425" s="17">
        <v>4.8223697368421102E-2</v>
      </c>
      <c r="C425" t="str">
        <f t="shared" si="20"/>
        <v>Green</v>
      </c>
      <c r="D425">
        <f t="shared" si="21"/>
        <v>1</v>
      </c>
      <c r="E425">
        <f t="shared" si="22"/>
        <v>7</v>
      </c>
    </row>
    <row r="426" spans="1:5" x14ac:dyDescent="0.25">
      <c r="A426" s="28">
        <v>31958</v>
      </c>
      <c r="B426" s="17">
        <v>4.7914490563643698E-2</v>
      </c>
      <c r="C426" t="str">
        <f t="shared" si="20"/>
        <v>Green</v>
      </c>
      <c r="D426">
        <f t="shared" si="21"/>
        <v>1</v>
      </c>
      <c r="E426">
        <f t="shared" si="22"/>
        <v>6</v>
      </c>
    </row>
    <row r="427" spans="1:5" x14ac:dyDescent="0.25">
      <c r="A427" s="28">
        <v>31926</v>
      </c>
      <c r="B427" s="17">
        <v>6.0341971511754799E-3</v>
      </c>
      <c r="C427" t="str">
        <f t="shared" si="20"/>
        <v>Green</v>
      </c>
      <c r="D427">
        <f t="shared" si="21"/>
        <v>1</v>
      </c>
      <c r="E427">
        <f t="shared" si="22"/>
        <v>5</v>
      </c>
    </row>
    <row r="428" spans="1:5" x14ac:dyDescent="0.25">
      <c r="A428" s="28">
        <v>31897</v>
      </c>
      <c r="B428" s="17">
        <v>-1.1450212076097E-2</v>
      </c>
      <c r="C428" t="str">
        <f t="shared" si="20"/>
        <v>Red</v>
      </c>
      <c r="D428">
        <f t="shared" si="21"/>
        <v>0</v>
      </c>
      <c r="E428">
        <f t="shared" si="22"/>
        <v>4</v>
      </c>
    </row>
    <row r="429" spans="1:5" x14ac:dyDescent="0.25">
      <c r="A429" s="28">
        <v>31867</v>
      </c>
      <c r="B429" s="17">
        <v>2.6389865177064199E-2</v>
      </c>
      <c r="C429" t="str">
        <f t="shared" si="20"/>
        <v>Green</v>
      </c>
      <c r="D429">
        <f t="shared" si="21"/>
        <v>1</v>
      </c>
      <c r="E429">
        <f t="shared" si="22"/>
        <v>3</v>
      </c>
    </row>
    <row r="430" spans="1:5" x14ac:dyDescent="0.25">
      <c r="A430" s="28">
        <v>31835</v>
      </c>
      <c r="B430" s="17">
        <v>3.6923618943399898E-2</v>
      </c>
      <c r="C430" t="str">
        <f t="shared" si="20"/>
        <v>Green</v>
      </c>
      <c r="D430">
        <f t="shared" si="21"/>
        <v>1</v>
      </c>
      <c r="E430">
        <f t="shared" si="22"/>
        <v>2</v>
      </c>
    </row>
    <row r="431" spans="1:5" x14ac:dyDescent="0.25">
      <c r="A431" s="28">
        <v>31807</v>
      </c>
      <c r="B431" s="17">
        <v>0.13176689624451399</v>
      </c>
      <c r="C431" t="str">
        <f t="shared" si="20"/>
        <v>Green</v>
      </c>
      <c r="D431">
        <f t="shared" si="21"/>
        <v>1</v>
      </c>
      <c r="E431">
        <f t="shared" si="22"/>
        <v>1</v>
      </c>
    </row>
    <row r="432" spans="1:5" x14ac:dyDescent="0.25">
      <c r="A432" s="28">
        <v>31777</v>
      </c>
      <c r="B432" s="17">
        <v>-2.8288271293281899E-2</v>
      </c>
      <c r="C432" t="str">
        <f t="shared" si="20"/>
        <v>Red</v>
      </c>
      <c r="D432">
        <f t="shared" si="21"/>
        <v>0</v>
      </c>
      <c r="E432">
        <f t="shared" si="22"/>
        <v>12</v>
      </c>
    </row>
    <row r="433" spans="1:5" x14ac:dyDescent="0.25">
      <c r="A433" s="28">
        <v>31744</v>
      </c>
      <c r="B433" s="17">
        <v>2.1477191105454301E-2</v>
      </c>
      <c r="C433" t="str">
        <f t="shared" si="20"/>
        <v>Green</v>
      </c>
      <c r="D433">
        <f t="shared" si="21"/>
        <v>1</v>
      </c>
      <c r="E433">
        <f t="shared" si="22"/>
        <v>11</v>
      </c>
    </row>
    <row r="434" spans="1:5" x14ac:dyDescent="0.25">
      <c r="A434" s="28">
        <v>31716</v>
      </c>
      <c r="B434" s="17">
        <v>5.4729330005596898E-2</v>
      </c>
      <c r="C434" t="str">
        <f t="shared" si="20"/>
        <v>Green</v>
      </c>
      <c r="D434">
        <f t="shared" si="21"/>
        <v>1</v>
      </c>
      <c r="E434">
        <f t="shared" si="22"/>
        <v>10</v>
      </c>
    </row>
    <row r="435" spans="1:5" x14ac:dyDescent="0.25">
      <c r="A435" s="28">
        <v>31685</v>
      </c>
      <c r="B435" s="17">
        <v>-8.5438605930772196E-2</v>
      </c>
      <c r="C435" t="str">
        <f t="shared" si="20"/>
        <v>Red</v>
      </c>
      <c r="D435">
        <f t="shared" si="21"/>
        <v>0</v>
      </c>
      <c r="E435">
        <f t="shared" si="22"/>
        <v>9</v>
      </c>
    </row>
    <row r="436" spans="1:5" x14ac:dyDescent="0.25">
      <c r="A436" s="28">
        <v>31653</v>
      </c>
      <c r="B436" s="17">
        <v>7.1192606962404897E-2</v>
      </c>
      <c r="C436" t="str">
        <f t="shared" si="20"/>
        <v>Green</v>
      </c>
      <c r="D436">
        <f t="shared" si="21"/>
        <v>1</v>
      </c>
      <c r="E436">
        <f t="shared" si="22"/>
        <v>8</v>
      </c>
    </row>
    <row r="437" spans="1:5" x14ac:dyDescent="0.25">
      <c r="A437" s="28">
        <v>31624</v>
      </c>
      <c r="B437" s="17">
        <v>-5.8682830628015298E-2</v>
      </c>
      <c r="C437" t="str">
        <f t="shared" si="20"/>
        <v>Red</v>
      </c>
      <c r="D437">
        <f t="shared" si="21"/>
        <v>0</v>
      </c>
      <c r="E437">
        <f t="shared" si="22"/>
        <v>7</v>
      </c>
    </row>
    <row r="438" spans="1:5" x14ac:dyDescent="0.25">
      <c r="A438" s="28">
        <v>31593</v>
      </c>
      <c r="B438" s="17">
        <v>1.41095205795143E-2</v>
      </c>
      <c r="C438" t="str">
        <f t="shared" si="20"/>
        <v>Green</v>
      </c>
      <c r="D438">
        <f t="shared" si="21"/>
        <v>1</v>
      </c>
      <c r="E438">
        <f t="shared" si="22"/>
        <v>6</v>
      </c>
    </row>
    <row r="439" spans="1:5" x14ac:dyDescent="0.25">
      <c r="A439" s="28">
        <v>31562</v>
      </c>
      <c r="B439" s="17">
        <v>5.0229287530073198E-2</v>
      </c>
      <c r="C439" t="str">
        <f t="shared" si="20"/>
        <v>Green</v>
      </c>
      <c r="D439">
        <f t="shared" si="21"/>
        <v>1</v>
      </c>
      <c r="E439">
        <f t="shared" si="22"/>
        <v>5</v>
      </c>
    </row>
    <row r="440" spans="1:5" x14ac:dyDescent="0.25">
      <c r="A440" s="28">
        <v>31532</v>
      </c>
      <c r="B440" s="17">
        <v>-1.41481376512718E-2</v>
      </c>
      <c r="C440" t="str">
        <f t="shared" si="20"/>
        <v>Red</v>
      </c>
      <c r="D440">
        <f t="shared" si="21"/>
        <v>0</v>
      </c>
      <c r="E440">
        <f t="shared" si="22"/>
        <v>4</v>
      </c>
    </row>
    <row r="441" spans="1:5" x14ac:dyDescent="0.25">
      <c r="A441" s="28">
        <v>31502</v>
      </c>
      <c r="B441" s="17">
        <v>5.27939190269162E-2</v>
      </c>
      <c r="C441" t="str">
        <f t="shared" si="20"/>
        <v>Green</v>
      </c>
      <c r="D441">
        <f t="shared" si="21"/>
        <v>1</v>
      </c>
      <c r="E441">
        <f t="shared" si="22"/>
        <v>3</v>
      </c>
    </row>
    <row r="442" spans="1:5" x14ac:dyDescent="0.25">
      <c r="A442" s="28">
        <v>31471</v>
      </c>
      <c r="B442" s="17">
        <v>7.1489276945364305E-2</v>
      </c>
      <c r="C442" t="str">
        <f t="shared" si="20"/>
        <v>Green</v>
      </c>
      <c r="D442">
        <f t="shared" si="21"/>
        <v>1</v>
      </c>
      <c r="E442">
        <f t="shared" si="22"/>
        <v>2</v>
      </c>
    </row>
    <row r="443" spans="1:5" x14ac:dyDescent="0.25">
      <c r="A443" s="28">
        <v>31443</v>
      </c>
      <c r="B443" s="17">
        <v>2.3665278415681001E-3</v>
      </c>
      <c r="C443" t="str">
        <f t="shared" si="20"/>
        <v>Green</v>
      </c>
      <c r="D443">
        <f t="shared" si="21"/>
        <v>1</v>
      </c>
      <c r="E443">
        <f t="shared" si="22"/>
        <v>1</v>
      </c>
    </row>
    <row r="444" spans="1:5" x14ac:dyDescent="0.25">
      <c r="A444" s="28">
        <v>31412</v>
      </c>
      <c r="B444" s="17">
        <v>4.5061092595944902E-2</v>
      </c>
      <c r="C444" t="str">
        <f t="shared" si="20"/>
        <v>Green</v>
      </c>
      <c r="D444">
        <f t="shared" si="21"/>
        <v>1</v>
      </c>
      <c r="E444">
        <f t="shared" si="22"/>
        <v>12</v>
      </c>
    </row>
    <row r="445" spans="1:5" x14ac:dyDescent="0.25">
      <c r="A445" s="28">
        <v>31380</v>
      </c>
      <c r="B445" s="17">
        <v>6.5061587528020701E-2</v>
      </c>
      <c r="C445" t="str">
        <f t="shared" si="20"/>
        <v>Green</v>
      </c>
      <c r="D445">
        <f t="shared" si="21"/>
        <v>1</v>
      </c>
      <c r="E445">
        <f t="shared" si="22"/>
        <v>11</v>
      </c>
    </row>
    <row r="446" spans="1:5" x14ac:dyDescent="0.25">
      <c r="A446" s="28">
        <v>31351</v>
      </c>
      <c r="B446" s="17">
        <v>4.25088143397538E-2</v>
      </c>
      <c r="C446" t="str">
        <f t="shared" si="20"/>
        <v>Green</v>
      </c>
      <c r="D446">
        <f t="shared" si="21"/>
        <v>1</v>
      </c>
      <c r="E446">
        <f t="shared" si="22"/>
        <v>10</v>
      </c>
    </row>
    <row r="447" spans="1:5" x14ac:dyDescent="0.25">
      <c r="A447" s="28">
        <v>31320</v>
      </c>
      <c r="B447" s="17">
        <v>-3.47240779641605E-2</v>
      </c>
      <c r="C447" t="str">
        <f t="shared" si="20"/>
        <v>Red</v>
      </c>
      <c r="D447">
        <f t="shared" si="21"/>
        <v>0</v>
      </c>
      <c r="E447">
        <f t="shared" si="22"/>
        <v>9</v>
      </c>
    </row>
    <row r="448" spans="1:5" x14ac:dyDescent="0.25">
      <c r="A448" s="28">
        <v>31289</v>
      </c>
      <c r="B448" s="17">
        <v>-1.19945161533052E-2</v>
      </c>
      <c r="C448" t="str">
        <f t="shared" si="20"/>
        <v>Red</v>
      </c>
      <c r="D448">
        <f t="shared" si="21"/>
        <v>0</v>
      </c>
      <c r="E448">
        <f t="shared" si="22"/>
        <v>8</v>
      </c>
    </row>
    <row r="449" spans="1:5" x14ac:dyDescent="0.25">
      <c r="A449" s="28">
        <v>31259</v>
      </c>
      <c r="B449" s="17">
        <v>-4.8475786860283599E-3</v>
      </c>
      <c r="C449" t="str">
        <f t="shared" si="20"/>
        <v>Red</v>
      </c>
      <c r="D449">
        <f t="shared" si="21"/>
        <v>0</v>
      </c>
      <c r="E449">
        <f t="shared" si="22"/>
        <v>7</v>
      </c>
    </row>
    <row r="450" spans="1:5" x14ac:dyDescent="0.25">
      <c r="A450" s="28">
        <v>31226</v>
      </c>
      <c r="B450" s="17">
        <v>1.2134017217609899E-2</v>
      </c>
      <c r="C450" t="str">
        <f t="shared" si="20"/>
        <v>Green</v>
      </c>
      <c r="D450">
        <f t="shared" si="21"/>
        <v>1</v>
      </c>
      <c r="E450">
        <f t="shared" si="22"/>
        <v>6</v>
      </c>
    </row>
    <row r="451" spans="1:5" x14ac:dyDescent="0.25">
      <c r="A451" s="28">
        <v>31198</v>
      </c>
      <c r="B451" s="17">
        <v>5.4051053171872802E-2</v>
      </c>
      <c r="C451" t="str">
        <f t="shared" ref="C451:C514" si="23">IF(B451&gt;0,"Green","Red")</f>
        <v>Green</v>
      </c>
      <c r="D451">
        <f t="shared" si="21"/>
        <v>1</v>
      </c>
      <c r="E451">
        <f t="shared" si="22"/>
        <v>5</v>
      </c>
    </row>
    <row r="452" spans="1:5" x14ac:dyDescent="0.25">
      <c r="A452" s="28">
        <v>31167</v>
      </c>
      <c r="B452" s="17">
        <v>-4.59427643984767E-3</v>
      </c>
      <c r="C452" t="str">
        <f t="shared" si="23"/>
        <v>Red</v>
      </c>
      <c r="D452">
        <f t="shared" ref="D452:D515" si="24">IF(B452&gt;0,1,0)</f>
        <v>0</v>
      </c>
      <c r="E452">
        <f t="shared" ref="E452:E515" si="25">MONTH(A452)</f>
        <v>4</v>
      </c>
    </row>
    <row r="453" spans="1:5" x14ac:dyDescent="0.25">
      <c r="A453" s="28">
        <v>31135</v>
      </c>
      <c r="B453" s="17">
        <v>-2.8700133573800199E-3</v>
      </c>
      <c r="C453" t="str">
        <f t="shared" si="23"/>
        <v>Red</v>
      </c>
      <c r="D453">
        <f t="shared" si="24"/>
        <v>0</v>
      </c>
      <c r="E453">
        <f t="shared" si="25"/>
        <v>3</v>
      </c>
    </row>
    <row r="454" spans="1:5" x14ac:dyDescent="0.25">
      <c r="A454" s="28">
        <v>31106</v>
      </c>
      <c r="B454" s="17">
        <v>8.6287811437737397E-3</v>
      </c>
      <c r="C454" t="str">
        <f t="shared" si="23"/>
        <v>Green</v>
      </c>
      <c r="D454">
        <f t="shared" si="24"/>
        <v>1</v>
      </c>
      <c r="E454">
        <f t="shared" si="25"/>
        <v>2</v>
      </c>
    </row>
    <row r="455" spans="1:5" x14ac:dyDescent="0.25">
      <c r="A455" s="28">
        <v>31078</v>
      </c>
      <c r="B455" s="17">
        <v>7.4085144879061801E-2</v>
      </c>
      <c r="C455" t="str">
        <f t="shared" si="23"/>
        <v>Green</v>
      </c>
      <c r="D455">
        <f t="shared" si="24"/>
        <v>1</v>
      </c>
      <c r="E455">
        <f t="shared" si="25"/>
        <v>1</v>
      </c>
    </row>
    <row r="456" spans="1:5" x14ac:dyDescent="0.25">
      <c r="A456" s="28">
        <v>31047</v>
      </c>
      <c r="B456" s="17">
        <v>2.2374391461371899E-2</v>
      </c>
      <c r="C456" t="str">
        <f t="shared" si="23"/>
        <v>Green</v>
      </c>
      <c r="D456">
        <f t="shared" si="24"/>
        <v>1</v>
      </c>
      <c r="E456">
        <f t="shared" si="25"/>
        <v>12</v>
      </c>
    </row>
    <row r="457" spans="1:5" x14ac:dyDescent="0.25">
      <c r="A457" s="28">
        <v>31016</v>
      </c>
      <c r="B457" s="17">
        <v>-1.51122527572342E-2</v>
      </c>
      <c r="C457" t="str">
        <f t="shared" si="23"/>
        <v>Red</v>
      </c>
      <c r="D457">
        <f t="shared" si="24"/>
        <v>0</v>
      </c>
      <c r="E457">
        <f t="shared" si="25"/>
        <v>11</v>
      </c>
    </row>
    <row r="458" spans="1:5" x14ac:dyDescent="0.25">
      <c r="A458" s="28">
        <v>30986</v>
      </c>
      <c r="B458" s="17">
        <v>-6.0264898485318201E-5</v>
      </c>
      <c r="C458" t="str">
        <f t="shared" si="23"/>
        <v>Red</v>
      </c>
      <c r="D458">
        <f t="shared" si="24"/>
        <v>0</v>
      </c>
      <c r="E458">
        <f t="shared" si="25"/>
        <v>10</v>
      </c>
    </row>
    <row r="459" spans="1:5" x14ac:dyDescent="0.25">
      <c r="A459" s="28">
        <v>30953</v>
      </c>
      <c r="B459" s="17">
        <v>-3.4796437746430499E-3</v>
      </c>
      <c r="C459" t="str">
        <f t="shared" si="23"/>
        <v>Red</v>
      </c>
      <c r="D459">
        <f t="shared" si="24"/>
        <v>0</v>
      </c>
      <c r="E459">
        <f t="shared" si="25"/>
        <v>9</v>
      </c>
    </row>
    <row r="460" spans="1:5" x14ac:dyDescent="0.25">
      <c r="A460" s="28">
        <v>30925</v>
      </c>
      <c r="B460" s="17">
        <v>0.10633206275502299</v>
      </c>
      <c r="C460" t="str">
        <f t="shared" si="23"/>
        <v>Green</v>
      </c>
      <c r="D460">
        <f t="shared" si="24"/>
        <v>1</v>
      </c>
      <c r="E460">
        <f t="shared" si="25"/>
        <v>8</v>
      </c>
    </row>
    <row r="461" spans="1:5" x14ac:dyDescent="0.25">
      <c r="A461" s="28">
        <v>30894</v>
      </c>
      <c r="B461" s="17">
        <v>-1.6451162783380002E-2</v>
      </c>
      <c r="C461" t="str">
        <f t="shared" si="23"/>
        <v>Red</v>
      </c>
      <c r="D461">
        <f t="shared" si="24"/>
        <v>0</v>
      </c>
      <c r="E461">
        <f t="shared" si="25"/>
        <v>7</v>
      </c>
    </row>
    <row r="462" spans="1:5" x14ac:dyDescent="0.25">
      <c r="A462" s="28">
        <v>30862</v>
      </c>
      <c r="B462" s="17">
        <v>1.7469212537976501E-2</v>
      </c>
      <c r="C462" t="str">
        <f t="shared" si="23"/>
        <v>Green</v>
      </c>
      <c r="D462">
        <f t="shared" si="24"/>
        <v>1</v>
      </c>
      <c r="E462">
        <f t="shared" si="25"/>
        <v>6</v>
      </c>
    </row>
    <row r="463" spans="1:5" x14ac:dyDescent="0.25">
      <c r="A463" s="28">
        <v>30833</v>
      </c>
      <c r="B463" s="17">
        <v>-5.9356449996442601E-2</v>
      </c>
      <c r="C463" t="str">
        <f t="shared" si="23"/>
        <v>Red</v>
      </c>
      <c r="D463">
        <f t="shared" si="24"/>
        <v>0</v>
      </c>
      <c r="E463">
        <f t="shared" si="25"/>
        <v>5</v>
      </c>
    </row>
    <row r="464" spans="1:5" x14ac:dyDescent="0.25">
      <c r="A464" s="28">
        <v>30802</v>
      </c>
      <c r="B464" s="17">
        <v>5.4655738048687797E-3</v>
      </c>
      <c r="C464" t="str">
        <f t="shared" si="23"/>
        <v>Green</v>
      </c>
      <c r="D464">
        <f t="shared" si="24"/>
        <v>1</v>
      </c>
      <c r="E464">
        <f t="shared" si="25"/>
        <v>4</v>
      </c>
    </row>
    <row r="465" spans="1:5" x14ac:dyDescent="0.25">
      <c r="A465" s="28">
        <v>30771</v>
      </c>
      <c r="B465" s="17">
        <v>1.34979945689289E-2</v>
      </c>
      <c r="C465" t="str">
        <f t="shared" si="23"/>
        <v>Green</v>
      </c>
      <c r="D465">
        <f t="shared" si="24"/>
        <v>1</v>
      </c>
      <c r="E465">
        <f t="shared" si="25"/>
        <v>3</v>
      </c>
    </row>
    <row r="466" spans="1:5" x14ac:dyDescent="0.25">
      <c r="A466" s="28">
        <v>30741</v>
      </c>
      <c r="B466" s="17">
        <v>-3.8859346701931301E-2</v>
      </c>
      <c r="C466" t="str">
        <f t="shared" si="23"/>
        <v>Red</v>
      </c>
      <c r="D466">
        <f t="shared" si="24"/>
        <v>0</v>
      </c>
      <c r="E466">
        <f t="shared" si="25"/>
        <v>2</v>
      </c>
    </row>
    <row r="467" spans="1:5" x14ac:dyDescent="0.25">
      <c r="A467" s="28">
        <v>30712</v>
      </c>
      <c r="B467" s="17">
        <v>-9.2159647396578004E-3</v>
      </c>
      <c r="C467" t="str">
        <f t="shared" si="23"/>
        <v>Red</v>
      </c>
      <c r="D467">
        <f t="shared" si="24"/>
        <v>0</v>
      </c>
      <c r="E467">
        <f t="shared" si="25"/>
        <v>1</v>
      </c>
    </row>
    <row r="468" spans="1:5" x14ac:dyDescent="0.25">
      <c r="A468" s="28">
        <v>30680</v>
      </c>
      <c r="B468" s="17">
        <v>-8.8341409435387392E-3</v>
      </c>
      <c r="C468" t="str">
        <f t="shared" si="23"/>
        <v>Red</v>
      </c>
      <c r="D468">
        <f t="shared" si="24"/>
        <v>0</v>
      </c>
      <c r="E468">
        <f t="shared" si="25"/>
        <v>12</v>
      </c>
    </row>
    <row r="469" spans="1:5" x14ac:dyDescent="0.25">
      <c r="A469" s="28">
        <v>30650</v>
      </c>
      <c r="B469" s="17">
        <v>1.7425808301574801E-2</v>
      </c>
      <c r="C469" t="str">
        <f t="shared" si="23"/>
        <v>Green</v>
      </c>
      <c r="D469">
        <f t="shared" si="24"/>
        <v>1</v>
      </c>
      <c r="E469">
        <f t="shared" si="25"/>
        <v>11</v>
      </c>
    </row>
    <row r="470" spans="1:5" x14ac:dyDescent="0.25">
      <c r="A470" s="28">
        <v>30620</v>
      </c>
      <c r="B470" s="17">
        <v>-1.5174347526823499E-2</v>
      </c>
      <c r="C470" t="str">
        <f t="shared" si="23"/>
        <v>Red</v>
      </c>
      <c r="D470">
        <f t="shared" si="24"/>
        <v>0</v>
      </c>
      <c r="E470">
        <f t="shared" si="25"/>
        <v>10</v>
      </c>
    </row>
    <row r="471" spans="1:5" x14ac:dyDescent="0.25">
      <c r="A471" s="28">
        <v>30589</v>
      </c>
      <c r="B471" s="17">
        <v>1.01582302977457E-2</v>
      </c>
      <c r="C471" t="str">
        <f t="shared" si="23"/>
        <v>Green</v>
      </c>
      <c r="D471">
        <f t="shared" si="24"/>
        <v>1</v>
      </c>
      <c r="E471">
        <f t="shared" si="25"/>
        <v>9</v>
      </c>
    </row>
    <row r="472" spans="1:5" x14ac:dyDescent="0.25">
      <c r="A472" s="28">
        <v>30559</v>
      </c>
      <c r="B472" s="17">
        <v>1.1318873170753901E-2</v>
      </c>
      <c r="C472" t="str">
        <f t="shared" si="23"/>
        <v>Green</v>
      </c>
      <c r="D472">
        <f t="shared" si="24"/>
        <v>1</v>
      </c>
      <c r="E472">
        <f t="shared" si="25"/>
        <v>8</v>
      </c>
    </row>
    <row r="473" spans="1:5" x14ac:dyDescent="0.25">
      <c r="A473" s="28">
        <v>30526</v>
      </c>
      <c r="B473" s="17">
        <v>-3.0303036448956201E-2</v>
      </c>
      <c r="C473" t="str">
        <f t="shared" si="23"/>
        <v>Red</v>
      </c>
      <c r="D473">
        <f t="shared" si="24"/>
        <v>0</v>
      </c>
      <c r="E473">
        <f t="shared" si="25"/>
        <v>7</v>
      </c>
    </row>
    <row r="474" spans="1:5" x14ac:dyDescent="0.25">
      <c r="A474" s="28">
        <v>30497</v>
      </c>
      <c r="B474" s="17">
        <v>3.2329577143479102E-2</v>
      </c>
      <c r="C474" t="str">
        <f t="shared" si="23"/>
        <v>Green</v>
      </c>
      <c r="D474">
        <f t="shared" si="24"/>
        <v>1</v>
      </c>
      <c r="E474">
        <f t="shared" si="25"/>
        <v>6</v>
      </c>
    </row>
    <row r="475" spans="1:5" x14ac:dyDescent="0.25">
      <c r="A475" s="28">
        <v>30467</v>
      </c>
      <c r="B475" s="17">
        <v>-1.24064592035834E-2</v>
      </c>
      <c r="C475" t="str">
        <f t="shared" si="23"/>
        <v>Red</v>
      </c>
      <c r="D475">
        <f t="shared" si="24"/>
        <v>0</v>
      </c>
      <c r="E475">
        <f t="shared" si="25"/>
        <v>5</v>
      </c>
    </row>
    <row r="476" spans="1:5" x14ac:dyDescent="0.25">
      <c r="A476" s="28">
        <v>30435</v>
      </c>
      <c r="B476" s="17">
        <v>7.4986829727328605E-2</v>
      </c>
      <c r="C476" t="str">
        <f t="shared" si="23"/>
        <v>Green</v>
      </c>
      <c r="D476">
        <f t="shared" si="24"/>
        <v>1</v>
      </c>
      <c r="E476">
        <f t="shared" si="25"/>
        <v>4</v>
      </c>
    </row>
    <row r="477" spans="1:5" x14ac:dyDescent="0.25">
      <c r="A477" s="28">
        <v>30406</v>
      </c>
      <c r="B477" s="17">
        <v>3.30947525745608E-2</v>
      </c>
      <c r="C477" t="str">
        <f t="shared" si="23"/>
        <v>Green</v>
      </c>
      <c r="D477">
        <f t="shared" si="24"/>
        <v>1</v>
      </c>
      <c r="E477">
        <f t="shared" si="25"/>
        <v>3</v>
      </c>
    </row>
    <row r="478" spans="1:5" x14ac:dyDescent="0.25">
      <c r="A478" s="28">
        <v>30375</v>
      </c>
      <c r="B478" s="17">
        <v>1.8995147577526302E-2</v>
      </c>
      <c r="C478" t="str">
        <f t="shared" si="23"/>
        <v>Green</v>
      </c>
      <c r="D478">
        <f t="shared" si="24"/>
        <v>1</v>
      </c>
      <c r="E478">
        <f t="shared" si="25"/>
        <v>2</v>
      </c>
    </row>
    <row r="479" spans="1:5" x14ac:dyDescent="0.25">
      <c r="A479" s="28">
        <v>30347</v>
      </c>
      <c r="B479" s="17">
        <v>3.3134272135482798E-2</v>
      </c>
      <c r="C479" t="str">
        <f t="shared" si="23"/>
        <v>Green</v>
      </c>
      <c r="D479">
        <f t="shared" si="24"/>
        <v>1</v>
      </c>
      <c r="E479">
        <f t="shared" si="25"/>
        <v>1</v>
      </c>
    </row>
    <row r="480" spans="1:5" x14ac:dyDescent="0.25">
      <c r="A480" s="28">
        <v>30316</v>
      </c>
      <c r="B480" s="17">
        <v>1.5231357938579E-2</v>
      </c>
      <c r="C480" t="str">
        <f t="shared" si="23"/>
        <v>Green</v>
      </c>
      <c r="D480">
        <f t="shared" si="24"/>
        <v>1</v>
      </c>
      <c r="E480">
        <f t="shared" si="25"/>
        <v>12</v>
      </c>
    </row>
    <row r="481" spans="1:5" x14ac:dyDescent="0.25">
      <c r="A481" s="28">
        <v>30285</v>
      </c>
      <c r="B481" s="17">
        <v>3.5970669787835301E-2</v>
      </c>
      <c r="C481" t="str">
        <f t="shared" si="23"/>
        <v>Green</v>
      </c>
      <c r="D481">
        <f t="shared" si="24"/>
        <v>1</v>
      </c>
      <c r="E481">
        <f t="shared" si="25"/>
        <v>11</v>
      </c>
    </row>
    <row r="482" spans="1:5" x14ac:dyDescent="0.25">
      <c r="A482" s="28">
        <v>30253</v>
      </c>
      <c r="B482" s="17">
        <v>0.110446796386759</v>
      </c>
      <c r="C482" t="str">
        <f t="shared" si="23"/>
        <v>Green</v>
      </c>
      <c r="D482">
        <f t="shared" si="24"/>
        <v>1</v>
      </c>
      <c r="E482">
        <f t="shared" si="25"/>
        <v>10</v>
      </c>
    </row>
    <row r="483" spans="1:5" x14ac:dyDescent="0.25">
      <c r="A483" s="28">
        <v>30224</v>
      </c>
      <c r="B483" s="17">
        <v>7.6143919736526601E-3</v>
      </c>
      <c r="C483" t="str">
        <f t="shared" si="23"/>
        <v>Green</v>
      </c>
      <c r="D483">
        <f t="shared" si="24"/>
        <v>1</v>
      </c>
      <c r="E483">
        <f t="shared" si="25"/>
        <v>9</v>
      </c>
    </row>
    <row r="484" spans="1:5" x14ac:dyDescent="0.25">
      <c r="A484" s="28">
        <v>30194</v>
      </c>
      <c r="B484" s="17">
        <v>0.115977275785873</v>
      </c>
      <c r="C484" t="str">
        <f t="shared" si="23"/>
        <v>Green</v>
      </c>
      <c r="D484">
        <f t="shared" si="24"/>
        <v>1</v>
      </c>
      <c r="E484">
        <f t="shared" si="25"/>
        <v>8</v>
      </c>
    </row>
    <row r="485" spans="1:5" x14ac:dyDescent="0.25">
      <c r="A485" s="28">
        <v>30162</v>
      </c>
      <c r="B485" s="17">
        <v>-2.2990648453693599E-2</v>
      </c>
      <c r="C485" t="str">
        <f t="shared" si="23"/>
        <v>Red</v>
      </c>
      <c r="D485">
        <f t="shared" si="24"/>
        <v>0</v>
      </c>
      <c r="E485">
        <f t="shared" si="25"/>
        <v>7</v>
      </c>
    </row>
    <row r="486" spans="1:5" x14ac:dyDescent="0.25">
      <c r="A486" s="28">
        <v>30132</v>
      </c>
      <c r="B486" s="17">
        <v>-2.02895607871709E-2</v>
      </c>
      <c r="C486" t="str">
        <f t="shared" si="23"/>
        <v>Red</v>
      </c>
      <c r="D486">
        <f t="shared" si="24"/>
        <v>0</v>
      </c>
      <c r="E486">
        <f t="shared" si="25"/>
        <v>6</v>
      </c>
    </row>
    <row r="487" spans="1:5" x14ac:dyDescent="0.25">
      <c r="A487" s="28">
        <v>30099</v>
      </c>
      <c r="B487" s="17">
        <v>-3.9161842336622503E-2</v>
      </c>
      <c r="C487" t="str">
        <f t="shared" si="23"/>
        <v>Red</v>
      </c>
      <c r="D487">
        <f t="shared" si="24"/>
        <v>0</v>
      </c>
      <c r="E487">
        <f t="shared" si="25"/>
        <v>5</v>
      </c>
    </row>
    <row r="488" spans="1:5" x14ac:dyDescent="0.25">
      <c r="A488" s="28">
        <v>30071</v>
      </c>
      <c r="B488" s="17">
        <v>4.0014317970831902E-2</v>
      </c>
      <c r="C488" t="str">
        <f t="shared" si="23"/>
        <v>Green</v>
      </c>
      <c r="D488">
        <f t="shared" si="24"/>
        <v>1</v>
      </c>
      <c r="E488">
        <f t="shared" si="25"/>
        <v>4</v>
      </c>
    </row>
    <row r="489" spans="1:5" x14ac:dyDescent="0.25">
      <c r="A489" s="28">
        <v>30041</v>
      </c>
      <c r="B489" s="17">
        <v>-1.0167111571327801E-2</v>
      </c>
      <c r="C489" t="str">
        <f t="shared" si="23"/>
        <v>Red</v>
      </c>
      <c r="D489">
        <f t="shared" si="24"/>
        <v>0</v>
      </c>
      <c r="E489">
        <f t="shared" si="25"/>
        <v>3</v>
      </c>
    </row>
    <row r="490" spans="1:5" x14ac:dyDescent="0.25">
      <c r="A490" s="28">
        <v>30008</v>
      </c>
      <c r="B490" s="17">
        <v>-6.0548180057339203E-2</v>
      </c>
      <c r="C490" t="str">
        <f t="shared" si="23"/>
        <v>Red</v>
      </c>
      <c r="D490">
        <f t="shared" si="24"/>
        <v>0</v>
      </c>
      <c r="E490">
        <f t="shared" si="25"/>
        <v>2</v>
      </c>
    </row>
    <row r="491" spans="1:5" x14ac:dyDescent="0.25">
      <c r="A491" s="28">
        <v>29980</v>
      </c>
      <c r="B491" s="17">
        <v>-1.7543867379587099E-2</v>
      </c>
      <c r="C491" t="str">
        <f t="shared" si="23"/>
        <v>Red</v>
      </c>
      <c r="D491">
        <f t="shared" si="24"/>
        <v>0</v>
      </c>
      <c r="E491">
        <f t="shared" si="25"/>
        <v>1</v>
      </c>
    </row>
    <row r="492" spans="1:5" x14ac:dyDescent="0.25">
      <c r="A492" s="28">
        <v>29951</v>
      </c>
      <c r="B492" s="17">
        <v>-3.00751488733699E-2</v>
      </c>
      <c r="C492" t="str">
        <f t="shared" si="23"/>
        <v>Red</v>
      </c>
      <c r="D492">
        <f t="shared" si="24"/>
        <v>0</v>
      </c>
      <c r="E492">
        <f t="shared" si="25"/>
        <v>12</v>
      </c>
    </row>
    <row r="493" spans="1:5" x14ac:dyDescent="0.25">
      <c r="A493" s="28">
        <v>29920</v>
      </c>
      <c r="B493" s="17">
        <v>3.6590360460992302E-2</v>
      </c>
      <c r="C493" t="str">
        <f t="shared" si="23"/>
        <v>Green</v>
      </c>
      <c r="D493">
        <f t="shared" si="24"/>
        <v>1</v>
      </c>
      <c r="E493">
        <f t="shared" si="25"/>
        <v>11</v>
      </c>
    </row>
    <row r="494" spans="1:5" x14ac:dyDescent="0.25">
      <c r="A494" s="28">
        <v>29889</v>
      </c>
      <c r="B494" s="17">
        <v>4.9147865381304903E-2</v>
      </c>
      <c r="C494" t="str">
        <f t="shared" si="23"/>
        <v>Green</v>
      </c>
      <c r="D494">
        <f t="shared" si="24"/>
        <v>1</v>
      </c>
      <c r="E494">
        <f t="shared" si="25"/>
        <v>10</v>
      </c>
    </row>
    <row r="495" spans="1:5" x14ac:dyDescent="0.25">
      <c r="A495" s="28">
        <v>29859</v>
      </c>
      <c r="B495" s="17">
        <v>-5.3831752961708897E-2</v>
      </c>
      <c r="C495" t="str">
        <f t="shared" si="23"/>
        <v>Red</v>
      </c>
      <c r="D495">
        <f t="shared" si="24"/>
        <v>0</v>
      </c>
      <c r="E495">
        <f t="shared" si="25"/>
        <v>9</v>
      </c>
    </row>
    <row r="496" spans="1:5" x14ac:dyDescent="0.25">
      <c r="A496" s="28">
        <v>29829</v>
      </c>
      <c r="B496" s="17">
        <v>-6.2098969784585498E-2</v>
      </c>
      <c r="C496" t="str">
        <f t="shared" si="23"/>
        <v>Red</v>
      </c>
      <c r="D496">
        <f t="shared" si="24"/>
        <v>0</v>
      </c>
      <c r="E496">
        <f t="shared" si="25"/>
        <v>8</v>
      </c>
    </row>
    <row r="497" spans="1:5" x14ac:dyDescent="0.25">
      <c r="A497" s="28">
        <v>29798</v>
      </c>
      <c r="B497" s="17">
        <v>-2.2102658679073999E-3</v>
      </c>
      <c r="C497" t="str">
        <f t="shared" si="23"/>
        <v>Red</v>
      </c>
      <c r="D497">
        <f t="shared" si="24"/>
        <v>0</v>
      </c>
      <c r="E497">
        <f t="shared" si="25"/>
        <v>7</v>
      </c>
    </row>
    <row r="498" spans="1:5" x14ac:dyDescent="0.25">
      <c r="A498" s="28">
        <v>29767</v>
      </c>
      <c r="B498" s="17">
        <v>-1.04079420893868E-2</v>
      </c>
      <c r="C498" t="str">
        <f t="shared" si="23"/>
        <v>Red</v>
      </c>
      <c r="D498">
        <f t="shared" si="24"/>
        <v>0</v>
      </c>
      <c r="E498">
        <f t="shared" si="25"/>
        <v>6</v>
      </c>
    </row>
    <row r="499" spans="1:5" x14ac:dyDescent="0.25">
      <c r="A499" s="28">
        <v>29735</v>
      </c>
      <c r="B499" s="17">
        <v>-1.6565168534976599E-3</v>
      </c>
      <c r="C499" t="str">
        <f t="shared" si="23"/>
        <v>Red</v>
      </c>
      <c r="D499">
        <f t="shared" si="24"/>
        <v>0</v>
      </c>
      <c r="E499">
        <f t="shared" si="25"/>
        <v>5</v>
      </c>
    </row>
    <row r="500" spans="1:5" x14ac:dyDescent="0.25">
      <c r="A500" s="28">
        <v>29706</v>
      </c>
      <c r="B500" s="17">
        <v>-2.3455897058823401E-2</v>
      </c>
      <c r="C500" t="str">
        <f t="shared" si="23"/>
        <v>Red</v>
      </c>
      <c r="D500">
        <f t="shared" si="24"/>
        <v>0</v>
      </c>
      <c r="E500">
        <f t="shared" si="25"/>
        <v>4</v>
      </c>
    </row>
    <row r="501" spans="1:5" x14ac:dyDescent="0.25">
      <c r="A501" s="28">
        <v>29676</v>
      </c>
      <c r="B501" s="17">
        <v>3.60325729859809E-2</v>
      </c>
      <c r="C501" t="str">
        <f t="shared" si="23"/>
        <v>Green</v>
      </c>
      <c r="D501">
        <f t="shared" si="24"/>
        <v>1</v>
      </c>
      <c r="E501">
        <f t="shared" si="25"/>
        <v>3</v>
      </c>
    </row>
    <row r="502" spans="1:5" x14ac:dyDescent="0.25">
      <c r="A502" s="28">
        <v>29644</v>
      </c>
      <c r="B502" s="17">
        <v>1.32767345439582E-2</v>
      </c>
      <c r="C502" t="str">
        <f t="shared" si="23"/>
        <v>Green</v>
      </c>
      <c r="D502">
        <f t="shared" si="24"/>
        <v>1</v>
      </c>
      <c r="E502">
        <f t="shared" si="25"/>
        <v>2</v>
      </c>
    </row>
    <row r="503" spans="1:5" x14ac:dyDescent="0.25">
      <c r="A503" s="28">
        <v>29616</v>
      </c>
      <c r="B503" s="17">
        <v>-4.5742429498469003E-2</v>
      </c>
      <c r="C503" t="str">
        <f t="shared" si="23"/>
        <v>Red</v>
      </c>
      <c r="D503">
        <f t="shared" si="24"/>
        <v>0</v>
      </c>
      <c r="E503">
        <f t="shared" si="25"/>
        <v>1</v>
      </c>
    </row>
    <row r="504" spans="1:5" x14ac:dyDescent="0.25">
      <c r="A504" s="28">
        <v>29586</v>
      </c>
      <c r="B504" s="17">
        <v>-3.3874244694726899E-2</v>
      </c>
      <c r="C504" t="str">
        <f t="shared" si="23"/>
        <v>Red</v>
      </c>
      <c r="D504">
        <f t="shared" si="24"/>
        <v>0</v>
      </c>
      <c r="E504">
        <f t="shared" si="25"/>
        <v>12</v>
      </c>
    </row>
    <row r="505" spans="1:5" x14ac:dyDescent="0.25">
      <c r="A505" s="28">
        <v>29553</v>
      </c>
      <c r="B505" s="17">
        <v>0.102377052621189</v>
      </c>
      <c r="C505" t="str">
        <f t="shared" si="23"/>
        <v>Green</v>
      </c>
      <c r="D505">
        <f t="shared" si="24"/>
        <v>1</v>
      </c>
      <c r="E505">
        <f t="shared" si="25"/>
        <v>11</v>
      </c>
    </row>
    <row r="506" spans="1:5" x14ac:dyDescent="0.25">
      <c r="A506" s="28">
        <v>29525</v>
      </c>
      <c r="B506" s="17">
        <v>1.6021058632401199E-2</v>
      </c>
      <c r="C506" t="str">
        <f t="shared" si="23"/>
        <v>Green</v>
      </c>
      <c r="D506">
        <f t="shared" si="24"/>
        <v>1</v>
      </c>
      <c r="E506">
        <f t="shared" si="25"/>
        <v>10</v>
      </c>
    </row>
    <row r="507" spans="1:5" x14ac:dyDescent="0.25">
      <c r="A507" s="28">
        <v>29494</v>
      </c>
      <c r="B507" s="17">
        <v>2.5167527990705801E-2</v>
      </c>
      <c r="C507" t="str">
        <f t="shared" si="23"/>
        <v>Green</v>
      </c>
      <c r="D507">
        <f t="shared" si="24"/>
        <v>1</v>
      </c>
      <c r="E507">
        <f t="shared" si="25"/>
        <v>9</v>
      </c>
    </row>
    <row r="508" spans="1:5" x14ac:dyDescent="0.25">
      <c r="A508" s="28">
        <v>29462</v>
      </c>
      <c r="B508" s="17">
        <v>5.8354484398035504E-3</v>
      </c>
      <c r="C508" t="str">
        <f t="shared" si="23"/>
        <v>Green</v>
      </c>
      <c r="D508">
        <f t="shared" si="24"/>
        <v>1</v>
      </c>
      <c r="E508">
        <f t="shared" si="25"/>
        <v>8</v>
      </c>
    </row>
    <row r="509" spans="1:5" x14ac:dyDescent="0.25">
      <c r="A509" s="28">
        <v>29433</v>
      </c>
      <c r="B509" s="17">
        <v>6.5038516544791994E-2</v>
      </c>
      <c r="C509" t="str">
        <f t="shared" si="23"/>
        <v>Green</v>
      </c>
      <c r="D509">
        <f t="shared" si="24"/>
        <v>1</v>
      </c>
      <c r="E509">
        <f t="shared" si="25"/>
        <v>7</v>
      </c>
    </row>
    <row r="510" spans="1:5" x14ac:dyDescent="0.25">
      <c r="A510" s="28">
        <v>29402</v>
      </c>
      <c r="B510" s="17">
        <v>2.69687167739792E-2</v>
      </c>
      <c r="C510" t="str">
        <f t="shared" si="23"/>
        <v>Green</v>
      </c>
      <c r="D510">
        <f t="shared" si="24"/>
        <v>1</v>
      </c>
      <c r="E510">
        <f t="shared" si="25"/>
        <v>6</v>
      </c>
    </row>
    <row r="511" spans="1:5" x14ac:dyDescent="0.25">
      <c r="A511" s="28">
        <v>29371</v>
      </c>
      <c r="B511" s="17">
        <v>4.6570674131426501E-2</v>
      </c>
      <c r="C511" t="str">
        <f t="shared" si="23"/>
        <v>Green</v>
      </c>
      <c r="D511">
        <f t="shared" si="24"/>
        <v>1</v>
      </c>
      <c r="E511">
        <f t="shared" si="25"/>
        <v>5</v>
      </c>
    </row>
    <row r="512" spans="1:5" x14ac:dyDescent="0.25">
      <c r="A512" s="28">
        <v>29341</v>
      </c>
      <c r="B512" s="17">
        <v>4.1140221026162001E-2</v>
      </c>
      <c r="C512" t="str">
        <f t="shared" si="23"/>
        <v>Green</v>
      </c>
      <c r="D512">
        <f t="shared" si="24"/>
        <v>1</v>
      </c>
      <c r="E512">
        <f t="shared" si="25"/>
        <v>4</v>
      </c>
    </row>
    <row r="513" spans="1:5" x14ac:dyDescent="0.25">
      <c r="A513" s="28">
        <v>29311</v>
      </c>
      <c r="B513" s="17">
        <v>-0.101794893478976</v>
      </c>
      <c r="C513" t="str">
        <f t="shared" si="23"/>
        <v>Red</v>
      </c>
      <c r="D513">
        <f t="shared" si="24"/>
        <v>0</v>
      </c>
      <c r="E513">
        <f t="shared" si="25"/>
        <v>3</v>
      </c>
    </row>
    <row r="514" spans="1:5" x14ac:dyDescent="0.25">
      <c r="A514" s="28">
        <v>29280</v>
      </c>
      <c r="B514" s="17">
        <v>-4.3798176461170603E-3</v>
      </c>
      <c r="C514" t="str">
        <f t="shared" si="23"/>
        <v>Red</v>
      </c>
      <c r="D514">
        <f t="shared" si="24"/>
        <v>0</v>
      </c>
      <c r="E514">
        <f t="shared" si="25"/>
        <v>2</v>
      </c>
    </row>
    <row r="515" spans="1:5" x14ac:dyDescent="0.25">
      <c r="A515" s="28">
        <v>29251</v>
      </c>
      <c r="B515" s="17">
        <v>5.7624623723834902E-2</v>
      </c>
      <c r="C515" t="str">
        <f t="shared" ref="C515:C578" si="26">IF(B515&gt;0,"Green","Red")</f>
        <v>Green</v>
      </c>
      <c r="D515">
        <f t="shared" si="24"/>
        <v>1</v>
      </c>
      <c r="E515">
        <f t="shared" si="25"/>
        <v>1</v>
      </c>
    </row>
    <row r="516" spans="1:5" x14ac:dyDescent="0.25">
      <c r="A516" s="28">
        <v>29220</v>
      </c>
      <c r="B516" s="17">
        <v>1.6767124462429499E-2</v>
      </c>
      <c r="C516" t="str">
        <f t="shared" si="26"/>
        <v>Green</v>
      </c>
      <c r="D516">
        <f t="shared" ref="D516:D579" si="27">IF(B516&gt;0,1,0)</f>
        <v>1</v>
      </c>
      <c r="E516">
        <f t="shared" ref="E516:E579" si="28">MONTH(A516)</f>
        <v>12</v>
      </c>
    </row>
    <row r="517" spans="1:5" x14ac:dyDescent="0.25">
      <c r="A517" s="28">
        <v>29189</v>
      </c>
      <c r="B517" s="17">
        <v>4.2624278137890499E-2</v>
      </c>
      <c r="C517" t="str">
        <f t="shared" si="26"/>
        <v>Green</v>
      </c>
      <c r="D517">
        <f t="shared" si="27"/>
        <v>1</v>
      </c>
      <c r="E517">
        <f t="shared" si="28"/>
        <v>11</v>
      </c>
    </row>
    <row r="518" spans="1:5" x14ac:dyDescent="0.25">
      <c r="A518" s="28">
        <v>29159</v>
      </c>
      <c r="B518" s="17">
        <v>-6.8605927552140497E-2</v>
      </c>
      <c r="C518" t="str">
        <f t="shared" si="26"/>
        <v>Red</v>
      </c>
      <c r="D518">
        <f t="shared" si="27"/>
        <v>0</v>
      </c>
      <c r="E518">
        <f t="shared" si="28"/>
        <v>10</v>
      </c>
    </row>
    <row r="519" spans="1:5" x14ac:dyDescent="0.25">
      <c r="A519" s="28">
        <v>29126</v>
      </c>
      <c r="B519" s="17">
        <v>0</v>
      </c>
      <c r="C519" t="str">
        <f t="shared" si="26"/>
        <v>Red</v>
      </c>
      <c r="D519">
        <f t="shared" si="27"/>
        <v>0</v>
      </c>
      <c r="E519">
        <f t="shared" si="28"/>
        <v>9</v>
      </c>
    </row>
    <row r="520" spans="1:5" x14ac:dyDescent="0.25">
      <c r="A520" s="28">
        <v>29098</v>
      </c>
      <c r="B520" s="17">
        <v>5.3077758464073997E-2</v>
      </c>
      <c r="C520" t="str">
        <f t="shared" si="26"/>
        <v>Green</v>
      </c>
      <c r="D520">
        <f t="shared" si="27"/>
        <v>1</v>
      </c>
      <c r="E520">
        <f t="shared" si="28"/>
        <v>8</v>
      </c>
    </row>
    <row r="521" spans="1:5" x14ac:dyDescent="0.25">
      <c r="A521" s="28">
        <v>29067</v>
      </c>
      <c r="B521" s="17">
        <v>8.7454471384531603E-3</v>
      </c>
      <c r="C521" t="str">
        <f t="shared" si="26"/>
        <v>Green</v>
      </c>
      <c r="D521">
        <f t="shared" si="27"/>
        <v>1</v>
      </c>
      <c r="E521">
        <f t="shared" si="28"/>
        <v>7</v>
      </c>
    </row>
    <row r="522" spans="1:5" x14ac:dyDescent="0.25">
      <c r="A522" s="28">
        <v>29035</v>
      </c>
      <c r="B522" s="17">
        <v>3.8655651218093598E-2</v>
      </c>
      <c r="C522" t="str">
        <f t="shared" si="26"/>
        <v>Green</v>
      </c>
      <c r="D522">
        <f t="shared" si="27"/>
        <v>1</v>
      </c>
      <c r="E522">
        <f t="shared" si="28"/>
        <v>6</v>
      </c>
    </row>
    <row r="523" spans="1:5" x14ac:dyDescent="0.25">
      <c r="A523" s="28">
        <v>29006</v>
      </c>
      <c r="B523" s="17">
        <v>-2.63364774698021E-2</v>
      </c>
      <c r="C523" t="str">
        <f t="shared" si="26"/>
        <v>Red</v>
      </c>
      <c r="D523">
        <f t="shared" si="27"/>
        <v>0</v>
      </c>
      <c r="E523">
        <f t="shared" si="28"/>
        <v>5</v>
      </c>
    </row>
    <row r="524" spans="1:5" x14ac:dyDescent="0.25">
      <c r="A524" s="28">
        <v>28975</v>
      </c>
      <c r="B524" s="17">
        <v>1.67345217731873E-3</v>
      </c>
      <c r="C524" t="str">
        <f t="shared" si="26"/>
        <v>Green</v>
      </c>
      <c r="D524">
        <f t="shared" si="27"/>
        <v>1</v>
      </c>
      <c r="E524">
        <f t="shared" si="28"/>
        <v>4</v>
      </c>
    </row>
    <row r="525" spans="1:5" x14ac:dyDescent="0.25">
      <c r="A525" s="28">
        <v>28944</v>
      </c>
      <c r="B525" s="17">
        <v>5.5151610460652402E-2</v>
      </c>
      <c r="C525" t="str">
        <f t="shared" si="26"/>
        <v>Green</v>
      </c>
      <c r="D525">
        <f t="shared" si="27"/>
        <v>1</v>
      </c>
      <c r="E525">
        <f t="shared" si="28"/>
        <v>3</v>
      </c>
    </row>
    <row r="526" spans="1:5" x14ac:dyDescent="0.25">
      <c r="A526" s="28">
        <v>28914</v>
      </c>
      <c r="B526" s="17">
        <v>-3.6525577904533299E-2</v>
      </c>
      <c r="C526" t="str">
        <f t="shared" si="26"/>
        <v>Red</v>
      </c>
      <c r="D526">
        <f t="shared" si="27"/>
        <v>0</v>
      </c>
      <c r="E526">
        <f t="shared" si="28"/>
        <v>2</v>
      </c>
    </row>
    <row r="527" spans="1:5" x14ac:dyDescent="0.25">
      <c r="A527" s="28">
        <v>28886</v>
      </c>
      <c r="B527" s="17">
        <v>3.9746113414357499E-2</v>
      </c>
      <c r="C527" t="str">
        <f t="shared" si="26"/>
        <v>Green</v>
      </c>
      <c r="D527">
        <f t="shared" si="27"/>
        <v>1</v>
      </c>
      <c r="E527">
        <f t="shared" si="28"/>
        <v>1</v>
      </c>
    </row>
    <row r="528" spans="1:5" x14ac:dyDescent="0.25">
      <c r="A528" s="28">
        <v>28853</v>
      </c>
      <c r="B528" s="17">
        <v>1.48891662583686E-2</v>
      </c>
      <c r="C528" t="str">
        <f t="shared" si="26"/>
        <v>Green</v>
      </c>
      <c r="D528">
        <f t="shared" si="27"/>
        <v>1</v>
      </c>
      <c r="E528">
        <f t="shared" si="28"/>
        <v>12</v>
      </c>
    </row>
    <row r="529" spans="1:5" x14ac:dyDescent="0.25">
      <c r="A529" s="28">
        <v>28824</v>
      </c>
      <c r="B529" s="17">
        <v>1.66397741998974E-2</v>
      </c>
      <c r="C529" t="str">
        <f t="shared" si="26"/>
        <v>Green</v>
      </c>
      <c r="D529">
        <f t="shared" si="27"/>
        <v>1</v>
      </c>
      <c r="E529">
        <f t="shared" si="28"/>
        <v>11</v>
      </c>
    </row>
    <row r="530" spans="1:5" x14ac:dyDescent="0.25">
      <c r="A530" s="28">
        <v>28794</v>
      </c>
      <c r="B530" s="17">
        <v>-9.1574009249327001E-2</v>
      </c>
      <c r="C530" t="str">
        <f t="shared" si="26"/>
        <v>Red</v>
      </c>
      <c r="D530">
        <f t="shared" si="27"/>
        <v>0</v>
      </c>
      <c r="E530">
        <f t="shared" si="28"/>
        <v>10</v>
      </c>
    </row>
    <row r="531" spans="1:5" x14ac:dyDescent="0.25">
      <c r="A531" s="28">
        <v>28762</v>
      </c>
      <c r="B531" s="17">
        <v>-7.2611094272329001E-3</v>
      </c>
      <c r="C531" t="str">
        <f t="shared" si="26"/>
        <v>Red</v>
      </c>
      <c r="D531">
        <f t="shared" si="27"/>
        <v>0</v>
      </c>
      <c r="E531">
        <f t="shared" si="28"/>
        <v>9</v>
      </c>
    </row>
    <row r="532" spans="1:5" x14ac:dyDescent="0.25">
      <c r="A532" s="28">
        <v>28733</v>
      </c>
      <c r="B532" s="17">
        <v>2.5923728645212502E-2</v>
      </c>
      <c r="C532" t="str">
        <f t="shared" si="26"/>
        <v>Green</v>
      </c>
      <c r="D532">
        <f t="shared" si="27"/>
        <v>1</v>
      </c>
      <c r="E532">
        <f t="shared" si="28"/>
        <v>8</v>
      </c>
    </row>
    <row r="533" spans="1:5" x14ac:dyDescent="0.25">
      <c r="A533" s="28">
        <v>28702</v>
      </c>
      <c r="B533" s="17">
        <v>5.3909777597715799E-2</v>
      </c>
      <c r="C533" t="str">
        <f t="shared" si="26"/>
        <v>Green</v>
      </c>
      <c r="D533">
        <f t="shared" si="27"/>
        <v>1</v>
      </c>
      <c r="E533">
        <f t="shared" si="28"/>
        <v>7</v>
      </c>
    </row>
    <row r="534" spans="1:5" x14ac:dyDescent="0.25">
      <c r="A534" s="28">
        <v>28671</v>
      </c>
      <c r="B534" s="17">
        <v>-1.7585345898505699E-2</v>
      </c>
      <c r="C534" t="str">
        <f t="shared" si="26"/>
        <v>Red</v>
      </c>
      <c r="D534">
        <f t="shared" si="27"/>
        <v>0</v>
      </c>
      <c r="E534">
        <f t="shared" si="28"/>
        <v>6</v>
      </c>
    </row>
    <row r="535" spans="1:5" x14ac:dyDescent="0.25">
      <c r="A535" s="28">
        <v>28641</v>
      </c>
      <c r="B535" s="17">
        <v>4.2341835333228302E-3</v>
      </c>
      <c r="C535" t="str">
        <f t="shared" si="26"/>
        <v>Green</v>
      </c>
      <c r="D535">
        <f t="shared" si="27"/>
        <v>1</v>
      </c>
      <c r="E535">
        <f t="shared" si="28"/>
        <v>5</v>
      </c>
    </row>
    <row r="536" spans="1:5" x14ac:dyDescent="0.25">
      <c r="A536" s="28">
        <v>28608</v>
      </c>
      <c r="B536" s="17">
        <v>8.5416467721292105E-2</v>
      </c>
      <c r="C536" t="str">
        <f t="shared" si="26"/>
        <v>Green</v>
      </c>
      <c r="D536">
        <f t="shared" si="27"/>
        <v>1</v>
      </c>
      <c r="E536">
        <f t="shared" si="28"/>
        <v>4</v>
      </c>
    </row>
    <row r="537" spans="1:5" x14ac:dyDescent="0.25">
      <c r="A537" s="28">
        <v>28580</v>
      </c>
      <c r="B537" s="17">
        <v>2.49310429120972E-2</v>
      </c>
      <c r="C537" t="str">
        <f t="shared" si="26"/>
        <v>Green</v>
      </c>
      <c r="D537">
        <f t="shared" si="27"/>
        <v>1</v>
      </c>
      <c r="E537">
        <f t="shared" si="28"/>
        <v>3</v>
      </c>
    </row>
    <row r="538" spans="1:5" x14ac:dyDescent="0.25">
      <c r="A538" s="28">
        <v>28549</v>
      </c>
      <c r="B538" s="17">
        <v>-2.4761893557423E-2</v>
      </c>
      <c r="C538" t="str">
        <f t="shared" si="26"/>
        <v>Red</v>
      </c>
      <c r="D538">
        <f t="shared" si="27"/>
        <v>0</v>
      </c>
      <c r="E538">
        <f t="shared" si="28"/>
        <v>2</v>
      </c>
    </row>
    <row r="539" spans="1:5" x14ac:dyDescent="0.25">
      <c r="A539" s="28">
        <v>28521</v>
      </c>
      <c r="B539" s="17">
        <v>-6.1514175846775501E-2</v>
      </c>
      <c r="C539" t="str">
        <f t="shared" si="26"/>
        <v>Red</v>
      </c>
      <c r="D539">
        <f t="shared" si="27"/>
        <v>0</v>
      </c>
      <c r="E539">
        <f t="shared" si="28"/>
        <v>1</v>
      </c>
    </row>
    <row r="540" spans="1:5" x14ac:dyDescent="0.25">
      <c r="A540" s="28">
        <v>28489</v>
      </c>
      <c r="B540" s="17">
        <v>2.84715801229241E-3</v>
      </c>
      <c r="C540" t="str">
        <f t="shared" si="26"/>
        <v>Green</v>
      </c>
      <c r="D540">
        <f t="shared" si="27"/>
        <v>1</v>
      </c>
      <c r="E540">
        <f t="shared" si="28"/>
        <v>12</v>
      </c>
    </row>
    <row r="541" spans="1:5" x14ac:dyDescent="0.25">
      <c r="A541" s="28">
        <v>28459</v>
      </c>
      <c r="B541" s="17">
        <v>2.6965628198641001E-2</v>
      </c>
      <c r="C541" t="str">
        <f t="shared" si="26"/>
        <v>Green</v>
      </c>
      <c r="D541">
        <f t="shared" si="27"/>
        <v>1</v>
      </c>
      <c r="E541">
        <f t="shared" si="28"/>
        <v>11</v>
      </c>
    </row>
    <row r="542" spans="1:5" x14ac:dyDescent="0.25">
      <c r="A542" s="28">
        <v>28429</v>
      </c>
      <c r="B542" s="17">
        <v>-4.3406226493382702E-2</v>
      </c>
      <c r="C542" t="str">
        <f t="shared" si="26"/>
        <v>Red</v>
      </c>
      <c r="D542">
        <f t="shared" si="27"/>
        <v>0</v>
      </c>
      <c r="E542">
        <f t="shared" si="28"/>
        <v>10</v>
      </c>
    </row>
    <row r="543" spans="1:5" x14ac:dyDescent="0.25">
      <c r="A543" s="28">
        <v>28398</v>
      </c>
      <c r="B543" s="17">
        <v>-2.4800868806474901E-3</v>
      </c>
      <c r="C543" t="str">
        <f t="shared" si="26"/>
        <v>Red</v>
      </c>
      <c r="D543">
        <f t="shared" si="27"/>
        <v>0</v>
      </c>
      <c r="E543">
        <f t="shared" si="28"/>
        <v>9</v>
      </c>
    </row>
    <row r="544" spans="1:5" x14ac:dyDescent="0.25">
      <c r="A544" s="28">
        <v>28368</v>
      </c>
      <c r="B544" s="17">
        <v>-2.1041993344299199E-2</v>
      </c>
      <c r="C544" t="str">
        <f t="shared" si="26"/>
        <v>Red</v>
      </c>
      <c r="D544">
        <f t="shared" si="27"/>
        <v>0</v>
      </c>
      <c r="E544">
        <f t="shared" si="28"/>
        <v>8</v>
      </c>
    </row>
    <row r="545" spans="1:5" x14ac:dyDescent="0.25">
      <c r="A545" s="28">
        <v>28335</v>
      </c>
      <c r="B545" s="17">
        <v>-1.62221830347676E-2</v>
      </c>
      <c r="C545" t="str">
        <f t="shared" si="26"/>
        <v>Red</v>
      </c>
      <c r="D545">
        <f t="shared" si="27"/>
        <v>0</v>
      </c>
      <c r="E545">
        <f t="shared" si="28"/>
        <v>7</v>
      </c>
    </row>
    <row r="546" spans="1:5" x14ac:dyDescent="0.25">
      <c r="A546" s="28">
        <v>28306</v>
      </c>
      <c r="B546" s="17">
        <v>4.5359965292551999E-2</v>
      </c>
      <c r="C546" t="str">
        <f t="shared" si="26"/>
        <v>Green</v>
      </c>
      <c r="D546">
        <f t="shared" si="27"/>
        <v>1</v>
      </c>
      <c r="E546">
        <f t="shared" si="28"/>
        <v>6</v>
      </c>
    </row>
    <row r="547" spans="1:5" x14ac:dyDescent="0.25">
      <c r="A547" s="28">
        <v>28276</v>
      </c>
      <c r="B547" s="17">
        <v>-2.3567644787329499E-2</v>
      </c>
      <c r="C547" t="str">
        <f t="shared" si="26"/>
        <v>Red</v>
      </c>
      <c r="D547">
        <f t="shared" si="27"/>
        <v>0</v>
      </c>
      <c r="E547">
        <f t="shared" si="28"/>
        <v>5</v>
      </c>
    </row>
    <row r="548" spans="1:5" x14ac:dyDescent="0.25">
      <c r="A548" s="28">
        <v>28244</v>
      </c>
      <c r="B548" s="17">
        <v>2.0325137580279299E-4</v>
      </c>
      <c r="C548" t="str">
        <f t="shared" si="26"/>
        <v>Green</v>
      </c>
      <c r="D548">
        <f t="shared" si="27"/>
        <v>1</v>
      </c>
      <c r="E548">
        <f t="shared" si="28"/>
        <v>4</v>
      </c>
    </row>
    <row r="549" spans="1:5" x14ac:dyDescent="0.25">
      <c r="A549" s="28">
        <v>28215</v>
      </c>
      <c r="B549" s="17">
        <v>-1.402526547786E-2</v>
      </c>
      <c r="C549" t="str">
        <f t="shared" si="26"/>
        <v>Red</v>
      </c>
      <c r="D549">
        <f t="shared" si="27"/>
        <v>0</v>
      </c>
      <c r="E549">
        <f t="shared" si="28"/>
        <v>3</v>
      </c>
    </row>
    <row r="550" spans="1:5" x14ac:dyDescent="0.25">
      <c r="A550" s="28">
        <v>28184</v>
      </c>
      <c r="B550" s="17">
        <v>-2.1660286402629601E-2</v>
      </c>
      <c r="C550" t="str">
        <f t="shared" si="26"/>
        <v>Red</v>
      </c>
      <c r="D550">
        <f t="shared" si="27"/>
        <v>0</v>
      </c>
      <c r="E550">
        <f t="shared" si="28"/>
        <v>2</v>
      </c>
    </row>
    <row r="551" spans="1:5" x14ac:dyDescent="0.25">
      <c r="A551" s="28">
        <v>28156</v>
      </c>
      <c r="B551" s="17">
        <v>-5.0530430397640297E-2</v>
      </c>
      <c r="C551" t="str">
        <f t="shared" si="26"/>
        <v>Red</v>
      </c>
      <c r="D551">
        <f t="shared" si="27"/>
        <v>0</v>
      </c>
      <c r="E551">
        <f t="shared" si="28"/>
        <v>1</v>
      </c>
    </row>
    <row r="552" spans="1:5" x14ac:dyDescent="0.25">
      <c r="A552" s="28">
        <v>28125</v>
      </c>
      <c r="B552" s="17">
        <v>5.2497562242851403E-2</v>
      </c>
      <c r="C552" t="str">
        <f t="shared" si="26"/>
        <v>Green</v>
      </c>
      <c r="D552">
        <f t="shared" si="27"/>
        <v>1</v>
      </c>
      <c r="E552">
        <f t="shared" si="28"/>
        <v>12</v>
      </c>
    </row>
    <row r="553" spans="1:5" x14ac:dyDescent="0.25">
      <c r="A553" s="28">
        <v>28094</v>
      </c>
      <c r="B553" s="17">
        <v>-7.7745771083658202E-3</v>
      </c>
      <c r="C553" t="str">
        <f t="shared" si="26"/>
        <v>Red</v>
      </c>
      <c r="D553">
        <f t="shared" si="27"/>
        <v>0</v>
      </c>
      <c r="E553">
        <f t="shared" si="28"/>
        <v>11</v>
      </c>
    </row>
    <row r="554" spans="1:5" x14ac:dyDescent="0.25">
      <c r="A554" s="28">
        <v>28062</v>
      </c>
      <c r="B554" s="17">
        <v>-2.2234854090362102E-2</v>
      </c>
      <c r="C554" t="str">
        <f t="shared" si="26"/>
        <v>Red</v>
      </c>
      <c r="D554">
        <f t="shared" si="27"/>
        <v>0</v>
      </c>
      <c r="E554">
        <f t="shared" si="28"/>
        <v>10</v>
      </c>
    </row>
    <row r="555" spans="1:5" x14ac:dyDescent="0.25">
      <c r="A555" s="28">
        <v>28033</v>
      </c>
      <c r="B555" s="17">
        <v>2.2641083562682698E-2</v>
      </c>
      <c r="C555" t="str">
        <f t="shared" si="26"/>
        <v>Green</v>
      </c>
      <c r="D555">
        <f t="shared" si="27"/>
        <v>1</v>
      </c>
      <c r="E555">
        <f t="shared" si="28"/>
        <v>9</v>
      </c>
    </row>
    <row r="556" spans="1:5" x14ac:dyDescent="0.25">
      <c r="A556" s="28">
        <v>28003</v>
      </c>
      <c r="B556" s="17">
        <v>-5.1237237988452904E-3</v>
      </c>
      <c r="C556" t="str">
        <f t="shared" si="26"/>
        <v>Red</v>
      </c>
      <c r="D556">
        <f t="shared" si="27"/>
        <v>0</v>
      </c>
      <c r="E556">
        <f t="shared" si="28"/>
        <v>8</v>
      </c>
    </row>
    <row r="557" spans="1:5" x14ac:dyDescent="0.25">
      <c r="A557" s="28">
        <v>27971</v>
      </c>
      <c r="B557" s="17">
        <v>-8.0552072118834604E-3</v>
      </c>
      <c r="C557" t="str">
        <f t="shared" si="26"/>
        <v>Red</v>
      </c>
      <c r="D557">
        <f t="shared" si="27"/>
        <v>0</v>
      </c>
      <c r="E557">
        <f t="shared" si="28"/>
        <v>7</v>
      </c>
    </row>
    <row r="558" spans="1:5" x14ac:dyDescent="0.25">
      <c r="A558" s="28">
        <v>27941</v>
      </c>
      <c r="B558" s="17">
        <v>4.0926322619285298E-2</v>
      </c>
      <c r="C558" t="str">
        <f t="shared" si="26"/>
        <v>Green</v>
      </c>
      <c r="D558">
        <f t="shared" si="27"/>
        <v>1</v>
      </c>
      <c r="E558">
        <f t="shared" si="28"/>
        <v>6</v>
      </c>
    </row>
    <row r="559" spans="1:5" x14ac:dyDescent="0.25">
      <c r="A559" s="28">
        <v>27908</v>
      </c>
      <c r="B559" s="17">
        <v>-1.4364413758012701E-2</v>
      </c>
      <c r="C559" t="str">
        <f t="shared" si="26"/>
        <v>Red</v>
      </c>
      <c r="D559">
        <f t="shared" si="27"/>
        <v>0</v>
      </c>
      <c r="E559">
        <f t="shared" si="28"/>
        <v>5</v>
      </c>
    </row>
    <row r="560" spans="1:5" x14ac:dyDescent="0.25">
      <c r="A560" s="28">
        <v>27880</v>
      </c>
      <c r="B560" s="17">
        <v>-1.0995407540977199E-2</v>
      </c>
      <c r="C560" t="str">
        <f t="shared" si="26"/>
        <v>Red</v>
      </c>
      <c r="D560">
        <f t="shared" si="27"/>
        <v>0</v>
      </c>
      <c r="E560">
        <f t="shared" si="28"/>
        <v>4</v>
      </c>
    </row>
    <row r="561" spans="1:5" x14ac:dyDescent="0.25">
      <c r="A561" s="28">
        <v>27850</v>
      </c>
      <c r="B561" s="17">
        <v>3.0688978344087799E-2</v>
      </c>
      <c r="C561" t="str">
        <f t="shared" si="26"/>
        <v>Green</v>
      </c>
      <c r="D561">
        <f t="shared" si="27"/>
        <v>1</v>
      </c>
      <c r="E561">
        <f t="shared" si="28"/>
        <v>3</v>
      </c>
    </row>
    <row r="562" spans="1:5" x14ac:dyDescent="0.25">
      <c r="A562" s="28">
        <v>27817</v>
      </c>
      <c r="B562" s="17">
        <v>-1.14019630041448E-2</v>
      </c>
      <c r="C562" t="str">
        <f t="shared" si="26"/>
        <v>Red</v>
      </c>
      <c r="D562">
        <f t="shared" si="27"/>
        <v>0</v>
      </c>
      <c r="E562">
        <f t="shared" si="28"/>
        <v>2</v>
      </c>
    </row>
    <row r="563" spans="1:5" x14ac:dyDescent="0.25">
      <c r="A563" s="28">
        <v>27789</v>
      </c>
      <c r="B563" s="17">
        <v>0.118305785157871</v>
      </c>
      <c r="C563" t="str">
        <f t="shared" si="26"/>
        <v>Green</v>
      </c>
      <c r="D563">
        <f t="shared" si="27"/>
        <v>1</v>
      </c>
      <c r="E563">
        <f t="shared" si="28"/>
        <v>1</v>
      </c>
    </row>
    <row r="564" spans="1:5" x14ac:dyDescent="0.25">
      <c r="A564" s="28">
        <v>27759</v>
      </c>
      <c r="B564" s="17">
        <v>-1.15080668896989E-2</v>
      </c>
      <c r="C564" t="str">
        <f t="shared" si="26"/>
        <v>Red</v>
      </c>
      <c r="D564">
        <f t="shared" si="27"/>
        <v>0</v>
      </c>
      <c r="E564">
        <f t="shared" si="28"/>
        <v>12</v>
      </c>
    </row>
    <row r="565" spans="1:5" x14ac:dyDescent="0.25">
      <c r="A565" s="28">
        <v>27726</v>
      </c>
      <c r="B565" s="17">
        <v>2.47079624358943E-2</v>
      </c>
      <c r="C565" t="str">
        <f t="shared" si="26"/>
        <v>Green</v>
      </c>
      <c r="D565">
        <f t="shared" si="27"/>
        <v>1</v>
      </c>
      <c r="E565">
        <f t="shared" si="28"/>
        <v>11</v>
      </c>
    </row>
    <row r="566" spans="1:5" x14ac:dyDescent="0.25">
      <c r="A566" s="28">
        <v>27698</v>
      </c>
      <c r="B566" s="17">
        <v>6.16429929065343E-2</v>
      </c>
      <c r="C566" t="str">
        <f t="shared" si="26"/>
        <v>Green</v>
      </c>
      <c r="D566">
        <f t="shared" si="27"/>
        <v>1</v>
      </c>
      <c r="E566">
        <f t="shared" si="28"/>
        <v>10</v>
      </c>
    </row>
    <row r="567" spans="1:5" x14ac:dyDescent="0.25">
      <c r="A567" s="28">
        <v>27667</v>
      </c>
      <c r="B567" s="17">
        <v>-3.4645420165012299E-2</v>
      </c>
      <c r="C567" t="str">
        <f t="shared" si="26"/>
        <v>Red</v>
      </c>
      <c r="D567">
        <f t="shared" si="27"/>
        <v>0</v>
      </c>
      <c r="E567">
        <f t="shared" si="28"/>
        <v>9</v>
      </c>
    </row>
    <row r="568" spans="1:5" x14ac:dyDescent="0.25">
      <c r="A568" s="28">
        <v>27635</v>
      </c>
      <c r="B568" s="17">
        <v>-2.10704563380282E-2</v>
      </c>
      <c r="C568" t="str">
        <f t="shared" si="26"/>
        <v>Red</v>
      </c>
      <c r="D568">
        <f t="shared" si="27"/>
        <v>0</v>
      </c>
      <c r="E568">
        <f t="shared" si="28"/>
        <v>8</v>
      </c>
    </row>
    <row r="569" spans="1:5" x14ac:dyDescent="0.25">
      <c r="A569" s="28">
        <v>27606</v>
      </c>
      <c r="B569" s="17">
        <v>-6.7654184942658194E-2</v>
      </c>
      <c r="C569" t="str">
        <f t="shared" si="26"/>
        <v>Red</v>
      </c>
      <c r="D569">
        <f t="shared" si="27"/>
        <v>0</v>
      </c>
      <c r="E569">
        <f t="shared" si="28"/>
        <v>7</v>
      </c>
    </row>
    <row r="570" spans="1:5" x14ac:dyDescent="0.25">
      <c r="A570" s="28">
        <v>27575</v>
      </c>
      <c r="B570" s="17">
        <v>4.43225442825552E-2</v>
      </c>
      <c r="C570" t="str">
        <f t="shared" si="26"/>
        <v>Green</v>
      </c>
      <c r="D570">
        <f t="shared" si="27"/>
        <v>1</v>
      </c>
      <c r="E570">
        <f t="shared" si="28"/>
        <v>6</v>
      </c>
    </row>
    <row r="571" spans="1:5" x14ac:dyDescent="0.25">
      <c r="A571" s="28">
        <v>27544</v>
      </c>
      <c r="B571" s="17">
        <v>4.4100788862515797E-2</v>
      </c>
      <c r="C571" t="str">
        <f t="shared" si="26"/>
        <v>Green</v>
      </c>
      <c r="D571">
        <f t="shared" si="27"/>
        <v>1</v>
      </c>
      <c r="E571">
        <f t="shared" si="28"/>
        <v>5</v>
      </c>
    </row>
    <row r="572" spans="1:5" x14ac:dyDescent="0.25">
      <c r="A572" s="28">
        <v>27514</v>
      </c>
      <c r="B572" s="17">
        <v>4.7264898665248398E-2</v>
      </c>
      <c r="C572" t="str">
        <f t="shared" si="26"/>
        <v>Green</v>
      </c>
      <c r="D572">
        <f t="shared" si="27"/>
        <v>1</v>
      </c>
      <c r="E572">
        <f t="shared" si="28"/>
        <v>4</v>
      </c>
    </row>
    <row r="573" spans="1:5" x14ac:dyDescent="0.25">
      <c r="A573" s="28">
        <v>27484</v>
      </c>
      <c r="B573" s="17">
        <v>2.1693897374379E-2</v>
      </c>
      <c r="C573" t="str">
        <f t="shared" si="26"/>
        <v>Green</v>
      </c>
      <c r="D573">
        <f t="shared" si="27"/>
        <v>1</v>
      </c>
      <c r="E573">
        <f t="shared" si="28"/>
        <v>3</v>
      </c>
    </row>
    <row r="574" spans="1:5" x14ac:dyDescent="0.25">
      <c r="A574" s="28">
        <v>27453</v>
      </c>
      <c r="B574" s="17">
        <v>5.9885591326880101E-2</v>
      </c>
      <c r="C574" t="str">
        <f t="shared" si="26"/>
        <v>Green</v>
      </c>
      <c r="D574">
        <f t="shared" si="27"/>
        <v>1</v>
      </c>
      <c r="E574">
        <f t="shared" si="28"/>
        <v>2</v>
      </c>
    </row>
    <row r="575" spans="1:5" x14ac:dyDescent="0.25">
      <c r="A575" s="28">
        <v>27425</v>
      </c>
      <c r="B575" s="17">
        <v>0.122812211867334</v>
      </c>
      <c r="C575" t="str">
        <f t="shared" si="26"/>
        <v>Green</v>
      </c>
      <c r="D575">
        <f t="shared" si="27"/>
        <v>1</v>
      </c>
      <c r="E575">
        <f t="shared" si="28"/>
        <v>1</v>
      </c>
    </row>
    <row r="576" spans="1:5" x14ac:dyDescent="0.25">
      <c r="A576" s="28">
        <v>27394</v>
      </c>
      <c r="B576" s="17">
        <v>-2.0151536084728701E-2</v>
      </c>
      <c r="C576" t="str">
        <f t="shared" si="26"/>
        <v>Red</v>
      </c>
      <c r="D576">
        <f t="shared" si="27"/>
        <v>0</v>
      </c>
      <c r="E576">
        <f t="shared" si="28"/>
        <v>12</v>
      </c>
    </row>
    <row r="577" spans="1:5" x14ac:dyDescent="0.25">
      <c r="A577" s="28">
        <v>27362</v>
      </c>
      <c r="B577" s="17">
        <v>-5.3179985028958501E-2</v>
      </c>
      <c r="C577" t="str">
        <f t="shared" si="26"/>
        <v>Red</v>
      </c>
      <c r="D577">
        <f t="shared" si="27"/>
        <v>0</v>
      </c>
      <c r="E577">
        <f t="shared" si="28"/>
        <v>11</v>
      </c>
    </row>
    <row r="578" spans="1:5" x14ac:dyDescent="0.25">
      <c r="A578" s="28">
        <v>27333</v>
      </c>
      <c r="B578" s="17">
        <v>0.163046912762875</v>
      </c>
      <c r="C578" t="str">
        <f t="shared" si="26"/>
        <v>Green</v>
      </c>
      <c r="D578">
        <f t="shared" si="27"/>
        <v>1</v>
      </c>
      <c r="E578">
        <f t="shared" si="28"/>
        <v>10</v>
      </c>
    </row>
    <row r="579" spans="1:5" x14ac:dyDescent="0.25">
      <c r="A579" s="28">
        <v>27302</v>
      </c>
      <c r="B579" s="17">
        <v>-0.119334729886771</v>
      </c>
      <c r="C579" t="str">
        <f t="shared" ref="C579:C642" si="29">IF(B579&gt;0,"Green","Red")</f>
        <v>Red</v>
      </c>
      <c r="D579">
        <f t="shared" si="27"/>
        <v>0</v>
      </c>
      <c r="E579">
        <f t="shared" si="28"/>
        <v>9</v>
      </c>
    </row>
    <row r="580" spans="1:5" x14ac:dyDescent="0.25">
      <c r="A580" s="28">
        <v>27271</v>
      </c>
      <c r="B580" s="17">
        <v>-9.0278605227048295E-2</v>
      </c>
      <c r="C580" t="str">
        <f t="shared" si="29"/>
        <v>Red</v>
      </c>
      <c r="D580">
        <f t="shared" ref="D580:D643" si="30">IF(B580&gt;0,1,0)</f>
        <v>0</v>
      </c>
      <c r="E580">
        <f t="shared" ref="E580:E643" si="31">MONTH(A580)</f>
        <v>8</v>
      </c>
    </row>
    <row r="581" spans="1:5" x14ac:dyDescent="0.25">
      <c r="A581" s="28">
        <v>27241</v>
      </c>
      <c r="B581" s="17">
        <v>-7.7790720930232607E-2</v>
      </c>
      <c r="C581" t="str">
        <f t="shared" si="29"/>
        <v>Red</v>
      </c>
      <c r="D581">
        <f t="shared" si="30"/>
        <v>0</v>
      </c>
      <c r="E581">
        <f t="shared" si="31"/>
        <v>7</v>
      </c>
    </row>
    <row r="582" spans="1:5" x14ac:dyDescent="0.25">
      <c r="A582" s="28">
        <v>27208</v>
      </c>
      <c r="B582" s="17">
        <v>-1.46654332569367E-2</v>
      </c>
      <c r="C582" t="str">
        <f t="shared" si="29"/>
        <v>Red</v>
      </c>
      <c r="D582">
        <f t="shared" si="30"/>
        <v>0</v>
      </c>
      <c r="E582">
        <f t="shared" si="31"/>
        <v>6</v>
      </c>
    </row>
    <row r="583" spans="1:5" x14ac:dyDescent="0.25">
      <c r="A583" s="28">
        <v>27180</v>
      </c>
      <c r="B583" s="17">
        <v>-3.3551091430651901E-2</v>
      </c>
      <c r="C583" t="str">
        <f t="shared" si="29"/>
        <v>Red</v>
      </c>
      <c r="D583">
        <f t="shared" si="30"/>
        <v>0</v>
      </c>
      <c r="E583">
        <f t="shared" si="31"/>
        <v>5</v>
      </c>
    </row>
    <row r="584" spans="1:5" x14ac:dyDescent="0.25">
      <c r="A584" s="28">
        <v>27149</v>
      </c>
      <c r="B584" s="17">
        <v>-3.9050913841745701E-2</v>
      </c>
      <c r="C584" t="str">
        <f t="shared" si="29"/>
        <v>Red</v>
      </c>
      <c r="D584">
        <f t="shared" si="30"/>
        <v>0</v>
      </c>
      <c r="E584">
        <f t="shared" si="31"/>
        <v>4</v>
      </c>
    </row>
    <row r="585" spans="1:5" x14ac:dyDescent="0.25">
      <c r="A585" s="28">
        <v>27117</v>
      </c>
      <c r="B585" s="17">
        <v>-2.3279962343795799E-2</v>
      </c>
      <c r="C585" t="str">
        <f t="shared" si="29"/>
        <v>Red</v>
      </c>
      <c r="D585">
        <f t="shared" si="30"/>
        <v>0</v>
      </c>
      <c r="E585">
        <f t="shared" si="31"/>
        <v>3</v>
      </c>
    </row>
    <row r="586" spans="1:5" x14ac:dyDescent="0.25">
      <c r="A586" s="28">
        <v>27088</v>
      </c>
      <c r="B586" s="17">
        <v>-3.62430361395871E-3</v>
      </c>
      <c r="C586" t="str">
        <f t="shared" si="29"/>
        <v>Red</v>
      </c>
      <c r="D586">
        <f t="shared" si="30"/>
        <v>0</v>
      </c>
      <c r="E586">
        <f t="shared" si="31"/>
        <v>2</v>
      </c>
    </row>
    <row r="587" spans="1:5" x14ac:dyDescent="0.25">
      <c r="A587" s="28">
        <v>27060</v>
      </c>
      <c r="B587" s="17">
        <v>-1.0046160634152E-2</v>
      </c>
      <c r="C587" t="str">
        <f t="shared" si="29"/>
        <v>Red</v>
      </c>
      <c r="D587">
        <f t="shared" si="30"/>
        <v>0</v>
      </c>
      <c r="E587">
        <f t="shared" si="31"/>
        <v>1</v>
      </c>
    </row>
    <row r="588" spans="1:5" x14ac:dyDescent="0.25">
      <c r="A588" s="28">
        <v>27029</v>
      </c>
      <c r="B588" s="17">
        <v>1.6569445775004701E-2</v>
      </c>
      <c r="C588" t="str">
        <f t="shared" si="29"/>
        <v>Green</v>
      </c>
      <c r="D588">
        <f t="shared" si="30"/>
        <v>1</v>
      </c>
      <c r="E588">
        <f t="shared" si="31"/>
        <v>12</v>
      </c>
    </row>
    <row r="589" spans="1:5" x14ac:dyDescent="0.25">
      <c r="A589" s="28">
        <v>26998</v>
      </c>
      <c r="B589" s="17">
        <v>-0.113860946404461</v>
      </c>
      <c r="C589" t="str">
        <f t="shared" si="29"/>
        <v>Red</v>
      </c>
      <c r="D589">
        <f t="shared" si="30"/>
        <v>0</v>
      </c>
      <c r="E589">
        <f t="shared" si="31"/>
        <v>11</v>
      </c>
    </row>
    <row r="590" spans="1:5" x14ac:dyDescent="0.25">
      <c r="A590" s="28">
        <v>26968</v>
      </c>
      <c r="B590" s="17">
        <v>-1.29114636170802E-3</v>
      </c>
      <c r="C590" t="str">
        <f t="shared" si="29"/>
        <v>Red</v>
      </c>
      <c r="D590">
        <f t="shared" si="30"/>
        <v>0</v>
      </c>
      <c r="E590">
        <f t="shared" si="31"/>
        <v>10</v>
      </c>
    </row>
    <row r="591" spans="1:5" x14ac:dyDescent="0.25">
      <c r="A591" s="28">
        <v>26935</v>
      </c>
      <c r="B591" s="17">
        <v>4.0095923261390901E-2</v>
      </c>
      <c r="C591" t="str">
        <f t="shared" si="29"/>
        <v>Green</v>
      </c>
      <c r="D591">
        <f t="shared" si="30"/>
        <v>1</v>
      </c>
      <c r="E591">
        <f t="shared" si="31"/>
        <v>9</v>
      </c>
    </row>
    <row r="592" spans="1:5" x14ac:dyDescent="0.25">
      <c r="A592" s="28">
        <v>26907</v>
      </c>
      <c r="B592" s="17">
        <v>-3.6684540411342302E-2</v>
      </c>
      <c r="C592" t="str">
        <f t="shared" si="29"/>
        <v>Red</v>
      </c>
      <c r="D592">
        <f t="shared" si="30"/>
        <v>0</v>
      </c>
      <c r="E592">
        <f t="shared" si="31"/>
        <v>8</v>
      </c>
    </row>
    <row r="593" spans="1:5" x14ac:dyDescent="0.25">
      <c r="A593" s="28">
        <v>26876</v>
      </c>
      <c r="B593" s="17">
        <v>3.7981957836524798E-2</v>
      </c>
      <c r="C593" t="str">
        <f t="shared" si="29"/>
        <v>Green</v>
      </c>
      <c r="D593">
        <f t="shared" si="30"/>
        <v>1</v>
      </c>
      <c r="E593">
        <f t="shared" si="31"/>
        <v>7</v>
      </c>
    </row>
    <row r="594" spans="1:5" x14ac:dyDescent="0.25">
      <c r="A594" s="28">
        <v>26844</v>
      </c>
      <c r="B594" s="17">
        <v>-6.5745118601575597E-3</v>
      </c>
      <c r="C594" t="str">
        <f t="shared" si="29"/>
        <v>Red</v>
      </c>
      <c r="D594">
        <f t="shared" si="30"/>
        <v>0</v>
      </c>
      <c r="E594">
        <f t="shared" si="31"/>
        <v>6</v>
      </c>
    </row>
    <row r="595" spans="1:5" x14ac:dyDescent="0.25">
      <c r="A595" s="28">
        <v>26815</v>
      </c>
      <c r="B595" s="17">
        <v>-1.8883836413164001E-2</v>
      </c>
      <c r="C595" t="str">
        <f t="shared" si="29"/>
        <v>Red</v>
      </c>
      <c r="D595">
        <f t="shared" si="30"/>
        <v>0</v>
      </c>
      <c r="E595">
        <f t="shared" si="31"/>
        <v>5</v>
      </c>
    </row>
    <row r="596" spans="1:5" x14ac:dyDescent="0.25">
      <c r="A596" s="28">
        <v>26784</v>
      </c>
      <c r="B596" s="17">
        <v>-4.0799821757527499E-2</v>
      </c>
      <c r="C596" t="str">
        <f t="shared" si="29"/>
        <v>Red</v>
      </c>
      <c r="D596">
        <f t="shared" si="30"/>
        <v>0</v>
      </c>
      <c r="E596">
        <f t="shared" si="31"/>
        <v>4</v>
      </c>
    </row>
    <row r="597" spans="1:5" x14ac:dyDescent="0.25">
      <c r="A597" s="28">
        <v>26753</v>
      </c>
      <c r="B597" s="17">
        <v>-1.43269161891124E-3</v>
      </c>
      <c r="C597" t="str">
        <f t="shared" si="29"/>
        <v>Red</v>
      </c>
      <c r="D597">
        <f t="shared" si="30"/>
        <v>0</v>
      </c>
      <c r="E597">
        <f t="shared" si="31"/>
        <v>3</v>
      </c>
    </row>
    <row r="598" spans="1:5" x14ac:dyDescent="0.25">
      <c r="A598" s="28">
        <v>26723</v>
      </c>
      <c r="B598" s="17">
        <v>-3.7490295936312097E-2</v>
      </c>
      <c r="C598" t="str">
        <f t="shared" si="29"/>
        <v>Red</v>
      </c>
      <c r="D598">
        <f t="shared" si="30"/>
        <v>0</v>
      </c>
      <c r="E598">
        <f t="shared" si="31"/>
        <v>2</v>
      </c>
    </row>
    <row r="599" spans="1:5" x14ac:dyDescent="0.25">
      <c r="A599" s="28">
        <v>26695</v>
      </c>
      <c r="B599" s="17">
        <v>-1.71114269264355E-2</v>
      </c>
      <c r="C599" t="str">
        <f t="shared" si="29"/>
        <v>Red</v>
      </c>
      <c r="D599">
        <f t="shared" si="30"/>
        <v>0</v>
      </c>
      <c r="E599">
        <f t="shared" si="31"/>
        <v>1</v>
      </c>
    </row>
    <row r="600" spans="1:5" x14ac:dyDescent="0.25">
      <c r="A600" s="28">
        <v>26662</v>
      </c>
      <c r="B600" s="17">
        <v>1.18282765377264E-2</v>
      </c>
      <c r="C600" t="str">
        <f t="shared" si="29"/>
        <v>Green</v>
      </c>
      <c r="D600">
        <f t="shared" si="30"/>
        <v>1</v>
      </c>
      <c r="E600">
        <f t="shared" si="31"/>
        <v>12</v>
      </c>
    </row>
    <row r="601" spans="1:5" x14ac:dyDescent="0.25">
      <c r="A601" s="28">
        <v>26633</v>
      </c>
      <c r="B601" s="17">
        <v>4.5617457508201301E-2</v>
      </c>
      <c r="C601" t="str">
        <f t="shared" si="29"/>
        <v>Green</v>
      </c>
      <c r="D601">
        <f t="shared" si="30"/>
        <v>1</v>
      </c>
      <c r="E601">
        <f t="shared" si="31"/>
        <v>11</v>
      </c>
    </row>
    <row r="602" spans="1:5" x14ac:dyDescent="0.25">
      <c r="A602" s="28">
        <v>26603</v>
      </c>
      <c r="B602" s="17">
        <v>9.3170418095780399E-3</v>
      </c>
      <c r="C602" t="str">
        <f t="shared" si="29"/>
        <v>Green</v>
      </c>
      <c r="D602">
        <f t="shared" si="30"/>
        <v>1</v>
      </c>
      <c r="E602">
        <f t="shared" si="31"/>
        <v>10</v>
      </c>
    </row>
    <row r="603" spans="1:5" x14ac:dyDescent="0.25">
      <c r="A603" s="28">
        <v>26571</v>
      </c>
      <c r="B603" s="17">
        <v>-4.8608607385313097E-3</v>
      </c>
      <c r="C603" t="str">
        <f t="shared" si="29"/>
        <v>Red</v>
      </c>
      <c r="D603">
        <f t="shared" si="30"/>
        <v>0</v>
      </c>
      <c r="E603">
        <f t="shared" si="31"/>
        <v>9</v>
      </c>
    </row>
    <row r="604" spans="1:5" x14ac:dyDescent="0.25">
      <c r="A604" s="28">
        <v>26542</v>
      </c>
      <c r="B604" s="17">
        <v>3.4453832148745998E-2</v>
      </c>
      <c r="C604" t="str">
        <f t="shared" si="29"/>
        <v>Green</v>
      </c>
      <c r="D604">
        <f t="shared" si="30"/>
        <v>1</v>
      </c>
      <c r="E604">
        <f t="shared" si="31"/>
        <v>8</v>
      </c>
    </row>
    <row r="605" spans="1:5" x14ac:dyDescent="0.25">
      <c r="A605" s="28">
        <v>26511</v>
      </c>
      <c r="B605" s="17">
        <v>2.3333955789937E-3</v>
      </c>
      <c r="C605" t="str">
        <f t="shared" si="29"/>
        <v>Green</v>
      </c>
      <c r="D605">
        <f t="shared" si="30"/>
        <v>1</v>
      </c>
      <c r="E605">
        <f t="shared" si="31"/>
        <v>7</v>
      </c>
    </row>
    <row r="606" spans="1:5" x14ac:dyDescent="0.25">
      <c r="A606" s="28">
        <v>26480</v>
      </c>
      <c r="B606" s="17">
        <v>-2.1820505996717799E-2</v>
      </c>
      <c r="C606" t="str">
        <f t="shared" si="29"/>
        <v>Red</v>
      </c>
      <c r="D606">
        <f t="shared" si="30"/>
        <v>0</v>
      </c>
      <c r="E606">
        <f t="shared" si="31"/>
        <v>6</v>
      </c>
    </row>
    <row r="607" spans="1:5" x14ac:dyDescent="0.25">
      <c r="A607" s="28">
        <v>26450</v>
      </c>
      <c r="B607" s="17">
        <v>1.7275016574254998E-2</v>
      </c>
      <c r="C607" t="str">
        <f t="shared" si="29"/>
        <v>Green</v>
      </c>
      <c r="D607">
        <f t="shared" si="30"/>
        <v>1</v>
      </c>
      <c r="E607">
        <f t="shared" si="31"/>
        <v>5</v>
      </c>
    </row>
    <row r="608" spans="1:5" x14ac:dyDescent="0.25">
      <c r="A608" s="28">
        <v>26417</v>
      </c>
      <c r="B608" s="17">
        <v>4.3843378092633901E-3</v>
      </c>
      <c r="C608" t="str">
        <f t="shared" si="29"/>
        <v>Green</v>
      </c>
      <c r="D608">
        <f t="shared" si="30"/>
        <v>1</v>
      </c>
      <c r="E608">
        <f t="shared" si="31"/>
        <v>4</v>
      </c>
    </row>
    <row r="609" spans="1:5" x14ac:dyDescent="0.25">
      <c r="A609" s="28">
        <v>26388</v>
      </c>
      <c r="B609" s="17">
        <v>5.9115792436896797E-3</v>
      </c>
      <c r="C609" t="str">
        <f t="shared" si="29"/>
        <v>Green</v>
      </c>
      <c r="D609">
        <f t="shared" si="30"/>
        <v>1</v>
      </c>
      <c r="E609">
        <f t="shared" si="31"/>
        <v>3</v>
      </c>
    </row>
    <row r="610" spans="1:5" x14ac:dyDescent="0.25">
      <c r="A610" s="28">
        <v>26358</v>
      </c>
      <c r="B610" s="17">
        <v>2.5303039728630902E-2</v>
      </c>
      <c r="C610" t="str">
        <f t="shared" si="29"/>
        <v>Green</v>
      </c>
      <c r="D610">
        <f t="shared" si="30"/>
        <v>1</v>
      </c>
      <c r="E610">
        <f t="shared" si="31"/>
        <v>2</v>
      </c>
    </row>
    <row r="611" spans="1:5" x14ac:dyDescent="0.25">
      <c r="A611" s="28">
        <v>26329</v>
      </c>
      <c r="B611" s="17">
        <v>1.8121325031690699E-2</v>
      </c>
      <c r="C611" t="str">
        <f t="shared" si="29"/>
        <v>Green</v>
      </c>
      <c r="D611">
        <f t="shared" si="30"/>
        <v>1</v>
      </c>
      <c r="E611">
        <f t="shared" si="31"/>
        <v>1</v>
      </c>
    </row>
    <row r="612" spans="1:5" x14ac:dyDescent="0.25">
      <c r="A612" s="28">
        <v>26298</v>
      </c>
      <c r="B612" s="17">
        <v>8.6179361340128893E-2</v>
      </c>
      <c r="C612" t="str">
        <f t="shared" si="29"/>
        <v>Green</v>
      </c>
      <c r="D612">
        <f t="shared" si="30"/>
        <v>1</v>
      </c>
      <c r="E612">
        <f t="shared" si="31"/>
        <v>12</v>
      </c>
    </row>
    <row r="613" spans="1:5" x14ac:dyDescent="0.25">
      <c r="A613" s="28">
        <v>26267</v>
      </c>
      <c r="B613" s="17">
        <v>-2.5470125475852701E-3</v>
      </c>
      <c r="C613" t="str">
        <f t="shared" si="29"/>
        <v>Red</v>
      </c>
      <c r="D613">
        <f t="shared" si="30"/>
        <v>0</v>
      </c>
      <c r="E613">
        <f t="shared" si="31"/>
        <v>11</v>
      </c>
    </row>
    <row r="614" spans="1:5" x14ac:dyDescent="0.25">
      <c r="A614" s="28">
        <v>26235</v>
      </c>
      <c r="B614" s="17">
        <v>-4.1793707211458503E-2</v>
      </c>
      <c r="C614" t="str">
        <f t="shared" si="29"/>
        <v>Red</v>
      </c>
      <c r="D614">
        <f t="shared" si="30"/>
        <v>0</v>
      </c>
      <c r="E614">
        <f t="shared" si="31"/>
        <v>10</v>
      </c>
    </row>
    <row r="615" spans="1:5" x14ac:dyDescent="0.25">
      <c r="A615" s="28">
        <v>26206</v>
      </c>
      <c r="B615" s="17">
        <v>-6.9676159443362602E-3</v>
      </c>
      <c r="C615" t="str">
        <f t="shared" si="29"/>
        <v>Red</v>
      </c>
      <c r="D615">
        <f t="shared" si="30"/>
        <v>0</v>
      </c>
      <c r="E615">
        <f t="shared" si="31"/>
        <v>9</v>
      </c>
    </row>
    <row r="616" spans="1:5" x14ac:dyDescent="0.25">
      <c r="A616" s="28">
        <v>26176</v>
      </c>
      <c r="B616" s="17">
        <v>3.6095385308738702E-2</v>
      </c>
      <c r="C616" t="str">
        <f t="shared" si="29"/>
        <v>Green</v>
      </c>
      <c r="D616">
        <f t="shared" si="30"/>
        <v>1</v>
      </c>
      <c r="E616">
        <f t="shared" si="31"/>
        <v>8</v>
      </c>
    </row>
    <row r="617" spans="1:5" x14ac:dyDescent="0.25">
      <c r="A617" s="28">
        <v>26144</v>
      </c>
      <c r="B617" s="17">
        <v>-3.1610892551496302E-2</v>
      </c>
      <c r="C617" t="str">
        <f t="shared" si="29"/>
        <v>Red</v>
      </c>
      <c r="D617">
        <f t="shared" si="30"/>
        <v>0</v>
      </c>
      <c r="E617">
        <f t="shared" si="31"/>
        <v>7</v>
      </c>
    </row>
    <row r="618" spans="1:5" x14ac:dyDescent="0.25">
      <c r="A618" s="28">
        <v>26114</v>
      </c>
      <c r="B618" s="17">
        <v>-9.3345380708985699E-3</v>
      </c>
      <c r="C618" t="str">
        <f t="shared" si="29"/>
        <v>Red</v>
      </c>
      <c r="D618">
        <f t="shared" si="30"/>
        <v>0</v>
      </c>
      <c r="E618">
        <f t="shared" si="31"/>
        <v>6</v>
      </c>
    </row>
    <row r="619" spans="1:5" x14ac:dyDescent="0.25">
      <c r="A619" s="28">
        <v>26081</v>
      </c>
      <c r="B619" s="17">
        <v>-4.1558442757819399E-2</v>
      </c>
      <c r="C619" t="str">
        <f t="shared" si="29"/>
        <v>Red</v>
      </c>
      <c r="D619">
        <f t="shared" si="30"/>
        <v>0</v>
      </c>
      <c r="E619">
        <f t="shared" si="31"/>
        <v>5</v>
      </c>
    </row>
    <row r="620" spans="1:5" x14ac:dyDescent="0.25">
      <c r="A620" s="28">
        <v>26053</v>
      </c>
      <c r="B620" s="17">
        <v>3.6287499477370103E-2</v>
      </c>
      <c r="C620" t="str">
        <f t="shared" si="29"/>
        <v>Green</v>
      </c>
      <c r="D620">
        <f t="shared" si="30"/>
        <v>1</v>
      </c>
      <c r="E620">
        <f t="shared" si="31"/>
        <v>4</v>
      </c>
    </row>
    <row r="621" spans="1:5" x14ac:dyDescent="0.25">
      <c r="A621" s="28">
        <v>26023</v>
      </c>
      <c r="B621" s="17">
        <v>3.67958449612402E-2</v>
      </c>
      <c r="C621" t="str">
        <f t="shared" si="29"/>
        <v>Green</v>
      </c>
      <c r="D621">
        <f t="shared" si="30"/>
        <v>1</v>
      </c>
      <c r="E621">
        <f t="shared" si="31"/>
        <v>3</v>
      </c>
    </row>
    <row r="622" spans="1:5" x14ac:dyDescent="0.25">
      <c r="A622" s="28">
        <v>25990</v>
      </c>
      <c r="B622" s="17">
        <v>9.0738738759032992E-3</v>
      </c>
      <c r="C622" t="str">
        <f t="shared" si="29"/>
        <v>Green</v>
      </c>
      <c r="D622">
        <f t="shared" si="30"/>
        <v>1</v>
      </c>
      <c r="E622">
        <f t="shared" si="31"/>
        <v>2</v>
      </c>
    </row>
    <row r="623" spans="1:5" x14ac:dyDescent="0.25">
      <c r="A623" s="28">
        <v>25962</v>
      </c>
      <c r="B623" s="17">
        <v>4.0477427227836801E-2</v>
      </c>
      <c r="C623" t="str">
        <f t="shared" si="29"/>
        <v>Green</v>
      </c>
      <c r="D623">
        <f t="shared" si="30"/>
        <v>1</v>
      </c>
      <c r="E623">
        <f t="shared" si="31"/>
        <v>1</v>
      </c>
    </row>
    <row r="624" spans="1:5" x14ac:dyDescent="0.25">
      <c r="A624" s="28">
        <v>25933</v>
      </c>
      <c r="B624" s="17">
        <v>5.6766114338283803E-2</v>
      </c>
      <c r="C624" t="str">
        <f t="shared" si="29"/>
        <v>Green</v>
      </c>
      <c r="D624">
        <f t="shared" si="30"/>
        <v>1</v>
      </c>
      <c r="E624">
        <f t="shared" si="31"/>
        <v>12</v>
      </c>
    </row>
    <row r="625" spans="1:5" x14ac:dyDescent="0.25">
      <c r="A625" s="28">
        <v>25902</v>
      </c>
      <c r="B625" s="17">
        <v>4.74474114114114E-2</v>
      </c>
      <c r="C625" t="str">
        <f t="shared" si="29"/>
        <v>Green</v>
      </c>
      <c r="D625">
        <f t="shared" si="30"/>
        <v>1</v>
      </c>
      <c r="E625">
        <f t="shared" si="31"/>
        <v>11</v>
      </c>
    </row>
    <row r="626" spans="1:5" x14ac:dyDescent="0.25">
      <c r="A626" s="28">
        <v>25871</v>
      </c>
      <c r="B626" s="17">
        <v>-1.24555511581654E-2</v>
      </c>
      <c r="C626" t="str">
        <f t="shared" si="29"/>
        <v>Red</v>
      </c>
      <c r="D626">
        <f t="shared" si="30"/>
        <v>0</v>
      </c>
      <c r="E626">
        <f t="shared" si="31"/>
        <v>10</v>
      </c>
    </row>
    <row r="627" spans="1:5" x14ac:dyDescent="0.25">
      <c r="A627" s="28">
        <v>25841</v>
      </c>
      <c r="B627" s="17">
        <v>3.4102135700520203E-2</v>
      </c>
      <c r="C627" t="str">
        <f t="shared" si="29"/>
        <v>Green</v>
      </c>
      <c r="D627">
        <f t="shared" si="30"/>
        <v>1</v>
      </c>
      <c r="E627">
        <f t="shared" si="31"/>
        <v>9</v>
      </c>
    </row>
    <row r="628" spans="1:5" x14ac:dyDescent="0.25">
      <c r="A628" s="28">
        <v>25811</v>
      </c>
      <c r="B628" s="17">
        <v>4.44586017504702E-2</v>
      </c>
      <c r="C628" t="str">
        <f t="shared" si="29"/>
        <v>Green</v>
      </c>
      <c r="D628">
        <f t="shared" si="30"/>
        <v>1</v>
      </c>
      <c r="E628">
        <f t="shared" si="31"/>
        <v>8</v>
      </c>
    </row>
    <row r="629" spans="1:5" x14ac:dyDescent="0.25">
      <c r="A629" s="28">
        <v>25780</v>
      </c>
      <c r="B629" s="17">
        <v>7.3294855977793505E-2</v>
      </c>
      <c r="C629" t="str">
        <f t="shared" si="29"/>
        <v>Green</v>
      </c>
      <c r="D629">
        <f t="shared" si="30"/>
        <v>1</v>
      </c>
      <c r="E629">
        <f t="shared" si="31"/>
        <v>7</v>
      </c>
    </row>
    <row r="630" spans="1:5" x14ac:dyDescent="0.25">
      <c r="A630" s="28">
        <v>25749</v>
      </c>
      <c r="B630" s="17">
        <v>-5.0032682559137301E-2</v>
      </c>
      <c r="C630" t="str">
        <f t="shared" si="29"/>
        <v>Red</v>
      </c>
      <c r="D630">
        <f t="shared" si="30"/>
        <v>0</v>
      </c>
      <c r="E630">
        <f t="shared" si="31"/>
        <v>6</v>
      </c>
    </row>
    <row r="631" spans="1:5" x14ac:dyDescent="0.25">
      <c r="A631" s="28">
        <v>25717</v>
      </c>
      <c r="B631" s="17">
        <v>-6.0966562596904902E-2</v>
      </c>
      <c r="C631" t="str">
        <f t="shared" si="29"/>
        <v>Red</v>
      </c>
      <c r="D631">
        <f t="shared" si="30"/>
        <v>0</v>
      </c>
      <c r="E631">
        <f t="shared" si="31"/>
        <v>5</v>
      </c>
    </row>
    <row r="632" spans="1:5" x14ac:dyDescent="0.25">
      <c r="A632" s="28">
        <v>25688</v>
      </c>
      <c r="B632" s="17">
        <v>-9.0483100205838496E-2</v>
      </c>
      <c r="C632" t="str">
        <f t="shared" si="29"/>
        <v>Red</v>
      </c>
      <c r="D632">
        <f t="shared" si="30"/>
        <v>0</v>
      </c>
      <c r="E632">
        <f t="shared" si="31"/>
        <v>4</v>
      </c>
    </row>
    <row r="633" spans="1:5" x14ac:dyDescent="0.25">
      <c r="A633" s="28">
        <v>25658</v>
      </c>
      <c r="B633" s="17">
        <v>1.4524804469273601E-3</v>
      </c>
      <c r="C633" t="str">
        <f t="shared" si="29"/>
        <v>Green</v>
      </c>
      <c r="D633">
        <f t="shared" si="30"/>
        <v>1</v>
      </c>
      <c r="E633">
        <f t="shared" si="31"/>
        <v>3</v>
      </c>
    </row>
    <row r="634" spans="1:5" x14ac:dyDescent="0.25">
      <c r="A634" s="28">
        <v>25626</v>
      </c>
      <c r="B634" s="17">
        <v>5.2693521031293301E-2</v>
      </c>
      <c r="C634" t="str">
        <f t="shared" si="29"/>
        <v>Green</v>
      </c>
      <c r="D634">
        <f t="shared" si="30"/>
        <v>1</v>
      </c>
      <c r="E634">
        <f t="shared" si="31"/>
        <v>2</v>
      </c>
    </row>
    <row r="635" spans="1:5" x14ac:dyDescent="0.25">
      <c r="A635" s="28">
        <v>25598</v>
      </c>
      <c r="B635" s="17">
        <v>-7.6471878698063697E-2</v>
      </c>
      <c r="C635" t="str">
        <f t="shared" si="29"/>
        <v>Red</v>
      </c>
      <c r="D635">
        <f t="shared" si="30"/>
        <v>0</v>
      </c>
      <c r="E635">
        <f t="shared" si="31"/>
        <v>1</v>
      </c>
    </row>
    <row r="636" spans="1:5" x14ac:dyDescent="0.25">
      <c r="A636" s="28">
        <v>25568</v>
      </c>
      <c r="B636" s="17">
        <v>-1.8654728038689401E-2</v>
      </c>
      <c r="C636" t="str">
        <f t="shared" si="29"/>
        <v>Red</v>
      </c>
      <c r="D636">
        <f t="shared" si="30"/>
        <v>0</v>
      </c>
      <c r="E636">
        <f t="shared" si="31"/>
        <v>12</v>
      </c>
    </row>
    <row r="637" spans="1:5" x14ac:dyDescent="0.25">
      <c r="A637" s="28">
        <v>25535</v>
      </c>
      <c r="B637" s="17">
        <v>-3.4081599029604698E-2</v>
      </c>
      <c r="C637" t="str">
        <f t="shared" si="29"/>
        <v>Red</v>
      </c>
      <c r="D637">
        <f t="shared" si="30"/>
        <v>0</v>
      </c>
      <c r="E637">
        <f t="shared" si="31"/>
        <v>11</v>
      </c>
    </row>
    <row r="638" spans="1:5" x14ac:dyDescent="0.25">
      <c r="A638" s="28">
        <v>25507</v>
      </c>
      <c r="B638" s="17">
        <v>4.2955325076610998E-2</v>
      </c>
      <c r="C638" t="str">
        <f t="shared" si="29"/>
        <v>Green</v>
      </c>
      <c r="D638">
        <f t="shared" si="30"/>
        <v>1</v>
      </c>
      <c r="E638">
        <f t="shared" si="31"/>
        <v>10</v>
      </c>
    </row>
    <row r="639" spans="1:5" x14ac:dyDescent="0.25">
      <c r="A639" s="28">
        <v>25476</v>
      </c>
      <c r="B639" s="17">
        <v>-2.5023546748538499E-2</v>
      </c>
      <c r="C639" t="str">
        <f t="shared" si="29"/>
        <v>Red</v>
      </c>
      <c r="D639">
        <f t="shared" si="30"/>
        <v>0</v>
      </c>
      <c r="E639">
        <f t="shared" si="31"/>
        <v>9</v>
      </c>
    </row>
    <row r="640" spans="1:5" x14ac:dyDescent="0.25">
      <c r="A640" s="28">
        <v>25444</v>
      </c>
      <c r="B640" s="17">
        <v>4.0074049001980902E-2</v>
      </c>
      <c r="C640" t="str">
        <f t="shared" si="29"/>
        <v>Green</v>
      </c>
      <c r="D640">
        <f t="shared" si="30"/>
        <v>1</v>
      </c>
      <c r="E640">
        <f t="shared" si="31"/>
        <v>8</v>
      </c>
    </row>
    <row r="641" spans="1:5" x14ac:dyDescent="0.25">
      <c r="A641" s="28">
        <v>25415</v>
      </c>
      <c r="B641" s="17">
        <v>-6.0178047898659798E-2</v>
      </c>
      <c r="C641" t="str">
        <f t="shared" si="29"/>
        <v>Red</v>
      </c>
      <c r="D641">
        <f t="shared" si="30"/>
        <v>0</v>
      </c>
      <c r="E641">
        <f t="shared" si="31"/>
        <v>7</v>
      </c>
    </row>
    <row r="642" spans="1:5" x14ac:dyDescent="0.25">
      <c r="A642" s="28">
        <v>25384</v>
      </c>
      <c r="B642" s="17">
        <v>-5.5577035139928802E-2</v>
      </c>
      <c r="C642" t="str">
        <f t="shared" si="29"/>
        <v>Red</v>
      </c>
      <c r="D642">
        <f t="shared" si="30"/>
        <v>0</v>
      </c>
      <c r="E642">
        <f t="shared" si="31"/>
        <v>6</v>
      </c>
    </row>
    <row r="643" spans="1:5" x14ac:dyDescent="0.25">
      <c r="A643" s="28">
        <v>25352</v>
      </c>
      <c r="B643" s="17">
        <v>-2.21817914517941E-3</v>
      </c>
      <c r="C643" t="str">
        <f t="shared" ref="C643:C706" si="32">IF(B643&gt;0,"Green","Red")</f>
        <v>Red</v>
      </c>
      <c r="D643">
        <f t="shared" si="30"/>
        <v>0</v>
      </c>
      <c r="E643">
        <f t="shared" si="31"/>
        <v>5</v>
      </c>
    </row>
    <row r="644" spans="1:5" x14ac:dyDescent="0.25">
      <c r="A644" s="28">
        <v>25323</v>
      </c>
      <c r="B644" s="17">
        <v>2.1475716255034701E-2</v>
      </c>
      <c r="C644" t="str">
        <f t="shared" si="32"/>
        <v>Green</v>
      </c>
      <c r="D644">
        <f t="shared" ref="D644:D707" si="33">IF(B644&gt;0,1,0)</f>
        <v>1</v>
      </c>
      <c r="E644">
        <f t="shared" ref="E644:E707" si="34">MONTH(A644)</f>
        <v>4</v>
      </c>
    </row>
    <row r="645" spans="1:5" x14ac:dyDescent="0.25">
      <c r="A645" s="28">
        <v>25290</v>
      </c>
      <c r="B645" s="17">
        <v>3.4444156764826997E-2</v>
      </c>
      <c r="C645" t="str">
        <f t="shared" si="32"/>
        <v>Green</v>
      </c>
      <c r="D645">
        <f t="shared" si="33"/>
        <v>1</v>
      </c>
      <c r="E645">
        <f t="shared" si="34"/>
        <v>3</v>
      </c>
    </row>
    <row r="646" spans="1:5" x14ac:dyDescent="0.25">
      <c r="A646" s="28">
        <v>25262</v>
      </c>
      <c r="B646" s="17">
        <v>-4.7374088974389099E-2</v>
      </c>
      <c r="C646" t="str">
        <f t="shared" si="32"/>
        <v>Red</v>
      </c>
      <c r="D646">
        <f t="shared" si="33"/>
        <v>0</v>
      </c>
      <c r="E646">
        <f t="shared" si="34"/>
        <v>2</v>
      </c>
    </row>
    <row r="647" spans="1:5" x14ac:dyDescent="0.25">
      <c r="A647" s="28">
        <v>25234</v>
      </c>
      <c r="B647" s="17">
        <v>-8.1840842655104308E-3</v>
      </c>
      <c r="C647" t="str">
        <f t="shared" si="32"/>
        <v>Red</v>
      </c>
      <c r="D647">
        <f t="shared" si="33"/>
        <v>0</v>
      </c>
      <c r="E647">
        <f t="shared" si="34"/>
        <v>1</v>
      </c>
    </row>
    <row r="648" spans="1:5" x14ac:dyDescent="0.25">
      <c r="A648" s="28">
        <v>25203</v>
      </c>
      <c r="B648" s="17">
        <v>-4.16167008872372E-2</v>
      </c>
      <c r="C648" t="str">
        <f t="shared" si="32"/>
        <v>Red</v>
      </c>
      <c r="D648">
        <f t="shared" si="33"/>
        <v>0</v>
      </c>
      <c r="E648">
        <f t="shared" si="34"/>
        <v>12</v>
      </c>
    </row>
    <row r="649" spans="1:5" x14ac:dyDescent="0.25">
      <c r="A649" s="28">
        <v>25171</v>
      </c>
      <c r="B649" s="17">
        <v>4.7964401974106799E-2</v>
      </c>
      <c r="C649" t="str">
        <f t="shared" si="32"/>
        <v>Green</v>
      </c>
      <c r="D649">
        <f t="shared" si="33"/>
        <v>1</v>
      </c>
      <c r="E649">
        <f t="shared" si="34"/>
        <v>11</v>
      </c>
    </row>
    <row r="650" spans="1:5" x14ac:dyDescent="0.25">
      <c r="A650" s="28">
        <v>25142</v>
      </c>
      <c r="B650" s="17">
        <v>7.2076167762269404E-3</v>
      </c>
      <c r="C650" t="str">
        <f t="shared" si="32"/>
        <v>Green</v>
      </c>
      <c r="D650">
        <f t="shared" si="33"/>
        <v>1</v>
      </c>
      <c r="E650">
        <f t="shared" si="34"/>
        <v>10</v>
      </c>
    </row>
    <row r="651" spans="1:5" x14ac:dyDescent="0.25">
      <c r="A651" s="28">
        <v>25111</v>
      </c>
      <c r="B651" s="17">
        <v>3.8539317837959601E-2</v>
      </c>
      <c r="C651" t="str">
        <f t="shared" si="32"/>
        <v>Green</v>
      </c>
      <c r="D651">
        <f t="shared" si="33"/>
        <v>1</v>
      </c>
      <c r="E651">
        <f t="shared" si="34"/>
        <v>9</v>
      </c>
    </row>
    <row r="652" spans="1:5" x14ac:dyDescent="0.25">
      <c r="A652" s="28">
        <v>25080</v>
      </c>
      <c r="B652" s="17">
        <v>1.1459003713095901E-2</v>
      </c>
      <c r="C652" t="str">
        <f t="shared" si="32"/>
        <v>Green</v>
      </c>
      <c r="D652">
        <f t="shared" si="33"/>
        <v>1</v>
      </c>
      <c r="E652">
        <f t="shared" si="34"/>
        <v>8</v>
      </c>
    </row>
    <row r="653" spans="1:5" x14ac:dyDescent="0.25">
      <c r="A653" s="28">
        <v>25049</v>
      </c>
      <c r="B653" s="17">
        <v>-1.8477645742565801E-2</v>
      </c>
      <c r="C653" t="str">
        <f t="shared" si="32"/>
        <v>Red</v>
      </c>
      <c r="D653">
        <f t="shared" si="33"/>
        <v>0</v>
      </c>
      <c r="E653">
        <f t="shared" si="34"/>
        <v>7</v>
      </c>
    </row>
    <row r="654" spans="1:5" x14ac:dyDescent="0.25">
      <c r="A654" s="28">
        <v>25017</v>
      </c>
      <c r="B654" s="17">
        <v>9.1204094041343903E-3</v>
      </c>
      <c r="C654" t="str">
        <f t="shared" si="32"/>
        <v>Green</v>
      </c>
      <c r="D654">
        <f t="shared" si="33"/>
        <v>1</v>
      </c>
      <c r="E654">
        <f t="shared" si="34"/>
        <v>6</v>
      </c>
    </row>
    <row r="655" spans="1:5" x14ac:dyDescent="0.25">
      <c r="A655" s="28">
        <v>24989</v>
      </c>
      <c r="B655" s="17">
        <v>1.2517966473609501E-2</v>
      </c>
      <c r="C655" t="str">
        <f t="shared" si="32"/>
        <v>Green</v>
      </c>
      <c r="D655">
        <f t="shared" si="33"/>
        <v>1</v>
      </c>
      <c r="E655">
        <f t="shared" si="34"/>
        <v>5</v>
      </c>
    </row>
    <row r="656" spans="1:5" x14ac:dyDescent="0.25">
      <c r="A656" s="28">
        <v>24958</v>
      </c>
      <c r="B656" s="17">
        <v>8.0487829727976495E-2</v>
      </c>
      <c r="C656" t="str">
        <f t="shared" si="32"/>
        <v>Green</v>
      </c>
      <c r="D656">
        <f t="shared" si="33"/>
        <v>1</v>
      </c>
      <c r="E656">
        <f t="shared" si="34"/>
        <v>4</v>
      </c>
    </row>
    <row r="657" spans="1:5" x14ac:dyDescent="0.25">
      <c r="A657" s="28">
        <v>24926</v>
      </c>
      <c r="B657" s="17">
        <v>9.4001341830782792E-3</v>
      </c>
      <c r="C657" t="str">
        <f t="shared" si="32"/>
        <v>Green</v>
      </c>
      <c r="D657">
        <f t="shared" si="33"/>
        <v>1</v>
      </c>
      <c r="E657">
        <f t="shared" si="34"/>
        <v>3</v>
      </c>
    </row>
    <row r="658" spans="1:5" x14ac:dyDescent="0.25">
      <c r="A658" s="28">
        <v>24897</v>
      </c>
      <c r="B658" s="17">
        <v>-3.12228649441211E-2</v>
      </c>
      <c r="C658" t="str">
        <f t="shared" si="32"/>
        <v>Red</v>
      </c>
      <c r="D658">
        <f t="shared" si="33"/>
        <v>0</v>
      </c>
      <c r="E658">
        <f t="shared" si="34"/>
        <v>2</v>
      </c>
    </row>
    <row r="659" spans="1:5" x14ac:dyDescent="0.25">
      <c r="A659" s="28">
        <v>24868</v>
      </c>
      <c r="B659" s="17">
        <v>-4.3847858983644003E-2</v>
      </c>
      <c r="C659" t="str">
        <f t="shared" si="32"/>
        <v>Red</v>
      </c>
      <c r="D659">
        <f t="shared" si="33"/>
        <v>0</v>
      </c>
      <c r="E659">
        <f t="shared" si="34"/>
        <v>1</v>
      </c>
    </row>
    <row r="660" spans="1:5" x14ac:dyDescent="0.25">
      <c r="A660" s="28">
        <v>24835</v>
      </c>
      <c r="B660" s="17">
        <v>2.6276606382978698E-2</v>
      </c>
      <c r="C660" t="str">
        <f t="shared" si="32"/>
        <v>Green</v>
      </c>
      <c r="D660">
        <f t="shared" si="33"/>
        <v>1</v>
      </c>
      <c r="E660">
        <f t="shared" si="34"/>
        <v>12</v>
      </c>
    </row>
    <row r="661" spans="1:5" x14ac:dyDescent="0.25">
      <c r="A661" s="28">
        <v>24806</v>
      </c>
      <c r="B661" s="17">
        <v>7.5026471328194502E-3</v>
      </c>
      <c r="C661" t="str">
        <f t="shared" si="32"/>
        <v>Green</v>
      </c>
      <c r="D661">
        <f t="shared" si="33"/>
        <v>1</v>
      </c>
      <c r="E661">
        <f t="shared" si="34"/>
        <v>11</v>
      </c>
    </row>
    <row r="662" spans="1:5" x14ac:dyDescent="0.25">
      <c r="A662" s="28">
        <v>24776</v>
      </c>
      <c r="B662" s="17">
        <v>-3.5260014840864502E-2</v>
      </c>
      <c r="C662" t="str">
        <f t="shared" si="32"/>
        <v>Red</v>
      </c>
      <c r="D662">
        <f t="shared" si="33"/>
        <v>0</v>
      </c>
      <c r="E662">
        <f t="shared" si="34"/>
        <v>10</v>
      </c>
    </row>
    <row r="663" spans="1:5" x14ac:dyDescent="0.25">
      <c r="A663" s="28">
        <v>24744</v>
      </c>
      <c r="B663" s="17">
        <v>3.2785134908000203E-2</v>
      </c>
      <c r="C663" t="str">
        <f t="shared" si="32"/>
        <v>Green</v>
      </c>
      <c r="D663">
        <f t="shared" si="33"/>
        <v>1</v>
      </c>
      <c r="E663">
        <f t="shared" si="34"/>
        <v>9</v>
      </c>
    </row>
    <row r="664" spans="1:5" x14ac:dyDescent="0.25">
      <c r="A664" s="28">
        <v>24715</v>
      </c>
      <c r="B664" s="17">
        <v>-1.17150501319261E-2</v>
      </c>
      <c r="C664" t="str">
        <f t="shared" si="32"/>
        <v>Red</v>
      </c>
      <c r="D664">
        <f t="shared" si="33"/>
        <v>0</v>
      </c>
      <c r="E664">
        <f t="shared" si="34"/>
        <v>8</v>
      </c>
    </row>
    <row r="665" spans="1:5" x14ac:dyDescent="0.25">
      <c r="A665" s="28">
        <v>24684</v>
      </c>
      <c r="B665" s="17">
        <v>4.5344230420832202E-2</v>
      </c>
      <c r="C665" t="str">
        <f t="shared" si="32"/>
        <v>Green</v>
      </c>
      <c r="D665">
        <f t="shared" si="33"/>
        <v>1</v>
      </c>
      <c r="E665">
        <f t="shared" si="34"/>
        <v>7</v>
      </c>
    </row>
    <row r="666" spans="1:5" x14ac:dyDescent="0.25">
      <c r="A666" s="28">
        <v>24653</v>
      </c>
      <c r="B666" s="17">
        <v>1.7512314380056002E-2</v>
      </c>
      <c r="C666" t="str">
        <f t="shared" si="32"/>
        <v>Green</v>
      </c>
      <c r="D666">
        <f t="shared" si="33"/>
        <v>1</v>
      </c>
      <c r="E666">
        <f t="shared" si="34"/>
        <v>6</v>
      </c>
    </row>
    <row r="667" spans="1:5" x14ac:dyDescent="0.25">
      <c r="A667" s="28">
        <v>24623</v>
      </c>
      <c r="B667" s="17">
        <v>-5.24412285407675E-2</v>
      </c>
      <c r="C667" t="str">
        <f t="shared" si="32"/>
        <v>Red</v>
      </c>
      <c r="D667">
        <f t="shared" si="33"/>
        <v>0</v>
      </c>
      <c r="E667">
        <f t="shared" si="34"/>
        <v>5</v>
      </c>
    </row>
    <row r="668" spans="1:5" x14ac:dyDescent="0.25">
      <c r="A668" s="28">
        <v>24590</v>
      </c>
      <c r="B668" s="17">
        <v>4.2239524686458599E-2</v>
      </c>
      <c r="C668" t="str">
        <f t="shared" si="32"/>
        <v>Green</v>
      </c>
      <c r="D668">
        <f t="shared" si="33"/>
        <v>1</v>
      </c>
      <c r="E668">
        <f t="shared" si="34"/>
        <v>4</v>
      </c>
    </row>
    <row r="669" spans="1:5" x14ac:dyDescent="0.25">
      <c r="A669" s="28">
        <v>24562</v>
      </c>
      <c r="B669" s="17">
        <v>3.9409979712030203E-2</v>
      </c>
      <c r="C669" t="str">
        <f t="shared" si="32"/>
        <v>Green</v>
      </c>
      <c r="D669">
        <f t="shared" si="33"/>
        <v>1</v>
      </c>
      <c r="E669">
        <f t="shared" si="34"/>
        <v>3</v>
      </c>
    </row>
    <row r="670" spans="1:5" x14ac:dyDescent="0.25">
      <c r="A670" s="28">
        <v>24531</v>
      </c>
      <c r="B670" s="17">
        <v>1.9627987303683101E-3</v>
      </c>
      <c r="C670" t="str">
        <f t="shared" si="32"/>
        <v>Green</v>
      </c>
      <c r="D670">
        <f t="shared" si="33"/>
        <v>1</v>
      </c>
      <c r="E670">
        <f t="shared" si="34"/>
        <v>2</v>
      </c>
    </row>
    <row r="671" spans="1:5" x14ac:dyDescent="0.25">
      <c r="A671" s="28">
        <v>24503</v>
      </c>
      <c r="B671" s="17">
        <v>7.8177503344267305E-2</v>
      </c>
      <c r="C671" t="str">
        <f t="shared" si="32"/>
        <v>Green</v>
      </c>
      <c r="D671">
        <f t="shared" si="33"/>
        <v>1</v>
      </c>
      <c r="E671">
        <f t="shared" si="34"/>
        <v>1</v>
      </c>
    </row>
    <row r="672" spans="1:5" x14ac:dyDescent="0.25">
      <c r="A672" s="28">
        <v>24471</v>
      </c>
      <c r="B672" s="17">
        <v>-1.49154760067927E-3</v>
      </c>
      <c r="C672" t="str">
        <f t="shared" si="32"/>
        <v>Red</v>
      </c>
      <c r="D672">
        <f t="shared" si="33"/>
        <v>0</v>
      </c>
      <c r="E672">
        <f t="shared" si="34"/>
        <v>12</v>
      </c>
    </row>
    <row r="673" spans="1:5" x14ac:dyDescent="0.25">
      <c r="A673" s="28">
        <v>24441</v>
      </c>
      <c r="B673" s="17">
        <v>3.1172070991474202E-3</v>
      </c>
      <c r="C673" t="str">
        <f t="shared" si="32"/>
        <v>Green</v>
      </c>
      <c r="D673">
        <f t="shared" si="33"/>
        <v>1</v>
      </c>
      <c r="E673">
        <f t="shared" si="34"/>
        <v>11</v>
      </c>
    </row>
    <row r="674" spans="1:5" x14ac:dyDescent="0.25">
      <c r="A674" s="28">
        <v>24411</v>
      </c>
      <c r="B674" s="17">
        <v>4.7544397793740902E-2</v>
      </c>
      <c r="C674" t="str">
        <f t="shared" si="32"/>
        <v>Green</v>
      </c>
      <c r="D674">
        <f t="shared" si="33"/>
        <v>1</v>
      </c>
      <c r="E674">
        <f t="shared" si="34"/>
        <v>10</v>
      </c>
    </row>
    <row r="675" spans="1:5" x14ac:dyDescent="0.25">
      <c r="A675" s="28">
        <v>24380</v>
      </c>
      <c r="B675" s="17">
        <v>-7.0038912322670796E-3</v>
      </c>
      <c r="C675" t="str">
        <f t="shared" si="32"/>
        <v>Red</v>
      </c>
      <c r="D675">
        <f t="shared" si="33"/>
        <v>0</v>
      </c>
      <c r="E675">
        <f t="shared" si="34"/>
        <v>9</v>
      </c>
    </row>
    <row r="676" spans="1:5" x14ac:dyDescent="0.25">
      <c r="A676" s="28">
        <v>24350</v>
      </c>
      <c r="B676" s="17">
        <v>-7.7751198032325303E-2</v>
      </c>
      <c r="C676" t="str">
        <f t="shared" si="32"/>
        <v>Red</v>
      </c>
      <c r="D676">
        <f t="shared" si="33"/>
        <v>0</v>
      </c>
      <c r="E676">
        <f t="shared" si="34"/>
        <v>8</v>
      </c>
    </row>
    <row r="677" spans="1:5" x14ac:dyDescent="0.25">
      <c r="A677" s="28">
        <v>24317</v>
      </c>
      <c r="B677" s="17">
        <v>-1.3452915115716699E-2</v>
      </c>
      <c r="C677" t="str">
        <f t="shared" si="32"/>
        <v>Red</v>
      </c>
      <c r="D677">
        <f t="shared" si="33"/>
        <v>0</v>
      </c>
      <c r="E677">
        <f t="shared" si="34"/>
        <v>7</v>
      </c>
    </row>
    <row r="678" spans="1:5" x14ac:dyDescent="0.25">
      <c r="A678" s="28">
        <v>24288</v>
      </c>
      <c r="B678" s="17">
        <v>-1.61383844005011E-2</v>
      </c>
      <c r="C678" t="str">
        <f t="shared" si="32"/>
        <v>Red</v>
      </c>
      <c r="D678">
        <f t="shared" si="33"/>
        <v>0</v>
      </c>
      <c r="E678">
        <f t="shared" si="34"/>
        <v>6</v>
      </c>
    </row>
    <row r="679" spans="1:5" x14ac:dyDescent="0.25">
      <c r="A679" s="28">
        <v>24258</v>
      </c>
      <c r="B679" s="17">
        <v>-5.4140139559414303E-2</v>
      </c>
      <c r="C679" t="str">
        <f t="shared" si="32"/>
        <v>Red</v>
      </c>
      <c r="D679">
        <f t="shared" si="33"/>
        <v>0</v>
      </c>
      <c r="E679">
        <f t="shared" si="34"/>
        <v>5</v>
      </c>
    </row>
    <row r="680" spans="1:5" x14ac:dyDescent="0.25">
      <c r="A680" s="28">
        <v>24226</v>
      </c>
      <c r="B680" s="17">
        <v>2.0508740765143599E-2</v>
      </c>
      <c r="C680" t="str">
        <f t="shared" si="32"/>
        <v>Green</v>
      </c>
      <c r="D680">
        <f t="shared" si="33"/>
        <v>1</v>
      </c>
      <c r="E680">
        <f t="shared" si="34"/>
        <v>4</v>
      </c>
    </row>
    <row r="681" spans="1:5" x14ac:dyDescent="0.25">
      <c r="A681" s="28">
        <v>24197</v>
      </c>
      <c r="B681" s="17">
        <v>-2.1815369197375901E-2</v>
      </c>
      <c r="C681" t="str">
        <f t="shared" si="32"/>
        <v>Red</v>
      </c>
      <c r="D681">
        <f t="shared" si="33"/>
        <v>0</v>
      </c>
      <c r="E681">
        <f t="shared" si="34"/>
        <v>3</v>
      </c>
    </row>
    <row r="682" spans="1:5" x14ac:dyDescent="0.25">
      <c r="A682" s="28">
        <v>24166</v>
      </c>
      <c r="B682" s="17">
        <v>-1.7872481197431699E-2</v>
      </c>
      <c r="C682" t="str">
        <f t="shared" si="32"/>
        <v>Red</v>
      </c>
      <c r="D682">
        <f t="shared" si="33"/>
        <v>0</v>
      </c>
      <c r="E682">
        <f t="shared" si="34"/>
        <v>2</v>
      </c>
    </row>
    <row r="683" spans="1:5" x14ac:dyDescent="0.25">
      <c r="A683" s="28">
        <v>24138</v>
      </c>
      <c r="B683" s="17">
        <v>4.8685167153521601E-3</v>
      </c>
      <c r="C683" t="str">
        <f t="shared" si="32"/>
        <v>Green</v>
      </c>
      <c r="D683">
        <f t="shared" si="33"/>
        <v>1</v>
      </c>
      <c r="E683">
        <f t="shared" si="34"/>
        <v>1</v>
      </c>
    </row>
    <row r="684" spans="1:5" x14ac:dyDescent="0.25">
      <c r="A684" s="28">
        <v>24107</v>
      </c>
      <c r="B684" s="17">
        <v>8.9509768698725605E-3</v>
      </c>
      <c r="C684" t="str">
        <f t="shared" si="32"/>
        <v>Green</v>
      </c>
      <c r="D684">
        <f t="shared" si="33"/>
        <v>1</v>
      </c>
      <c r="E684">
        <f t="shared" si="34"/>
        <v>12</v>
      </c>
    </row>
    <row r="685" spans="1:5" x14ac:dyDescent="0.25">
      <c r="A685" s="28">
        <v>24076</v>
      </c>
      <c r="B685" s="17">
        <v>-8.7643044528090703E-3</v>
      </c>
      <c r="C685" t="str">
        <f t="shared" si="32"/>
        <v>Red</v>
      </c>
      <c r="D685">
        <f t="shared" si="33"/>
        <v>0</v>
      </c>
      <c r="E685">
        <f t="shared" si="34"/>
        <v>11</v>
      </c>
    </row>
    <row r="686" spans="1:5" x14ac:dyDescent="0.25">
      <c r="A686" s="28">
        <v>24044</v>
      </c>
      <c r="B686" s="17">
        <v>2.7345476070981499E-2</v>
      </c>
      <c r="C686" t="str">
        <f t="shared" si="32"/>
        <v>Green</v>
      </c>
      <c r="D686">
        <f t="shared" si="33"/>
        <v>1</v>
      </c>
      <c r="E686">
        <f t="shared" si="34"/>
        <v>10</v>
      </c>
    </row>
    <row r="687" spans="1:5" x14ac:dyDescent="0.25">
      <c r="A687" s="28">
        <v>24015</v>
      </c>
      <c r="B687" s="17">
        <v>3.2006436434700802E-2</v>
      </c>
      <c r="C687" t="str">
        <f t="shared" si="32"/>
        <v>Green</v>
      </c>
      <c r="D687">
        <f t="shared" si="33"/>
        <v>1</v>
      </c>
      <c r="E687">
        <f t="shared" si="34"/>
        <v>9</v>
      </c>
    </row>
    <row r="688" spans="1:5" x14ac:dyDescent="0.25">
      <c r="A688" s="28">
        <v>23985</v>
      </c>
      <c r="B688" s="17">
        <v>2.2521970674486799E-2</v>
      </c>
      <c r="C688" t="str">
        <f t="shared" si="32"/>
        <v>Green</v>
      </c>
      <c r="D688">
        <f t="shared" si="33"/>
        <v>1</v>
      </c>
      <c r="E688">
        <f t="shared" si="34"/>
        <v>8</v>
      </c>
    </row>
    <row r="689" spans="1:5" x14ac:dyDescent="0.25">
      <c r="A689" s="28">
        <v>23953</v>
      </c>
      <c r="B689" s="17">
        <v>1.3433154537571899E-2</v>
      </c>
      <c r="C689" t="str">
        <f t="shared" si="32"/>
        <v>Green</v>
      </c>
      <c r="D689">
        <f t="shared" si="33"/>
        <v>1</v>
      </c>
      <c r="E689">
        <f t="shared" si="34"/>
        <v>7</v>
      </c>
    </row>
    <row r="690" spans="1:5" x14ac:dyDescent="0.25">
      <c r="A690" s="28">
        <v>23923</v>
      </c>
      <c r="B690" s="17">
        <v>-4.8631475879472599E-2</v>
      </c>
      <c r="C690" t="str">
        <f t="shared" si="32"/>
        <v>Red</v>
      </c>
      <c r="D690">
        <f t="shared" si="33"/>
        <v>0</v>
      </c>
      <c r="E690">
        <f t="shared" si="34"/>
        <v>6</v>
      </c>
    </row>
    <row r="691" spans="1:5" x14ac:dyDescent="0.25">
      <c r="A691" s="28">
        <v>23890</v>
      </c>
      <c r="B691" s="17">
        <v>-7.7432722731086701E-3</v>
      </c>
      <c r="C691" t="str">
        <f t="shared" si="32"/>
        <v>Red</v>
      </c>
      <c r="D691">
        <f t="shared" si="33"/>
        <v>0</v>
      </c>
      <c r="E691">
        <f t="shared" si="34"/>
        <v>5</v>
      </c>
    </row>
    <row r="692" spans="1:5" x14ac:dyDescent="0.25">
      <c r="A692" s="28">
        <v>23862</v>
      </c>
      <c r="B692" s="17">
        <v>3.4238589403965201E-2</v>
      </c>
      <c r="C692" t="str">
        <f t="shared" si="32"/>
        <v>Green</v>
      </c>
      <c r="D692">
        <f t="shared" si="33"/>
        <v>1</v>
      </c>
      <c r="E692">
        <f t="shared" si="34"/>
        <v>4</v>
      </c>
    </row>
    <row r="693" spans="1:5" x14ac:dyDescent="0.25">
      <c r="A693" s="28">
        <v>23832</v>
      </c>
      <c r="B693" s="17">
        <v>-1.45258606885509E-2</v>
      </c>
      <c r="C693" t="str">
        <f t="shared" si="32"/>
        <v>Red</v>
      </c>
      <c r="D693">
        <f t="shared" si="33"/>
        <v>0</v>
      </c>
      <c r="E693">
        <f t="shared" si="34"/>
        <v>3</v>
      </c>
    </row>
    <row r="694" spans="1:5" x14ac:dyDescent="0.25">
      <c r="A694" s="28">
        <v>23799</v>
      </c>
      <c r="B694" s="17">
        <v>-1.48467340074621E-3</v>
      </c>
      <c r="C694" t="str">
        <f t="shared" si="32"/>
        <v>Red</v>
      </c>
      <c r="D694">
        <f t="shared" si="33"/>
        <v>0</v>
      </c>
      <c r="E694">
        <f t="shared" si="34"/>
        <v>2</v>
      </c>
    </row>
    <row r="695" spans="1:5" x14ac:dyDescent="0.25">
      <c r="A695" s="28">
        <v>23771</v>
      </c>
      <c r="B695" s="17">
        <v>3.3156318584070602E-2</v>
      </c>
      <c r="C695" t="str">
        <f t="shared" si="32"/>
        <v>Green</v>
      </c>
      <c r="D695">
        <f t="shared" si="33"/>
        <v>1</v>
      </c>
      <c r="E695">
        <f t="shared" si="34"/>
        <v>1</v>
      </c>
    </row>
    <row r="696" spans="1:5" x14ac:dyDescent="0.25">
      <c r="A696" s="28">
        <v>23742</v>
      </c>
      <c r="B696" s="17">
        <v>3.9090500807639197E-3</v>
      </c>
      <c r="C696" t="str">
        <f t="shared" si="32"/>
        <v>Green</v>
      </c>
      <c r="D696">
        <f t="shared" si="33"/>
        <v>1</v>
      </c>
      <c r="E696">
        <f t="shared" si="34"/>
        <v>12</v>
      </c>
    </row>
    <row r="697" spans="1:5" x14ac:dyDescent="0.25">
      <c r="A697" s="28">
        <v>23711</v>
      </c>
      <c r="B697" s="17">
        <v>-5.1850458969472397E-3</v>
      </c>
      <c r="C697" t="str">
        <f t="shared" si="32"/>
        <v>Red</v>
      </c>
      <c r="D697">
        <f t="shared" si="33"/>
        <v>0</v>
      </c>
      <c r="E697">
        <f t="shared" si="34"/>
        <v>11</v>
      </c>
    </row>
    <row r="698" spans="1:5" x14ac:dyDescent="0.25">
      <c r="A698" s="28">
        <v>23680</v>
      </c>
      <c r="B698" s="17">
        <v>8.0779401282964295E-3</v>
      </c>
      <c r="C698" t="str">
        <f t="shared" si="32"/>
        <v>Green</v>
      </c>
      <c r="D698">
        <f t="shared" si="33"/>
        <v>1</v>
      </c>
      <c r="E698">
        <f t="shared" si="34"/>
        <v>10</v>
      </c>
    </row>
    <row r="699" spans="1:5" x14ac:dyDescent="0.25">
      <c r="A699" s="28">
        <v>23650</v>
      </c>
      <c r="B699" s="17">
        <v>2.8718048913160401E-2</v>
      </c>
      <c r="C699" t="str">
        <f t="shared" si="32"/>
        <v>Green</v>
      </c>
      <c r="D699">
        <f t="shared" si="33"/>
        <v>1</v>
      </c>
      <c r="E699">
        <f t="shared" si="34"/>
        <v>9</v>
      </c>
    </row>
    <row r="700" spans="1:5" x14ac:dyDescent="0.25">
      <c r="A700" s="28">
        <v>23620</v>
      </c>
      <c r="B700" s="17">
        <v>-1.6229838903582799E-2</v>
      </c>
      <c r="C700" t="str">
        <f t="shared" si="32"/>
        <v>Red</v>
      </c>
      <c r="D700">
        <f t="shared" si="33"/>
        <v>0</v>
      </c>
      <c r="E700">
        <f t="shared" si="34"/>
        <v>8</v>
      </c>
    </row>
    <row r="701" spans="1:5" x14ac:dyDescent="0.25">
      <c r="A701" s="28">
        <v>23589</v>
      </c>
      <c r="B701" s="17">
        <v>1.8239661690790498E-2</v>
      </c>
      <c r="C701" t="str">
        <f t="shared" si="32"/>
        <v>Green</v>
      </c>
      <c r="D701">
        <f t="shared" si="33"/>
        <v>1</v>
      </c>
      <c r="E701">
        <f t="shared" si="34"/>
        <v>7</v>
      </c>
    </row>
    <row r="702" spans="1:5" x14ac:dyDescent="0.25">
      <c r="A702" s="28">
        <v>23558</v>
      </c>
      <c r="B702" s="17">
        <v>1.6424025764936401E-2</v>
      </c>
      <c r="C702" t="str">
        <f t="shared" si="32"/>
        <v>Green</v>
      </c>
      <c r="D702">
        <f t="shared" si="33"/>
        <v>1</v>
      </c>
      <c r="E702">
        <f t="shared" si="34"/>
        <v>6</v>
      </c>
    </row>
    <row r="703" spans="1:5" x14ac:dyDescent="0.25">
      <c r="A703" s="28">
        <v>23525</v>
      </c>
      <c r="B703" s="17">
        <v>1.1452353529478401E-2</v>
      </c>
      <c r="C703" t="str">
        <f t="shared" si="32"/>
        <v>Green</v>
      </c>
      <c r="D703">
        <f t="shared" si="33"/>
        <v>1</v>
      </c>
      <c r="E703">
        <f t="shared" si="34"/>
        <v>5</v>
      </c>
    </row>
    <row r="704" spans="1:5" x14ac:dyDescent="0.25">
      <c r="A704" s="28">
        <v>23497</v>
      </c>
      <c r="B704" s="17">
        <v>6.0774370950580402E-3</v>
      </c>
      <c r="C704" t="str">
        <f t="shared" si="32"/>
        <v>Green</v>
      </c>
      <c r="D704">
        <f t="shared" si="33"/>
        <v>1</v>
      </c>
      <c r="E704">
        <f t="shared" si="34"/>
        <v>4</v>
      </c>
    </row>
    <row r="705" spans="1:5" x14ac:dyDescent="0.25">
      <c r="A705" s="28">
        <v>23467</v>
      </c>
      <c r="B705" s="17">
        <v>1.5167094530831799E-2</v>
      </c>
      <c r="C705" t="str">
        <f t="shared" si="32"/>
        <v>Green</v>
      </c>
      <c r="D705">
        <f t="shared" si="33"/>
        <v>1</v>
      </c>
      <c r="E705">
        <f t="shared" si="34"/>
        <v>3</v>
      </c>
    </row>
    <row r="706" spans="1:5" x14ac:dyDescent="0.25">
      <c r="A706" s="28">
        <v>23435</v>
      </c>
      <c r="B706" s="17">
        <v>9.8650310245971297E-3</v>
      </c>
      <c r="C706" t="str">
        <f t="shared" si="32"/>
        <v>Green</v>
      </c>
      <c r="D706">
        <f t="shared" si="33"/>
        <v>1</v>
      </c>
      <c r="E706">
        <f t="shared" si="34"/>
        <v>2</v>
      </c>
    </row>
    <row r="707" spans="1:5" x14ac:dyDescent="0.25">
      <c r="A707" s="28">
        <v>23407</v>
      </c>
      <c r="B707" s="17">
        <v>2.69262074217358E-2</v>
      </c>
      <c r="C707" t="str">
        <f t="shared" ref="C707:C770" si="35">IF(B707&gt;0,"Green","Red")</f>
        <v>Green</v>
      </c>
      <c r="D707">
        <f t="shared" si="33"/>
        <v>1</v>
      </c>
      <c r="E707">
        <f t="shared" si="34"/>
        <v>1</v>
      </c>
    </row>
    <row r="708" spans="1:5" x14ac:dyDescent="0.25">
      <c r="A708" s="28">
        <v>23376</v>
      </c>
      <c r="B708" s="17">
        <v>2.4443451135732101E-2</v>
      </c>
      <c r="C708" t="str">
        <f t="shared" si="35"/>
        <v>Green</v>
      </c>
      <c r="D708">
        <f t="shared" ref="D708:D771" si="36">IF(B708&gt;0,1,0)</f>
        <v>1</v>
      </c>
      <c r="E708">
        <f t="shared" ref="E708:E771" si="37">MONTH(A708)</f>
        <v>12</v>
      </c>
    </row>
    <row r="709" spans="1:5" x14ac:dyDescent="0.25">
      <c r="A709" s="28">
        <v>23344</v>
      </c>
      <c r="B709" s="17">
        <v>-1.05391025391406E-2</v>
      </c>
      <c r="C709" t="str">
        <f t="shared" si="35"/>
        <v>Red</v>
      </c>
      <c r="D709">
        <f t="shared" si="36"/>
        <v>0</v>
      </c>
      <c r="E709">
        <f t="shared" si="37"/>
        <v>11</v>
      </c>
    </row>
    <row r="710" spans="1:5" x14ac:dyDescent="0.25">
      <c r="A710" s="28">
        <v>23315</v>
      </c>
      <c r="B710" s="17">
        <v>3.2217644304783001E-2</v>
      </c>
      <c r="C710" t="str">
        <f t="shared" si="35"/>
        <v>Green</v>
      </c>
      <c r="D710">
        <f t="shared" si="36"/>
        <v>1</v>
      </c>
      <c r="E710">
        <f t="shared" si="37"/>
        <v>10</v>
      </c>
    </row>
    <row r="711" spans="1:5" x14ac:dyDescent="0.25">
      <c r="A711" s="28">
        <v>23284</v>
      </c>
      <c r="B711" s="17">
        <v>-1.1034524137931E-2</v>
      </c>
      <c r="C711" t="str">
        <f t="shared" si="35"/>
        <v>Red</v>
      </c>
      <c r="D711">
        <f t="shared" si="36"/>
        <v>0</v>
      </c>
      <c r="E711">
        <f t="shared" si="37"/>
        <v>9</v>
      </c>
    </row>
    <row r="712" spans="1:5" x14ac:dyDescent="0.25">
      <c r="A712" s="28">
        <v>23253</v>
      </c>
      <c r="B712" s="17">
        <v>4.8748779780794602E-2</v>
      </c>
      <c r="C712" t="str">
        <f t="shared" si="35"/>
        <v>Green</v>
      </c>
      <c r="D712">
        <f t="shared" si="36"/>
        <v>1</v>
      </c>
      <c r="E712">
        <f t="shared" si="37"/>
        <v>8</v>
      </c>
    </row>
    <row r="713" spans="1:5" x14ac:dyDescent="0.25">
      <c r="A713" s="28">
        <v>23223</v>
      </c>
      <c r="B713" s="17">
        <v>-3.4597951509385298E-3</v>
      </c>
      <c r="C713" t="str">
        <f t="shared" si="35"/>
        <v>Red</v>
      </c>
      <c r="D713">
        <f t="shared" si="36"/>
        <v>0</v>
      </c>
      <c r="E713">
        <f t="shared" si="37"/>
        <v>7</v>
      </c>
    </row>
    <row r="714" spans="1:5" x14ac:dyDescent="0.25">
      <c r="A714" s="28">
        <v>23190</v>
      </c>
      <c r="B714" s="17">
        <v>-2.01977392571581E-2</v>
      </c>
      <c r="C714" t="str">
        <f t="shared" si="35"/>
        <v>Red</v>
      </c>
      <c r="D714">
        <f t="shared" si="36"/>
        <v>0</v>
      </c>
      <c r="E714">
        <f t="shared" si="37"/>
        <v>6</v>
      </c>
    </row>
    <row r="715" spans="1:5" x14ac:dyDescent="0.25">
      <c r="A715" s="28">
        <v>23162</v>
      </c>
      <c r="B715" s="17">
        <v>1.4326646948711601E-2</v>
      </c>
      <c r="C715" t="str">
        <f t="shared" si="35"/>
        <v>Green</v>
      </c>
      <c r="D715">
        <f t="shared" si="36"/>
        <v>1</v>
      </c>
      <c r="E715">
        <f t="shared" si="37"/>
        <v>5</v>
      </c>
    </row>
    <row r="716" spans="1:5" x14ac:dyDescent="0.25">
      <c r="A716" s="28">
        <v>23131</v>
      </c>
      <c r="B716" s="17">
        <v>4.8520399579390402E-2</v>
      </c>
      <c r="C716" t="str">
        <f t="shared" si="35"/>
        <v>Green</v>
      </c>
      <c r="D716">
        <f t="shared" si="36"/>
        <v>1</v>
      </c>
      <c r="E716">
        <f t="shared" si="37"/>
        <v>4</v>
      </c>
    </row>
    <row r="717" spans="1:5" x14ac:dyDescent="0.25">
      <c r="A717" s="28">
        <v>23099</v>
      </c>
      <c r="B717" s="17">
        <v>3.5464286273692698E-2</v>
      </c>
      <c r="C717" t="str">
        <f t="shared" si="35"/>
        <v>Green</v>
      </c>
      <c r="D717">
        <f t="shared" si="36"/>
        <v>1</v>
      </c>
      <c r="E717">
        <f t="shared" si="37"/>
        <v>3</v>
      </c>
    </row>
    <row r="718" spans="1:5" x14ac:dyDescent="0.25">
      <c r="A718" s="28">
        <v>23070</v>
      </c>
      <c r="B718" s="17">
        <v>-2.88519046307508E-2</v>
      </c>
      <c r="C718" t="str">
        <f t="shared" si="35"/>
        <v>Red</v>
      </c>
      <c r="D718">
        <f t="shared" si="36"/>
        <v>0</v>
      </c>
      <c r="E718">
        <f t="shared" si="37"/>
        <v>2</v>
      </c>
    </row>
    <row r="719" spans="1:5" x14ac:dyDescent="0.25">
      <c r="A719" s="28">
        <v>23042</v>
      </c>
      <c r="B719" s="17">
        <v>4.9128353379662502E-2</v>
      </c>
      <c r="C719" t="str">
        <f t="shared" si="35"/>
        <v>Green</v>
      </c>
      <c r="D719">
        <f t="shared" si="36"/>
        <v>1</v>
      </c>
      <c r="E719">
        <f t="shared" si="37"/>
        <v>1</v>
      </c>
    </row>
    <row r="720" spans="1:5" x14ac:dyDescent="0.25">
      <c r="A720" s="28">
        <v>23011</v>
      </c>
      <c r="B720" s="17">
        <v>1.3491808978214099E-2</v>
      </c>
      <c r="C720" t="str">
        <f t="shared" si="35"/>
        <v>Green</v>
      </c>
      <c r="D720">
        <f t="shared" si="36"/>
        <v>1</v>
      </c>
      <c r="E720">
        <f t="shared" si="37"/>
        <v>12</v>
      </c>
    </row>
    <row r="721" spans="1:5" x14ac:dyDescent="0.25">
      <c r="A721" s="28">
        <v>22980</v>
      </c>
      <c r="B721" s="17">
        <v>0.101556935598018</v>
      </c>
      <c r="C721" t="str">
        <f t="shared" si="35"/>
        <v>Green</v>
      </c>
      <c r="D721">
        <f t="shared" si="36"/>
        <v>1</v>
      </c>
      <c r="E721">
        <f t="shared" si="37"/>
        <v>11</v>
      </c>
    </row>
    <row r="722" spans="1:5" x14ac:dyDescent="0.25">
      <c r="A722" s="28">
        <v>22950</v>
      </c>
      <c r="B722" s="17">
        <v>4.4428647591967501E-3</v>
      </c>
      <c r="C722" t="str">
        <f t="shared" si="35"/>
        <v>Green</v>
      </c>
      <c r="D722">
        <f t="shared" si="36"/>
        <v>1</v>
      </c>
      <c r="E722">
        <f t="shared" si="37"/>
        <v>10</v>
      </c>
    </row>
    <row r="723" spans="1:5" x14ac:dyDescent="0.25">
      <c r="A723" s="28">
        <v>22917</v>
      </c>
      <c r="B723" s="17">
        <v>-4.8207020436519303E-2</v>
      </c>
      <c r="C723" t="str">
        <f t="shared" si="35"/>
        <v>Red</v>
      </c>
      <c r="D723">
        <f t="shared" si="36"/>
        <v>0</v>
      </c>
      <c r="E723">
        <f t="shared" si="37"/>
        <v>9</v>
      </c>
    </row>
    <row r="724" spans="1:5" x14ac:dyDescent="0.25">
      <c r="A724" s="28">
        <v>22889</v>
      </c>
      <c r="B724" s="17">
        <v>1.52842005838916E-2</v>
      </c>
      <c r="C724" t="str">
        <f t="shared" si="35"/>
        <v>Green</v>
      </c>
      <c r="D724">
        <f t="shared" si="36"/>
        <v>1</v>
      </c>
      <c r="E724">
        <f t="shared" si="37"/>
        <v>8</v>
      </c>
    </row>
    <row r="725" spans="1:5" x14ac:dyDescent="0.25">
      <c r="A725" s="28">
        <v>22858</v>
      </c>
      <c r="B725" s="17">
        <v>6.3561643835616397E-2</v>
      </c>
      <c r="C725" t="str">
        <f t="shared" si="35"/>
        <v>Green</v>
      </c>
      <c r="D725">
        <f t="shared" si="36"/>
        <v>1</v>
      </c>
      <c r="E725">
        <f t="shared" si="37"/>
        <v>7</v>
      </c>
    </row>
    <row r="726" spans="1:5" x14ac:dyDescent="0.25">
      <c r="A726" s="28">
        <v>22826</v>
      </c>
      <c r="B726" s="17">
        <v>-8.1838016403856795E-2</v>
      </c>
      <c r="C726" t="str">
        <f t="shared" si="35"/>
        <v>Red</v>
      </c>
      <c r="D726">
        <f t="shared" si="36"/>
        <v>0</v>
      </c>
      <c r="E726">
        <f t="shared" si="37"/>
        <v>6</v>
      </c>
    </row>
    <row r="727" spans="1:5" x14ac:dyDescent="0.25">
      <c r="A727" s="28">
        <v>22797</v>
      </c>
      <c r="B727" s="17">
        <v>-8.5990146719501795E-2</v>
      </c>
      <c r="C727" t="str">
        <f t="shared" si="35"/>
        <v>Red</v>
      </c>
      <c r="D727">
        <f t="shared" si="36"/>
        <v>0</v>
      </c>
      <c r="E727">
        <f t="shared" si="37"/>
        <v>5</v>
      </c>
    </row>
    <row r="728" spans="1:5" x14ac:dyDescent="0.25">
      <c r="A728" s="28">
        <v>22766</v>
      </c>
      <c r="B728" s="17">
        <v>-6.1969875112730097E-2</v>
      </c>
      <c r="C728" t="str">
        <f t="shared" si="35"/>
        <v>Red</v>
      </c>
      <c r="D728">
        <f t="shared" si="36"/>
        <v>0</v>
      </c>
      <c r="E728">
        <f t="shared" si="37"/>
        <v>4</v>
      </c>
    </row>
    <row r="729" spans="1:5" x14ac:dyDescent="0.25">
      <c r="A729" s="28">
        <v>22735</v>
      </c>
      <c r="B729" s="17">
        <v>-5.8604346177877397E-3</v>
      </c>
      <c r="C729" t="str">
        <f t="shared" si="35"/>
        <v>Red</v>
      </c>
      <c r="D729">
        <f t="shared" si="36"/>
        <v>0</v>
      </c>
      <c r="E729">
        <f t="shared" si="37"/>
        <v>3</v>
      </c>
    </row>
    <row r="730" spans="1:5" x14ac:dyDescent="0.25">
      <c r="A730" s="28">
        <v>22705</v>
      </c>
      <c r="B730" s="17">
        <v>1.6269655216133199E-2</v>
      </c>
      <c r="C730" t="str">
        <f t="shared" si="35"/>
        <v>Green</v>
      </c>
      <c r="D730">
        <f t="shared" si="36"/>
        <v>1</v>
      </c>
      <c r="E730">
        <f t="shared" si="37"/>
        <v>2</v>
      </c>
    </row>
    <row r="731" spans="1:5" x14ac:dyDescent="0.25">
      <c r="A731" s="28">
        <v>22677</v>
      </c>
      <c r="B731" s="17">
        <v>-3.78757077061199E-2</v>
      </c>
      <c r="C731" t="str">
        <f t="shared" si="35"/>
        <v>Red</v>
      </c>
      <c r="D731">
        <f t="shared" si="36"/>
        <v>0</v>
      </c>
      <c r="E731">
        <f t="shared" si="37"/>
        <v>1</v>
      </c>
    </row>
    <row r="732" spans="1:5" x14ac:dyDescent="0.25">
      <c r="A732" s="28">
        <v>22644</v>
      </c>
      <c r="B732" s="17">
        <v>3.2249439147504799E-3</v>
      </c>
      <c r="C732" t="str">
        <f t="shared" si="35"/>
        <v>Green</v>
      </c>
      <c r="D732">
        <f t="shared" si="36"/>
        <v>1</v>
      </c>
      <c r="E732">
        <f t="shared" si="37"/>
        <v>12</v>
      </c>
    </row>
    <row r="733" spans="1:5" x14ac:dyDescent="0.25">
      <c r="A733" s="28">
        <v>22615</v>
      </c>
      <c r="B733" s="17">
        <v>3.9347083677626599E-2</v>
      </c>
      <c r="C733" t="str">
        <f t="shared" si="35"/>
        <v>Green</v>
      </c>
      <c r="D733">
        <f t="shared" si="36"/>
        <v>1</v>
      </c>
      <c r="E733">
        <f t="shared" si="37"/>
        <v>11</v>
      </c>
    </row>
    <row r="734" spans="1:5" x14ac:dyDescent="0.25">
      <c r="A734" s="28">
        <v>22585</v>
      </c>
      <c r="B734" s="17">
        <v>2.8323091788261999E-2</v>
      </c>
      <c r="C734" t="str">
        <f t="shared" si="35"/>
        <v>Green</v>
      </c>
      <c r="D734">
        <f t="shared" si="36"/>
        <v>1</v>
      </c>
      <c r="E734">
        <f t="shared" si="37"/>
        <v>10</v>
      </c>
    </row>
    <row r="735" spans="1:5" x14ac:dyDescent="0.25">
      <c r="A735" s="28">
        <v>22553</v>
      </c>
      <c r="B735" s="17">
        <v>-1.96855736741589E-2</v>
      </c>
      <c r="C735" t="str">
        <f t="shared" si="35"/>
        <v>Red</v>
      </c>
      <c r="D735">
        <f t="shared" si="36"/>
        <v>0</v>
      </c>
      <c r="E735">
        <f t="shared" si="37"/>
        <v>9</v>
      </c>
    </row>
    <row r="736" spans="1:5" x14ac:dyDescent="0.25">
      <c r="A736" s="28">
        <v>22524</v>
      </c>
      <c r="B736" s="17">
        <v>1.9622497914244998E-2</v>
      </c>
      <c r="C736" t="str">
        <f t="shared" si="35"/>
        <v>Green</v>
      </c>
      <c r="D736">
        <f t="shared" si="36"/>
        <v>1</v>
      </c>
      <c r="E736">
        <f t="shared" si="37"/>
        <v>8</v>
      </c>
    </row>
    <row r="737" spans="1:5" x14ac:dyDescent="0.25">
      <c r="A737" s="28">
        <v>22493</v>
      </c>
      <c r="B737" s="17">
        <v>3.2797076621241802E-2</v>
      </c>
      <c r="C737" t="str">
        <f t="shared" si="35"/>
        <v>Green</v>
      </c>
      <c r="D737">
        <f t="shared" si="36"/>
        <v>1</v>
      </c>
      <c r="E737">
        <f t="shared" si="37"/>
        <v>7</v>
      </c>
    </row>
    <row r="738" spans="1:5" x14ac:dyDescent="0.25">
      <c r="A738" s="28">
        <v>22462</v>
      </c>
      <c r="B738" s="17">
        <v>-2.8846139688886299E-2</v>
      </c>
      <c r="C738" t="str">
        <f t="shared" si="35"/>
        <v>Red</v>
      </c>
      <c r="D738">
        <f t="shared" si="36"/>
        <v>0</v>
      </c>
      <c r="E738">
        <f t="shared" si="37"/>
        <v>6</v>
      </c>
    </row>
    <row r="739" spans="1:5" x14ac:dyDescent="0.25">
      <c r="A739" s="28">
        <v>22432</v>
      </c>
      <c r="B739" s="17">
        <v>1.9139489178976898E-2</v>
      </c>
      <c r="C739" t="str">
        <f t="shared" si="35"/>
        <v>Green</v>
      </c>
      <c r="D739">
        <f t="shared" si="36"/>
        <v>1</v>
      </c>
      <c r="E739">
        <f t="shared" si="37"/>
        <v>5</v>
      </c>
    </row>
    <row r="740" spans="1:5" x14ac:dyDescent="0.25">
      <c r="A740" s="28">
        <v>22399</v>
      </c>
      <c r="B740" s="17">
        <v>3.8426069425947498E-3</v>
      </c>
      <c r="C740" t="str">
        <f t="shared" si="35"/>
        <v>Green</v>
      </c>
      <c r="D740">
        <f t="shared" si="36"/>
        <v>1</v>
      </c>
      <c r="E740">
        <f t="shared" si="37"/>
        <v>4</v>
      </c>
    </row>
    <row r="741" spans="1:5" x14ac:dyDescent="0.25">
      <c r="A741" s="28">
        <v>22370</v>
      </c>
      <c r="B741" s="17">
        <v>2.55359241099609E-2</v>
      </c>
      <c r="C741" t="str">
        <f t="shared" si="35"/>
        <v>Green</v>
      </c>
      <c r="D741">
        <f t="shared" si="36"/>
        <v>1</v>
      </c>
      <c r="E741">
        <f t="shared" si="37"/>
        <v>3</v>
      </c>
    </row>
    <row r="742" spans="1:5" x14ac:dyDescent="0.25">
      <c r="A742" s="28">
        <v>22340</v>
      </c>
      <c r="B742" s="17">
        <v>2.6869537501934999E-2</v>
      </c>
      <c r="C742" t="str">
        <f t="shared" si="35"/>
        <v>Green</v>
      </c>
      <c r="D742">
        <f t="shared" si="36"/>
        <v>1</v>
      </c>
      <c r="E742">
        <f t="shared" si="37"/>
        <v>2</v>
      </c>
    </row>
    <row r="743" spans="1:5" x14ac:dyDescent="0.25">
      <c r="A743" s="28">
        <v>22312</v>
      </c>
      <c r="B743" s="17">
        <v>6.3156047785991196E-2</v>
      </c>
      <c r="C743" t="str">
        <f t="shared" si="35"/>
        <v>Green</v>
      </c>
      <c r="D743">
        <f t="shared" si="36"/>
        <v>1</v>
      </c>
      <c r="E743">
        <f t="shared" si="37"/>
        <v>1</v>
      </c>
    </row>
    <row r="744" spans="1:5" x14ac:dyDescent="0.25">
      <c r="A744" s="28">
        <v>22280</v>
      </c>
      <c r="B744" s="17">
        <v>4.6272955594653303E-2</v>
      </c>
      <c r="C744" t="str">
        <f t="shared" si="35"/>
        <v>Green</v>
      </c>
      <c r="D744">
        <f t="shared" si="36"/>
        <v>1</v>
      </c>
      <c r="E744">
        <f t="shared" si="37"/>
        <v>12</v>
      </c>
    </row>
    <row r="745" spans="1:5" x14ac:dyDescent="0.25">
      <c r="A745" s="28">
        <v>22250</v>
      </c>
      <c r="B745" s="17">
        <v>4.0269751643936098E-2</v>
      </c>
      <c r="C745" t="str">
        <f t="shared" si="35"/>
        <v>Green</v>
      </c>
      <c r="D745">
        <f t="shared" si="36"/>
        <v>1</v>
      </c>
      <c r="E745">
        <f t="shared" si="37"/>
        <v>11</v>
      </c>
    </row>
    <row r="746" spans="1:5" x14ac:dyDescent="0.25">
      <c r="A746" s="28">
        <v>22220</v>
      </c>
      <c r="B746" s="17">
        <v>-2.4290171898355699E-3</v>
      </c>
      <c r="C746" t="str">
        <f t="shared" si="35"/>
        <v>Red</v>
      </c>
      <c r="D746">
        <f t="shared" si="36"/>
        <v>0</v>
      </c>
      <c r="E746">
        <f t="shared" si="37"/>
        <v>10</v>
      </c>
    </row>
    <row r="747" spans="1:5" x14ac:dyDescent="0.25">
      <c r="A747" s="28">
        <v>22189</v>
      </c>
      <c r="B747" s="17">
        <v>-6.0393241931061097E-2</v>
      </c>
      <c r="C747" t="str">
        <f t="shared" si="35"/>
        <v>Red</v>
      </c>
      <c r="D747">
        <f t="shared" si="36"/>
        <v>0</v>
      </c>
      <c r="E747">
        <f t="shared" si="37"/>
        <v>9</v>
      </c>
    </row>
    <row r="748" spans="1:5" x14ac:dyDescent="0.25">
      <c r="A748" s="28">
        <v>22159</v>
      </c>
      <c r="B748" s="17">
        <v>2.6121438519958198E-2</v>
      </c>
      <c r="C748" t="str">
        <f t="shared" si="35"/>
        <v>Green</v>
      </c>
      <c r="D748">
        <f t="shared" si="36"/>
        <v>1</v>
      </c>
      <c r="E748">
        <f t="shared" si="37"/>
        <v>8</v>
      </c>
    </row>
    <row r="749" spans="1:5" x14ac:dyDescent="0.25">
      <c r="A749" s="28">
        <v>22126</v>
      </c>
      <c r="B749" s="17">
        <v>-2.4771610146577899E-2</v>
      </c>
      <c r="C749" t="str">
        <f t="shared" si="35"/>
        <v>Red</v>
      </c>
      <c r="D749">
        <f t="shared" si="36"/>
        <v>0</v>
      </c>
      <c r="E749">
        <f t="shared" si="37"/>
        <v>7</v>
      </c>
    </row>
    <row r="750" spans="1:5" x14ac:dyDescent="0.25">
      <c r="A750" s="28">
        <v>22097</v>
      </c>
      <c r="B750" s="17">
        <v>1.9523481299534899E-2</v>
      </c>
      <c r="C750" t="str">
        <f t="shared" si="35"/>
        <v>Green</v>
      </c>
      <c r="D750">
        <f t="shared" si="36"/>
        <v>1</v>
      </c>
      <c r="E750">
        <f t="shared" si="37"/>
        <v>6</v>
      </c>
    </row>
    <row r="751" spans="1:5" x14ac:dyDescent="0.25">
      <c r="A751" s="28">
        <v>22067</v>
      </c>
      <c r="B751" s="17">
        <v>2.6853099629448301E-2</v>
      </c>
      <c r="C751" t="str">
        <f t="shared" si="35"/>
        <v>Green</v>
      </c>
      <c r="D751">
        <f t="shared" si="36"/>
        <v>1</v>
      </c>
      <c r="E751">
        <f t="shared" si="37"/>
        <v>5</v>
      </c>
    </row>
    <row r="752" spans="1:5" x14ac:dyDescent="0.25">
      <c r="A752" s="28">
        <v>22035</v>
      </c>
      <c r="B752" s="17">
        <v>-1.7528026743765902E-2</v>
      </c>
      <c r="C752" t="str">
        <f t="shared" si="35"/>
        <v>Red</v>
      </c>
      <c r="D752">
        <f t="shared" si="36"/>
        <v>0</v>
      </c>
      <c r="E752">
        <f t="shared" si="37"/>
        <v>4</v>
      </c>
    </row>
    <row r="753" spans="1:5" x14ac:dyDescent="0.25">
      <c r="A753" s="28">
        <v>22006</v>
      </c>
      <c r="B753" s="17">
        <v>-1.38987707394649E-2</v>
      </c>
      <c r="C753" t="str">
        <f t="shared" si="35"/>
        <v>Red</v>
      </c>
      <c r="D753">
        <f t="shared" si="36"/>
        <v>0</v>
      </c>
      <c r="E753">
        <f t="shared" si="37"/>
        <v>3</v>
      </c>
    </row>
    <row r="754" spans="1:5" x14ac:dyDescent="0.25">
      <c r="A754" s="28">
        <v>21975</v>
      </c>
      <c r="B754" s="17">
        <v>9.1709762781699792E-3</v>
      </c>
      <c r="C754" t="str">
        <f t="shared" si="35"/>
        <v>Green</v>
      </c>
      <c r="D754">
        <f t="shared" si="36"/>
        <v>1</v>
      </c>
      <c r="E754">
        <f t="shared" si="37"/>
        <v>2</v>
      </c>
    </row>
    <row r="755" spans="1:5" x14ac:dyDescent="0.25">
      <c r="A755" s="28">
        <v>21944</v>
      </c>
      <c r="B755" s="17">
        <v>-7.14643191094394E-2</v>
      </c>
      <c r="C755" t="str">
        <f t="shared" si="35"/>
        <v>Red</v>
      </c>
      <c r="D755">
        <f t="shared" si="36"/>
        <v>0</v>
      </c>
      <c r="E755">
        <f t="shared" si="37"/>
        <v>1</v>
      </c>
    </row>
    <row r="756" spans="1:5" x14ac:dyDescent="0.25">
      <c r="A756" s="28">
        <v>21915</v>
      </c>
      <c r="B756" s="17">
        <v>2.7625257852183598E-2</v>
      </c>
      <c r="C756" t="str">
        <f t="shared" si="35"/>
        <v>Green</v>
      </c>
      <c r="D756">
        <f t="shared" si="36"/>
        <v>1</v>
      </c>
      <c r="E756">
        <f t="shared" si="37"/>
        <v>12</v>
      </c>
    </row>
    <row r="757" spans="1:5" x14ac:dyDescent="0.25">
      <c r="A757" s="28">
        <v>21884</v>
      </c>
      <c r="B757" s="17">
        <v>1.3212778164116701E-2</v>
      </c>
      <c r="C757" t="str">
        <f t="shared" si="35"/>
        <v>Green</v>
      </c>
      <c r="D757">
        <f t="shared" si="36"/>
        <v>1</v>
      </c>
      <c r="E757">
        <f t="shared" si="37"/>
        <v>11</v>
      </c>
    </row>
    <row r="758" spans="1:5" x14ac:dyDescent="0.25">
      <c r="A758" s="28">
        <v>21853</v>
      </c>
      <c r="B758" s="17">
        <v>1.12517403085137E-2</v>
      </c>
      <c r="C758" t="str">
        <f t="shared" si="35"/>
        <v>Green</v>
      </c>
      <c r="D758">
        <f t="shared" si="36"/>
        <v>1</v>
      </c>
      <c r="E758">
        <f t="shared" si="37"/>
        <v>10</v>
      </c>
    </row>
    <row r="759" spans="1:5" x14ac:dyDescent="0.25">
      <c r="A759" s="28">
        <v>21823</v>
      </c>
      <c r="B759" s="17">
        <v>-4.5637535088507902E-2</v>
      </c>
      <c r="C759" t="str">
        <f t="shared" si="35"/>
        <v>Red</v>
      </c>
      <c r="D759">
        <f t="shared" si="36"/>
        <v>0</v>
      </c>
      <c r="E759">
        <f t="shared" si="37"/>
        <v>9</v>
      </c>
    </row>
    <row r="760" spans="1:5" x14ac:dyDescent="0.25">
      <c r="A760" s="28">
        <v>21793</v>
      </c>
      <c r="B760" s="17">
        <v>-1.5038837053010699E-2</v>
      </c>
      <c r="C760" t="str">
        <f t="shared" si="35"/>
        <v>Red</v>
      </c>
      <c r="D760">
        <f t="shared" si="36"/>
        <v>0</v>
      </c>
      <c r="E760">
        <f t="shared" si="37"/>
        <v>8</v>
      </c>
    </row>
    <row r="761" spans="1:5" x14ac:dyDescent="0.25">
      <c r="A761" s="28">
        <v>21762</v>
      </c>
      <c r="B761" s="17">
        <v>3.4889635113910702E-2</v>
      </c>
      <c r="C761" t="str">
        <f t="shared" si="35"/>
        <v>Green</v>
      </c>
      <c r="D761">
        <f t="shared" si="36"/>
        <v>1</v>
      </c>
      <c r="E761">
        <f t="shared" si="37"/>
        <v>7</v>
      </c>
    </row>
    <row r="762" spans="1:5" x14ac:dyDescent="0.25">
      <c r="A762" s="28">
        <v>21731</v>
      </c>
      <c r="B762" s="17">
        <v>-3.57871506475793E-3</v>
      </c>
      <c r="C762" t="str">
        <f t="shared" si="35"/>
        <v>Red</v>
      </c>
      <c r="D762">
        <f t="shared" si="36"/>
        <v>0</v>
      </c>
      <c r="E762">
        <f t="shared" si="37"/>
        <v>6</v>
      </c>
    </row>
    <row r="763" spans="1:5" x14ac:dyDescent="0.25">
      <c r="A763" s="28">
        <v>21699</v>
      </c>
      <c r="B763" s="17">
        <v>1.8926897030734399E-2</v>
      </c>
      <c r="C763" t="str">
        <f t="shared" si="35"/>
        <v>Green</v>
      </c>
      <c r="D763">
        <f t="shared" si="36"/>
        <v>1</v>
      </c>
      <c r="E763">
        <f t="shared" si="37"/>
        <v>5</v>
      </c>
    </row>
    <row r="764" spans="1:5" x14ac:dyDescent="0.25">
      <c r="A764" s="28">
        <v>21670</v>
      </c>
      <c r="B764" s="17">
        <v>3.8780682517689097E-2</v>
      </c>
      <c r="C764" t="str">
        <f t="shared" si="35"/>
        <v>Green</v>
      </c>
      <c r="D764">
        <f t="shared" si="36"/>
        <v>1</v>
      </c>
      <c r="E764">
        <f t="shared" si="37"/>
        <v>4</v>
      </c>
    </row>
    <row r="765" spans="1:5" x14ac:dyDescent="0.25">
      <c r="A765" s="28">
        <v>21640</v>
      </c>
      <c r="B765" s="17">
        <v>5.4140046922945796E-4</v>
      </c>
      <c r="C765" t="str">
        <f t="shared" si="35"/>
        <v>Green</v>
      </c>
      <c r="D765">
        <f t="shared" si="36"/>
        <v>1</v>
      </c>
      <c r="E765">
        <f t="shared" si="37"/>
        <v>3</v>
      </c>
    </row>
    <row r="766" spans="1:5" x14ac:dyDescent="0.25">
      <c r="A766" s="28">
        <v>21608</v>
      </c>
      <c r="B766" s="17">
        <v>-7.21388625403385E-4</v>
      </c>
      <c r="C766" t="str">
        <f t="shared" si="35"/>
        <v>Red</v>
      </c>
      <c r="D766">
        <f t="shared" si="36"/>
        <v>0</v>
      </c>
      <c r="E766">
        <f t="shared" si="37"/>
        <v>2</v>
      </c>
    </row>
    <row r="767" spans="1:5" x14ac:dyDescent="0.25">
      <c r="A767" s="28">
        <v>21580</v>
      </c>
      <c r="B767" s="17">
        <v>4.3470748840259699E-3</v>
      </c>
      <c r="C767" t="str">
        <f t="shared" si="35"/>
        <v>Green</v>
      </c>
      <c r="D767">
        <f t="shared" si="36"/>
        <v>1</v>
      </c>
      <c r="E767">
        <f t="shared" si="37"/>
        <v>1</v>
      </c>
    </row>
    <row r="768" spans="1:5" x14ac:dyDescent="0.25">
      <c r="A768" s="28">
        <v>21550</v>
      </c>
      <c r="B768" s="17">
        <v>5.2019798018292797E-2</v>
      </c>
      <c r="C768" t="str">
        <f t="shared" si="35"/>
        <v>Green</v>
      </c>
      <c r="D768">
        <f t="shared" si="36"/>
        <v>1</v>
      </c>
      <c r="E768">
        <f t="shared" si="37"/>
        <v>12</v>
      </c>
    </row>
    <row r="769" spans="1:5" x14ac:dyDescent="0.25">
      <c r="A769" s="28">
        <v>21517</v>
      </c>
      <c r="B769" s="17">
        <v>2.24040123746732E-2</v>
      </c>
      <c r="C769" t="str">
        <f t="shared" si="35"/>
        <v>Green</v>
      </c>
      <c r="D769">
        <f t="shared" si="36"/>
        <v>1</v>
      </c>
      <c r="E769">
        <f t="shared" si="37"/>
        <v>11</v>
      </c>
    </row>
    <row r="770" spans="1:5" x14ac:dyDescent="0.25">
      <c r="A770" s="28">
        <v>21489</v>
      </c>
      <c r="B770" s="17">
        <v>2.53695760014068E-2</v>
      </c>
      <c r="C770" t="str">
        <f t="shared" si="35"/>
        <v>Green</v>
      </c>
      <c r="D770">
        <f t="shared" si="36"/>
        <v>1</v>
      </c>
      <c r="E770">
        <f t="shared" si="37"/>
        <v>10</v>
      </c>
    </row>
    <row r="771" spans="1:5" x14ac:dyDescent="0.25">
      <c r="A771" s="28">
        <v>21458</v>
      </c>
      <c r="B771" s="17">
        <v>4.83769842931938E-2</v>
      </c>
      <c r="C771" t="str">
        <f t="shared" ref="C771:C834" si="38">IF(B771&gt;0,"Green","Red")</f>
        <v>Green</v>
      </c>
      <c r="D771">
        <f t="shared" si="36"/>
        <v>1</v>
      </c>
      <c r="E771">
        <f t="shared" si="37"/>
        <v>9</v>
      </c>
    </row>
    <row r="772" spans="1:5" x14ac:dyDescent="0.25">
      <c r="A772" s="28">
        <v>21426</v>
      </c>
      <c r="B772" s="17">
        <v>1.1866942400231799E-2</v>
      </c>
      <c r="C772" t="str">
        <f t="shared" si="38"/>
        <v>Green</v>
      </c>
      <c r="D772">
        <f t="shared" ref="D772:D835" si="39">IF(B772&gt;0,1,0)</f>
        <v>1</v>
      </c>
      <c r="E772">
        <f t="shared" ref="E772:E835" si="40">MONTH(A772)</f>
        <v>8</v>
      </c>
    </row>
    <row r="773" spans="1:5" x14ac:dyDescent="0.25">
      <c r="A773" s="28">
        <v>21397</v>
      </c>
      <c r="B773" s="17">
        <v>4.3103380057321901E-2</v>
      </c>
      <c r="C773" t="str">
        <f t="shared" si="38"/>
        <v>Green</v>
      </c>
      <c r="D773">
        <f t="shared" si="39"/>
        <v>1</v>
      </c>
      <c r="E773">
        <f t="shared" si="40"/>
        <v>7</v>
      </c>
    </row>
    <row r="774" spans="1:5" x14ac:dyDescent="0.25">
      <c r="A774" s="28">
        <v>21366</v>
      </c>
      <c r="B774" s="17">
        <v>2.6083057382626298E-2</v>
      </c>
      <c r="C774" t="str">
        <f t="shared" si="38"/>
        <v>Green</v>
      </c>
      <c r="D774">
        <f t="shared" si="39"/>
        <v>1</v>
      </c>
      <c r="E774">
        <f t="shared" si="40"/>
        <v>6</v>
      </c>
    </row>
    <row r="775" spans="1:5" x14ac:dyDescent="0.25">
      <c r="A775" s="28">
        <v>21334</v>
      </c>
      <c r="B775" s="17">
        <v>1.49631909521915E-2</v>
      </c>
      <c r="C775" t="str">
        <f t="shared" si="38"/>
        <v>Green</v>
      </c>
      <c r="D775">
        <f t="shared" si="39"/>
        <v>1</v>
      </c>
      <c r="E775">
        <f t="shared" si="40"/>
        <v>5</v>
      </c>
    </row>
    <row r="776" spans="1:5" x14ac:dyDescent="0.25">
      <c r="A776" s="28">
        <v>21305</v>
      </c>
      <c r="B776" s="17">
        <v>3.1829003887363601E-2</v>
      </c>
      <c r="C776" t="str">
        <f t="shared" si="38"/>
        <v>Green</v>
      </c>
      <c r="D776">
        <f t="shared" si="39"/>
        <v>1</v>
      </c>
      <c r="E776">
        <f t="shared" si="40"/>
        <v>4</v>
      </c>
    </row>
    <row r="777" spans="1:5" x14ac:dyDescent="0.25">
      <c r="A777" s="28">
        <v>21275</v>
      </c>
      <c r="B777" s="17">
        <v>3.08520568070518E-2</v>
      </c>
      <c r="C777" t="str">
        <f t="shared" si="38"/>
        <v>Green</v>
      </c>
      <c r="D777">
        <f t="shared" si="39"/>
        <v>1</v>
      </c>
      <c r="E777">
        <f t="shared" si="40"/>
        <v>3</v>
      </c>
    </row>
    <row r="778" spans="1:5" x14ac:dyDescent="0.25">
      <c r="A778" s="28">
        <v>21244</v>
      </c>
      <c r="B778" s="17">
        <v>-2.0623524685287099E-2</v>
      </c>
      <c r="C778" t="str">
        <f t="shared" si="38"/>
        <v>Red</v>
      </c>
      <c r="D778">
        <f t="shared" si="39"/>
        <v>0</v>
      </c>
      <c r="E778">
        <f t="shared" si="40"/>
        <v>2</v>
      </c>
    </row>
    <row r="779" spans="1:5" x14ac:dyDescent="0.25">
      <c r="A779" s="28">
        <v>21216</v>
      </c>
      <c r="B779" s="17">
        <v>4.2760663027724001E-2</v>
      </c>
      <c r="C779" t="str">
        <f t="shared" si="38"/>
        <v>Green</v>
      </c>
      <c r="D779">
        <f t="shared" si="39"/>
        <v>1</v>
      </c>
      <c r="E779">
        <f t="shared" si="40"/>
        <v>1</v>
      </c>
    </row>
    <row r="780" spans="1:5" x14ac:dyDescent="0.25">
      <c r="A780" s="28">
        <v>21185</v>
      </c>
      <c r="B780" s="17">
        <v>-4.1466897376153201E-2</v>
      </c>
      <c r="C780" t="str">
        <f t="shared" si="38"/>
        <v>Red</v>
      </c>
      <c r="D780">
        <f t="shared" si="39"/>
        <v>0</v>
      </c>
      <c r="E780">
        <f t="shared" si="40"/>
        <v>12</v>
      </c>
    </row>
    <row r="781" spans="1:5" x14ac:dyDescent="0.25">
      <c r="A781" s="28">
        <v>21153</v>
      </c>
      <c r="B781" s="17">
        <v>1.6074037601703901E-2</v>
      </c>
      <c r="C781" t="str">
        <f t="shared" si="38"/>
        <v>Green</v>
      </c>
      <c r="D781">
        <f t="shared" si="39"/>
        <v>1</v>
      </c>
      <c r="E781">
        <f t="shared" si="40"/>
        <v>11</v>
      </c>
    </row>
    <row r="782" spans="1:5" x14ac:dyDescent="0.25">
      <c r="A782" s="28">
        <v>21124</v>
      </c>
      <c r="B782" s="17">
        <v>-3.2060279682238603E-2</v>
      </c>
      <c r="C782" t="str">
        <f t="shared" si="38"/>
        <v>Red</v>
      </c>
      <c r="D782">
        <f t="shared" si="39"/>
        <v>0</v>
      </c>
      <c r="E782">
        <f t="shared" si="40"/>
        <v>10</v>
      </c>
    </row>
    <row r="783" spans="1:5" x14ac:dyDescent="0.25">
      <c r="A783" s="28">
        <v>21093</v>
      </c>
      <c r="B783" s="17">
        <v>-6.19195696169932E-2</v>
      </c>
      <c r="C783" t="str">
        <f t="shared" si="38"/>
        <v>Red</v>
      </c>
      <c r="D783">
        <f t="shared" si="39"/>
        <v>0</v>
      </c>
      <c r="E783">
        <f t="shared" si="40"/>
        <v>9</v>
      </c>
    </row>
    <row r="784" spans="1:5" x14ac:dyDescent="0.25">
      <c r="A784" s="28">
        <v>21062</v>
      </c>
      <c r="B784" s="17">
        <v>-5.6146921310790902E-2</v>
      </c>
      <c r="C784" t="str">
        <f t="shared" si="38"/>
        <v>Red</v>
      </c>
      <c r="D784">
        <f t="shared" si="39"/>
        <v>0</v>
      </c>
      <c r="E784">
        <f t="shared" si="40"/>
        <v>8</v>
      </c>
    </row>
    <row r="785" spans="1:5" x14ac:dyDescent="0.25">
      <c r="A785" s="28">
        <v>21032</v>
      </c>
      <c r="B785" s="17">
        <v>1.13996413637247E-2</v>
      </c>
      <c r="C785" t="str">
        <f t="shared" si="38"/>
        <v>Green</v>
      </c>
      <c r="D785">
        <f t="shared" si="39"/>
        <v>1</v>
      </c>
      <c r="E785">
        <f t="shared" si="40"/>
        <v>7</v>
      </c>
    </row>
    <row r="786" spans="1:5" x14ac:dyDescent="0.25">
      <c r="A786" s="28">
        <v>20999</v>
      </c>
      <c r="B786" s="17">
        <v>-1.2650432215897101E-3</v>
      </c>
      <c r="C786" t="str">
        <f t="shared" si="38"/>
        <v>Red</v>
      </c>
      <c r="D786">
        <f t="shared" si="39"/>
        <v>0</v>
      </c>
      <c r="E786">
        <f t="shared" si="40"/>
        <v>6</v>
      </c>
    </row>
    <row r="787" spans="1:5" x14ac:dyDescent="0.25">
      <c r="A787" s="28">
        <v>20971</v>
      </c>
      <c r="B787" s="17">
        <v>3.6947921427725301E-2</v>
      </c>
      <c r="C787" t="str">
        <f t="shared" si="38"/>
        <v>Green</v>
      </c>
      <c r="D787">
        <f t="shared" si="39"/>
        <v>1</v>
      </c>
      <c r="E787">
        <f t="shared" si="40"/>
        <v>5</v>
      </c>
    </row>
    <row r="788" spans="1:5" x14ac:dyDescent="0.25">
      <c r="A788" s="28">
        <v>20940</v>
      </c>
      <c r="B788" s="17">
        <v>3.69530936986378E-2</v>
      </c>
      <c r="C788" t="str">
        <f t="shared" si="38"/>
        <v>Green</v>
      </c>
      <c r="D788">
        <f t="shared" si="39"/>
        <v>1</v>
      </c>
      <c r="E788">
        <f t="shared" si="40"/>
        <v>4</v>
      </c>
    </row>
    <row r="789" spans="1:5" x14ac:dyDescent="0.25">
      <c r="A789" s="28">
        <v>20908</v>
      </c>
      <c r="B789" s="17">
        <v>1.9648706410018601E-2</v>
      </c>
      <c r="C789" t="str">
        <f t="shared" si="38"/>
        <v>Green</v>
      </c>
      <c r="D789">
        <f t="shared" si="39"/>
        <v>1</v>
      </c>
      <c r="E789">
        <f t="shared" si="40"/>
        <v>3</v>
      </c>
    </row>
    <row r="790" spans="1:5" x14ac:dyDescent="0.25">
      <c r="A790" s="28">
        <v>20879</v>
      </c>
      <c r="B790" s="17">
        <v>-3.2647651327199302E-2</v>
      </c>
      <c r="C790" t="str">
        <f t="shared" si="38"/>
        <v>Red</v>
      </c>
      <c r="D790">
        <f t="shared" si="39"/>
        <v>0</v>
      </c>
      <c r="E790">
        <f t="shared" si="40"/>
        <v>2</v>
      </c>
    </row>
    <row r="791" spans="1:5" x14ac:dyDescent="0.25">
      <c r="A791" s="28">
        <v>20851</v>
      </c>
      <c r="B791" s="17">
        <v>-4.17826673144489E-2</v>
      </c>
      <c r="C791" t="str">
        <f t="shared" si="38"/>
        <v>Red</v>
      </c>
      <c r="D791">
        <f t="shared" si="39"/>
        <v>0</v>
      </c>
      <c r="E791">
        <f t="shared" si="40"/>
        <v>1</v>
      </c>
    </row>
    <row r="792" spans="1:5" x14ac:dyDescent="0.25">
      <c r="A792" s="28">
        <v>20820</v>
      </c>
      <c r="B792" s="17">
        <v>3.5270539695184497E-2</v>
      </c>
      <c r="C792" t="str">
        <f t="shared" si="38"/>
        <v>Green</v>
      </c>
      <c r="D792">
        <f t="shared" si="39"/>
        <v>1</v>
      </c>
      <c r="E792">
        <f t="shared" si="40"/>
        <v>12</v>
      </c>
    </row>
    <row r="793" spans="1:5" x14ac:dyDescent="0.25">
      <c r="A793" s="28">
        <v>20789</v>
      </c>
      <c r="B793" s="17">
        <v>-1.09697230816269E-2</v>
      </c>
      <c r="C793" t="str">
        <f t="shared" si="38"/>
        <v>Red</v>
      </c>
      <c r="D793">
        <f t="shared" si="39"/>
        <v>0</v>
      </c>
      <c r="E793">
        <f t="shared" si="40"/>
        <v>11</v>
      </c>
    </row>
    <row r="794" spans="1:5" x14ac:dyDescent="0.25">
      <c r="A794" s="28">
        <v>20759</v>
      </c>
      <c r="B794" s="17">
        <v>5.0717532556452402E-3</v>
      </c>
      <c r="C794" t="str">
        <f t="shared" si="38"/>
        <v>Green</v>
      </c>
      <c r="D794">
        <f t="shared" si="39"/>
        <v>1</v>
      </c>
      <c r="E794">
        <f t="shared" si="40"/>
        <v>10</v>
      </c>
    </row>
    <row r="795" spans="1:5" x14ac:dyDescent="0.25">
      <c r="A795" s="28">
        <v>20726</v>
      </c>
      <c r="B795" s="17">
        <v>-4.54641147322297E-2</v>
      </c>
      <c r="C795" t="str">
        <f t="shared" si="38"/>
        <v>Red</v>
      </c>
      <c r="D795">
        <f t="shared" si="39"/>
        <v>0</v>
      </c>
      <c r="E795">
        <f t="shared" si="40"/>
        <v>9</v>
      </c>
    </row>
    <row r="796" spans="1:5" x14ac:dyDescent="0.25">
      <c r="A796" s="28">
        <v>20698</v>
      </c>
      <c r="B796" s="17">
        <v>-3.8064406520842399E-2</v>
      </c>
      <c r="C796" t="str">
        <f t="shared" si="38"/>
        <v>Red</v>
      </c>
      <c r="D796">
        <f t="shared" si="39"/>
        <v>0</v>
      </c>
      <c r="E796">
        <f t="shared" si="40"/>
        <v>8</v>
      </c>
    </row>
    <row r="797" spans="1:5" x14ac:dyDescent="0.25">
      <c r="A797" s="28">
        <v>20667</v>
      </c>
      <c r="B797" s="17">
        <v>5.1522204566271997E-2</v>
      </c>
      <c r="C797" t="str">
        <f t="shared" si="38"/>
        <v>Green</v>
      </c>
      <c r="D797">
        <f t="shared" si="39"/>
        <v>1</v>
      </c>
      <c r="E797">
        <f t="shared" si="40"/>
        <v>7</v>
      </c>
    </row>
    <row r="798" spans="1:5" x14ac:dyDescent="0.25">
      <c r="A798" s="28">
        <v>20635</v>
      </c>
      <c r="B798" s="17">
        <v>3.9159291169042397E-2</v>
      </c>
      <c r="C798" t="str">
        <f t="shared" si="38"/>
        <v>Green</v>
      </c>
      <c r="D798">
        <f t="shared" si="39"/>
        <v>1</v>
      </c>
      <c r="E798">
        <f t="shared" si="40"/>
        <v>6</v>
      </c>
    </row>
    <row r="799" spans="1:5" x14ac:dyDescent="0.25">
      <c r="A799" s="28">
        <v>20606</v>
      </c>
      <c r="B799" s="17">
        <v>-6.5729638988639094E-2</v>
      </c>
      <c r="C799" t="str">
        <f t="shared" si="38"/>
        <v>Red</v>
      </c>
      <c r="D799">
        <f t="shared" si="39"/>
        <v>0</v>
      </c>
      <c r="E799">
        <f t="shared" si="40"/>
        <v>5</v>
      </c>
    </row>
    <row r="800" spans="1:5" x14ac:dyDescent="0.25">
      <c r="A800" s="28">
        <v>20575</v>
      </c>
      <c r="B800" s="17">
        <v>-2.0626856435642699E-3</v>
      </c>
      <c r="C800" t="str">
        <f t="shared" si="38"/>
        <v>Red</v>
      </c>
      <c r="D800">
        <f t="shared" si="39"/>
        <v>0</v>
      </c>
      <c r="E800">
        <f t="shared" si="40"/>
        <v>4</v>
      </c>
    </row>
    <row r="801" spans="1:5" x14ac:dyDescent="0.25">
      <c r="A801" s="28">
        <v>20543</v>
      </c>
      <c r="B801" s="17">
        <v>6.9254521393912402E-2</v>
      </c>
      <c r="C801" t="str">
        <f t="shared" si="38"/>
        <v>Green</v>
      </c>
      <c r="D801">
        <f t="shared" si="39"/>
        <v>1</v>
      </c>
      <c r="E801">
        <f t="shared" si="40"/>
        <v>3</v>
      </c>
    </row>
    <row r="802" spans="1:5" x14ac:dyDescent="0.25">
      <c r="A802" s="28">
        <v>20514</v>
      </c>
      <c r="B802" s="17">
        <v>3.4687357371063501E-2</v>
      </c>
      <c r="C802" t="str">
        <f t="shared" si="38"/>
        <v>Green</v>
      </c>
      <c r="D802">
        <f t="shared" si="39"/>
        <v>1</v>
      </c>
      <c r="E802">
        <f t="shared" si="40"/>
        <v>2</v>
      </c>
    </row>
    <row r="803" spans="1:5" x14ac:dyDescent="0.25">
      <c r="A803" s="28">
        <v>20485</v>
      </c>
      <c r="B803" s="17">
        <v>-3.6499560246261997E-2</v>
      </c>
      <c r="C803" t="str">
        <f t="shared" si="38"/>
        <v>Red</v>
      </c>
      <c r="D803">
        <f t="shared" si="39"/>
        <v>0</v>
      </c>
      <c r="E803">
        <f t="shared" si="40"/>
        <v>1</v>
      </c>
    </row>
    <row r="804" spans="1:5" x14ac:dyDescent="0.25">
      <c r="A804" s="28">
        <v>20453</v>
      </c>
      <c r="B804" s="17">
        <v>-6.5915186372911304E-4</v>
      </c>
      <c r="C804" t="str">
        <f t="shared" si="38"/>
        <v>Red</v>
      </c>
      <c r="D804">
        <f t="shared" si="39"/>
        <v>0</v>
      </c>
      <c r="E804">
        <f t="shared" si="40"/>
        <v>12</v>
      </c>
    </row>
    <row r="805" spans="1:5" x14ac:dyDescent="0.25">
      <c r="A805" s="28">
        <v>20423</v>
      </c>
      <c r="B805" s="17">
        <v>7.4870051960321093E-2</v>
      </c>
      <c r="C805" t="str">
        <f t="shared" si="38"/>
        <v>Green</v>
      </c>
      <c r="D805">
        <f t="shared" si="39"/>
        <v>1</v>
      </c>
      <c r="E805">
        <f t="shared" si="40"/>
        <v>11</v>
      </c>
    </row>
    <row r="806" spans="1:5" x14ac:dyDescent="0.25">
      <c r="A806" s="28">
        <v>20393</v>
      </c>
      <c r="B806" s="17">
        <v>-3.04556460020904E-2</v>
      </c>
      <c r="C806" t="str">
        <f t="shared" si="38"/>
        <v>Red</v>
      </c>
      <c r="D806">
        <f t="shared" si="39"/>
        <v>0</v>
      </c>
      <c r="E806">
        <f t="shared" si="40"/>
        <v>10</v>
      </c>
    </row>
    <row r="807" spans="1:5" x14ac:dyDescent="0.25">
      <c r="A807" s="28">
        <v>20362</v>
      </c>
      <c r="B807" s="17">
        <v>1.1347799907364601E-2</v>
      </c>
      <c r="C807" t="str">
        <f t="shared" si="38"/>
        <v>Green</v>
      </c>
      <c r="D807">
        <f t="shared" si="39"/>
        <v>1</v>
      </c>
      <c r="E807">
        <f t="shared" si="40"/>
        <v>9</v>
      </c>
    </row>
    <row r="808" spans="1:5" x14ac:dyDescent="0.25">
      <c r="A808" s="28">
        <v>20332</v>
      </c>
      <c r="B808" s="17">
        <v>-7.8125000000001093E-3</v>
      </c>
      <c r="C808" t="str">
        <f t="shared" si="38"/>
        <v>Red</v>
      </c>
      <c r="D808">
        <f t="shared" si="39"/>
        <v>0</v>
      </c>
      <c r="E808">
        <f t="shared" si="40"/>
        <v>8</v>
      </c>
    </row>
    <row r="809" spans="1:5" x14ac:dyDescent="0.25">
      <c r="A809" s="28">
        <v>20299</v>
      </c>
      <c r="B809" s="17">
        <v>6.0687327825672301E-2</v>
      </c>
      <c r="C809" t="str">
        <f t="shared" si="38"/>
        <v>Green</v>
      </c>
      <c r="D809">
        <f t="shared" si="39"/>
        <v>1</v>
      </c>
      <c r="E809">
        <f t="shared" si="40"/>
        <v>7</v>
      </c>
    </row>
    <row r="810" spans="1:5" x14ac:dyDescent="0.25">
      <c r="A810" s="28">
        <v>20270</v>
      </c>
      <c r="B810" s="17">
        <v>8.2300158269585894E-2</v>
      </c>
      <c r="C810" t="str">
        <f t="shared" si="38"/>
        <v>Green</v>
      </c>
      <c r="D810">
        <f t="shared" si="39"/>
        <v>1</v>
      </c>
      <c r="E810">
        <f t="shared" si="40"/>
        <v>6</v>
      </c>
    </row>
    <row r="811" spans="1:5" x14ac:dyDescent="0.25">
      <c r="A811" s="28">
        <v>20240</v>
      </c>
      <c r="B811" s="17">
        <v>-1.3171496658892501E-3</v>
      </c>
      <c r="C811" t="str">
        <f t="shared" si="38"/>
        <v>Red</v>
      </c>
      <c r="D811">
        <f t="shared" si="39"/>
        <v>0</v>
      </c>
      <c r="E811">
        <f t="shared" si="40"/>
        <v>5</v>
      </c>
    </row>
    <row r="812" spans="1:5" x14ac:dyDescent="0.25">
      <c r="A812" s="28">
        <v>20208</v>
      </c>
      <c r="B812" s="17">
        <v>3.7725449003529497E-2</v>
      </c>
      <c r="C812" t="str">
        <f t="shared" si="38"/>
        <v>Green</v>
      </c>
      <c r="D812">
        <f t="shared" si="39"/>
        <v>1</v>
      </c>
      <c r="E812">
        <f t="shared" si="40"/>
        <v>4</v>
      </c>
    </row>
    <row r="813" spans="1:5" x14ac:dyDescent="0.25">
      <c r="A813" s="28">
        <v>20179</v>
      </c>
      <c r="B813" s="17">
        <v>-4.8965182207029202E-3</v>
      </c>
      <c r="C813" t="str">
        <f t="shared" si="38"/>
        <v>Red</v>
      </c>
      <c r="D813">
        <f t="shared" si="39"/>
        <v>0</v>
      </c>
      <c r="E813">
        <f t="shared" si="40"/>
        <v>3</v>
      </c>
    </row>
    <row r="814" spans="1:5" x14ac:dyDescent="0.25">
      <c r="A814" s="28">
        <v>20148</v>
      </c>
      <c r="B814" s="17">
        <v>3.54892155203612E-3</v>
      </c>
      <c r="C814" t="str">
        <f t="shared" si="38"/>
        <v>Green</v>
      </c>
      <c r="D814">
        <f t="shared" si="39"/>
        <v>1</v>
      </c>
      <c r="E814">
        <f t="shared" si="40"/>
        <v>2</v>
      </c>
    </row>
    <row r="815" spans="1:5" x14ac:dyDescent="0.25">
      <c r="A815" s="28">
        <v>20120</v>
      </c>
      <c r="B815" s="17">
        <v>1.8065619788771602E-2</v>
      </c>
      <c r="C815" t="str">
        <f t="shared" si="38"/>
        <v>Green</v>
      </c>
      <c r="D815">
        <f t="shared" si="39"/>
        <v>1</v>
      </c>
      <c r="E815">
        <f t="shared" si="40"/>
        <v>1</v>
      </c>
    </row>
    <row r="816" spans="1:5" x14ac:dyDescent="0.25">
      <c r="A816" s="28">
        <v>20089</v>
      </c>
      <c r="B816" s="17">
        <v>5.0817695629807397E-2</v>
      </c>
      <c r="C816" t="str">
        <f t="shared" si="38"/>
        <v>Green</v>
      </c>
      <c r="D816">
        <f t="shared" si="39"/>
        <v>1</v>
      </c>
      <c r="E816">
        <f t="shared" si="40"/>
        <v>12</v>
      </c>
    </row>
    <row r="817" spans="1:5" x14ac:dyDescent="0.25">
      <c r="A817" s="28">
        <v>20058</v>
      </c>
      <c r="B817" s="17">
        <v>8.0808143939394006E-2</v>
      </c>
      <c r="C817" t="str">
        <f t="shared" si="38"/>
        <v>Green</v>
      </c>
      <c r="D817">
        <f t="shared" si="39"/>
        <v>1</v>
      </c>
      <c r="E817">
        <f t="shared" si="40"/>
        <v>11</v>
      </c>
    </row>
    <row r="818" spans="1:5" x14ac:dyDescent="0.25">
      <c r="A818" s="28">
        <v>20026</v>
      </c>
      <c r="B818" s="17">
        <v>-1.9498637589023898E-2</v>
      </c>
      <c r="C818" t="str">
        <f t="shared" si="38"/>
        <v>Red</v>
      </c>
      <c r="D818">
        <f t="shared" si="39"/>
        <v>0</v>
      </c>
      <c r="E818">
        <f t="shared" si="40"/>
        <v>10</v>
      </c>
    </row>
    <row r="819" spans="1:5" x14ac:dyDescent="0.25">
      <c r="A819" s="28">
        <v>19997</v>
      </c>
      <c r="B819" s="17">
        <v>8.3137814280925398E-2</v>
      </c>
      <c r="C819" t="str">
        <f t="shared" si="38"/>
        <v>Green</v>
      </c>
      <c r="D819">
        <f t="shared" si="39"/>
        <v>1</v>
      </c>
      <c r="E819">
        <f t="shared" si="40"/>
        <v>9</v>
      </c>
    </row>
    <row r="820" spans="1:5" x14ac:dyDescent="0.25">
      <c r="A820" s="28">
        <v>19967</v>
      </c>
      <c r="B820" s="17">
        <v>-3.4002559391274702E-2</v>
      </c>
      <c r="C820" t="str">
        <f t="shared" si="38"/>
        <v>Red</v>
      </c>
      <c r="D820">
        <f t="shared" si="39"/>
        <v>0</v>
      </c>
      <c r="E820">
        <f t="shared" si="40"/>
        <v>8</v>
      </c>
    </row>
    <row r="821" spans="1:5" x14ac:dyDescent="0.25">
      <c r="A821" s="28">
        <v>19935</v>
      </c>
      <c r="B821" s="17">
        <v>5.7172203258206301E-2</v>
      </c>
      <c r="C821" t="str">
        <f t="shared" si="38"/>
        <v>Green</v>
      </c>
      <c r="D821">
        <f t="shared" si="39"/>
        <v>1</v>
      </c>
      <c r="E821">
        <f t="shared" si="40"/>
        <v>7</v>
      </c>
    </row>
    <row r="822" spans="1:5" x14ac:dyDescent="0.25">
      <c r="A822" s="28">
        <v>19905</v>
      </c>
      <c r="B822" s="17">
        <v>6.8509761270663105E-4</v>
      </c>
      <c r="C822" t="str">
        <f t="shared" si="38"/>
        <v>Green</v>
      </c>
      <c r="D822">
        <f t="shared" si="39"/>
        <v>1</v>
      </c>
      <c r="E822">
        <f t="shared" si="40"/>
        <v>6</v>
      </c>
    </row>
    <row r="823" spans="1:5" x14ac:dyDescent="0.25">
      <c r="A823" s="28">
        <v>19872</v>
      </c>
      <c r="B823" s="17">
        <v>3.2908740268931203E-2</v>
      </c>
      <c r="C823" t="str">
        <f t="shared" si="38"/>
        <v>Green</v>
      </c>
      <c r="D823">
        <f t="shared" si="39"/>
        <v>1</v>
      </c>
      <c r="E823">
        <f t="shared" si="40"/>
        <v>5</v>
      </c>
    </row>
    <row r="824" spans="1:5" x14ac:dyDescent="0.25">
      <c r="A824" s="28">
        <v>19844</v>
      </c>
      <c r="B824" s="17">
        <v>4.8997733890210303E-2</v>
      </c>
      <c r="C824" t="str">
        <f t="shared" si="38"/>
        <v>Green</v>
      </c>
      <c r="D824">
        <f t="shared" si="39"/>
        <v>1</v>
      </c>
      <c r="E824">
        <f t="shared" si="40"/>
        <v>4</v>
      </c>
    </row>
    <row r="825" spans="1:5" x14ac:dyDescent="0.25">
      <c r="A825" s="28">
        <v>19814</v>
      </c>
      <c r="B825" s="17">
        <v>3.0210363288719001E-2</v>
      </c>
      <c r="C825" t="str">
        <f t="shared" si="38"/>
        <v>Green</v>
      </c>
      <c r="D825">
        <f t="shared" si="39"/>
        <v>1</v>
      </c>
      <c r="E825">
        <f t="shared" si="40"/>
        <v>3</v>
      </c>
    </row>
    <row r="826" spans="1:5" x14ac:dyDescent="0.25">
      <c r="A826" s="28">
        <v>19781</v>
      </c>
      <c r="B826" s="17">
        <v>2.68404907975461E-3</v>
      </c>
      <c r="C826" t="str">
        <f t="shared" si="38"/>
        <v>Green</v>
      </c>
      <c r="D826">
        <f t="shared" si="39"/>
        <v>1</v>
      </c>
      <c r="E826">
        <f t="shared" si="40"/>
        <v>2</v>
      </c>
    </row>
    <row r="827" spans="1:5" x14ac:dyDescent="0.25">
      <c r="A827" s="28">
        <v>19753</v>
      </c>
      <c r="B827" s="17">
        <v>5.1189079048330297E-2</v>
      </c>
      <c r="C827" t="str">
        <f t="shared" si="38"/>
        <v>Green</v>
      </c>
      <c r="D827">
        <f t="shared" si="39"/>
        <v>1</v>
      </c>
      <c r="E827">
        <f t="shared" si="40"/>
        <v>1</v>
      </c>
    </row>
    <row r="828" spans="1:5" x14ac:dyDescent="0.25">
      <c r="A828" s="28">
        <v>19724</v>
      </c>
      <c r="B828" s="17">
        <v>2.0193457189015E-3</v>
      </c>
      <c r="C828" t="str">
        <f t="shared" si="38"/>
        <v>Green</v>
      </c>
      <c r="D828">
        <f t="shared" si="39"/>
        <v>1</v>
      </c>
      <c r="E828">
        <f t="shared" si="40"/>
        <v>12</v>
      </c>
    </row>
    <row r="829" spans="1:5" x14ac:dyDescent="0.25">
      <c r="A829" s="28">
        <v>19693</v>
      </c>
      <c r="B829" s="17">
        <v>8.9649140601095693E-3</v>
      </c>
      <c r="C829" t="str">
        <f t="shared" si="38"/>
        <v>Green</v>
      </c>
      <c r="D829">
        <f t="shared" si="39"/>
        <v>1</v>
      </c>
      <c r="E829">
        <f t="shared" si="40"/>
        <v>11</v>
      </c>
    </row>
    <row r="830" spans="1:5" x14ac:dyDescent="0.25">
      <c r="A830" s="28">
        <v>19662</v>
      </c>
      <c r="B830" s="17">
        <v>5.0963640256959299E-2</v>
      </c>
      <c r="C830" t="str">
        <f t="shared" si="38"/>
        <v>Green</v>
      </c>
      <c r="D830">
        <f t="shared" si="39"/>
        <v>1</v>
      </c>
      <c r="E830">
        <f t="shared" si="40"/>
        <v>10</v>
      </c>
    </row>
    <row r="831" spans="1:5" x14ac:dyDescent="0.25">
      <c r="A831" s="28">
        <v>19632</v>
      </c>
      <c r="B831" s="17">
        <v>1.28644939965694E-3</v>
      </c>
      <c r="C831" t="str">
        <f t="shared" si="38"/>
        <v>Green</v>
      </c>
      <c r="D831">
        <f t="shared" si="39"/>
        <v>1</v>
      </c>
      <c r="E831">
        <f t="shared" si="40"/>
        <v>9</v>
      </c>
    </row>
    <row r="832" spans="1:5" x14ac:dyDescent="0.25">
      <c r="A832" s="28">
        <v>19602</v>
      </c>
      <c r="B832" s="17">
        <v>-5.7777777777777803E-2</v>
      </c>
      <c r="C832" t="str">
        <f t="shared" si="38"/>
        <v>Red</v>
      </c>
      <c r="D832">
        <f t="shared" si="39"/>
        <v>0</v>
      </c>
      <c r="E832">
        <f t="shared" si="40"/>
        <v>8</v>
      </c>
    </row>
    <row r="833" spans="1:5" x14ac:dyDescent="0.25">
      <c r="A833" s="28">
        <v>19571</v>
      </c>
      <c r="B833" s="17">
        <v>2.5269305106433399E-2</v>
      </c>
      <c r="C833" t="str">
        <f t="shared" si="38"/>
        <v>Green</v>
      </c>
      <c r="D833">
        <f t="shared" si="39"/>
        <v>1</v>
      </c>
      <c r="E833">
        <f t="shared" si="40"/>
        <v>7</v>
      </c>
    </row>
    <row r="834" spans="1:5" x14ac:dyDescent="0.25">
      <c r="A834" s="28">
        <v>19540</v>
      </c>
      <c r="B834" s="17">
        <v>-1.6299999335778401E-2</v>
      </c>
      <c r="C834" t="str">
        <f t="shared" si="38"/>
        <v>Red</v>
      </c>
      <c r="D834">
        <f t="shared" si="39"/>
        <v>0</v>
      </c>
      <c r="E834">
        <f t="shared" si="40"/>
        <v>6</v>
      </c>
    </row>
    <row r="835" spans="1:5" x14ac:dyDescent="0.25">
      <c r="A835" s="28">
        <v>19508</v>
      </c>
      <c r="B835" s="17">
        <v>-3.2493906072545999E-3</v>
      </c>
      <c r="C835" t="str">
        <f t="shared" ref="C835:C898" si="41">IF(B835&gt;0,"Green","Red")</f>
        <v>Red</v>
      </c>
      <c r="D835">
        <f t="shared" si="39"/>
        <v>0</v>
      </c>
      <c r="E835">
        <f t="shared" si="40"/>
        <v>5</v>
      </c>
    </row>
    <row r="836" spans="1:5" x14ac:dyDescent="0.25">
      <c r="A836" s="28">
        <v>19479</v>
      </c>
      <c r="B836" s="17">
        <v>-2.6492683808118499E-2</v>
      </c>
      <c r="C836" t="str">
        <f t="shared" si="41"/>
        <v>Red</v>
      </c>
      <c r="D836">
        <f t="shared" ref="D836:D899" si="42">IF(B836&gt;0,1,0)</f>
        <v>0</v>
      </c>
      <c r="E836">
        <f t="shared" ref="E836:E899" si="43">MONTH(A836)</f>
        <v>4</v>
      </c>
    </row>
    <row r="837" spans="1:5" x14ac:dyDescent="0.25">
      <c r="A837" s="28">
        <v>19449</v>
      </c>
      <c r="B837" s="17">
        <v>-2.35520849420848E-2</v>
      </c>
      <c r="C837" t="str">
        <f t="shared" si="41"/>
        <v>Red</v>
      </c>
      <c r="D837">
        <f t="shared" si="42"/>
        <v>0</v>
      </c>
      <c r="E837">
        <f t="shared" si="43"/>
        <v>3</v>
      </c>
    </row>
    <row r="838" spans="1:5" x14ac:dyDescent="0.25">
      <c r="A838" s="28">
        <v>19417</v>
      </c>
      <c r="B838" s="17">
        <v>-1.81955655115833E-2</v>
      </c>
      <c r="C838" t="str">
        <f t="shared" si="41"/>
        <v>Red</v>
      </c>
      <c r="D838">
        <f t="shared" si="42"/>
        <v>0</v>
      </c>
      <c r="E838">
        <f t="shared" si="43"/>
        <v>2</v>
      </c>
    </row>
    <row r="839" spans="1:5" x14ac:dyDescent="0.25">
      <c r="A839" s="28">
        <v>19389</v>
      </c>
      <c r="B839" s="17">
        <v>-7.1509597290176901E-3</v>
      </c>
      <c r="C839" t="str">
        <f t="shared" si="41"/>
        <v>Red</v>
      </c>
      <c r="D839">
        <f t="shared" si="42"/>
        <v>0</v>
      </c>
      <c r="E839">
        <f t="shared" si="43"/>
        <v>1</v>
      </c>
    </row>
    <row r="840" spans="1:5" x14ac:dyDescent="0.25">
      <c r="A840" s="28">
        <v>19359</v>
      </c>
      <c r="B840" s="17">
        <v>3.5463756819953202E-2</v>
      </c>
      <c r="C840" t="str">
        <f t="shared" si="41"/>
        <v>Green</v>
      </c>
      <c r="D840">
        <f t="shared" si="42"/>
        <v>1</v>
      </c>
      <c r="E840">
        <f t="shared" si="43"/>
        <v>12</v>
      </c>
    </row>
    <row r="841" spans="1:5" x14ac:dyDescent="0.25">
      <c r="A841" s="28">
        <v>19326</v>
      </c>
      <c r="B841" s="17">
        <v>4.64926590538337E-2</v>
      </c>
      <c r="C841" t="str">
        <f t="shared" si="41"/>
        <v>Green</v>
      </c>
      <c r="D841">
        <f t="shared" si="42"/>
        <v>1</v>
      </c>
      <c r="E841">
        <f t="shared" si="43"/>
        <v>11</v>
      </c>
    </row>
    <row r="842" spans="1:5" x14ac:dyDescent="0.25">
      <c r="A842" s="28">
        <v>19298</v>
      </c>
      <c r="B842" s="17">
        <v>-8.1503664160409396E-4</v>
      </c>
      <c r="C842" t="str">
        <f t="shared" si="41"/>
        <v>Red</v>
      </c>
      <c r="D842">
        <f t="shared" si="42"/>
        <v>0</v>
      </c>
      <c r="E842">
        <f t="shared" si="43"/>
        <v>10</v>
      </c>
    </row>
    <row r="843" spans="1:5" x14ac:dyDescent="0.25">
      <c r="A843" s="28">
        <v>19267</v>
      </c>
      <c r="B843" s="17">
        <v>-1.9576507408049899E-2</v>
      </c>
      <c r="C843" t="str">
        <f t="shared" si="41"/>
        <v>Red</v>
      </c>
      <c r="D843">
        <f t="shared" si="42"/>
        <v>0</v>
      </c>
      <c r="E843">
        <f t="shared" si="43"/>
        <v>9</v>
      </c>
    </row>
    <row r="844" spans="1:5" x14ac:dyDescent="0.25">
      <c r="A844" s="28">
        <v>19235</v>
      </c>
      <c r="B844" s="17">
        <v>-1.4566889763779499E-2</v>
      </c>
      <c r="C844" t="str">
        <f t="shared" si="41"/>
        <v>Red</v>
      </c>
      <c r="D844">
        <f t="shared" si="42"/>
        <v>0</v>
      </c>
      <c r="E844">
        <f t="shared" si="43"/>
        <v>8</v>
      </c>
    </row>
    <row r="845" spans="1:5" x14ac:dyDescent="0.25">
      <c r="A845" s="28">
        <v>19206</v>
      </c>
      <c r="B845" s="17">
        <v>1.7628245898567499E-2</v>
      </c>
      <c r="C845" t="str">
        <f t="shared" si="41"/>
        <v>Green</v>
      </c>
      <c r="D845">
        <f t="shared" si="42"/>
        <v>1</v>
      </c>
      <c r="E845">
        <f t="shared" si="43"/>
        <v>7</v>
      </c>
    </row>
    <row r="846" spans="1:5" x14ac:dyDescent="0.25">
      <c r="A846" s="28">
        <v>19175</v>
      </c>
      <c r="B846" s="17">
        <v>4.6102177447519897E-2</v>
      </c>
      <c r="C846" t="str">
        <f t="shared" si="41"/>
        <v>Green</v>
      </c>
      <c r="D846">
        <f t="shared" si="42"/>
        <v>1</v>
      </c>
      <c r="E846">
        <f t="shared" si="43"/>
        <v>6</v>
      </c>
    </row>
    <row r="847" spans="1:5" x14ac:dyDescent="0.25">
      <c r="A847" s="28">
        <v>19143</v>
      </c>
      <c r="B847" s="17">
        <v>2.3156132075471601E-2</v>
      </c>
      <c r="C847" t="str">
        <f t="shared" si="41"/>
        <v>Green</v>
      </c>
      <c r="D847">
        <f t="shared" si="42"/>
        <v>1</v>
      </c>
      <c r="E847">
        <f t="shared" si="43"/>
        <v>5</v>
      </c>
    </row>
    <row r="848" spans="1:5" x14ac:dyDescent="0.25">
      <c r="A848" s="28">
        <v>19114</v>
      </c>
      <c r="B848" s="17">
        <v>-4.3085800447853803E-2</v>
      </c>
      <c r="C848" t="str">
        <f t="shared" si="41"/>
        <v>Red</v>
      </c>
      <c r="D848">
        <f t="shared" si="42"/>
        <v>0</v>
      </c>
      <c r="E848">
        <f t="shared" si="43"/>
        <v>4</v>
      </c>
    </row>
    <row r="849" spans="1:5" x14ac:dyDescent="0.25">
      <c r="A849" s="28">
        <v>19084</v>
      </c>
      <c r="B849" s="17">
        <v>4.7721453138434899E-2</v>
      </c>
      <c r="C849" t="str">
        <f t="shared" si="41"/>
        <v>Green</v>
      </c>
      <c r="D849">
        <f t="shared" si="42"/>
        <v>1</v>
      </c>
      <c r="E849">
        <f t="shared" si="43"/>
        <v>3</v>
      </c>
    </row>
    <row r="850" spans="1:5" x14ac:dyDescent="0.25">
      <c r="A850" s="28">
        <v>19053</v>
      </c>
      <c r="B850" s="17">
        <v>-3.6453978312095098E-2</v>
      </c>
      <c r="C850" t="str">
        <f t="shared" si="41"/>
        <v>Red</v>
      </c>
      <c r="D850">
        <f t="shared" si="42"/>
        <v>0</v>
      </c>
      <c r="E850">
        <f t="shared" si="43"/>
        <v>2</v>
      </c>
    </row>
    <row r="851" spans="1:5" x14ac:dyDescent="0.25">
      <c r="A851" s="28">
        <v>19024</v>
      </c>
      <c r="B851" s="17">
        <v>1.5565797223390901E-2</v>
      </c>
      <c r="C851" t="str">
        <f t="shared" si="41"/>
        <v>Green</v>
      </c>
      <c r="D851">
        <f t="shared" si="42"/>
        <v>1</v>
      </c>
      <c r="E851">
        <f t="shared" si="43"/>
        <v>1</v>
      </c>
    </row>
    <row r="852" spans="1:5" x14ac:dyDescent="0.25">
      <c r="A852" s="28">
        <v>18993</v>
      </c>
      <c r="B852" s="17">
        <v>3.8898646805010803E-2</v>
      </c>
      <c r="C852" t="str">
        <f t="shared" si="41"/>
        <v>Green</v>
      </c>
      <c r="D852">
        <f t="shared" si="42"/>
        <v>1</v>
      </c>
      <c r="E852">
        <f t="shared" si="43"/>
        <v>12</v>
      </c>
    </row>
    <row r="853" spans="1:5" x14ac:dyDescent="0.25">
      <c r="A853" s="28">
        <v>18962</v>
      </c>
      <c r="B853" s="17">
        <v>-2.6156058144896099E-3</v>
      </c>
      <c r="C853" t="str">
        <f t="shared" si="41"/>
        <v>Red</v>
      </c>
      <c r="D853">
        <f t="shared" si="42"/>
        <v>0</v>
      </c>
      <c r="E853">
        <f t="shared" si="43"/>
        <v>11</v>
      </c>
    </row>
    <row r="854" spans="1:5" x14ac:dyDescent="0.25">
      <c r="A854" s="28">
        <v>18932</v>
      </c>
      <c r="B854" s="17">
        <v>-1.37574806534825E-2</v>
      </c>
      <c r="C854" t="str">
        <f t="shared" si="41"/>
        <v>Red</v>
      </c>
      <c r="D854">
        <f t="shared" si="42"/>
        <v>0</v>
      </c>
      <c r="E854">
        <f t="shared" si="43"/>
        <v>10</v>
      </c>
    </row>
    <row r="855" spans="1:5" x14ac:dyDescent="0.25">
      <c r="A855" s="28">
        <v>18899</v>
      </c>
      <c r="B855" s="17">
        <v>-8.5914944763087998E-4</v>
      </c>
      <c r="C855" t="str">
        <f t="shared" si="41"/>
        <v>Red</v>
      </c>
      <c r="D855">
        <f t="shared" si="42"/>
        <v>0</v>
      </c>
      <c r="E855">
        <f t="shared" si="43"/>
        <v>9</v>
      </c>
    </row>
    <row r="856" spans="1:5" x14ac:dyDescent="0.25">
      <c r="A856" s="28">
        <v>18871</v>
      </c>
      <c r="B856" s="17">
        <v>3.92857589285713E-2</v>
      </c>
      <c r="C856" t="str">
        <f t="shared" si="41"/>
        <v>Green</v>
      </c>
      <c r="D856">
        <f t="shared" si="42"/>
        <v>1</v>
      </c>
      <c r="E856">
        <f t="shared" si="43"/>
        <v>8</v>
      </c>
    </row>
    <row r="857" spans="1:5" x14ac:dyDescent="0.25">
      <c r="A857" s="28">
        <v>18840</v>
      </c>
      <c r="B857" s="17">
        <v>6.8702341064042799E-2</v>
      </c>
      <c r="C857" t="str">
        <f t="shared" si="41"/>
        <v>Green</v>
      </c>
      <c r="D857">
        <f t="shared" si="42"/>
        <v>1</v>
      </c>
      <c r="E857">
        <f t="shared" si="43"/>
        <v>7</v>
      </c>
    </row>
    <row r="858" spans="1:5" x14ac:dyDescent="0.25">
      <c r="A858" s="28">
        <v>18808</v>
      </c>
      <c r="B858" s="17">
        <v>-2.6022351301115201E-2</v>
      </c>
      <c r="C858" t="str">
        <f t="shared" si="41"/>
        <v>Red</v>
      </c>
      <c r="D858">
        <f t="shared" si="42"/>
        <v>0</v>
      </c>
      <c r="E858">
        <f t="shared" si="43"/>
        <v>6</v>
      </c>
    </row>
    <row r="859" spans="1:5" x14ac:dyDescent="0.25">
      <c r="A859" s="28">
        <v>18779</v>
      </c>
      <c r="B859" s="17">
        <v>-4.05706642888988E-2</v>
      </c>
      <c r="C859" t="str">
        <f t="shared" si="41"/>
        <v>Red</v>
      </c>
      <c r="D859">
        <f t="shared" si="42"/>
        <v>0</v>
      </c>
      <c r="E859">
        <f t="shared" si="43"/>
        <v>5</v>
      </c>
    </row>
    <row r="860" spans="1:5" x14ac:dyDescent="0.25">
      <c r="A860" s="28">
        <v>18748</v>
      </c>
      <c r="B860" s="17">
        <v>4.4227188081936701E-2</v>
      </c>
      <c r="C860" t="str">
        <f t="shared" si="41"/>
        <v>Green</v>
      </c>
      <c r="D860">
        <f t="shared" si="42"/>
        <v>1</v>
      </c>
      <c r="E860">
        <f t="shared" si="43"/>
        <v>4</v>
      </c>
    </row>
    <row r="861" spans="1:5" x14ac:dyDescent="0.25">
      <c r="A861" s="28">
        <v>18717</v>
      </c>
      <c r="B861" s="17">
        <v>-1.46788538843511E-2</v>
      </c>
      <c r="C861" t="str">
        <f t="shared" si="41"/>
        <v>Red</v>
      </c>
      <c r="D861">
        <f t="shared" si="42"/>
        <v>0</v>
      </c>
      <c r="E861">
        <f t="shared" si="43"/>
        <v>3</v>
      </c>
    </row>
    <row r="862" spans="1:5" x14ac:dyDescent="0.25">
      <c r="A862" s="28">
        <v>18687</v>
      </c>
      <c r="B862" s="17">
        <v>6.4634810710988396E-3</v>
      </c>
      <c r="C862" t="str">
        <f t="shared" si="41"/>
        <v>Green</v>
      </c>
      <c r="D862">
        <f t="shared" si="42"/>
        <v>1</v>
      </c>
      <c r="E862">
        <f t="shared" si="43"/>
        <v>2</v>
      </c>
    </row>
    <row r="863" spans="1:5" x14ac:dyDescent="0.25">
      <c r="A863" s="28">
        <v>18659</v>
      </c>
      <c r="B863" s="17">
        <v>6.0205580029368599E-2</v>
      </c>
      <c r="C863" t="str">
        <f t="shared" si="41"/>
        <v>Green</v>
      </c>
      <c r="D863">
        <f t="shared" si="42"/>
        <v>1</v>
      </c>
      <c r="E863">
        <f t="shared" si="43"/>
        <v>1</v>
      </c>
    </row>
    <row r="864" spans="1:5" x14ac:dyDescent="0.25">
      <c r="A864" s="28">
        <v>18626</v>
      </c>
      <c r="B864" s="17">
        <v>4.7155304971809198E-2</v>
      </c>
      <c r="C864" t="str">
        <f t="shared" si="41"/>
        <v>Green</v>
      </c>
      <c r="D864">
        <f t="shared" si="42"/>
        <v>1</v>
      </c>
      <c r="E864">
        <f t="shared" si="43"/>
        <v>12</v>
      </c>
    </row>
    <row r="865" spans="1:5" x14ac:dyDescent="0.25">
      <c r="A865" s="28">
        <v>18597</v>
      </c>
      <c r="B865" s="17">
        <v>-1.02411669103331E-3</v>
      </c>
      <c r="C865" t="str">
        <f t="shared" si="41"/>
        <v>Red</v>
      </c>
      <c r="D865">
        <f t="shared" si="42"/>
        <v>0</v>
      </c>
      <c r="E865">
        <f t="shared" si="43"/>
        <v>11</v>
      </c>
    </row>
    <row r="866" spans="1:5" x14ac:dyDescent="0.25">
      <c r="A866" s="28">
        <v>18567</v>
      </c>
      <c r="B866" s="17">
        <v>4.11311032837469E-3</v>
      </c>
      <c r="C866" t="str">
        <f t="shared" si="41"/>
        <v>Green</v>
      </c>
      <c r="D866">
        <f t="shared" si="42"/>
        <v>1</v>
      </c>
      <c r="E866">
        <f t="shared" si="43"/>
        <v>10</v>
      </c>
    </row>
    <row r="867" spans="1:5" x14ac:dyDescent="0.25">
      <c r="A867" s="28">
        <v>18535</v>
      </c>
      <c r="B867" s="17">
        <v>5.5917535287730601E-2</v>
      </c>
      <c r="C867" t="str">
        <f t="shared" si="41"/>
        <v>Green</v>
      </c>
      <c r="D867">
        <f t="shared" si="42"/>
        <v>1</v>
      </c>
      <c r="E867">
        <f t="shared" si="43"/>
        <v>9</v>
      </c>
    </row>
    <row r="868" spans="1:5" x14ac:dyDescent="0.25">
      <c r="A868" s="28">
        <v>18506</v>
      </c>
      <c r="B868" s="17">
        <v>3.2511210762332002E-2</v>
      </c>
      <c r="C868" t="str">
        <f t="shared" si="41"/>
        <v>Green</v>
      </c>
      <c r="D868">
        <f t="shared" si="42"/>
        <v>1</v>
      </c>
      <c r="E868">
        <f t="shared" si="43"/>
        <v>8</v>
      </c>
    </row>
    <row r="869" spans="1:5" x14ac:dyDescent="0.25">
      <c r="A869" s="28">
        <v>18475</v>
      </c>
      <c r="B869" s="17">
        <v>8.4793098654998306E-3</v>
      </c>
      <c r="C869" t="str">
        <f t="shared" si="41"/>
        <v>Green</v>
      </c>
      <c r="D869">
        <f t="shared" si="42"/>
        <v>1</v>
      </c>
      <c r="E869">
        <f t="shared" si="43"/>
        <v>7</v>
      </c>
    </row>
    <row r="870" spans="1:5" x14ac:dyDescent="0.25">
      <c r="A870" s="28">
        <v>18444</v>
      </c>
      <c r="B870" s="17">
        <v>-5.8040465493053001E-2</v>
      </c>
      <c r="C870" t="str">
        <f t="shared" si="41"/>
        <v>Red</v>
      </c>
      <c r="D870">
        <f t="shared" si="42"/>
        <v>0</v>
      </c>
      <c r="E870">
        <f t="shared" si="43"/>
        <v>6</v>
      </c>
    </row>
    <row r="871" spans="1:5" x14ac:dyDescent="0.25">
      <c r="A871" s="28">
        <v>18414</v>
      </c>
      <c r="B871" s="17">
        <v>4.5657129490931397E-2</v>
      </c>
      <c r="C871" t="str">
        <f t="shared" si="41"/>
        <v>Green</v>
      </c>
      <c r="D871">
        <f t="shared" si="42"/>
        <v>1</v>
      </c>
      <c r="E871">
        <f t="shared" si="43"/>
        <v>5</v>
      </c>
    </row>
    <row r="872" spans="1:5" x14ac:dyDescent="0.25">
      <c r="A872" s="28">
        <v>18381</v>
      </c>
      <c r="B872" s="17">
        <v>3.8750605046234503E-2</v>
      </c>
      <c r="C872" t="str">
        <f t="shared" si="41"/>
        <v>Green</v>
      </c>
      <c r="D872">
        <f t="shared" si="42"/>
        <v>1</v>
      </c>
      <c r="E872">
        <f t="shared" si="43"/>
        <v>4</v>
      </c>
    </row>
    <row r="873" spans="1:5" x14ac:dyDescent="0.25">
      <c r="A873" s="28">
        <v>18353</v>
      </c>
      <c r="B873" s="17">
        <v>4.0651570304968097E-3</v>
      </c>
      <c r="C873" t="str">
        <f t="shared" si="41"/>
        <v>Green</v>
      </c>
      <c r="D873">
        <f t="shared" si="42"/>
        <v>1</v>
      </c>
      <c r="E873">
        <f t="shared" si="43"/>
        <v>3</v>
      </c>
    </row>
    <row r="874" spans="1:5" x14ac:dyDescent="0.25">
      <c r="A874" s="28">
        <v>18322</v>
      </c>
      <c r="B874" s="17">
        <v>9.9706750715939894E-3</v>
      </c>
      <c r="C874" t="str">
        <f t="shared" si="41"/>
        <v>Green</v>
      </c>
      <c r="D874">
        <f t="shared" si="42"/>
        <v>1</v>
      </c>
      <c r="E874">
        <f t="shared" si="43"/>
        <v>2</v>
      </c>
    </row>
    <row r="875" spans="1:5" x14ac:dyDescent="0.25">
      <c r="A875" s="28">
        <v>18294</v>
      </c>
      <c r="B875" s="17">
        <v>1.54852879401257E-2</v>
      </c>
      <c r="C875" t="str">
        <f t="shared" si="41"/>
        <v>Green</v>
      </c>
      <c r="D875">
        <f t="shared" si="42"/>
        <v>1</v>
      </c>
      <c r="E875">
        <f t="shared" si="43"/>
        <v>1</v>
      </c>
    </row>
    <row r="876" spans="1:5" x14ac:dyDescent="0.25">
      <c r="A876" s="28">
        <v>18262</v>
      </c>
      <c r="B876" s="17">
        <v>4.5454672817849998E-2</v>
      </c>
      <c r="C876" t="str">
        <f t="shared" si="41"/>
        <v>Green</v>
      </c>
      <c r="D876">
        <f t="shared" si="42"/>
        <v>1</v>
      </c>
      <c r="E876">
        <f t="shared" si="43"/>
        <v>12</v>
      </c>
    </row>
    <row r="877" spans="1:5" x14ac:dyDescent="0.25">
      <c r="A877" s="28">
        <v>18232</v>
      </c>
      <c r="B877" s="17">
        <v>1.24675802701013E-3</v>
      </c>
      <c r="C877" t="str">
        <f t="shared" si="41"/>
        <v>Green</v>
      </c>
      <c r="D877">
        <f t="shared" si="42"/>
        <v>1</v>
      </c>
      <c r="E877">
        <f t="shared" si="43"/>
        <v>11</v>
      </c>
    </row>
    <row r="878" spans="1:5" x14ac:dyDescent="0.25">
      <c r="A878" s="28">
        <v>18202</v>
      </c>
      <c r="B878" s="17">
        <v>2.95250962772786E-2</v>
      </c>
      <c r="C878" t="str">
        <f t="shared" si="41"/>
        <v>Green</v>
      </c>
      <c r="D878">
        <f t="shared" si="42"/>
        <v>1</v>
      </c>
      <c r="E878">
        <f t="shared" si="43"/>
        <v>10</v>
      </c>
    </row>
    <row r="879" spans="1:5" x14ac:dyDescent="0.25">
      <c r="A879" s="28">
        <v>18171</v>
      </c>
      <c r="B879" s="17">
        <v>2.36530880420498E-2</v>
      </c>
      <c r="C879" t="str">
        <f t="shared" si="41"/>
        <v>Green</v>
      </c>
      <c r="D879">
        <f t="shared" si="42"/>
        <v>1</v>
      </c>
      <c r="E879">
        <f t="shared" si="43"/>
        <v>9</v>
      </c>
    </row>
    <row r="880" spans="1:5" x14ac:dyDescent="0.25">
      <c r="A880" s="28">
        <v>18141</v>
      </c>
      <c r="B880" s="17">
        <v>1.1968085106382999E-2</v>
      </c>
      <c r="C880" t="str">
        <f t="shared" si="41"/>
        <v>Green</v>
      </c>
      <c r="D880">
        <f t="shared" si="42"/>
        <v>1</v>
      </c>
      <c r="E880">
        <f t="shared" si="43"/>
        <v>8</v>
      </c>
    </row>
    <row r="881" spans="1:5" x14ac:dyDescent="0.25">
      <c r="A881" s="28">
        <v>18108</v>
      </c>
      <c r="B881" s="17">
        <v>6.21468926553672E-2</v>
      </c>
      <c r="C881" t="str">
        <f t="shared" si="41"/>
        <v>Green</v>
      </c>
      <c r="D881">
        <f t="shared" si="42"/>
        <v>1</v>
      </c>
      <c r="E881">
        <f t="shared" si="43"/>
        <v>7</v>
      </c>
    </row>
    <row r="882" spans="1:5" x14ac:dyDescent="0.25">
      <c r="A882" s="28">
        <v>18079</v>
      </c>
      <c r="B882" s="17">
        <v>-2.11416490486249E-3</v>
      </c>
      <c r="C882" t="str">
        <f t="shared" si="41"/>
        <v>Red</v>
      </c>
      <c r="D882">
        <f t="shared" si="42"/>
        <v>0</v>
      </c>
      <c r="E882">
        <f t="shared" si="43"/>
        <v>6</v>
      </c>
    </row>
    <row r="883" spans="1:5" x14ac:dyDescent="0.25">
      <c r="A883" s="28">
        <v>18049</v>
      </c>
      <c r="B883" s="17">
        <v>-3.5350101971448097E-2</v>
      </c>
      <c r="C883" t="str">
        <f t="shared" si="41"/>
        <v>Red</v>
      </c>
      <c r="D883">
        <f t="shared" si="42"/>
        <v>0</v>
      </c>
      <c r="E883">
        <f t="shared" si="43"/>
        <v>5</v>
      </c>
    </row>
    <row r="884" spans="1:5" x14ac:dyDescent="0.25">
      <c r="A884" s="28">
        <v>18017</v>
      </c>
      <c r="B884" s="17">
        <v>-2.3240371845949501E-2</v>
      </c>
      <c r="C884" t="str">
        <f t="shared" si="41"/>
        <v>Red</v>
      </c>
      <c r="D884">
        <f t="shared" si="42"/>
        <v>0</v>
      </c>
      <c r="E884">
        <f t="shared" si="43"/>
        <v>4</v>
      </c>
    </row>
    <row r="885" spans="1:5" x14ac:dyDescent="0.25">
      <c r="A885" s="28">
        <v>17988</v>
      </c>
      <c r="B885" s="17">
        <v>3.0095759233926201E-2</v>
      </c>
      <c r="C885" t="str">
        <f t="shared" si="41"/>
        <v>Green</v>
      </c>
      <c r="D885">
        <f t="shared" si="42"/>
        <v>1</v>
      </c>
      <c r="E885">
        <f t="shared" si="43"/>
        <v>3</v>
      </c>
    </row>
    <row r="886" spans="1:5" x14ac:dyDescent="0.25">
      <c r="A886" s="28">
        <v>17957</v>
      </c>
      <c r="B886" s="17">
        <v>-3.9421813403416703E-2</v>
      </c>
      <c r="C886" t="str">
        <f t="shared" si="41"/>
        <v>Red</v>
      </c>
      <c r="D886">
        <f t="shared" si="42"/>
        <v>0</v>
      </c>
      <c r="E886">
        <f t="shared" si="43"/>
        <v>2</v>
      </c>
    </row>
    <row r="887" spans="1:5" x14ac:dyDescent="0.25">
      <c r="A887" s="28">
        <v>17929</v>
      </c>
      <c r="B887" s="17">
        <v>1.3157894736843801E-3</v>
      </c>
      <c r="C887" t="str">
        <f t="shared" si="41"/>
        <v>Green</v>
      </c>
      <c r="D887">
        <f t="shared" si="42"/>
        <v>1</v>
      </c>
      <c r="E887">
        <f t="shared" si="43"/>
        <v>1</v>
      </c>
    </row>
    <row r="888" spans="1:5" x14ac:dyDescent="0.25">
      <c r="A888" s="28">
        <v>17898</v>
      </c>
      <c r="B888" s="17">
        <v>3.0508474576271101E-2</v>
      </c>
      <c r="C888" t="str">
        <f t="shared" si="41"/>
        <v>Green</v>
      </c>
      <c r="D888">
        <f t="shared" si="42"/>
        <v>1</v>
      </c>
      <c r="E888">
        <f t="shared" si="43"/>
        <v>12</v>
      </c>
    </row>
    <row r="889" spans="1:5" x14ac:dyDescent="0.25">
      <c r="A889" s="28">
        <v>17867</v>
      </c>
      <c r="B889" s="17">
        <v>-0.10606060606060599</v>
      </c>
      <c r="C889" t="str">
        <f t="shared" si="41"/>
        <v>Red</v>
      </c>
      <c r="D889">
        <f t="shared" si="42"/>
        <v>0</v>
      </c>
      <c r="E889">
        <f t="shared" si="43"/>
        <v>11</v>
      </c>
    </row>
    <row r="890" spans="1:5" x14ac:dyDescent="0.25">
      <c r="A890" s="28">
        <v>17835</v>
      </c>
      <c r="B890" s="17">
        <v>6.5203357004519E-2</v>
      </c>
      <c r="C890" t="str">
        <f t="shared" si="41"/>
        <v>Green</v>
      </c>
      <c r="D890">
        <f t="shared" si="42"/>
        <v>1</v>
      </c>
      <c r="E890">
        <f t="shared" si="43"/>
        <v>10</v>
      </c>
    </row>
    <row r="891" spans="1:5" x14ac:dyDescent="0.25">
      <c r="A891" s="28">
        <v>17806</v>
      </c>
      <c r="B891" s="17">
        <v>-3.0056355666875399E-2</v>
      </c>
      <c r="C891" t="str">
        <f t="shared" si="41"/>
        <v>Red</v>
      </c>
      <c r="D891">
        <f t="shared" si="42"/>
        <v>0</v>
      </c>
      <c r="E891">
        <f t="shared" si="43"/>
        <v>9</v>
      </c>
    </row>
    <row r="892" spans="1:5" x14ac:dyDescent="0.25">
      <c r="A892" s="28">
        <v>17776</v>
      </c>
      <c r="B892" s="17">
        <v>7.57097791798111E-3</v>
      </c>
      <c r="C892" t="str">
        <f t="shared" si="41"/>
        <v>Green</v>
      </c>
      <c r="D892">
        <f t="shared" si="42"/>
        <v>1</v>
      </c>
      <c r="E892">
        <f t="shared" si="43"/>
        <v>8</v>
      </c>
    </row>
    <row r="893" spans="1:5" x14ac:dyDescent="0.25">
      <c r="A893" s="28">
        <v>17744</v>
      </c>
      <c r="B893" s="17">
        <v>-5.3166069295101502E-2</v>
      </c>
      <c r="C893" t="str">
        <f t="shared" si="41"/>
        <v>Red</v>
      </c>
      <c r="D893">
        <f t="shared" si="42"/>
        <v>0</v>
      </c>
      <c r="E893">
        <f t="shared" si="43"/>
        <v>7</v>
      </c>
    </row>
    <row r="894" spans="1:5" x14ac:dyDescent="0.25">
      <c r="A894" s="28">
        <v>17714</v>
      </c>
      <c r="B894" s="17">
        <v>2.9957457761686799E-3</v>
      </c>
      <c r="C894" t="str">
        <f t="shared" si="41"/>
        <v>Green</v>
      </c>
      <c r="D894">
        <f t="shared" si="42"/>
        <v>1</v>
      </c>
      <c r="E894">
        <f t="shared" si="43"/>
        <v>6</v>
      </c>
    </row>
    <row r="895" spans="1:5" x14ac:dyDescent="0.25">
      <c r="A895" s="28">
        <v>17681</v>
      </c>
      <c r="B895" s="17">
        <v>7.8165439276485699E-2</v>
      </c>
      <c r="C895" t="str">
        <f t="shared" si="41"/>
        <v>Green</v>
      </c>
      <c r="D895">
        <f t="shared" si="42"/>
        <v>1</v>
      </c>
      <c r="E895">
        <f t="shared" si="43"/>
        <v>5</v>
      </c>
    </row>
    <row r="896" spans="1:5" x14ac:dyDescent="0.25">
      <c r="A896" s="28">
        <v>17653</v>
      </c>
      <c r="B896" s="17">
        <v>2.6525198938992099E-2</v>
      </c>
      <c r="C896" t="str">
        <f t="shared" si="41"/>
        <v>Green</v>
      </c>
      <c r="D896">
        <f t="shared" si="42"/>
        <v>1</v>
      </c>
      <c r="E896">
        <f t="shared" si="43"/>
        <v>4</v>
      </c>
    </row>
    <row r="897" spans="1:5" x14ac:dyDescent="0.25">
      <c r="A897" s="28">
        <v>17623</v>
      </c>
      <c r="B897" s="17">
        <v>8.2555635319454507E-2</v>
      </c>
      <c r="C897" t="str">
        <f t="shared" si="41"/>
        <v>Green</v>
      </c>
      <c r="D897">
        <f t="shared" si="42"/>
        <v>1</v>
      </c>
      <c r="E897">
        <f t="shared" si="43"/>
        <v>3</v>
      </c>
    </row>
    <row r="898" spans="1:5" x14ac:dyDescent="0.25">
      <c r="A898" s="28">
        <v>17590</v>
      </c>
      <c r="B898" s="17">
        <v>-5.1089918256130698E-2</v>
      </c>
      <c r="C898" t="str">
        <f t="shared" si="41"/>
        <v>Red</v>
      </c>
      <c r="D898">
        <f t="shared" si="42"/>
        <v>0</v>
      </c>
      <c r="E898">
        <f t="shared" si="43"/>
        <v>2</v>
      </c>
    </row>
    <row r="899" spans="1:5" x14ac:dyDescent="0.25">
      <c r="A899" s="28">
        <v>17562</v>
      </c>
      <c r="B899" s="17">
        <v>-4.05228758169935E-2</v>
      </c>
      <c r="C899" t="str">
        <f t="shared" ref="C899:C962" si="44">IF(B899&gt;0,"Green","Red")</f>
        <v>Red</v>
      </c>
      <c r="D899">
        <f t="shared" si="42"/>
        <v>0</v>
      </c>
      <c r="E899">
        <f t="shared" si="43"/>
        <v>1</v>
      </c>
    </row>
    <row r="900" spans="1:5" x14ac:dyDescent="0.25">
      <c r="A900" s="28">
        <v>17532</v>
      </c>
      <c r="B900" s="17">
        <v>2.1361815754339201E-2</v>
      </c>
      <c r="C900" t="str">
        <f t="shared" si="44"/>
        <v>Green</v>
      </c>
      <c r="D900">
        <f t="shared" ref="D900:D963" si="45">IF(B900&gt;0,1,0)</f>
        <v>1</v>
      </c>
      <c r="E900">
        <f t="shared" ref="E900:E963" si="46">MONTH(A900)</f>
        <v>12</v>
      </c>
    </row>
    <row r="901" spans="1:5" x14ac:dyDescent="0.25">
      <c r="A901" s="28">
        <v>17499</v>
      </c>
      <c r="B901" s="17">
        <v>-2.9163966299416599E-2</v>
      </c>
      <c r="C901" t="str">
        <f t="shared" si="44"/>
        <v>Red</v>
      </c>
      <c r="D901">
        <f t="shared" si="45"/>
        <v>0</v>
      </c>
      <c r="E901">
        <f t="shared" si="46"/>
        <v>11</v>
      </c>
    </row>
    <row r="902" spans="1:5" x14ac:dyDescent="0.25">
      <c r="A902" s="28">
        <v>17471</v>
      </c>
      <c r="B902" s="17">
        <v>2.11780277961615E-2</v>
      </c>
      <c r="C902" t="str">
        <f t="shared" si="44"/>
        <v>Green</v>
      </c>
      <c r="D902">
        <f t="shared" si="45"/>
        <v>1</v>
      </c>
      <c r="E902">
        <f t="shared" si="46"/>
        <v>10</v>
      </c>
    </row>
    <row r="903" spans="1:5" x14ac:dyDescent="0.25">
      <c r="A903" s="28">
        <v>17440</v>
      </c>
      <c r="B903" s="17">
        <v>-1.37075718015667E-2</v>
      </c>
      <c r="C903" t="str">
        <f t="shared" si="44"/>
        <v>Red</v>
      </c>
      <c r="D903">
        <f t="shared" si="45"/>
        <v>0</v>
      </c>
      <c r="E903">
        <f t="shared" si="46"/>
        <v>9</v>
      </c>
    </row>
    <row r="904" spans="1:5" x14ac:dyDescent="0.25">
      <c r="A904" s="28">
        <v>17408</v>
      </c>
      <c r="B904" s="17">
        <v>-2.79187817258882E-2</v>
      </c>
      <c r="C904" t="str">
        <f t="shared" si="44"/>
        <v>Red</v>
      </c>
      <c r="D904">
        <f t="shared" si="45"/>
        <v>0</v>
      </c>
      <c r="E904">
        <f t="shared" si="46"/>
        <v>8</v>
      </c>
    </row>
    <row r="905" spans="1:5" x14ac:dyDescent="0.25">
      <c r="A905" s="28">
        <v>17379</v>
      </c>
      <c r="B905" s="17">
        <v>3.6160420775805301E-2</v>
      </c>
      <c r="C905" t="str">
        <f t="shared" si="44"/>
        <v>Green</v>
      </c>
      <c r="D905">
        <f t="shared" si="45"/>
        <v>1</v>
      </c>
      <c r="E905">
        <f t="shared" si="46"/>
        <v>7</v>
      </c>
    </row>
    <row r="906" spans="1:5" x14ac:dyDescent="0.25">
      <c r="A906" s="28">
        <v>17348</v>
      </c>
      <c r="B906" s="17">
        <v>5.25951557093427E-2</v>
      </c>
      <c r="C906" t="str">
        <f t="shared" si="44"/>
        <v>Green</v>
      </c>
      <c r="D906">
        <f t="shared" si="45"/>
        <v>1</v>
      </c>
      <c r="E906">
        <f t="shared" si="46"/>
        <v>6</v>
      </c>
    </row>
    <row r="907" spans="1:5" x14ac:dyDescent="0.25">
      <c r="A907" s="28">
        <v>17316</v>
      </c>
      <c r="B907" s="17">
        <v>-8.9163237311385996E-3</v>
      </c>
      <c r="C907" t="str">
        <f t="shared" si="44"/>
        <v>Red</v>
      </c>
      <c r="D907">
        <f t="shared" si="45"/>
        <v>0</v>
      </c>
      <c r="E907">
        <f t="shared" si="46"/>
        <v>5</v>
      </c>
    </row>
    <row r="908" spans="1:5" x14ac:dyDescent="0.25">
      <c r="A908" s="28">
        <v>17287</v>
      </c>
      <c r="B908" s="17">
        <v>-3.8892551087672998E-2</v>
      </c>
      <c r="C908" t="str">
        <f t="shared" si="44"/>
        <v>Red</v>
      </c>
      <c r="D908">
        <f t="shared" si="45"/>
        <v>0</v>
      </c>
      <c r="E908">
        <f t="shared" si="46"/>
        <v>4</v>
      </c>
    </row>
    <row r="909" spans="1:5" x14ac:dyDescent="0.25">
      <c r="A909" s="28">
        <v>17257</v>
      </c>
      <c r="B909" s="17">
        <v>-1.6850291639663E-2</v>
      </c>
      <c r="C909" t="str">
        <f t="shared" si="44"/>
        <v>Red</v>
      </c>
      <c r="D909">
        <f t="shared" si="45"/>
        <v>0</v>
      </c>
      <c r="E909">
        <f t="shared" si="46"/>
        <v>3</v>
      </c>
    </row>
    <row r="910" spans="1:5" x14ac:dyDescent="0.25">
      <c r="A910" s="28">
        <v>17226</v>
      </c>
      <c r="B910" s="17">
        <v>-1.4687100893997501E-2</v>
      </c>
      <c r="C910" t="str">
        <f t="shared" si="44"/>
        <v>Red</v>
      </c>
      <c r="D910">
        <f t="shared" si="45"/>
        <v>0</v>
      </c>
      <c r="E910">
        <f t="shared" si="46"/>
        <v>2</v>
      </c>
    </row>
    <row r="911" spans="1:5" x14ac:dyDescent="0.25">
      <c r="A911" s="28">
        <v>17198</v>
      </c>
      <c r="B911" s="17">
        <v>2.3529411764705799E-2</v>
      </c>
      <c r="C911" t="str">
        <f t="shared" si="44"/>
        <v>Green</v>
      </c>
      <c r="D911">
        <f t="shared" si="45"/>
        <v>1</v>
      </c>
      <c r="E911">
        <f t="shared" si="46"/>
        <v>1</v>
      </c>
    </row>
    <row r="912" spans="1:5" x14ac:dyDescent="0.25">
      <c r="A912" s="28">
        <v>17167</v>
      </c>
      <c r="B912" s="17">
        <v>4.2234332425068202E-2</v>
      </c>
      <c r="C912" t="str">
        <f t="shared" si="44"/>
        <v>Green</v>
      </c>
      <c r="D912">
        <f t="shared" si="45"/>
        <v>1</v>
      </c>
      <c r="E912">
        <f t="shared" si="46"/>
        <v>12</v>
      </c>
    </row>
    <row r="913" spans="1:5" x14ac:dyDescent="0.25">
      <c r="A913" s="28">
        <v>17135</v>
      </c>
      <c r="B913" s="17">
        <v>-1.07816711590296E-2</v>
      </c>
      <c r="C913" t="str">
        <f t="shared" si="44"/>
        <v>Red</v>
      </c>
      <c r="D913">
        <f t="shared" si="45"/>
        <v>0</v>
      </c>
      <c r="E913">
        <f t="shared" si="46"/>
        <v>11</v>
      </c>
    </row>
    <row r="914" spans="1:5" x14ac:dyDescent="0.25">
      <c r="A914" s="28">
        <v>17106</v>
      </c>
      <c r="B914" s="17">
        <v>-8.0213903743315794E-3</v>
      </c>
      <c r="C914" t="str">
        <f t="shared" si="44"/>
        <v>Red</v>
      </c>
      <c r="D914">
        <f t="shared" si="45"/>
        <v>0</v>
      </c>
      <c r="E914">
        <f t="shared" si="46"/>
        <v>10</v>
      </c>
    </row>
    <row r="915" spans="1:5" x14ac:dyDescent="0.25">
      <c r="A915" s="28">
        <v>17075</v>
      </c>
      <c r="B915" s="17">
        <v>-0.101501501501501</v>
      </c>
      <c r="C915" t="str">
        <f t="shared" si="44"/>
        <v>Red</v>
      </c>
      <c r="D915">
        <f t="shared" si="45"/>
        <v>0</v>
      </c>
      <c r="E915">
        <f t="shared" si="46"/>
        <v>9</v>
      </c>
    </row>
    <row r="916" spans="1:5" x14ac:dyDescent="0.25">
      <c r="A916" s="28">
        <v>17044</v>
      </c>
      <c r="B916" s="17">
        <v>-7.2939814751660101E-2</v>
      </c>
      <c r="C916" t="str">
        <f t="shared" si="44"/>
        <v>Red</v>
      </c>
      <c r="D916">
        <f t="shared" si="45"/>
        <v>0</v>
      </c>
      <c r="E916">
        <f t="shared" si="46"/>
        <v>8</v>
      </c>
    </row>
    <row r="917" spans="1:5" x14ac:dyDescent="0.25">
      <c r="A917" s="28">
        <v>17014</v>
      </c>
      <c r="B917" s="17">
        <v>-2.55019533369506E-2</v>
      </c>
      <c r="C917" t="str">
        <f t="shared" si="44"/>
        <v>Red</v>
      </c>
      <c r="D917">
        <f t="shared" si="45"/>
        <v>0</v>
      </c>
      <c r="E917">
        <f t="shared" si="46"/>
        <v>7</v>
      </c>
    </row>
    <row r="918" spans="1:5" x14ac:dyDescent="0.25">
      <c r="A918" s="28">
        <v>16981</v>
      </c>
      <c r="B918" s="17">
        <v>-3.9103232533889497E-2</v>
      </c>
      <c r="C918" t="str">
        <f t="shared" si="44"/>
        <v>Red</v>
      </c>
      <c r="D918">
        <f t="shared" si="45"/>
        <v>0</v>
      </c>
      <c r="E918">
        <f t="shared" si="46"/>
        <v>6</v>
      </c>
    </row>
    <row r="919" spans="1:5" x14ac:dyDescent="0.25">
      <c r="A919" s="28">
        <v>16953</v>
      </c>
      <c r="B919" s="17">
        <v>2.2388059701492501E-2</v>
      </c>
      <c r="C919" t="str">
        <f t="shared" si="44"/>
        <v>Green</v>
      </c>
      <c r="D919">
        <f t="shared" si="45"/>
        <v>1</v>
      </c>
      <c r="E919">
        <f t="shared" si="46"/>
        <v>5</v>
      </c>
    </row>
    <row r="920" spans="1:5" x14ac:dyDescent="0.25">
      <c r="A920" s="28">
        <v>16922</v>
      </c>
      <c r="B920" s="17">
        <v>3.9911250559243397E-2</v>
      </c>
      <c r="C920" t="str">
        <f t="shared" si="44"/>
        <v>Green</v>
      </c>
      <c r="D920">
        <f t="shared" si="45"/>
        <v>1</v>
      </c>
      <c r="E920">
        <f t="shared" si="46"/>
        <v>4</v>
      </c>
    </row>
    <row r="921" spans="1:5" x14ac:dyDescent="0.25">
      <c r="A921" s="28">
        <v>16890</v>
      </c>
      <c r="B921" s="17">
        <v>4.3981478936257097E-2</v>
      </c>
      <c r="C921" t="str">
        <f t="shared" si="44"/>
        <v>Green</v>
      </c>
      <c r="D921">
        <f t="shared" si="45"/>
        <v>1</v>
      </c>
      <c r="E921">
        <f t="shared" si="46"/>
        <v>3</v>
      </c>
    </row>
    <row r="922" spans="1:5" x14ac:dyDescent="0.25">
      <c r="A922" s="28">
        <v>16861</v>
      </c>
      <c r="B922" s="17">
        <v>-6.9466828217555204E-2</v>
      </c>
      <c r="C922" t="str">
        <f t="shared" si="44"/>
        <v>Red</v>
      </c>
      <c r="D922">
        <f t="shared" si="45"/>
        <v>0</v>
      </c>
      <c r="E922">
        <f t="shared" si="46"/>
        <v>2</v>
      </c>
    </row>
    <row r="923" spans="1:5" x14ac:dyDescent="0.25">
      <c r="A923" s="28">
        <v>16833</v>
      </c>
      <c r="B923" s="17">
        <v>6.9700399210806493E-2</v>
      </c>
      <c r="C923" t="str">
        <f t="shared" si="44"/>
        <v>Green</v>
      </c>
      <c r="D923">
        <f t="shared" si="45"/>
        <v>1</v>
      </c>
      <c r="E923">
        <f t="shared" si="46"/>
        <v>1</v>
      </c>
    </row>
    <row r="924" spans="1:5" x14ac:dyDescent="0.25">
      <c r="A924" s="28">
        <v>16802</v>
      </c>
      <c r="B924" s="17">
        <v>9.8894700471512404E-3</v>
      </c>
      <c r="C924" t="str">
        <f t="shared" si="44"/>
        <v>Green</v>
      </c>
      <c r="D924">
        <f t="shared" si="45"/>
        <v>1</v>
      </c>
      <c r="E924">
        <f t="shared" si="46"/>
        <v>12</v>
      </c>
    </row>
    <row r="925" spans="1:5" x14ac:dyDescent="0.25">
      <c r="A925" s="28">
        <v>16771</v>
      </c>
      <c r="B925" s="17">
        <v>3.2432492492492603E-2</v>
      </c>
      <c r="C925" t="str">
        <f t="shared" si="44"/>
        <v>Green</v>
      </c>
      <c r="D925">
        <f t="shared" si="45"/>
        <v>1</v>
      </c>
      <c r="E925">
        <f t="shared" si="46"/>
        <v>11</v>
      </c>
    </row>
    <row r="926" spans="1:5" x14ac:dyDescent="0.25">
      <c r="A926" s="28">
        <v>16741</v>
      </c>
      <c r="B926" s="17">
        <v>3.7383242204563197E-2</v>
      </c>
      <c r="C926" t="str">
        <f t="shared" si="44"/>
        <v>Green</v>
      </c>
      <c r="D926">
        <f t="shared" si="45"/>
        <v>1</v>
      </c>
      <c r="E926">
        <f t="shared" si="46"/>
        <v>10</v>
      </c>
    </row>
    <row r="927" spans="1:5" x14ac:dyDescent="0.25">
      <c r="A927" s="28">
        <v>16708</v>
      </c>
      <c r="B927" s="17">
        <v>3.4816183107672503E-2</v>
      </c>
      <c r="C927" t="str">
        <f t="shared" si="44"/>
        <v>Green</v>
      </c>
      <c r="D927">
        <f t="shared" si="45"/>
        <v>1</v>
      </c>
      <c r="E927">
        <f t="shared" si="46"/>
        <v>9</v>
      </c>
    </row>
    <row r="928" spans="1:5" x14ac:dyDescent="0.25">
      <c r="A928" s="28">
        <v>16680</v>
      </c>
      <c r="B928" s="17">
        <v>5.7980900409276802E-2</v>
      </c>
      <c r="C928" t="str">
        <f t="shared" si="44"/>
        <v>Green</v>
      </c>
      <c r="D928">
        <f t="shared" si="45"/>
        <v>1</v>
      </c>
      <c r="E928">
        <f t="shared" si="46"/>
        <v>8</v>
      </c>
    </row>
    <row r="929" spans="1:5" x14ac:dyDescent="0.25">
      <c r="A929" s="28">
        <v>16649</v>
      </c>
      <c r="B929" s="17">
        <v>-1.41223940820443E-2</v>
      </c>
      <c r="C929" t="str">
        <f t="shared" si="44"/>
        <v>Red</v>
      </c>
      <c r="D929">
        <f t="shared" si="45"/>
        <v>0</v>
      </c>
      <c r="E929">
        <f t="shared" si="46"/>
        <v>7</v>
      </c>
    </row>
    <row r="930" spans="1:5" x14ac:dyDescent="0.25">
      <c r="A930" s="28">
        <v>16617</v>
      </c>
      <c r="B930" s="17">
        <v>-9.3271152564956498E-3</v>
      </c>
      <c r="C930" t="str">
        <f t="shared" si="44"/>
        <v>Red</v>
      </c>
      <c r="D930">
        <f t="shared" si="45"/>
        <v>0</v>
      </c>
      <c r="E930">
        <f t="shared" si="46"/>
        <v>6</v>
      </c>
    </row>
    <row r="931" spans="1:5" x14ac:dyDescent="0.25">
      <c r="A931" s="28">
        <v>16588</v>
      </c>
      <c r="B931" s="17">
        <v>1.1455525606468999E-2</v>
      </c>
      <c r="C931" t="str">
        <f t="shared" si="44"/>
        <v>Green</v>
      </c>
      <c r="D931">
        <f t="shared" si="45"/>
        <v>1</v>
      </c>
      <c r="E931">
        <f t="shared" si="46"/>
        <v>5</v>
      </c>
    </row>
    <row r="932" spans="1:5" x14ac:dyDescent="0.25">
      <c r="A932" s="28">
        <v>16557</v>
      </c>
      <c r="B932" s="17">
        <v>9.0374724467303394E-2</v>
      </c>
      <c r="C932" t="str">
        <f t="shared" si="44"/>
        <v>Green</v>
      </c>
      <c r="D932">
        <f t="shared" si="45"/>
        <v>1</v>
      </c>
      <c r="E932">
        <f t="shared" si="46"/>
        <v>4</v>
      </c>
    </row>
    <row r="933" spans="1:5" x14ac:dyDescent="0.25">
      <c r="A933" s="28">
        <v>16525</v>
      </c>
      <c r="B933" s="17">
        <v>-4.8251748251748397E-2</v>
      </c>
      <c r="C933" t="str">
        <f t="shared" si="44"/>
        <v>Red</v>
      </c>
      <c r="D933">
        <f t="shared" si="45"/>
        <v>0</v>
      </c>
      <c r="E933">
        <f t="shared" si="46"/>
        <v>3</v>
      </c>
    </row>
    <row r="934" spans="1:5" x14ac:dyDescent="0.25">
      <c r="A934" s="28">
        <v>16496</v>
      </c>
      <c r="B934" s="17">
        <v>6.1618411284335699E-2</v>
      </c>
      <c r="C934" t="str">
        <f t="shared" si="44"/>
        <v>Green</v>
      </c>
      <c r="D934">
        <f t="shared" si="45"/>
        <v>1</v>
      </c>
      <c r="E934">
        <f t="shared" si="46"/>
        <v>2</v>
      </c>
    </row>
    <row r="935" spans="1:5" x14ac:dyDescent="0.25">
      <c r="A935" s="28">
        <v>16468</v>
      </c>
      <c r="B935" s="17">
        <v>1.43072289156627E-2</v>
      </c>
      <c r="C935" t="str">
        <f t="shared" si="44"/>
        <v>Green</v>
      </c>
      <c r="D935">
        <f t="shared" si="45"/>
        <v>1</v>
      </c>
      <c r="E935">
        <f t="shared" si="46"/>
        <v>1</v>
      </c>
    </row>
    <row r="936" spans="1:5" x14ac:dyDescent="0.25">
      <c r="A936" s="28">
        <v>16435</v>
      </c>
      <c r="B936" s="17">
        <v>3.5074045206547E-2</v>
      </c>
      <c r="C936" t="str">
        <f t="shared" si="44"/>
        <v>Green</v>
      </c>
      <c r="D936">
        <f t="shared" si="45"/>
        <v>1</v>
      </c>
      <c r="E936">
        <f t="shared" si="46"/>
        <v>12</v>
      </c>
    </row>
    <row r="937" spans="1:5" x14ac:dyDescent="0.25">
      <c r="A937" s="28">
        <v>16406</v>
      </c>
      <c r="B937" s="17">
        <v>3.9123630672925902E-3</v>
      </c>
      <c r="C937" t="str">
        <f t="shared" si="44"/>
        <v>Green</v>
      </c>
      <c r="D937">
        <f t="shared" si="45"/>
        <v>1</v>
      </c>
      <c r="E937">
        <f t="shared" si="46"/>
        <v>11</v>
      </c>
    </row>
    <row r="938" spans="1:5" x14ac:dyDescent="0.25">
      <c r="A938" s="28">
        <v>16376</v>
      </c>
      <c r="B938" s="17">
        <v>3.13971742543173E-3</v>
      </c>
      <c r="C938" t="str">
        <f t="shared" si="44"/>
        <v>Green</v>
      </c>
      <c r="D938">
        <f t="shared" si="45"/>
        <v>1</v>
      </c>
      <c r="E938">
        <f t="shared" si="46"/>
        <v>10</v>
      </c>
    </row>
    <row r="939" spans="1:5" x14ac:dyDescent="0.25">
      <c r="A939" s="28">
        <v>16344</v>
      </c>
      <c r="B939" s="17">
        <v>-6.2402496099843701E-3</v>
      </c>
      <c r="C939" t="str">
        <f t="shared" si="44"/>
        <v>Red</v>
      </c>
      <c r="D939">
        <f t="shared" si="45"/>
        <v>0</v>
      </c>
      <c r="E939">
        <f t="shared" si="46"/>
        <v>9</v>
      </c>
    </row>
    <row r="940" spans="1:5" x14ac:dyDescent="0.25">
      <c r="A940" s="28">
        <v>16315</v>
      </c>
      <c r="B940" s="17">
        <v>8.6546026750589106E-3</v>
      </c>
      <c r="C940" t="str">
        <f t="shared" si="44"/>
        <v>Green</v>
      </c>
      <c r="D940">
        <f t="shared" si="45"/>
        <v>1</v>
      </c>
      <c r="E940">
        <f t="shared" si="46"/>
        <v>8</v>
      </c>
    </row>
    <row r="941" spans="1:5" x14ac:dyDescent="0.25">
      <c r="A941" s="28">
        <v>16284</v>
      </c>
      <c r="B941" s="17">
        <v>-2.0801232665639401E-2</v>
      </c>
      <c r="C941" t="str">
        <f t="shared" si="44"/>
        <v>Red</v>
      </c>
      <c r="D941">
        <f t="shared" si="45"/>
        <v>0</v>
      </c>
      <c r="E941">
        <f t="shared" si="46"/>
        <v>7</v>
      </c>
    </row>
    <row r="942" spans="1:5" x14ac:dyDescent="0.25">
      <c r="A942" s="28">
        <v>16253</v>
      </c>
      <c r="B942" s="17">
        <v>5.1012145748987797E-2</v>
      </c>
      <c r="C942" t="str">
        <f t="shared" si="44"/>
        <v>Green</v>
      </c>
      <c r="D942">
        <f t="shared" si="45"/>
        <v>1</v>
      </c>
      <c r="E942">
        <f t="shared" si="46"/>
        <v>6</v>
      </c>
    </row>
    <row r="943" spans="1:5" x14ac:dyDescent="0.25">
      <c r="A943" s="28">
        <v>16223</v>
      </c>
      <c r="B943" s="17">
        <v>4.0438079191238402E-2</v>
      </c>
      <c r="C943" t="str">
        <f t="shared" si="44"/>
        <v>Green</v>
      </c>
      <c r="D943">
        <f t="shared" si="45"/>
        <v>1</v>
      </c>
      <c r="E943">
        <f t="shared" si="46"/>
        <v>5</v>
      </c>
    </row>
    <row r="944" spans="1:5" x14ac:dyDescent="0.25">
      <c r="A944" s="28">
        <v>16190</v>
      </c>
      <c r="B944" s="17">
        <v>-1.2479201331114799E-2</v>
      </c>
      <c r="C944" t="str">
        <f t="shared" si="44"/>
        <v>Red</v>
      </c>
      <c r="D944">
        <f t="shared" si="45"/>
        <v>0</v>
      </c>
      <c r="E944">
        <f t="shared" si="46"/>
        <v>4</v>
      </c>
    </row>
    <row r="945" spans="1:5" x14ac:dyDescent="0.25">
      <c r="A945" s="28">
        <v>16162</v>
      </c>
      <c r="B945" s="17">
        <v>1.6920473773265599E-2</v>
      </c>
      <c r="C945" t="str">
        <f t="shared" si="44"/>
        <v>Green</v>
      </c>
      <c r="D945">
        <f t="shared" si="45"/>
        <v>1</v>
      </c>
      <c r="E945">
        <f t="shared" si="46"/>
        <v>3</v>
      </c>
    </row>
    <row r="946" spans="1:5" x14ac:dyDescent="0.25">
      <c r="A946" s="28">
        <v>16131</v>
      </c>
      <c r="B946" s="17">
        <v>-2.53164556962016E-3</v>
      </c>
      <c r="C946" t="str">
        <f t="shared" si="44"/>
        <v>Red</v>
      </c>
      <c r="D946">
        <f t="shared" si="45"/>
        <v>0</v>
      </c>
      <c r="E946">
        <f t="shared" si="46"/>
        <v>2</v>
      </c>
    </row>
    <row r="947" spans="1:5" x14ac:dyDescent="0.25">
      <c r="A947" s="28">
        <v>16102</v>
      </c>
      <c r="B947" s="17">
        <v>1.54241645244215E-2</v>
      </c>
      <c r="C947" t="str">
        <f t="shared" si="44"/>
        <v>Green</v>
      </c>
      <c r="D947">
        <f t="shared" si="45"/>
        <v>1</v>
      </c>
      <c r="E947">
        <f t="shared" si="46"/>
        <v>1</v>
      </c>
    </row>
    <row r="948" spans="1:5" x14ac:dyDescent="0.25">
      <c r="A948" s="28">
        <v>16071</v>
      </c>
      <c r="B948" s="17">
        <v>5.8983666061705999E-2</v>
      </c>
      <c r="C948" t="str">
        <f t="shared" si="44"/>
        <v>Green</v>
      </c>
      <c r="D948">
        <f t="shared" si="45"/>
        <v>1</v>
      </c>
      <c r="E948">
        <f t="shared" si="46"/>
        <v>12</v>
      </c>
    </row>
    <row r="949" spans="1:5" x14ac:dyDescent="0.25">
      <c r="A949" s="28">
        <v>16040</v>
      </c>
      <c r="B949" s="17">
        <v>-7.4727120067170499E-2</v>
      </c>
      <c r="C949" t="str">
        <f t="shared" si="44"/>
        <v>Red</v>
      </c>
      <c r="D949">
        <f t="shared" si="45"/>
        <v>0</v>
      </c>
      <c r="E949">
        <f t="shared" si="46"/>
        <v>11</v>
      </c>
    </row>
    <row r="950" spans="1:5" x14ac:dyDescent="0.25">
      <c r="A950" s="28">
        <v>16008</v>
      </c>
      <c r="B950" s="17">
        <v>-1.4072847682119201E-2</v>
      </c>
      <c r="C950" t="str">
        <f t="shared" si="44"/>
        <v>Red</v>
      </c>
      <c r="D950">
        <f t="shared" si="45"/>
        <v>0</v>
      </c>
      <c r="E950">
        <f t="shared" si="46"/>
        <v>10</v>
      </c>
    </row>
    <row r="951" spans="1:5" x14ac:dyDescent="0.25">
      <c r="A951" s="28">
        <v>15979</v>
      </c>
      <c r="B951" s="17">
        <v>2.3728813559321899E-2</v>
      </c>
      <c r="C951" t="str">
        <f t="shared" si="44"/>
        <v>Green</v>
      </c>
      <c r="D951">
        <f t="shared" si="45"/>
        <v>1</v>
      </c>
      <c r="E951">
        <f t="shared" si="46"/>
        <v>9</v>
      </c>
    </row>
    <row r="952" spans="1:5" x14ac:dyDescent="0.25">
      <c r="A952" s="28">
        <v>15949</v>
      </c>
      <c r="B952" s="17">
        <v>-4.2194092827003704E-3</v>
      </c>
      <c r="C952" t="str">
        <f t="shared" si="44"/>
        <v>Red</v>
      </c>
      <c r="D952">
        <f t="shared" si="45"/>
        <v>0</v>
      </c>
      <c r="E952">
        <f t="shared" si="46"/>
        <v>8</v>
      </c>
    </row>
    <row r="953" spans="1:5" x14ac:dyDescent="0.25">
      <c r="A953" s="28">
        <v>15917</v>
      </c>
      <c r="B953" s="17">
        <v>-4.0485829959514198E-2</v>
      </c>
      <c r="C953" t="str">
        <f t="shared" si="44"/>
        <v>Red</v>
      </c>
      <c r="D953">
        <f t="shared" si="45"/>
        <v>0</v>
      </c>
      <c r="E953">
        <f t="shared" si="46"/>
        <v>7</v>
      </c>
    </row>
    <row r="954" spans="1:5" x14ac:dyDescent="0.25">
      <c r="A954" s="28">
        <v>15887</v>
      </c>
      <c r="B954" s="17">
        <v>2.4896265560165901E-2</v>
      </c>
      <c r="C954" t="str">
        <f t="shared" si="44"/>
        <v>Green</v>
      </c>
      <c r="D954">
        <f t="shared" si="45"/>
        <v>1</v>
      </c>
      <c r="E954">
        <f t="shared" si="46"/>
        <v>6</v>
      </c>
    </row>
    <row r="955" spans="1:5" x14ac:dyDescent="0.25">
      <c r="A955" s="28">
        <v>15854</v>
      </c>
      <c r="B955" s="17">
        <v>3.9689387402933603E-2</v>
      </c>
      <c r="C955" t="str">
        <f t="shared" si="44"/>
        <v>Green</v>
      </c>
      <c r="D955">
        <f t="shared" si="45"/>
        <v>1</v>
      </c>
      <c r="E955">
        <f t="shared" si="46"/>
        <v>5</v>
      </c>
    </row>
    <row r="956" spans="1:5" x14ac:dyDescent="0.25">
      <c r="A956" s="28">
        <v>15826</v>
      </c>
      <c r="B956" s="17">
        <v>8.6355785837643995E-4</v>
      </c>
      <c r="C956" t="str">
        <f t="shared" si="44"/>
        <v>Green</v>
      </c>
      <c r="D956">
        <f t="shared" si="45"/>
        <v>1</v>
      </c>
      <c r="E956">
        <f t="shared" si="46"/>
        <v>4</v>
      </c>
    </row>
    <row r="957" spans="1:5" x14ac:dyDescent="0.25">
      <c r="A957" s="28">
        <v>15796</v>
      </c>
      <c r="B957" s="17">
        <v>5.5606198723792098E-2</v>
      </c>
      <c r="C957" t="str">
        <f t="shared" si="44"/>
        <v>Green</v>
      </c>
      <c r="D957">
        <f t="shared" si="45"/>
        <v>1</v>
      </c>
      <c r="E957">
        <f t="shared" si="46"/>
        <v>3</v>
      </c>
    </row>
    <row r="958" spans="1:5" x14ac:dyDescent="0.25">
      <c r="A958" s="28">
        <v>15763</v>
      </c>
      <c r="B958" s="17">
        <v>5.0766283524904303E-2</v>
      </c>
      <c r="C958" t="str">
        <f t="shared" si="44"/>
        <v>Green</v>
      </c>
      <c r="D958">
        <f t="shared" si="45"/>
        <v>1</v>
      </c>
      <c r="E958">
        <f t="shared" si="46"/>
        <v>2</v>
      </c>
    </row>
    <row r="959" spans="1:5" x14ac:dyDescent="0.25">
      <c r="A959" s="28">
        <v>15735</v>
      </c>
      <c r="B959" s="17">
        <v>6.8577277379734E-2</v>
      </c>
      <c r="C959" t="str">
        <f t="shared" si="44"/>
        <v>Green</v>
      </c>
      <c r="D959">
        <f t="shared" si="45"/>
        <v>1</v>
      </c>
      <c r="E959">
        <f t="shared" si="46"/>
        <v>1</v>
      </c>
    </row>
    <row r="960" spans="1:5" x14ac:dyDescent="0.25">
      <c r="A960" s="28">
        <v>15706</v>
      </c>
      <c r="B960" s="17">
        <v>5.16684607104414E-2</v>
      </c>
      <c r="C960" t="str">
        <f t="shared" si="44"/>
        <v>Green</v>
      </c>
      <c r="D960">
        <f t="shared" si="45"/>
        <v>1</v>
      </c>
      <c r="E960">
        <f t="shared" si="46"/>
        <v>12</v>
      </c>
    </row>
    <row r="961" spans="1:5" x14ac:dyDescent="0.25">
      <c r="A961" s="28">
        <v>15675</v>
      </c>
      <c r="B961" s="17">
        <v>-7.4786324786325596E-3</v>
      </c>
      <c r="C961" t="str">
        <f t="shared" si="44"/>
        <v>Red</v>
      </c>
      <c r="D961">
        <f t="shared" si="45"/>
        <v>0</v>
      </c>
      <c r="E961">
        <f t="shared" si="46"/>
        <v>11</v>
      </c>
    </row>
    <row r="962" spans="1:5" x14ac:dyDescent="0.25">
      <c r="A962" s="28">
        <v>15644</v>
      </c>
      <c r="B962" s="17">
        <v>5.7627118644067797E-2</v>
      </c>
      <c r="C962" t="str">
        <f t="shared" si="44"/>
        <v>Green</v>
      </c>
      <c r="D962">
        <f t="shared" si="45"/>
        <v>1</v>
      </c>
      <c r="E962">
        <f t="shared" si="46"/>
        <v>10</v>
      </c>
    </row>
    <row r="963" spans="1:5" x14ac:dyDescent="0.25">
      <c r="A963" s="28">
        <v>15614</v>
      </c>
      <c r="B963" s="17">
        <v>2.6682134570765698E-2</v>
      </c>
      <c r="C963" t="str">
        <f t="shared" ref="C963:C1026" si="47">IF(B963&gt;0,"Green","Red")</f>
        <v>Green</v>
      </c>
      <c r="D963">
        <f t="shared" si="45"/>
        <v>1</v>
      </c>
      <c r="E963">
        <f t="shared" si="46"/>
        <v>9</v>
      </c>
    </row>
    <row r="964" spans="1:5" x14ac:dyDescent="0.25">
      <c r="A964" s="28">
        <v>15584</v>
      </c>
      <c r="B964" s="17">
        <v>7.00934579439227E-3</v>
      </c>
      <c r="C964" t="str">
        <f t="shared" si="47"/>
        <v>Green</v>
      </c>
      <c r="D964">
        <f t="shared" ref="D964:D1027" si="48">IF(B964&gt;0,1,0)</f>
        <v>1</v>
      </c>
      <c r="E964">
        <f t="shared" ref="E964:E1027" si="49">MONTH(A964)</f>
        <v>8</v>
      </c>
    </row>
    <row r="965" spans="1:5" x14ac:dyDescent="0.25">
      <c r="A965" s="28">
        <v>15553</v>
      </c>
      <c r="B965" s="17">
        <v>3.1325301204819397E-2</v>
      </c>
      <c r="C965" t="str">
        <f t="shared" si="47"/>
        <v>Green</v>
      </c>
      <c r="D965">
        <f t="shared" si="48"/>
        <v>1</v>
      </c>
      <c r="E965">
        <f t="shared" si="49"/>
        <v>7</v>
      </c>
    </row>
    <row r="966" spans="1:5" x14ac:dyDescent="0.25">
      <c r="A966" s="28">
        <v>15522</v>
      </c>
      <c r="B966" s="17">
        <v>1.84049079754602E-2</v>
      </c>
      <c r="C966" t="str">
        <f t="shared" si="47"/>
        <v>Green</v>
      </c>
      <c r="D966">
        <f t="shared" si="48"/>
        <v>1</v>
      </c>
      <c r="E966">
        <f t="shared" si="49"/>
        <v>6</v>
      </c>
    </row>
    <row r="967" spans="1:5" x14ac:dyDescent="0.25">
      <c r="A967" s="28">
        <v>15490</v>
      </c>
      <c r="B967" s="17">
        <v>6.3968668407310594E-2</v>
      </c>
      <c r="C967" t="str">
        <f t="shared" si="47"/>
        <v>Green</v>
      </c>
      <c r="D967">
        <f t="shared" si="48"/>
        <v>1</v>
      </c>
      <c r="E967">
        <f t="shared" si="49"/>
        <v>5</v>
      </c>
    </row>
    <row r="968" spans="1:5" x14ac:dyDescent="0.25">
      <c r="A968" s="28">
        <v>15461</v>
      </c>
      <c r="B968" s="17">
        <v>-4.3695380774032497E-2</v>
      </c>
      <c r="C968" t="str">
        <f t="shared" si="47"/>
        <v>Red</v>
      </c>
      <c r="D968">
        <f t="shared" si="48"/>
        <v>0</v>
      </c>
      <c r="E968">
        <f t="shared" si="49"/>
        <v>4</v>
      </c>
    </row>
    <row r="969" spans="1:5" x14ac:dyDescent="0.25">
      <c r="A969" s="28">
        <v>15431</v>
      </c>
      <c r="B969" s="17">
        <v>-6.7520372526193306E-2</v>
      </c>
      <c r="C969" t="str">
        <f t="shared" si="47"/>
        <v>Red</v>
      </c>
      <c r="D969">
        <f t="shared" si="48"/>
        <v>0</v>
      </c>
      <c r="E969">
        <f t="shared" si="49"/>
        <v>3</v>
      </c>
    </row>
    <row r="970" spans="1:5" x14ac:dyDescent="0.25">
      <c r="A970" s="28">
        <v>15399</v>
      </c>
      <c r="B970" s="17">
        <v>-2.9378531073446301E-2</v>
      </c>
      <c r="C970" t="str">
        <f t="shared" si="47"/>
        <v>Red</v>
      </c>
      <c r="D970">
        <f t="shared" si="48"/>
        <v>0</v>
      </c>
      <c r="E970">
        <f t="shared" si="49"/>
        <v>2</v>
      </c>
    </row>
    <row r="971" spans="1:5" x14ac:dyDescent="0.25">
      <c r="A971" s="28">
        <v>15371</v>
      </c>
      <c r="B971" s="17">
        <v>1.8411967779056401E-2</v>
      </c>
      <c r="C971" t="str">
        <f t="shared" si="47"/>
        <v>Green</v>
      </c>
      <c r="D971">
        <f t="shared" si="48"/>
        <v>1</v>
      </c>
      <c r="E971">
        <f t="shared" si="49"/>
        <v>1</v>
      </c>
    </row>
    <row r="972" spans="1:5" x14ac:dyDescent="0.25">
      <c r="A972" s="28">
        <v>15341</v>
      </c>
      <c r="B972" s="17">
        <v>-4.71491228070176E-2</v>
      </c>
      <c r="C972" t="str">
        <f t="shared" si="47"/>
        <v>Red</v>
      </c>
      <c r="D972">
        <f t="shared" si="48"/>
        <v>0</v>
      </c>
      <c r="E972">
        <f t="shared" si="49"/>
        <v>12</v>
      </c>
    </row>
    <row r="973" spans="1:5" x14ac:dyDescent="0.25">
      <c r="A973" s="28">
        <v>15308</v>
      </c>
      <c r="B973" s="17">
        <v>-0.04</v>
      </c>
      <c r="C973" t="str">
        <f t="shared" si="47"/>
        <v>Red</v>
      </c>
      <c r="D973">
        <f t="shared" si="48"/>
        <v>0</v>
      </c>
      <c r="E973">
        <f t="shared" si="49"/>
        <v>11</v>
      </c>
    </row>
    <row r="974" spans="1:5" x14ac:dyDescent="0.25">
      <c r="A974" s="28">
        <v>15280</v>
      </c>
      <c r="B974" s="17">
        <v>-6.8627450980392093E-2</v>
      </c>
      <c r="C974" t="str">
        <f t="shared" si="47"/>
        <v>Red</v>
      </c>
      <c r="D974">
        <f t="shared" si="48"/>
        <v>0</v>
      </c>
      <c r="E974">
        <f t="shared" si="49"/>
        <v>10</v>
      </c>
    </row>
    <row r="975" spans="1:5" x14ac:dyDescent="0.25">
      <c r="A975" s="28">
        <v>15249</v>
      </c>
      <c r="B975" s="17">
        <v>-7.7821011673151501E-3</v>
      </c>
      <c r="C975" t="str">
        <f t="shared" si="47"/>
        <v>Red</v>
      </c>
      <c r="D975">
        <f t="shared" si="48"/>
        <v>0</v>
      </c>
      <c r="E975">
        <f t="shared" si="49"/>
        <v>9</v>
      </c>
    </row>
    <row r="976" spans="1:5" x14ac:dyDescent="0.25">
      <c r="A976" s="28">
        <v>15217</v>
      </c>
      <c r="B976" s="17">
        <v>-1.05871029836382E-2</v>
      </c>
      <c r="C976" t="str">
        <f t="shared" si="47"/>
        <v>Red</v>
      </c>
      <c r="D976">
        <f t="shared" si="48"/>
        <v>0</v>
      </c>
      <c r="E976">
        <f t="shared" si="49"/>
        <v>8</v>
      </c>
    </row>
    <row r="977" spans="1:5" x14ac:dyDescent="0.25">
      <c r="A977" s="28">
        <v>15188</v>
      </c>
      <c r="B977" s="17">
        <v>5.4822335025380697E-2</v>
      </c>
      <c r="C977" t="str">
        <f t="shared" si="47"/>
        <v>Green</v>
      </c>
      <c r="D977">
        <f t="shared" si="48"/>
        <v>1</v>
      </c>
      <c r="E977">
        <f t="shared" si="49"/>
        <v>7</v>
      </c>
    </row>
    <row r="978" spans="1:5" x14ac:dyDescent="0.25">
      <c r="A978" s="28">
        <v>15157</v>
      </c>
      <c r="B978" s="17">
        <v>5.01066098081022E-2</v>
      </c>
      <c r="C978" t="str">
        <f t="shared" si="47"/>
        <v>Green</v>
      </c>
      <c r="D978">
        <f t="shared" si="48"/>
        <v>1</v>
      </c>
      <c r="E978">
        <f t="shared" si="49"/>
        <v>6</v>
      </c>
    </row>
    <row r="979" spans="1:5" x14ac:dyDescent="0.25">
      <c r="A979" s="28">
        <v>15125</v>
      </c>
      <c r="B979" s="17">
        <v>7.5187969924812598E-3</v>
      </c>
      <c r="C979" t="str">
        <f t="shared" si="47"/>
        <v>Green</v>
      </c>
      <c r="D979">
        <f t="shared" si="48"/>
        <v>1</v>
      </c>
      <c r="E979">
        <f t="shared" si="49"/>
        <v>5</v>
      </c>
    </row>
    <row r="980" spans="1:5" x14ac:dyDescent="0.25">
      <c r="A980" s="28">
        <v>15096</v>
      </c>
      <c r="B980" s="17">
        <v>-6.5261044176706903E-2</v>
      </c>
      <c r="C980" t="str">
        <f t="shared" si="47"/>
        <v>Red</v>
      </c>
      <c r="D980">
        <f t="shared" si="48"/>
        <v>0</v>
      </c>
      <c r="E980">
        <f t="shared" si="49"/>
        <v>4</v>
      </c>
    </row>
    <row r="981" spans="1:5" x14ac:dyDescent="0.25">
      <c r="A981" s="28">
        <v>15066</v>
      </c>
      <c r="B981" s="17">
        <v>4.0322580645162399E-3</v>
      </c>
      <c r="C981" t="str">
        <f t="shared" si="47"/>
        <v>Green</v>
      </c>
      <c r="D981">
        <f t="shared" si="48"/>
        <v>1</v>
      </c>
      <c r="E981">
        <f t="shared" si="49"/>
        <v>3</v>
      </c>
    </row>
    <row r="982" spans="1:5" x14ac:dyDescent="0.25">
      <c r="A982" s="28">
        <v>15035</v>
      </c>
      <c r="B982" s="17">
        <v>-1.48957298907647E-2</v>
      </c>
      <c r="C982" t="str">
        <f t="shared" si="47"/>
        <v>Red</v>
      </c>
      <c r="D982">
        <f t="shared" si="48"/>
        <v>0</v>
      </c>
      <c r="E982">
        <f t="shared" si="49"/>
        <v>2</v>
      </c>
    </row>
    <row r="983" spans="1:5" x14ac:dyDescent="0.25">
      <c r="A983" s="28">
        <v>15007</v>
      </c>
      <c r="B983" s="17">
        <v>-4.82041587901701E-2</v>
      </c>
      <c r="C983" t="str">
        <f t="shared" si="47"/>
        <v>Red</v>
      </c>
      <c r="D983">
        <f t="shared" si="48"/>
        <v>0</v>
      </c>
      <c r="E983">
        <f t="shared" si="49"/>
        <v>1</v>
      </c>
    </row>
    <row r="984" spans="1:5" x14ac:dyDescent="0.25">
      <c r="A984" s="28">
        <v>14976</v>
      </c>
      <c r="B984" s="17">
        <v>9.4607379375588596E-4</v>
      </c>
      <c r="C984" t="str">
        <f t="shared" si="47"/>
        <v>Green</v>
      </c>
      <c r="D984">
        <f t="shared" si="48"/>
        <v>1</v>
      </c>
      <c r="E984">
        <f t="shared" si="49"/>
        <v>12</v>
      </c>
    </row>
    <row r="985" spans="1:5" x14ac:dyDescent="0.25">
      <c r="A985" s="28">
        <v>14944</v>
      </c>
      <c r="B985" s="17">
        <v>-4.6028880866426002E-2</v>
      </c>
      <c r="C985" t="str">
        <f t="shared" si="47"/>
        <v>Red</v>
      </c>
      <c r="D985">
        <f t="shared" si="48"/>
        <v>0</v>
      </c>
      <c r="E985">
        <f t="shared" si="49"/>
        <v>11</v>
      </c>
    </row>
    <row r="986" spans="1:5" x14ac:dyDescent="0.25">
      <c r="A986" s="28">
        <v>14915</v>
      </c>
      <c r="B986" s="17">
        <v>3.9399624765478397E-2</v>
      </c>
      <c r="C986" t="str">
        <f t="shared" si="47"/>
        <v>Green</v>
      </c>
      <c r="D986">
        <f t="shared" si="48"/>
        <v>1</v>
      </c>
      <c r="E986">
        <f t="shared" si="49"/>
        <v>10</v>
      </c>
    </row>
    <row r="987" spans="1:5" x14ac:dyDescent="0.25">
      <c r="A987" s="28">
        <v>14884</v>
      </c>
      <c r="B987" s="17">
        <v>1.5238095238095301E-2</v>
      </c>
      <c r="C987" t="str">
        <f t="shared" si="47"/>
        <v>Green</v>
      </c>
      <c r="D987">
        <f t="shared" si="48"/>
        <v>1</v>
      </c>
      <c r="E987">
        <f t="shared" si="49"/>
        <v>9</v>
      </c>
    </row>
    <row r="988" spans="1:5" x14ac:dyDescent="0.25">
      <c r="A988" s="28">
        <v>14853</v>
      </c>
      <c r="B988" s="17">
        <v>2.04081632653061E-2</v>
      </c>
      <c r="C988" t="str">
        <f t="shared" si="47"/>
        <v>Green</v>
      </c>
      <c r="D988">
        <f t="shared" si="48"/>
        <v>1</v>
      </c>
      <c r="E988">
        <f t="shared" si="49"/>
        <v>8</v>
      </c>
    </row>
    <row r="989" spans="1:5" x14ac:dyDescent="0.25">
      <c r="A989" s="28">
        <v>14823</v>
      </c>
      <c r="B989" s="17">
        <v>3.1062124248497001E-2</v>
      </c>
      <c r="C989" t="str">
        <f t="shared" si="47"/>
        <v>Green</v>
      </c>
      <c r="D989">
        <f t="shared" si="48"/>
        <v>1</v>
      </c>
      <c r="E989">
        <f t="shared" si="49"/>
        <v>7</v>
      </c>
    </row>
    <row r="990" spans="1:5" x14ac:dyDescent="0.25">
      <c r="A990" s="28">
        <v>14790</v>
      </c>
      <c r="B990" s="17">
        <v>7.6591154261057295E-2</v>
      </c>
      <c r="C990" t="str">
        <f t="shared" si="47"/>
        <v>Green</v>
      </c>
      <c r="D990">
        <f t="shared" si="48"/>
        <v>1</v>
      </c>
      <c r="E990">
        <f t="shared" si="49"/>
        <v>6</v>
      </c>
    </row>
    <row r="991" spans="1:5" x14ac:dyDescent="0.25">
      <c r="A991" s="28">
        <v>14762</v>
      </c>
      <c r="B991" s="17">
        <v>-0.239540607054963</v>
      </c>
      <c r="C991" t="str">
        <f t="shared" si="47"/>
        <v>Red</v>
      </c>
      <c r="D991">
        <f t="shared" si="48"/>
        <v>0</v>
      </c>
      <c r="E991">
        <f t="shared" si="49"/>
        <v>5</v>
      </c>
    </row>
    <row r="992" spans="1:5" x14ac:dyDescent="0.25">
      <c r="A992" s="28">
        <v>14731</v>
      </c>
      <c r="B992" s="17">
        <v>8.2101806239731601E-4</v>
      </c>
      <c r="C992" t="str">
        <f t="shared" si="47"/>
        <v>Green</v>
      </c>
      <c r="D992">
        <f t="shared" si="48"/>
        <v>1</v>
      </c>
      <c r="E992">
        <f t="shared" si="49"/>
        <v>4</v>
      </c>
    </row>
    <row r="993" spans="1:5" x14ac:dyDescent="0.25">
      <c r="A993" s="28">
        <v>14699</v>
      </c>
      <c r="B993" s="17">
        <v>4.1220115416322799E-3</v>
      </c>
      <c r="C993" t="str">
        <f t="shared" si="47"/>
        <v>Green</v>
      </c>
      <c r="D993">
        <f t="shared" si="48"/>
        <v>1</v>
      </c>
      <c r="E993">
        <f t="shared" si="49"/>
        <v>3</v>
      </c>
    </row>
    <row r="994" spans="1:5" x14ac:dyDescent="0.25">
      <c r="A994" s="28">
        <v>14670</v>
      </c>
      <c r="B994" s="17">
        <v>6.6390041493775698E-3</v>
      </c>
      <c r="C994" t="str">
        <f t="shared" si="47"/>
        <v>Green</v>
      </c>
      <c r="D994">
        <f t="shared" si="48"/>
        <v>1</v>
      </c>
      <c r="E994">
        <f t="shared" si="49"/>
        <v>2</v>
      </c>
    </row>
    <row r="995" spans="1:5" x14ac:dyDescent="0.25">
      <c r="A995" s="28">
        <v>14641</v>
      </c>
      <c r="B995" s="17">
        <v>-3.2905296950240803E-2</v>
      </c>
      <c r="C995" t="str">
        <f t="shared" si="47"/>
        <v>Red</v>
      </c>
      <c r="D995">
        <f t="shared" si="48"/>
        <v>0</v>
      </c>
      <c r="E995">
        <f t="shared" si="49"/>
        <v>1</v>
      </c>
    </row>
    <row r="996" spans="1:5" x14ac:dyDescent="0.25">
      <c r="A996" s="28">
        <v>14608</v>
      </c>
      <c r="B996" s="17">
        <v>2.13114754098362E-2</v>
      </c>
      <c r="C996" t="str">
        <f t="shared" si="47"/>
        <v>Green</v>
      </c>
      <c r="D996">
        <f t="shared" si="48"/>
        <v>1</v>
      </c>
      <c r="E996">
        <f t="shared" si="49"/>
        <v>12</v>
      </c>
    </row>
    <row r="997" spans="1:5" x14ac:dyDescent="0.25">
      <c r="A997" s="28">
        <v>14579</v>
      </c>
      <c r="B997" s="17">
        <v>-4.9103663289166002E-2</v>
      </c>
      <c r="C997" t="str">
        <f t="shared" si="47"/>
        <v>Red</v>
      </c>
      <c r="D997">
        <f t="shared" si="48"/>
        <v>0</v>
      </c>
      <c r="E997">
        <f t="shared" si="49"/>
        <v>11</v>
      </c>
    </row>
    <row r="998" spans="1:5" x14ac:dyDescent="0.25">
      <c r="A998" s="28">
        <v>14549</v>
      </c>
      <c r="B998" s="17">
        <v>3.1274433150900701E-3</v>
      </c>
      <c r="C998" t="str">
        <f t="shared" si="47"/>
        <v>Green</v>
      </c>
      <c r="D998">
        <f t="shared" si="48"/>
        <v>1</v>
      </c>
      <c r="E998">
        <f t="shared" si="49"/>
        <v>10</v>
      </c>
    </row>
    <row r="999" spans="1:5" x14ac:dyDescent="0.25">
      <c r="A999" s="28">
        <v>14517</v>
      </c>
      <c r="B999" s="17">
        <v>0.144007155635063</v>
      </c>
      <c r="C999" t="str">
        <f t="shared" si="47"/>
        <v>Green</v>
      </c>
      <c r="D999">
        <f t="shared" si="48"/>
        <v>1</v>
      </c>
      <c r="E999">
        <f t="shared" si="49"/>
        <v>9</v>
      </c>
    </row>
    <row r="1000" spans="1:5" x14ac:dyDescent="0.25">
      <c r="A1000" s="28">
        <v>14488</v>
      </c>
      <c r="B1000" s="17">
        <v>-7.1428571428571397E-2</v>
      </c>
      <c r="C1000" t="str">
        <f t="shared" si="47"/>
        <v>Red</v>
      </c>
      <c r="D1000">
        <f t="shared" si="48"/>
        <v>0</v>
      </c>
      <c r="E1000">
        <f t="shared" si="49"/>
        <v>8</v>
      </c>
    </row>
    <row r="1001" spans="1:5" x14ac:dyDescent="0.25">
      <c r="A1001" s="28">
        <v>14457</v>
      </c>
      <c r="B1001" s="17">
        <v>0.10865561694291</v>
      </c>
      <c r="C1001" t="str">
        <f t="shared" si="47"/>
        <v>Green</v>
      </c>
      <c r="D1001">
        <f t="shared" si="48"/>
        <v>1</v>
      </c>
      <c r="E1001">
        <f t="shared" si="49"/>
        <v>7</v>
      </c>
    </row>
    <row r="1002" spans="1:5" x14ac:dyDescent="0.25">
      <c r="A1002" s="28">
        <v>14426</v>
      </c>
      <c r="B1002" s="17">
        <v>-6.3793103448275906E-2</v>
      </c>
      <c r="C1002" t="str">
        <f t="shared" si="47"/>
        <v>Red</v>
      </c>
      <c r="D1002">
        <f t="shared" si="48"/>
        <v>0</v>
      </c>
      <c r="E1002">
        <f t="shared" si="49"/>
        <v>6</v>
      </c>
    </row>
    <row r="1003" spans="1:5" x14ac:dyDescent="0.25">
      <c r="A1003" s="28">
        <v>14396</v>
      </c>
      <c r="B1003" s="17">
        <v>6.1299176578225097E-2</v>
      </c>
      <c r="C1003" t="str">
        <f t="shared" si="47"/>
        <v>Green</v>
      </c>
      <c r="D1003">
        <f t="shared" si="48"/>
        <v>1</v>
      </c>
      <c r="E1003">
        <f t="shared" si="49"/>
        <v>5</v>
      </c>
    </row>
    <row r="1004" spans="1:5" x14ac:dyDescent="0.25">
      <c r="A1004" s="28">
        <v>14363</v>
      </c>
      <c r="B1004" s="17">
        <v>-4.5537340619308296E-3</v>
      </c>
      <c r="C1004" t="str">
        <f t="shared" si="47"/>
        <v>Red</v>
      </c>
      <c r="D1004">
        <f t="shared" si="48"/>
        <v>0</v>
      </c>
      <c r="E1004">
        <f t="shared" si="49"/>
        <v>4</v>
      </c>
    </row>
    <row r="1005" spans="1:5" x14ac:dyDescent="0.25">
      <c r="A1005" s="28">
        <v>14335</v>
      </c>
      <c r="B1005" s="17">
        <v>-0.13543307086614201</v>
      </c>
      <c r="C1005" t="str">
        <f t="shared" si="47"/>
        <v>Red</v>
      </c>
      <c r="D1005">
        <f t="shared" si="48"/>
        <v>0</v>
      </c>
      <c r="E1005">
        <f t="shared" si="49"/>
        <v>3</v>
      </c>
    </row>
    <row r="1006" spans="1:5" x14ac:dyDescent="0.25">
      <c r="A1006" s="28">
        <v>14304</v>
      </c>
      <c r="B1006" s="17">
        <v>3.2520325203252001E-2</v>
      </c>
      <c r="C1006" t="str">
        <f t="shared" si="47"/>
        <v>Green</v>
      </c>
      <c r="D1006">
        <f t="shared" si="48"/>
        <v>1</v>
      </c>
      <c r="E1006">
        <f t="shared" si="49"/>
        <v>2</v>
      </c>
    </row>
    <row r="1007" spans="1:5" x14ac:dyDescent="0.25">
      <c r="A1007" s="28">
        <v>14276</v>
      </c>
      <c r="B1007" s="17">
        <v>-6.3926940639269403E-2</v>
      </c>
      <c r="C1007" t="str">
        <f t="shared" si="47"/>
        <v>Red</v>
      </c>
      <c r="D1007">
        <f t="shared" si="48"/>
        <v>0</v>
      </c>
      <c r="E1007">
        <f t="shared" si="49"/>
        <v>1</v>
      </c>
    </row>
    <row r="1008" spans="1:5" x14ac:dyDescent="0.25">
      <c r="A1008" s="28">
        <v>14244</v>
      </c>
      <c r="B1008" s="17">
        <v>3.2207384131971703E-2</v>
      </c>
      <c r="C1008" t="str">
        <f t="shared" si="47"/>
        <v>Green</v>
      </c>
      <c r="D1008">
        <f t="shared" si="48"/>
        <v>1</v>
      </c>
      <c r="E1008">
        <f t="shared" si="49"/>
        <v>12</v>
      </c>
    </row>
    <row r="1009" spans="1:5" x14ac:dyDescent="0.25">
      <c r="A1009" s="28">
        <v>14214</v>
      </c>
      <c r="B1009" s="17">
        <v>-3.3409263477600502E-2</v>
      </c>
      <c r="C1009" t="str">
        <f t="shared" si="47"/>
        <v>Red</v>
      </c>
      <c r="D1009">
        <f t="shared" si="48"/>
        <v>0</v>
      </c>
      <c r="E1009">
        <f t="shared" si="49"/>
        <v>11</v>
      </c>
    </row>
    <row r="1010" spans="1:5" x14ac:dyDescent="0.25">
      <c r="A1010" s="28">
        <v>14184</v>
      </c>
      <c r="B1010" s="17">
        <v>7.5980392156862697E-2</v>
      </c>
      <c r="C1010" t="str">
        <f t="shared" si="47"/>
        <v>Green</v>
      </c>
      <c r="D1010">
        <f t="shared" si="48"/>
        <v>1</v>
      </c>
      <c r="E1010">
        <f t="shared" si="49"/>
        <v>10</v>
      </c>
    </row>
    <row r="1011" spans="1:5" x14ac:dyDescent="0.25">
      <c r="A1011" s="28">
        <v>14153</v>
      </c>
      <c r="B1011" s="17">
        <v>1.49253731343284E-2</v>
      </c>
      <c r="C1011" t="str">
        <f t="shared" si="47"/>
        <v>Green</v>
      </c>
      <c r="D1011">
        <f t="shared" si="48"/>
        <v>1</v>
      </c>
      <c r="E1011">
        <f t="shared" si="49"/>
        <v>9</v>
      </c>
    </row>
    <row r="1012" spans="1:5" x14ac:dyDescent="0.25">
      <c r="A1012" s="28">
        <v>14123</v>
      </c>
      <c r="B1012" s="17">
        <v>-2.18978102189781E-2</v>
      </c>
      <c r="C1012" t="str">
        <f t="shared" si="47"/>
        <v>Red</v>
      </c>
      <c r="D1012">
        <f t="shared" si="48"/>
        <v>0</v>
      </c>
      <c r="E1012">
        <f t="shared" si="49"/>
        <v>8</v>
      </c>
    </row>
    <row r="1013" spans="1:5" x14ac:dyDescent="0.25">
      <c r="A1013" s="28">
        <v>14090</v>
      </c>
      <c r="B1013" s="17">
        <v>6.6608996539792201E-2</v>
      </c>
      <c r="C1013" t="str">
        <f t="shared" si="47"/>
        <v>Green</v>
      </c>
      <c r="D1013">
        <f t="shared" si="48"/>
        <v>1</v>
      </c>
      <c r="E1013">
        <f t="shared" si="49"/>
        <v>7</v>
      </c>
    </row>
    <row r="1014" spans="1:5" x14ac:dyDescent="0.25">
      <c r="A1014" s="28">
        <v>14061</v>
      </c>
      <c r="B1014" s="17">
        <v>0.24703344120819901</v>
      </c>
      <c r="C1014" t="str">
        <f t="shared" si="47"/>
        <v>Green</v>
      </c>
      <c r="D1014">
        <f t="shared" si="48"/>
        <v>1</v>
      </c>
      <c r="E1014">
        <f t="shared" si="49"/>
        <v>6</v>
      </c>
    </row>
    <row r="1015" spans="1:5" x14ac:dyDescent="0.25">
      <c r="A1015" s="28">
        <v>14031</v>
      </c>
      <c r="B1015" s="17">
        <v>-5.2147239263803699E-2</v>
      </c>
      <c r="C1015" t="str">
        <f t="shared" si="47"/>
        <v>Red</v>
      </c>
      <c r="D1015">
        <f t="shared" si="48"/>
        <v>0</v>
      </c>
      <c r="E1015">
        <f t="shared" si="49"/>
        <v>5</v>
      </c>
    </row>
    <row r="1016" spans="1:5" x14ac:dyDescent="0.25">
      <c r="A1016" s="28">
        <v>13999</v>
      </c>
      <c r="B1016" s="17">
        <v>0.150588235294117</v>
      </c>
      <c r="C1016" t="str">
        <f t="shared" si="47"/>
        <v>Green</v>
      </c>
      <c r="D1016">
        <f t="shared" si="48"/>
        <v>1</v>
      </c>
      <c r="E1016">
        <f t="shared" si="49"/>
        <v>4</v>
      </c>
    </row>
    <row r="1017" spans="1:5" x14ac:dyDescent="0.25">
      <c r="A1017" s="28">
        <v>13970</v>
      </c>
      <c r="B1017" s="17">
        <v>-0.25044091710758398</v>
      </c>
      <c r="C1017" t="str">
        <f t="shared" si="47"/>
        <v>Red</v>
      </c>
      <c r="D1017">
        <f t="shared" si="48"/>
        <v>0</v>
      </c>
      <c r="E1017">
        <f t="shared" si="49"/>
        <v>3</v>
      </c>
    </row>
    <row r="1018" spans="1:5" x14ac:dyDescent="0.25">
      <c r="A1018" s="28">
        <v>13939</v>
      </c>
      <c r="B1018" s="17">
        <v>6.0804490177736301E-2</v>
      </c>
      <c r="C1018" t="str">
        <f t="shared" si="47"/>
        <v>Green</v>
      </c>
      <c r="D1018">
        <f t="shared" si="48"/>
        <v>1</v>
      </c>
      <c r="E1018">
        <f t="shared" si="49"/>
        <v>2</v>
      </c>
    </row>
    <row r="1019" spans="1:5" x14ac:dyDescent="0.25">
      <c r="A1019" s="28">
        <v>13911</v>
      </c>
      <c r="B1019" s="17">
        <v>1.32701421800947E-2</v>
      </c>
      <c r="C1019" t="str">
        <f t="shared" si="47"/>
        <v>Green</v>
      </c>
      <c r="D1019">
        <f t="shared" si="48"/>
        <v>1</v>
      </c>
      <c r="E1019">
        <f t="shared" si="49"/>
        <v>1</v>
      </c>
    </row>
    <row r="1020" spans="1:5" x14ac:dyDescent="0.25">
      <c r="A1020" s="28">
        <v>13880</v>
      </c>
      <c r="B1020" s="17">
        <v>-5.04050405040503E-2</v>
      </c>
      <c r="C1020" t="str">
        <f t="shared" si="47"/>
        <v>Red</v>
      </c>
      <c r="D1020">
        <f t="shared" si="48"/>
        <v>0</v>
      </c>
      <c r="E1020">
        <f t="shared" si="49"/>
        <v>12</v>
      </c>
    </row>
    <row r="1021" spans="1:5" x14ac:dyDescent="0.25">
      <c r="A1021" s="28">
        <v>13849</v>
      </c>
      <c r="B1021" s="17">
        <v>-0.100404858299595</v>
      </c>
      <c r="C1021" t="str">
        <f t="shared" si="47"/>
        <v>Red</v>
      </c>
      <c r="D1021">
        <f t="shared" si="48"/>
        <v>0</v>
      </c>
      <c r="E1021">
        <f t="shared" si="49"/>
        <v>11</v>
      </c>
    </row>
    <row r="1022" spans="1:5" x14ac:dyDescent="0.25">
      <c r="A1022" s="28">
        <v>13817</v>
      </c>
      <c r="B1022" s="17">
        <v>-0.102470930232558</v>
      </c>
      <c r="C1022" t="str">
        <f t="shared" si="47"/>
        <v>Red</v>
      </c>
      <c r="D1022">
        <f t="shared" si="48"/>
        <v>0</v>
      </c>
      <c r="E1022">
        <f t="shared" si="49"/>
        <v>10</v>
      </c>
    </row>
    <row r="1023" spans="1:5" x14ac:dyDescent="0.25">
      <c r="A1023" s="28">
        <v>13788</v>
      </c>
      <c r="B1023" s="17">
        <v>-0.14214469188624099</v>
      </c>
      <c r="C1023" t="str">
        <f t="shared" si="47"/>
        <v>Red</v>
      </c>
      <c r="D1023">
        <f t="shared" si="48"/>
        <v>0</v>
      </c>
      <c r="E1023">
        <f t="shared" si="49"/>
        <v>9</v>
      </c>
    </row>
    <row r="1024" spans="1:5" x14ac:dyDescent="0.25">
      <c r="A1024" s="28">
        <v>13758</v>
      </c>
      <c r="B1024" s="17">
        <v>-4.3530053667262897E-2</v>
      </c>
      <c r="C1024" t="str">
        <f t="shared" si="47"/>
        <v>Red</v>
      </c>
      <c r="D1024">
        <f t="shared" si="48"/>
        <v>0</v>
      </c>
      <c r="E1024">
        <f t="shared" si="49"/>
        <v>8</v>
      </c>
    </row>
    <row r="1025" spans="1:5" x14ac:dyDescent="0.25">
      <c r="A1025" s="28">
        <v>13726</v>
      </c>
      <c r="B1025" s="17">
        <v>8.8961038961038894E-2</v>
      </c>
      <c r="C1025" t="str">
        <f t="shared" si="47"/>
        <v>Green</v>
      </c>
      <c r="D1025">
        <f t="shared" si="48"/>
        <v>1</v>
      </c>
      <c r="E1025">
        <f t="shared" si="49"/>
        <v>7</v>
      </c>
    </row>
    <row r="1026" spans="1:5" x14ac:dyDescent="0.25">
      <c r="A1026" s="28">
        <v>13696</v>
      </c>
      <c r="B1026" s="17">
        <v>-5.28905289052891E-2</v>
      </c>
      <c r="C1026" t="str">
        <f t="shared" si="47"/>
        <v>Red</v>
      </c>
      <c r="D1026">
        <f t="shared" si="48"/>
        <v>0</v>
      </c>
      <c r="E1026">
        <f t="shared" si="49"/>
        <v>6</v>
      </c>
    </row>
    <row r="1027" spans="1:5" x14ac:dyDescent="0.25">
      <c r="A1027" s="28">
        <v>13663</v>
      </c>
      <c r="B1027" s="17">
        <v>-1.0346926354230001E-2</v>
      </c>
      <c r="C1027" t="str">
        <f t="shared" ref="C1027:C1090" si="50">IF(B1027&gt;0,"Green","Red")</f>
        <v>Red</v>
      </c>
      <c r="D1027">
        <f t="shared" si="48"/>
        <v>0</v>
      </c>
      <c r="E1027">
        <f t="shared" si="49"/>
        <v>5</v>
      </c>
    </row>
    <row r="1028" spans="1:5" x14ac:dyDescent="0.25">
      <c r="A1028" s="28">
        <v>13635</v>
      </c>
      <c r="B1028" s="17">
        <v>-8.3147321428571494E-2</v>
      </c>
      <c r="C1028" t="str">
        <f t="shared" si="50"/>
        <v>Red</v>
      </c>
      <c r="D1028">
        <f t="shared" ref="D1028:D1091" si="51">IF(B1028&gt;0,1,0)</f>
        <v>0</v>
      </c>
      <c r="E1028">
        <f t="shared" ref="E1028:E1091" si="52">MONTH(A1028)</f>
        <v>4</v>
      </c>
    </row>
    <row r="1029" spans="1:5" x14ac:dyDescent="0.25">
      <c r="A1029" s="28">
        <v>13605</v>
      </c>
      <c r="B1029" s="17">
        <v>-7.7518830427398804E-3</v>
      </c>
      <c r="C1029" t="str">
        <f t="shared" si="50"/>
        <v>Red</v>
      </c>
      <c r="D1029">
        <f t="shared" si="51"/>
        <v>0</v>
      </c>
      <c r="E1029">
        <f t="shared" si="52"/>
        <v>3</v>
      </c>
    </row>
    <row r="1030" spans="1:5" x14ac:dyDescent="0.25">
      <c r="A1030" s="28">
        <v>13572</v>
      </c>
      <c r="B1030" s="17">
        <v>1.6319583567810901E-2</v>
      </c>
      <c r="C1030" t="str">
        <f t="shared" si="50"/>
        <v>Green</v>
      </c>
      <c r="D1030">
        <f t="shared" si="51"/>
        <v>1</v>
      </c>
      <c r="E1030">
        <f t="shared" si="52"/>
        <v>2</v>
      </c>
    </row>
    <row r="1031" spans="1:5" x14ac:dyDescent="0.25">
      <c r="A1031" s="28">
        <v>13544</v>
      </c>
      <c r="B1031" s="17">
        <v>3.4342258440046597E-2</v>
      </c>
      <c r="C1031" t="str">
        <f t="shared" si="50"/>
        <v>Green</v>
      </c>
      <c r="D1031">
        <f t="shared" si="51"/>
        <v>1</v>
      </c>
      <c r="E1031">
        <f t="shared" si="52"/>
        <v>1</v>
      </c>
    </row>
    <row r="1032" spans="1:5" x14ac:dyDescent="0.25">
      <c r="A1032" s="28">
        <v>13515</v>
      </c>
      <c r="B1032" s="17">
        <v>-5.7870945725060404E-3</v>
      </c>
      <c r="C1032" t="str">
        <f t="shared" si="50"/>
        <v>Red</v>
      </c>
      <c r="D1032">
        <f t="shared" si="51"/>
        <v>0</v>
      </c>
      <c r="E1032">
        <f t="shared" si="52"/>
        <v>12</v>
      </c>
    </row>
    <row r="1033" spans="1:5" x14ac:dyDescent="0.25">
      <c r="A1033" s="28">
        <v>13484</v>
      </c>
      <c r="B1033" s="17">
        <v>2.9019733023794001E-3</v>
      </c>
      <c r="C1033" t="str">
        <f t="shared" si="50"/>
        <v>Green</v>
      </c>
      <c r="D1033">
        <f t="shared" si="51"/>
        <v>1</v>
      </c>
      <c r="E1033">
        <f t="shared" si="52"/>
        <v>11</v>
      </c>
    </row>
    <row r="1034" spans="1:5" x14ac:dyDescent="0.25">
      <c r="A1034" s="28">
        <v>13453</v>
      </c>
      <c r="B1034" s="17">
        <v>7.6202373516551999E-2</v>
      </c>
      <c r="C1034" t="str">
        <f t="shared" si="50"/>
        <v>Green</v>
      </c>
      <c r="D1034">
        <f t="shared" si="51"/>
        <v>1</v>
      </c>
      <c r="E1034">
        <f t="shared" si="52"/>
        <v>10</v>
      </c>
    </row>
    <row r="1035" spans="1:5" x14ac:dyDescent="0.25">
      <c r="A1035" s="28">
        <v>13423</v>
      </c>
      <c r="B1035" s="17">
        <v>1.25078173858673E-3</v>
      </c>
      <c r="C1035" t="str">
        <f t="shared" si="50"/>
        <v>Green</v>
      </c>
      <c r="D1035">
        <f t="shared" si="51"/>
        <v>1</v>
      </c>
      <c r="E1035">
        <f t="shared" si="52"/>
        <v>9</v>
      </c>
    </row>
    <row r="1036" spans="1:5" x14ac:dyDescent="0.25">
      <c r="A1036" s="28">
        <v>13393</v>
      </c>
      <c r="B1036" s="17">
        <v>8.8328075709780407E-3</v>
      </c>
      <c r="C1036" t="str">
        <f t="shared" si="50"/>
        <v>Green</v>
      </c>
      <c r="D1036">
        <f t="shared" si="51"/>
        <v>1</v>
      </c>
      <c r="E1036">
        <f t="shared" si="52"/>
        <v>8</v>
      </c>
    </row>
    <row r="1037" spans="1:5" x14ac:dyDescent="0.25">
      <c r="A1037" s="28">
        <v>13362</v>
      </c>
      <c r="B1037" s="17">
        <v>6.8059299191374698E-2</v>
      </c>
      <c r="C1037" t="str">
        <f t="shared" si="50"/>
        <v>Green</v>
      </c>
      <c r="D1037">
        <f t="shared" si="51"/>
        <v>1</v>
      </c>
      <c r="E1037">
        <f t="shared" si="52"/>
        <v>7</v>
      </c>
    </row>
    <row r="1038" spans="1:5" x14ac:dyDescent="0.25">
      <c r="A1038" s="28">
        <v>13331</v>
      </c>
      <c r="B1038" s="17">
        <v>3.0555555555555398E-2</v>
      </c>
      <c r="C1038" t="str">
        <f t="shared" si="50"/>
        <v>Green</v>
      </c>
      <c r="D1038">
        <f t="shared" si="51"/>
        <v>1</v>
      </c>
      <c r="E1038">
        <f t="shared" si="52"/>
        <v>6</v>
      </c>
    </row>
    <row r="1039" spans="1:5" x14ac:dyDescent="0.25">
      <c r="A1039" s="28">
        <v>13299</v>
      </c>
      <c r="B1039" s="17">
        <v>4.5751633986928199E-2</v>
      </c>
      <c r="C1039" t="str">
        <f t="shared" si="50"/>
        <v>Green</v>
      </c>
      <c r="D1039">
        <f t="shared" si="51"/>
        <v>1</v>
      </c>
      <c r="E1039">
        <f t="shared" si="52"/>
        <v>5</v>
      </c>
    </row>
    <row r="1040" spans="1:5" x14ac:dyDescent="0.25">
      <c r="A1040" s="28">
        <v>13270</v>
      </c>
      <c r="B1040" s="17">
        <v>-7.7077747989276094E-2</v>
      </c>
      <c r="C1040" t="str">
        <f t="shared" si="50"/>
        <v>Red</v>
      </c>
      <c r="D1040">
        <f t="shared" si="51"/>
        <v>0</v>
      </c>
      <c r="E1040">
        <f t="shared" si="52"/>
        <v>4</v>
      </c>
    </row>
    <row r="1041" spans="1:5" x14ac:dyDescent="0.25">
      <c r="A1041" s="28">
        <v>13240</v>
      </c>
      <c r="B1041" s="17">
        <v>2.1917808219177999E-2</v>
      </c>
      <c r="C1041" t="str">
        <f t="shared" si="50"/>
        <v>Green</v>
      </c>
      <c r="D1041">
        <f t="shared" si="51"/>
        <v>1</v>
      </c>
      <c r="E1041">
        <f t="shared" si="52"/>
        <v>3</v>
      </c>
    </row>
    <row r="1042" spans="1:5" x14ac:dyDescent="0.25">
      <c r="A1042" s="28">
        <v>13208</v>
      </c>
      <c r="B1042" s="17">
        <v>2.0265548567435201E-2</v>
      </c>
      <c r="C1042" t="str">
        <f t="shared" si="50"/>
        <v>Green</v>
      </c>
      <c r="D1042">
        <f t="shared" si="51"/>
        <v>1</v>
      </c>
      <c r="E1042">
        <f t="shared" si="52"/>
        <v>2</v>
      </c>
    </row>
    <row r="1043" spans="1:5" x14ac:dyDescent="0.25">
      <c r="A1043" s="28">
        <v>13180</v>
      </c>
      <c r="B1043" s="17">
        <v>6.5524944154877293E-2</v>
      </c>
      <c r="C1043" t="str">
        <f t="shared" si="50"/>
        <v>Green</v>
      </c>
      <c r="D1043">
        <f t="shared" si="51"/>
        <v>1</v>
      </c>
      <c r="E1043">
        <f t="shared" si="52"/>
        <v>1</v>
      </c>
    </row>
    <row r="1044" spans="1:5" x14ac:dyDescent="0.25">
      <c r="A1044" s="28">
        <v>13149</v>
      </c>
      <c r="B1044" s="17">
        <v>3.7867078825347698E-2</v>
      </c>
      <c r="C1044" t="str">
        <f t="shared" si="50"/>
        <v>Green</v>
      </c>
      <c r="D1044">
        <f t="shared" si="51"/>
        <v>1</v>
      </c>
      <c r="E1044">
        <f t="shared" si="52"/>
        <v>12</v>
      </c>
    </row>
    <row r="1045" spans="1:5" x14ac:dyDescent="0.25">
      <c r="A1045" s="28">
        <v>13117</v>
      </c>
      <c r="B1045" s="17">
        <v>3.8523274478330601E-2</v>
      </c>
      <c r="C1045" t="str">
        <f t="shared" si="50"/>
        <v>Green</v>
      </c>
      <c r="D1045">
        <f t="shared" si="51"/>
        <v>1</v>
      </c>
      <c r="E1045">
        <f t="shared" si="52"/>
        <v>11</v>
      </c>
    </row>
    <row r="1046" spans="1:5" x14ac:dyDescent="0.25">
      <c r="A1046" s="28">
        <v>13088</v>
      </c>
      <c r="B1046" s="17">
        <v>7.5064710957722297E-2</v>
      </c>
      <c r="C1046" t="str">
        <f t="shared" si="50"/>
        <v>Green</v>
      </c>
      <c r="D1046">
        <f t="shared" si="51"/>
        <v>1</v>
      </c>
      <c r="E1046">
        <f t="shared" si="52"/>
        <v>10</v>
      </c>
    </row>
    <row r="1047" spans="1:5" x14ac:dyDescent="0.25">
      <c r="A1047" s="28">
        <v>13057</v>
      </c>
      <c r="B1047" s="17">
        <v>3.1138790035587099E-2</v>
      </c>
      <c r="C1047" t="str">
        <f t="shared" si="50"/>
        <v>Green</v>
      </c>
      <c r="D1047">
        <f t="shared" si="51"/>
        <v>1</v>
      </c>
      <c r="E1047">
        <f t="shared" si="52"/>
        <v>9</v>
      </c>
    </row>
    <row r="1048" spans="1:5" x14ac:dyDescent="0.25">
      <c r="A1048" s="28">
        <v>13026</v>
      </c>
      <c r="B1048" s="17">
        <v>1.4440433212996401E-2</v>
      </c>
      <c r="C1048" t="str">
        <f t="shared" si="50"/>
        <v>Green</v>
      </c>
      <c r="D1048">
        <f t="shared" si="51"/>
        <v>1</v>
      </c>
      <c r="E1048">
        <f t="shared" si="52"/>
        <v>8</v>
      </c>
    </row>
    <row r="1049" spans="1:5" x14ac:dyDescent="0.25">
      <c r="A1049" s="28">
        <v>12996</v>
      </c>
      <c r="B1049" s="17">
        <v>8.203125E-2</v>
      </c>
      <c r="C1049" t="str">
        <f t="shared" si="50"/>
        <v>Green</v>
      </c>
      <c r="D1049">
        <f t="shared" si="51"/>
        <v>1</v>
      </c>
      <c r="E1049">
        <f t="shared" si="52"/>
        <v>7</v>
      </c>
    </row>
    <row r="1050" spans="1:5" x14ac:dyDescent="0.25">
      <c r="A1050" s="28">
        <v>12963</v>
      </c>
      <c r="B1050" s="17">
        <v>6.8893528183716204E-2</v>
      </c>
      <c r="C1050" t="str">
        <f t="shared" si="50"/>
        <v>Green</v>
      </c>
      <c r="D1050">
        <f t="shared" si="51"/>
        <v>1</v>
      </c>
      <c r="E1050">
        <f t="shared" si="52"/>
        <v>6</v>
      </c>
    </row>
    <row r="1051" spans="1:5" x14ac:dyDescent="0.25">
      <c r="A1051" s="28">
        <v>12935</v>
      </c>
      <c r="B1051" s="17">
        <v>3.2327586206896602E-2</v>
      </c>
      <c r="C1051" t="str">
        <f t="shared" si="50"/>
        <v>Green</v>
      </c>
      <c r="D1051">
        <f t="shared" si="51"/>
        <v>1</v>
      </c>
      <c r="E1051">
        <f t="shared" si="52"/>
        <v>5</v>
      </c>
    </row>
    <row r="1052" spans="1:5" x14ac:dyDescent="0.25">
      <c r="A1052" s="28">
        <v>12904</v>
      </c>
      <c r="B1052" s="17">
        <v>9.82248520710058E-2</v>
      </c>
      <c r="C1052" t="str">
        <f t="shared" si="50"/>
        <v>Green</v>
      </c>
      <c r="D1052">
        <f t="shared" si="51"/>
        <v>1</v>
      </c>
      <c r="E1052">
        <f t="shared" si="52"/>
        <v>4</v>
      </c>
    </row>
    <row r="1053" spans="1:5" x14ac:dyDescent="0.25">
      <c r="A1053" s="28">
        <v>12872</v>
      </c>
      <c r="B1053" s="17">
        <v>-3.3180778032036701E-2</v>
      </c>
      <c r="C1053" t="str">
        <f t="shared" si="50"/>
        <v>Red</v>
      </c>
      <c r="D1053">
        <f t="shared" si="51"/>
        <v>0</v>
      </c>
      <c r="E1053">
        <f t="shared" si="52"/>
        <v>3</v>
      </c>
    </row>
    <row r="1054" spans="1:5" x14ac:dyDescent="0.25">
      <c r="A1054" s="28">
        <v>12843</v>
      </c>
      <c r="B1054" s="17">
        <v>-3.9560439560439503E-2</v>
      </c>
      <c r="C1054" t="str">
        <f t="shared" si="50"/>
        <v>Red</v>
      </c>
      <c r="D1054">
        <f t="shared" si="51"/>
        <v>0</v>
      </c>
      <c r="E1054">
        <f t="shared" si="52"/>
        <v>2</v>
      </c>
    </row>
    <row r="1055" spans="1:5" x14ac:dyDescent="0.25">
      <c r="A1055" s="28">
        <v>12815</v>
      </c>
      <c r="B1055" s="17">
        <v>-4.2105263157894798E-2</v>
      </c>
      <c r="C1055" t="str">
        <f t="shared" si="50"/>
        <v>Red</v>
      </c>
      <c r="D1055">
        <f t="shared" si="51"/>
        <v>0</v>
      </c>
      <c r="E1055">
        <f t="shared" si="52"/>
        <v>1</v>
      </c>
    </row>
    <row r="1056" spans="1:5" x14ac:dyDescent="0.25">
      <c r="A1056" s="28">
        <v>12784</v>
      </c>
      <c r="B1056" s="17">
        <v>-4.1928721174003796E-3</v>
      </c>
      <c r="C1056" t="str">
        <f t="shared" si="50"/>
        <v>Red</v>
      </c>
      <c r="D1056">
        <f t="shared" si="51"/>
        <v>0</v>
      </c>
      <c r="E1056">
        <f t="shared" si="52"/>
        <v>12</v>
      </c>
    </row>
    <row r="1057" spans="1:5" x14ac:dyDescent="0.25">
      <c r="A1057" s="28">
        <v>12753</v>
      </c>
      <c r="B1057" s="17">
        <v>8.2860385925084906E-2</v>
      </c>
      <c r="C1057" t="str">
        <f t="shared" si="50"/>
        <v>Green</v>
      </c>
      <c r="D1057">
        <f t="shared" si="51"/>
        <v>1</v>
      </c>
      <c r="E1057">
        <f t="shared" si="52"/>
        <v>11</v>
      </c>
    </row>
    <row r="1058" spans="1:5" x14ac:dyDescent="0.25">
      <c r="A1058" s="28">
        <v>12723</v>
      </c>
      <c r="B1058" s="17">
        <v>-2.97356828193832E-2</v>
      </c>
      <c r="C1058" t="str">
        <f t="shared" si="50"/>
        <v>Red</v>
      </c>
      <c r="D1058">
        <f t="shared" si="51"/>
        <v>0</v>
      </c>
      <c r="E1058">
        <f t="shared" si="52"/>
        <v>10</v>
      </c>
    </row>
    <row r="1059" spans="1:5" x14ac:dyDescent="0.25">
      <c r="A1059" s="28">
        <v>12690</v>
      </c>
      <c r="B1059" s="17">
        <v>-7.6502732240437696E-3</v>
      </c>
      <c r="C1059" t="str">
        <f t="shared" si="50"/>
        <v>Red</v>
      </c>
      <c r="D1059">
        <f t="shared" si="51"/>
        <v>0</v>
      </c>
      <c r="E1059">
        <f t="shared" si="52"/>
        <v>9</v>
      </c>
    </row>
    <row r="1060" spans="1:5" x14ac:dyDescent="0.25">
      <c r="A1060" s="28">
        <v>12662</v>
      </c>
      <c r="B1060" s="17">
        <v>5.4147465437787999E-2</v>
      </c>
      <c r="C1060" t="str">
        <f t="shared" si="50"/>
        <v>Green</v>
      </c>
      <c r="D1060">
        <f t="shared" si="51"/>
        <v>1</v>
      </c>
      <c r="E1060">
        <f t="shared" si="52"/>
        <v>8</v>
      </c>
    </row>
    <row r="1061" spans="1:5" x14ac:dyDescent="0.25">
      <c r="A1061" s="28">
        <v>12631</v>
      </c>
      <c r="B1061" s="17">
        <v>-0.115188583078491</v>
      </c>
      <c r="C1061" t="str">
        <f t="shared" si="50"/>
        <v>Red</v>
      </c>
      <c r="D1061">
        <f t="shared" si="51"/>
        <v>0</v>
      </c>
      <c r="E1061">
        <f t="shared" si="52"/>
        <v>7</v>
      </c>
    </row>
    <row r="1062" spans="1:5" x14ac:dyDescent="0.25">
      <c r="A1062" s="28">
        <v>12599</v>
      </c>
      <c r="B1062" s="17">
        <v>2.0811654526534901E-2</v>
      </c>
      <c r="C1062" t="str">
        <f t="shared" si="50"/>
        <v>Green</v>
      </c>
      <c r="D1062">
        <f t="shared" si="51"/>
        <v>1</v>
      </c>
      <c r="E1062">
        <f t="shared" si="52"/>
        <v>6</v>
      </c>
    </row>
    <row r="1063" spans="1:5" x14ac:dyDescent="0.25">
      <c r="A1063" s="28">
        <v>12570</v>
      </c>
      <c r="B1063" s="17">
        <v>-8.1261950286806994E-2</v>
      </c>
      <c r="C1063" t="str">
        <f t="shared" si="50"/>
        <v>Red</v>
      </c>
      <c r="D1063">
        <f t="shared" si="51"/>
        <v>0</v>
      </c>
      <c r="E1063">
        <f t="shared" si="52"/>
        <v>5</v>
      </c>
    </row>
    <row r="1064" spans="1:5" x14ac:dyDescent="0.25">
      <c r="A1064" s="28">
        <v>12539</v>
      </c>
      <c r="B1064" s="17">
        <v>-1.5065913370997899E-2</v>
      </c>
      <c r="C1064" t="str">
        <f t="shared" si="50"/>
        <v>Red</v>
      </c>
      <c r="D1064">
        <f t="shared" si="51"/>
        <v>0</v>
      </c>
      <c r="E1064">
        <f t="shared" si="52"/>
        <v>4</v>
      </c>
    </row>
    <row r="1065" spans="1:5" x14ac:dyDescent="0.25">
      <c r="A1065" s="28">
        <v>12507</v>
      </c>
      <c r="B1065" s="17">
        <v>-1.3011152416357001E-2</v>
      </c>
      <c r="C1065" t="str">
        <f t="shared" si="50"/>
        <v>Red</v>
      </c>
      <c r="D1065">
        <f t="shared" si="51"/>
        <v>0</v>
      </c>
      <c r="E1065">
        <f t="shared" si="52"/>
        <v>3</v>
      </c>
    </row>
    <row r="1066" spans="1:5" x14ac:dyDescent="0.25">
      <c r="A1066" s="28">
        <v>12478</v>
      </c>
      <c r="B1066" s="17">
        <v>-3.6705461056400997E-2</v>
      </c>
      <c r="C1066" t="str">
        <f t="shared" si="50"/>
        <v>Red</v>
      </c>
      <c r="D1066">
        <f t="shared" si="51"/>
        <v>0</v>
      </c>
      <c r="E1066">
        <f t="shared" si="52"/>
        <v>2</v>
      </c>
    </row>
    <row r="1067" spans="1:5" x14ac:dyDescent="0.25">
      <c r="A1067" s="28">
        <v>12450</v>
      </c>
      <c r="B1067" s="17">
        <v>0.12036108324974901</v>
      </c>
      <c r="C1067" t="str">
        <f t="shared" si="50"/>
        <v>Green</v>
      </c>
      <c r="D1067">
        <f t="shared" si="51"/>
        <v>1</v>
      </c>
      <c r="E1067">
        <f t="shared" si="52"/>
        <v>1</v>
      </c>
    </row>
    <row r="1068" spans="1:5" x14ac:dyDescent="0.25">
      <c r="A1068" s="28">
        <v>12417</v>
      </c>
      <c r="B1068" s="17">
        <v>9.1093117408906892E-3</v>
      </c>
      <c r="C1068" t="str">
        <f t="shared" si="50"/>
        <v>Green</v>
      </c>
      <c r="D1068">
        <f t="shared" si="51"/>
        <v>1</v>
      </c>
      <c r="E1068">
        <f t="shared" si="52"/>
        <v>12</v>
      </c>
    </row>
    <row r="1069" spans="1:5" x14ac:dyDescent="0.25">
      <c r="A1069" s="28">
        <v>12387</v>
      </c>
      <c r="B1069" s="17">
        <v>0.10267857142857099</v>
      </c>
      <c r="C1069" t="str">
        <f t="shared" si="50"/>
        <v>Green</v>
      </c>
      <c r="D1069">
        <f t="shared" si="51"/>
        <v>1</v>
      </c>
      <c r="E1069">
        <f t="shared" si="52"/>
        <v>11</v>
      </c>
    </row>
    <row r="1070" spans="1:5" x14ac:dyDescent="0.25">
      <c r="A1070" s="28">
        <v>12358</v>
      </c>
      <c r="B1070" s="17">
        <v>-7.8189300411522597E-2</v>
      </c>
      <c r="C1070" t="str">
        <f t="shared" si="50"/>
        <v>Red</v>
      </c>
      <c r="D1070">
        <f t="shared" si="51"/>
        <v>0</v>
      </c>
      <c r="E1070">
        <f t="shared" si="52"/>
        <v>10</v>
      </c>
    </row>
    <row r="1071" spans="1:5" x14ac:dyDescent="0.25">
      <c r="A1071" s="28">
        <v>12326</v>
      </c>
      <c r="B1071" s="17">
        <v>-0.123534715960325</v>
      </c>
      <c r="C1071" t="str">
        <f t="shared" si="50"/>
        <v>Red</v>
      </c>
      <c r="D1071">
        <f t="shared" si="51"/>
        <v>0</v>
      </c>
      <c r="E1071">
        <f t="shared" si="52"/>
        <v>9</v>
      </c>
    </row>
    <row r="1072" spans="1:5" x14ac:dyDescent="0.25">
      <c r="A1072" s="28">
        <v>12297</v>
      </c>
      <c r="B1072" s="17">
        <v>0.114572864321608</v>
      </c>
      <c r="C1072" t="str">
        <f t="shared" si="50"/>
        <v>Green</v>
      </c>
      <c r="D1072">
        <f t="shared" si="51"/>
        <v>1</v>
      </c>
      <c r="E1072">
        <f t="shared" si="52"/>
        <v>8</v>
      </c>
    </row>
    <row r="1073" spans="1:5" x14ac:dyDescent="0.25">
      <c r="A1073" s="28">
        <v>12266</v>
      </c>
      <c r="B1073" s="17">
        <v>-8.7992667277726894E-2</v>
      </c>
      <c r="C1073" t="str">
        <f t="shared" si="50"/>
        <v>Red</v>
      </c>
      <c r="D1073">
        <f t="shared" si="51"/>
        <v>0</v>
      </c>
      <c r="E1073">
        <f t="shared" si="52"/>
        <v>7</v>
      </c>
    </row>
    <row r="1074" spans="1:5" x14ac:dyDescent="0.25">
      <c r="A1074" s="28">
        <v>12235</v>
      </c>
      <c r="B1074" s="17">
        <v>0.13174273858921201</v>
      </c>
      <c r="C1074" t="str">
        <f t="shared" si="50"/>
        <v>Green</v>
      </c>
      <c r="D1074">
        <f t="shared" si="51"/>
        <v>1</v>
      </c>
      <c r="E1074">
        <f t="shared" si="52"/>
        <v>6</v>
      </c>
    </row>
    <row r="1075" spans="1:5" x14ac:dyDescent="0.25">
      <c r="A1075" s="28">
        <v>12205</v>
      </c>
      <c r="B1075" s="17">
        <v>0.23116219667943799</v>
      </c>
      <c r="C1075" t="str">
        <f t="shared" si="50"/>
        <v>Green</v>
      </c>
      <c r="D1075">
        <f t="shared" si="51"/>
        <v>1</v>
      </c>
      <c r="E1075">
        <f t="shared" si="52"/>
        <v>5</v>
      </c>
    </row>
    <row r="1076" spans="1:5" x14ac:dyDescent="0.25">
      <c r="A1076" s="28">
        <v>12172</v>
      </c>
      <c r="B1076" s="17">
        <v>0.33846153846153898</v>
      </c>
      <c r="C1076" t="str">
        <f t="shared" si="50"/>
        <v>Green</v>
      </c>
      <c r="D1076">
        <f t="shared" si="51"/>
        <v>1</v>
      </c>
      <c r="E1076">
        <f t="shared" si="52"/>
        <v>4</v>
      </c>
    </row>
    <row r="1077" spans="1:5" x14ac:dyDescent="0.25">
      <c r="A1077" s="28">
        <v>12144</v>
      </c>
      <c r="B1077" s="17">
        <v>3.3568904593639599E-2</v>
      </c>
      <c r="C1077" t="str">
        <f t="shared" si="50"/>
        <v>Green</v>
      </c>
      <c r="D1077">
        <f t="shared" si="51"/>
        <v>1</v>
      </c>
      <c r="E1077">
        <f t="shared" si="52"/>
        <v>3</v>
      </c>
    </row>
    <row r="1078" spans="1:5" x14ac:dyDescent="0.25">
      <c r="A1078" s="28">
        <v>12113</v>
      </c>
      <c r="B1078" s="17">
        <v>-0.18443804034582101</v>
      </c>
      <c r="C1078" t="str">
        <f t="shared" si="50"/>
        <v>Red</v>
      </c>
      <c r="D1078">
        <f t="shared" si="51"/>
        <v>0</v>
      </c>
      <c r="E1078">
        <f t="shared" si="52"/>
        <v>2</v>
      </c>
    </row>
    <row r="1079" spans="1:5" x14ac:dyDescent="0.25">
      <c r="A1079" s="28">
        <v>12085</v>
      </c>
      <c r="B1079" s="17">
        <v>2.8901734104047599E-3</v>
      </c>
      <c r="C1079" t="str">
        <f t="shared" si="50"/>
        <v>Green</v>
      </c>
      <c r="D1079">
        <f t="shared" si="51"/>
        <v>1</v>
      </c>
      <c r="E1079">
        <f t="shared" si="52"/>
        <v>1</v>
      </c>
    </row>
    <row r="1080" spans="1:5" x14ac:dyDescent="0.25">
      <c r="A1080" s="28">
        <v>12053</v>
      </c>
      <c r="B1080" s="17">
        <v>5.6488549618320699E-2</v>
      </c>
      <c r="C1080" t="str">
        <f t="shared" si="50"/>
        <v>Green</v>
      </c>
      <c r="D1080">
        <f t="shared" si="51"/>
        <v>1</v>
      </c>
      <c r="E1080">
        <f t="shared" si="52"/>
        <v>12</v>
      </c>
    </row>
    <row r="1081" spans="1:5" x14ac:dyDescent="0.25">
      <c r="A1081" s="28">
        <v>12023</v>
      </c>
      <c r="B1081" s="17">
        <v>-5.8908045977011499E-2</v>
      </c>
      <c r="C1081" t="str">
        <f t="shared" si="50"/>
        <v>Red</v>
      </c>
      <c r="D1081">
        <f t="shared" si="51"/>
        <v>0</v>
      </c>
      <c r="E1081">
        <f t="shared" si="52"/>
        <v>11</v>
      </c>
    </row>
    <row r="1082" spans="1:5" x14ac:dyDescent="0.25">
      <c r="A1082" s="28">
        <v>11993</v>
      </c>
      <c r="B1082" s="17">
        <v>-0.13861386138613899</v>
      </c>
      <c r="C1082" t="str">
        <f t="shared" si="50"/>
        <v>Red</v>
      </c>
      <c r="D1082">
        <f t="shared" si="51"/>
        <v>0</v>
      </c>
      <c r="E1082">
        <f t="shared" si="52"/>
        <v>10</v>
      </c>
    </row>
    <row r="1083" spans="1:5" x14ac:dyDescent="0.25">
      <c r="A1083" s="28">
        <v>11962</v>
      </c>
      <c r="B1083" s="17">
        <v>-3.6948748510131198E-2</v>
      </c>
      <c r="C1083" t="str">
        <f t="shared" si="50"/>
        <v>Red</v>
      </c>
      <c r="D1083">
        <f t="shared" si="51"/>
        <v>0</v>
      </c>
      <c r="E1083">
        <f t="shared" si="52"/>
        <v>9</v>
      </c>
    </row>
    <row r="1084" spans="1:5" x14ac:dyDescent="0.25">
      <c r="A1084" s="28">
        <v>11932</v>
      </c>
      <c r="B1084" s="17">
        <v>0.391376451077944</v>
      </c>
      <c r="C1084" t="str">
        <f t="shared" si="50"/>
        <v>Green</v>
      </c>
      <c r="D1084">
        <f t="shared" si="51"/>
        <v>1</v>
      </c>
      <c r="E1084">
        <f t="shared" si="52"/>
        <v>8</v>
      </c>
    </row>
    <row r="1085" spans="1:5" x14ac:dyDescent="0.25">
      <c r="A1085" s="28">
        <v>11899</v>
      </c>
      <c r="B1085" s="17">
        <v>0.36117381489841999</v>
      </c>
      <c r="C1085" t="str">
        <f t="shared" si="50"/>
        <v>Green</v>
      </c>
      <c r="D1085">
        <f t="shared" si="51"/>
        <v>1</v>
      </c>
      <c r="E1085">
        <f t="shared" si="52"/>
        <v>7</v>
      </c>
    </row>
    <row r="1086" spans="1:5" x14ac:dyDescent="0.25">
      <c r="A1086" s="28">
        <v>11870</v>
      </c>
      <c r="B1086" s="17">
        <v>-8.9485458612975598E-3</v>
      </c>
      <c r="C1086" t="str">
        <f t="shared" si="50"/>
        <v>Red</v>
      </c>
      <c r="D1086">
        <f t="shared" si="51"/>
        <v>0</v>
      </c>
      <c r="E1086">
        <f t="shared" si="52"/>
        <v>6</v>
      </c>
    </row>
    <row r="1087" spans="1:5" x14ac:dyDescent="0.25">
      <c r="A1087" s="28">
        <v>11840</v>
      </c>
      <c r="B1087" s="17">
        <v>-0.23327615780446001</v>
      </c>
      <c r="C1087" t="str">
        <f t="shared" si="50"/>
        <v>Red</v>
      </c>
      <c r="D1087">
        <f t="shared" si="51"/>
        <v>0</v>
      </c>
      <c r="E1087">
        <f t="shared" si="52"/>
        <v>5</v>
      </c>
    </row>
    <row r="1088" spans="1:5" x14ac:dyDescent="0.25">
      <c r="A1088" s="28">
        <v>11808</v>
      </c>
      <c r="B1088" s="17">
        <v>-0.20246238030095801</v>
      </c>
      <c r="C1088" t="str">
        <f t="shared" si="50"/>
        <v>Red</v>
      </c>
      <c r="D1088">
        <f t="shared" si="51"/>
        <v>0</v>
      </c>
      <c r="E1088">
        <f t="shared" si="52"/>
        <v>4</v>
      </c>
    </row>
    <row r="1089" spans="1:5" x14ac:dyDescent="0.25">
      <c r="A1089" s="28">
        <v>11779</v>
      </c>
      <c r="B1089" s="17">
        <v>-0.118214716525935</v>
      </c>
      <c r="C1089" t="str">
        <f t="shared" si="50"/>
        <v>Red</v>
      </c>
      <c r="D1089">
        <f t="shared" si="51"/>
        <v>0</v>
      </c>
      <c r="E1089">
        <f t="shared" si="52"/>
        <v>3</v>
      </c>
    </row>
    <row r="1090" spans="1:5" x14ac:dyDescent="0.25">
      <c r="A1090" s="28">
        <v>11748</v>
      </c>
      <c r="B1090" s="17">
        <v>4.4080604534005002E-2</v>
      </c>
      <c r="C1090" t="str">
        <f t="shared" si="50"/>
        <v>Green</v>
      </c>
      <c r="D1090">
        <f t="shared" si="51"/>
        <v>1</v>
      </c>
      <c r="E1090">
        <f t="shared" si="52"/>
        <v>2</v>
      </c>
    </row>
    <row r="1091" spans="1:5" x14ac:dyDescent="0.25">
      <c r="A1091" s="28">
        <v>11717</v>
      </c>
      <c r="B1091" s="17">
        <v>-2.2167487684728902E-2</v>
      </c>
      <c r="C1091" t="str">
        <f t="shared" ref="C1091:C1139" si="53">IF(B1091&gt;0,"Green","Red")</f>
        <v>Red</v>
      </c>
      <c r="D1091">
        <f t="shared" si="51"/>
        <v>0</v>
      </c>
      <c r="E1091">
        <f t="shared" si="52"/>
        <v>1</v>
      </c>
    </row>
    <row r="1092" spans="1:5" x14ac:dyDescent="0.25">
      <c r="A1092" s="28">
        <v>11688</v>
      </c>
      <c r="B1092" s="17">
        <v>-0.14526315789473701</v>
      </c>
      <c r="C1092" t="str">
        <f t="shared" si="53"/>
        <v>Red</v>
      </c>
      <c r="D1092">
        <f t="shared" ref="D1092:D1139" si="54">IF(B1092&gt;0,1,0)</f>
        <v>0</v>
      </c>
      <c r="E1092">
        <f t="shared" ref="E1092:E1139" si="55">MONTH(A1092)</f>
        <v>12</v>
      </c>
    </row>
    <row r="1093" spans="1:5" x14ac:dyDescent="0.25">
      <c r="A1093" s="28">
        <v>11657</v>
      </c>
      <c r="B1093" s="17">
        <v>-8.9165867689357595E-2</v>
      </c>
      <c r="C1093" t="str">
        <f t="shared" si="53"/>
        <v>Red</v>
      </c>
      <c r="D1093">
        <f t="shared" si="54"/>
        <v>0</v>
      </c>
      <c r="E1093">
        <f t="shared" si="55"/>
        <v>11</v>
      </c>
    </row>
    <row r="1094" spans="1:5" x14ac:dyDescent="0.25">
      <c r="A1094" s="28">
        <v>11626</v>
      </c>
      <c r="B1094" s="17">
        <v>7.4150360453141106E-2</v>
      </c>
      <c r="C1094" t="str">
        <f t="shared" si="53"/>
        <v>Green</v>
      </c>
      <c r="D1094">
        <f t="shared" si="54"/>
        <v>1</v>
      </c>
      <c r="E1094">
        <f t="shared" si="55"/>
        <v>10</v>
      </c>
    </row>
    <row r="1095" spans="1:5" x14ac:dyDescent="0.25">
      <c r="A1095" s="28">
        <v>11596</v>
      </c>
      <c r="B1095" s="17">
        <v>-0.29942279942279898</v>
      </c>
      <c r="C1095" t="str">
        <f t="shared" si="53"/>
        <v>Red</v>
      </c>
      <c r="D1095">
        <f t="shared" si="54"/>
        <v>0</v>
      </c>
      <c r="E1095">
        <f t="shared" si="55"/>
        <v>9</v>
      </c>
    </row>
    <row r="1096" spans="1:5" x14ac:dyDescent="0.25">
      <c r="A1096" s="28">
        <v>11566</v>
      </c>
      <c r="B1096" s="17">
        <v>9.4683175528040807E-3</v>
      </c>
      <c r="C1096" t="str">
        <f t="shared" si="53"/>
        <v>Green</v>
      </c>
      <c r="D1096">
        <f t="shared" si="54"/>
        <v>1</v>
      </c>
      <c r="E1096">
        <f t="shared" si="55"/>
        <v>8</v>
      </c>
    </row>
    <row r="1097" spans="1:5" x14ac:dyDescent="0.25">
      <c r="A1097" s="28">
        <v>11535</v>
      </c>
      <c r="B1097" s="17">
        <v>-7.4173971679028894E-2</v>
      </c>
      <c r="C1097" t="str">
        <f t="shared" si="53"/>
        <v>Red</v>
      </c>
      <c r="D1097">
        <f t="shared" si="54"/>
        <v>0</v>
      </c>
      <c r="E1097">
        <f t="shared" si="55"/>
        <v>7</v>
      </c>
    </row>
    <row r="1098" spans="1:5" x14ac:dyDescent="0.25">
      <c r="A1098" s="28">
        <v>11504</v>
      </c>
      <c r="B1098" s="17">
        <v>0.13901689708141299</v>
      </c>
      <c r="C1098" t="str">
        <f t="shared" si="53"/>
        <v>Green</v>
      </c>
      <c r="D1098">
        <f t="shared" si="54"/>
        <v>1</v>
      </c>
      <c r="E1098">
        <f t="shared" si="55"/>
        <v>6</v>
      </c>
    </row>
    <row r="1099" spans="1:5" x14ac:dyDescent="0.25">
      <c r="A1099" s="28">
        <v>11472</v>
      </c>
      <c r="B1099" s="17">
        <v>-0.13717693836978101</v>
      </c>
      <c r="C1099" t="str">
        <f t="shared" si="53"/>
        <v>Red</v>
      </c>
      <c r="D1099">
        <f t="shared" si="54"/>
        <v>0</v>
      </c>
      <c r="E1099">
        <f t="shared" si="55"/>
        <v>5</v>
      </c>
    </row>
    <row r="1100" spans="1:5" x14ac:dyDescent="0.25">
      <c r="A1100" s="28">
        <v>11443</v>
      </c>
      <c r="B1100" s="17">
        <v>-9.5865842069152593E-2</v>
      </c>
      <c r="C1100" t="str">
        <f t="shared" si="53"/>
        <v>Red</v>
      </c>
      <c r="D1100">
        <f t="shared" si="54"/>
        <v>0</v>
      </c>
      <c r="E1100">
        <f t="shared" si="55"/>
        <v>4</v>
      </c>
    </row>
    <row r="1101" spans="1:5" x14ac:dyDescent="0.25">
      <c r="A1101" s="28">
        <v>11413</v>
      </c>
      <c r="B1101" s="17">
        <v>-7.4320572694366399E-2</v>
      </c>
      <c r="C1101" t="str">
        <f t="shared" si="53"/>
        <v>Red</v>
      </c>
      <c r="D1101">
        <f t="shared" si="54"/>
        <v>0</v>
      </c>
      <c r="E1101">
        <f t="shared" si="55"/>
        <v>3</v>
      </c>
    </row>
    <row r="1102" spans="1:5" x14ac:dyDescent="0.25">
      <c r="A1102" s="28">
        <v>11381</v>
      </c>
      <c r="B1102" s="17">
        <v>0.113650394462607</v>
      </c>
      <c r="C1102" t="str">
        <f t="shared" si="53"/>
        <v>Green</v>
      </c>
      <c r="D1102">
        <f t="shared" si="54"/>
        <v>1</v>
      </c>
      <c r="E1102">
        <f t="shared" si="55"/>
        <v>2</v>
      </c>
    </row>
    <row r="1103" spans="1:5" x14ac:dyDescent="0.25">
      <c r="A1103" s="28">
        <v>11353</v>
      </c>
      <c r="B1103" s="17">
        <v>5.5410756192959501E-2</v>
      </c>
      <c r="C1103" t="str">
        <f t="shared" si="53"/>
        <v>Green</v>
      </c>
      <c r="D1103">
        <f t="shared" si="54"/>
        <v>1</v>
      </c>
      <c r="E1103">
        <f t="shared" si="55"/>
        <v>1</v>
      </c>
    </row>
    <row r="1104" spans="1:5" x14ac:dyDescent="0.25">
      <c r="A1104" s="28">
        <v>11323</v>
      </c>
      <c r="B1104" s="17">
        <v>-6.3492006318193406E-2</v>
      </c>
      <c r="C1104" t="str">
        <f t="shared" si="53"/>
        <v>Red</v>
      </c>
      <c r="D1104">
        <f t="shared" si="54"/>
        <v>0</v>
      </c>
      <c r="E1104">
        <f t="shared" si="55"/>
        <v>12</v>
      </c>
    </row>
    <row r="1105" spans="1:5" x14ac:dyDescent="0.25">
      <c r="A1105" s="28">
        <v>11290</v>
      </c>
      <c r="B1105" s="17">
        <v>-3.3057967351949803E-2</v>
      </c>
      <c r="C1105" t="str">
        <f t="shared" si="53"/>
        <v>Red</v>
      </c>
      <c r="D1105">
        <f t="shared" si="54"/>
        <v>0</v>
      </c>
      <c r="E1105">
        <f t="shared" si="55"/>
        <v>11</v>
      </c>
    </row>
    <row r="1106" spans="1:5" x14ac:dyDescent="0.25">
      <c r="A1106" s="28">
        <v>11262</v>
      </c>
      <c r="B1106" s="17">
        <v>-8.8757342657342697E-2</v>
      </c>
      <c r="C1106" t="str">
        <f t="shared" si="53"/>
        <v>Red</v>
      </c>
      <c r="D1106">
        <f t="shared" si="54"/>
        <v>0</v>
      </c>
      <c r="E1106">
        <f t="shared" si="55"/>
        <v>10</v>
      </c>
    </row>
    <row r="1107" spans="1:5" x14ac:dyDescent="0.25">
      <c r="A1107" s="28">
        <v>11231</v>
      </c>
      <c r="B1107" s="17">
        <v>-0.130088950393591</v>
      </c>
      <c r="C1107" t="str">
        <f t="shared" si="53"/>
        <v>Red</v>
      </c>
      <c r="D1107">
        <f t="shared" si="54"/>
        <v>0</v>
      </c>
      <c r="E1107">
        <f t="shared" si="55"/>
        <v>9</v>
      </c>
    </row>
    <row r="1108" spans="1:5" x14ac:dyDescent="0.25">
      <c r="A1108" s="28">
        <v>11199</v>
      </c>
      <c r="B1108" s="17">
        <v>7.5437061548187002E-3</v>
      </c>
      <c r="C1108" t="str">
        <f t="shared" si="53"/>
        <v>Green</v>
      </c>
      <c r="D1108">
        <f t="shared" si="54"/>
        <v>1</v>
      </c>
      <c r="E1108">
        <f t="shared" si="55"/>
        <v>8</v>
      </c>
    </row>
    <row r="1109" spans="1:5" x14ac:dyDescent="0.25">
      <c r="A1109" s="28">
        <v>11170</v>
      </c>
      <c r="B1109" s="17">
        <v>3.6656893287238201E-2</v>
      </c>
      <c r="C1109" t="str">
        <f t="shared" si="53"/>
        <v>Green</v>
      </c>
      <c r="D1109">
        <f t="shared" si="54"/>
        <v>1</v>
      </c>
      <c r="E1109">
        <f t="shared" si="55"/>
        <v>7</v>
      </c>
    </row>
    <row r="1110" spans="1:5" x14ac:dyDescent="0.25">
      <c r="A1110" s="28">
        <v>11139</v>
      </c>
      <c r="B1110" s="17">
        <v>-0.16455700285830899</v>
      </c>
      <c r="C1110" t="str">
        <f t="shared" si="53"/>
        <v>Red</v>
      </c>
      <c r="D1110">
        <f t="shared" si="54"/>
        <v>0</v>
      </c>
      <c r="E1110">
        <f t="shared" si="55"/>
        <v>6</v>
      </c>
    </row>
    <row r="1111" spans="1:5" x14ac:dyDescent="0.25">
      <c r="A1111" s="28">
        <v>11107</v>
      </c>
      <c r="B1111" s="17">
        <v>-1.6465863453815299E-2</v>
      </c>
      <c r="C1111" t="str">
        <f t="shared" si="53"/>
        <v>Red</v>
      </c>
      <c r="D1111">
        <f t="shared" si="54"/>
        <v>0</v>
      </c>
      <c r="E1111">
        <f t="shared" si="55"/>
        <v>5</v>
      </c>
    </row>
    <row r="1112" spans="1:5" x14ac:dyDescent="0.25">
      <c r="A1112" s="28">
        <v>11078</v>
      </c>
      <c r="B1112" s="17">
        <v>3.1055900621118002E-2</v>
      </c>
      <c r="C1112" t="str">
        <f t="shared" si="53"/>
        <v>Green</v>
      </c>
      <c r="D1112">
        <f t="shared" si="54"/>
        <v>1</v>
      </c>
      <c r="E1112">
        <f t="shared" si="55"/>
        <v>4</v>
      </c>
    </row>
    <row r="1113" spans="1:5" x14ac:dyDescent="0.25">
      <c r="A1113" s="28">
        <v>11048</v>
      </c>
      <c r="B1113" s="17">
        <v>3.7371089460004801E-2</v>
      </c>
      <c r="C1113" t="str">
        <f t="shared" si="53"/>
        <v>Green</v>
      </c>
      <c r="D1113">
        <f t="shared" si="54"/>
        <v>1</v>
      </c>
      <c r="E1113">
        <f t="shared" si="55"/>
        <v>3</v>
      </c>
    </row>
    <row r="1114" spans="1:5" x14ac:dyDescent="0.25">
      <c r="A1114" s="28">
        <v>11017</v>
      </c>
      <c r="B1114" s="17">
        <v>2.1500657239988698E-2</v>
      </c>
      <c r="C1114" t="str">
        <f t="shared" si="53"/>
        <v>Green</v>
      </c>
      <c r="D1114">
        <f t="shared" si="54"/>
        <v>1</v>
      </c>
      <c r="E1114">
        <f t="shared" si="55"/>
        <v>2</v>
      </c>
    </row>
    <row r="1115" spans="1:5" x14ac:dyDescent="0.25">
      <c r="A1115" s="28">
        <v>10989</v>
      </c>
      <c r="B1115" s="17">
        <v>6.2470859558467998E-2</v>
      </c>
      <c r="C1115" t="str">
        <f t="shared" si="53"/>
        <v>Green</v>
      </c>
      <c r="D1115">
        <f t="shared" si="54"/>
        <v>1</v>
      </c>
      <c r="E1115">
        <f t="shared" si="55"/>
        <v>1</v>
      </c>
    </row>
    <row r="1116" spans="1:5" x14ac:dyDescent="0.25">
      <c r="A1116" s="28">
        <v>10958</v>
      </c>
      <c r="B1116" s="17">
        <v>2.5334655831740001E-2</v>
      </c>
      <c r="C1116" t="str">
        <f t="shared" si="53"/>
        <v>Green</v>
      </c>
      <c r="D1116">
        <f t="shared" si="54"/>
        <v>1</v>
      </c>
      <c r="E1116">
        <f t="shared" si="55"/>
        <v>12</v>
      </c>
    </row>
    <row r="1117" spans="1:5" x14ac:dyDescent="0.25">
      <c r="A1117" s="28">
        <v>10924</v>
      </c>
      <c r="B1117" s="17">
        <v>-0.133747412008281</v>
      </c>
      <c r="C1117" t="str">
        <f t="shared" si="53"/>
        <v>Red</v>
      </c>
      <c r="D1117">
        <f t="shared" si="54"/>
        <v>0</v>
      </c>
      <c r="E1117">
        <f t="shared" si="55"/>
        <v>11</v>
      </c>
    </row>
    <row r="1118" spans="1:5" x14ac:dyDescent="0.25">
      <c r="A1118" s="28">
        <v>10897</v>
      </c>
      <c r="B1118" s="17">
        <v>-0.19927055702917801</v>
      </c>
      <c r="C1118" t="str">
        <f t="shared" si="53"/>
        <v>Red</v>
      </c>
      <c r="D1118">
        <f t="shared" si="54"/>
        <v>0</v>
      </c>
      <c r="E1118">
        <f t="shared" si="55"/>
        <v>10</v>
      </c>
    </row>
    <row r="1119" spans="1:5" x14ac:dyDescent="0.25">
      <c r="A1119" s="28">
        <v>10866</v>
      </c>
      <c r="B1119" s="17">
        <v>-4.88804493497461E-2</v>
      </c>
      <c r="C1119" t="str">
        <f t="shared" si="53"/>
        <v>Red</v>
      </c>
      <c r="D1119">
        <f t="shared" si="54"/>
        <v>0</v>
      </c>
      <c r="E1119">
        <f t="shared" si="55"/>
        <v>9</v>
      </c>
    </row>
    <row r="1120" spans="1:5" x14ac:dyDescent="0.25">
      <c r="A1120" s="28">
        <v>10835</v>
      </c>
      <c r="B1120" s="17">
        <v>9.7991693143756595E-2</v>
      </c>
      <c r="C1120" t="str">
        <f t="shared" si="53"/>
        <v>Green</v>
      </c>
      <c r="D1120">
        <f t="shared" si="54"/>
        <v>1</v>
      </c>
      <c r="E1120">
        <f t="shared" si="55"/>
        <v>8</v>
      </c>
    </row>
    <row r="1121" spans="1:5" x14ac:dyDescent="0.25">
      <c r="A1121" s="28">
        <v>10805</v>
      </c>
      <c r="B1121" s="17">
        <v>5.36300255381248E-2</v>
      </c>
      <c r="C1121" t="str">
        <f t="shared" si="53"/>
        <v>Green</v>
      </c>
      <c r="D1121">
        <f t="shared" si="54"/>
        <v>1</v>
      </c>
      <c r="E1121">
        <f t="shared" si="55"/>
        <v>7</v>
      </c>
    </row>
    <row r="1122" spans="1:5" x14ac:dyDescent="0.25">
      <c r="A1122" s="28">
        <v>10772</v>
      </c>
      <c r="B1122" s="17">
        <v>0.103906564639549</v>
      </c>
      <c r="C1122" t="str">
        <f t="shared" si="53"/>
        <v>Green</v>
      </c>
      <c r="D1122">
        <f t="shared" si="54"/>
        <v>1</v>
      </c>
      <c r="E1122">
        <f t="shared" si="55"/>
        <v>6</v>
      </c>
    </row>
    <row r="1123" spans="1:5" x14ac:dyDescent="0.25">
      <c r="A1123" s="28">
        <v>10744</v>
      </c>
      <c r="B1123" s="17">
        <v>-4.2791093184614798E-2</v>
      </c>
      <c r="C1123" t="str">
        <f t="shared" si="53"/>
        <v>Red</v>
      </c>
      <c r="D1123">
        <f t="shared" si="54"/>
        <v>0</v>
      </c>
      <c r="E1123">
        <f t="shared" si="55"/>
        <v>5</v>
      </c>
    </row>
    <row r="1124" spans="1:5" x14ac:dyDescent="0.25">
      <c r="A1124" s="28">
        <v>10713</v>
      </c>
      <c r="B1124" s="17">
        <v>1.6059537169622599E-2</v>
      </c>
      <c r="C1124" t="str">
        <f t="shared" si="53"/>
        <v>Green</v>
      </c>
      <c r="D1124">
        <f t="shared" si="54"/>
        <v>1</v>
      </c>
      <c r="E1124">
        <f t="shared" si="55"/>
        <v>4</v>
      </c>
    </row>
    <row r="1125" spans="1:5" x14ac:dyDescent="0.25">
      <c r="A1125" s="28">
        <v>10680</v>
      </c>
      <c r="B1125" s="17">
        <v>-2.3446268073467101E-3</v>
      </c>
      <c r="C1125" t="str">
        <f t="shared" si="53"/>
        <v>Red</v>
      </c>
      <c r="D1125">
        <f t="shared" si="54"/>
        <v>0</v>
      </c>
      <c r="E1125">
        <f t="shared" si="55"/>
        <v>3</v>
      </c>
    </row>
    <row r="1126" spans="1:5" x14ac:dyDescent="0.25">
      <c r="A1126" s="28">
        <v>10652</v>
      </c>
      <c r="B1126" s="17">
        <v>-5.8275058275058002E-3</v>
      </c>
      <c r="C1126" t="str">
        <f t="shared" si="53"/>
        <v>Red</v>
      </c>
      <c r="D1126">
        <f t="shared" si="54"/>
        <v>0</v>
      </c>
      <c r="E1126">
        <f t="shared" si="55"/>
        <v>2</v>
      </c>
    </row>
    <row r="1127" spans="1:5" x14ac:dyDescent="0.25">
      <c r="A1127" s="28">
        <v>10624</v>
      </c>
      <c r="B1127" s="17">
        <v>5.7084188911704199E-2</v>
      </c>
      <c r="C1127" t="str">
        <f t="shared" si="53"/>
        <v>Green</v>
      </c>
      <c r="D1127">
        <f t="shared" si="54"/>
        <v>1</v>
      </c>
      <c r="E1127">
        <f t="shared" si="55"/>
        <v>1</v>
      </c>
    </row>
    <row r="1128" spans="1:5" x14ac:dyDescent="0.25">
      <c r="A1128" s="28">
        <v>10593</v>
      </c>
      <c r="B1128" s="17">
        <v>2.8829899965821001E-3</v>
      </c>
      <c r="C1128" t="str">
        <f t="shared" si="53"/>
        <v>Green</v>
      </c>
      <c r="D1128">
        <f t="shared" si="54"/>
        <v>1</v>
      </c>
      <c r="E1128">
        <f t="shared" si="55"/>
        <v>12</v>
      </c>
    </row>
    <row r="1129" spans="1:5" x14ac:dyDescent="0.25">
      <c r="A1129" s="28">
        <v>10562</v>
      </c>
      <c r="B1129" s="17">
        <v>0.119926245387454</v>
      </c>
      <c r="C1129" t="str">
        <f t="shared" si="53"/>
        <v>Green</v>
      </c>
      <c r="D1129">
        <f t="shared" si="54"/>
        <v>1</v>
      </c>
      <c r="E1129">
        <f t="shared" si="55"/>
        <v>11</v>
      </c>
    </row>
    <row r="1130" spans="1:5" x14ac:dyDescent="0.25">
      <c r="A1130" s="28">
        <v>10532</v>
      </c>
      <c r="B1130" s="17">
        <v>2.5544040943426698E-2</v>
      </c>
      <c r="C1130" t="str">
        <f t="shared" si="53"/>
        <v>Green</v>
      </c>
      <c r="D1130">
        <f t="shared" si="54"/>
        <v>1</v>
      </c>
      <c r="E1130">
        <f t="shared" si="55"/>
        <v>10</v>
      </c>
    </row>
    <row r="1131" spans="1:5" x14ac:dyDescent="0.25">
      <c r="A1131" s="28">
        <v>10499</v>
      </c>
      <c r="B1131" s="17">
        <v>1.2937134023137E-2</v>
      </c>
      <c r="C1131" t="str">
        <f t="shared" si="53"/>
        <v>Green</v>
      </c>
      <c r="D1131">
        <f t="shared" si="54"/>
        <v>1</v>
      </c>
      <c r="E1131">
        <f t="shared" si="55"/>
        <v>9</v>
      </c>
    </row>
    <row r="1132" spans="1:5" x14ac:dyDescent="0.25">
      <c r="A1132" s="28">
        <v>10471</v>
      </c>
      <c r="B1132" s="17">
        <v>7.4112249099330896E-2</v>
      </c>
      <c r="C1132" t="str">
        <f t="shared" si="53"/>
        <v>Green</v>
      </c>
      <c r="D1132">
        <f t="shared" si="54"/>
        <v>1</v>
      </c>
      <c r="E1132">
        <f t="shared" si="55"/>
        <v>8</v>
      </c>
    </row>
    <row r="1133" spans="1:5" x14ac:dyDescent="0.25">
      <c r="A1133" s="28">
        <v>10440</v>
      </c>
      <c r="B1133" s="17">
        <v>1.5151568189737201E-2</v>
      </c>
      <c r="C1133" t="str">
        <f t="shared" si="53"/>
        <v>Green</v>
      </c>
      <c r="D1133">
        <f t="shared" si="54"/>
        <v>1</v>
      </c>
      <c r="E1133">
        <f t="shared" si="55"/>
        <v>7</v>
      </c>
    </row>
    <row r="1134" spans="1:5" x14ac:dyDescent="0.25">
      <c r="A1134" s="28">
        <v>10408</v>
      </c>
      <c r="B1134" s="17">
        <v>-4.3000050000000102E-2</v>
      </c>
      <c r="C1134" t="str">
        <f t="shared" si="53"/>
        <v>Red</v>
      </c>
      <c r="D1134">
        <f t="shared" si="54"/>
        <v>0</v>
      </c>
      <c r="E1134">
        <f t="shared" si="55"/>
        <v>6</v>
      </c>
    </row>
    <row r="1135" spans="1:5" x14ac:dyDescent="0.25">
      <c r="A1135" s="28">
        <v>10379</v>
      </c>
      <c r="B1135" s="17">
        <v>1.26582278481013E-2</v>
      </c>
      <c r="C1135" t="str">
        <f t="shared" si="53"/>
        <v>Green</v>
      </c>
      <c r="D1135">
        <f t="shared" si="54"/>
        <v>1</v>
      </c>
      <c r="E1135">
        <f t="shared" si="55"/>
        <v>5</v>
      </c>
    </row>
    <row r="1136" spans="1:5" x14ac:dyDescent="0.25">
      <c r="A1136" s="28">
        <v>10348</v>
      </c>
      <c r="B1136" s="17">
        <v>2.4377540229380702E-2</v>
      </c>
      <c r="C1136" t="str">
        <f t="shared" si="53"/>
        <v>Green</v>
      </c>
      <c r="D1136">
        <f t="shared" si="54"/>
        <v>1</v>
      </c>
      <c r="E1136">
        <f t="shared" si="55"/>
        <v>4</v>
      </c>
    </row>
    <row r="1137" spans="1:5" x14ac:dyDescent="0.25">
      <c r="A1137" s="28">
        <v>10317</v>
      </c>
      <c r="B1137" s="17">
        <v>0.117033661645423</v>
      </c>
      <c r="C1137" t="str">
        <f t="shared" si="53"/>
        <v>Green</v>
      </c>
      <c r="D1137">
        <f t="shared" si="54"/>
        <v>1</v>
      </c>
      <c r="E1137">
        <f t="shared" si="55"/>
        <v>3</v>
      </c>
    </row>
    <row r="1138" spans="1:5" x14ac:dyDescent="0.25">
      <c r="A1138" s="28">
        <v>10287</v>
      </c>
      <c r="B1138" s="17">
        <v>-1.7643710870802399E-2</v>
      </c>
      <c r="C1138" t="str">
        <f t="shared" si="53"/>
        <v>Red</v>
      </c>
      <c r="D1138">
        <f t="shared" si="54"/>
        <v>0</v>
      </c>
      <c r="E1138">
        <f t="shared" si="55"/>
        <v>2</v>
      </c>
    </row>
    <row r="1139" spans="1:5" x14ac:dyDescent="0.25">
      <c r="A1139" s="28">
        <v>10258</v>
      </c>
      <c r="B1139" s="17">
        <v>-5.0962627406568898E-3</v>
      </c>
      <c r="C1139" t="str">
        <f t="shared" si="53"/>
        <v>Red</v>
      </c>
      <c r="D1139">
        <f t="shared" si="54"/>
        <v>0</v>
      </c>
      <c r="E1139">
        <f t="shared" si="55"/>
        <v>1</v>
      </c>
    </row>
    <row r="1142" spans="1:5" x14ac:dyDescent="0.25">
      <c r="B1142" s="17"/>
      <c r="C1142" s="23"/>
      <c r="D1142" s="23"/>
    </row>
    <row r="1143" spans="1:5" x14ac:dyDescent="0.25">
      <c r="B1143" s="17"/>
      <c r="C1143" s="23"/>
      <c r="D1143" s="23"/>
    </row>
    <row r="1144" spans="1:5" x14ac:dyDescent="0.25">
      <c r="B1144" s="17"/>
    </row>
    <row r="1145" spans="1:5" x14ac:dyDescent="0.25">
      <c r="B1145" s="17"/>
    </row>
    <row r="1146" spans="1:5" x14ac:dyDescent="0.25">
      <c r="B1146" s="17"/>
    </row>
    <row r="1147" spans="1:5" x14ac:dyDescent="0.25">
      <c r="B1147" s="17"/>
    </row>
    <row r="1148" spans="1:5" x14ac:dyDescent="0.25">
      <c r="B1148" s="17"/>
    </row>
    <row r="1149" spans="1:5" x14ac:dyDescent="0.25">
      <c r="B1149" s="17"/>
    </row>
    <row r="1150" spans="1:5" x14ac:dyDescent="0.25">
      <c r="B1150" s="17"/>
    </row>
    <row r="1151" spans="1:5" x14ac:dyDescent="0.25">
      <c r="B1151" s="17"/>
    </row>
    <row r="1152" spans="1:5" x14ac:dyDescent="0.25">
      <c r="B1152" s="17"/>
    </row>
    <row r="1153" spans="2:2" x14ac:dyDescent="0.25">
      <c r="B1153" s="17"/>
    </row>
    <row r="1154" spans="2:2" x14ac:dyDescent="0.25">
      <c r="B1154" s="17"/>
    </row>
    <row r="1155" spans="2:2" x14ac:dyDescent="0.25">
      <c r="B1155" s="17"/>
    </row>
    <row r="1156" spans="2:2" x14ac:dyDescent="0.25">
      <c r="B1156" s="17"/>
    </row>
    <row r="1157" spans="2:2" x14ac:dyDescent="0.25">
      <c r="B1157" s="17"/>
    </row>
    <row r="1158" spans="2:2" x14ac:dyDescent="0.25">
      <c r="B1158" s="17"/>
    </row>
    <row r="1159" spans="2:2" x14ac:dyDescent="0.25">
      <c r="B1159" s="17"/>
    </row>
    <row r="1160" spans="2:2" x14ac:dyDescent="0.25">
      <c r="B1160" s="17"/>
    </row>
    <row r="1161" spans="2:2" x14ac:dyDescent="0.25">
      <c r="B1161" s="17"/>
    </row>
    <row r="1162" spans="2:2" x14ac:dyDescent="0.25">
      <c r="B1162" s="17"/>
    </row>
    <row r="1163" spans="2:2" x14ac:dyDescent="0.25">
      <c r="B1163" s="17"/>
    </row>
    <row r="1164" spans="2:2" x14ac:dyDescent="0.25">
      <c r="B1164" s="17"/>
    </row>
    <row r="1165" spans="2:2" x14ac:dyDescent="0.25">
      <c r="B1165" s="17"/>
    </row>
    <row r="1166" spans="2:2" x14ac:dyDescent="0.25">
      <c r="B1166" s="17"/>
    </row>
    <row r="1167" spans="2:2" x14ac:dyDescent="0.25">
      <c r="B1167" s="17"/>
    </row>
    <row r="1168" spans="2:2" x14ac:dyDescent="0.25">
      <c r="B1168" s="17"/>
    </row>
    <row r="1169" spans="2:2" x14ac:dyDescent="0.25">
      <c r="B1169" s="17"/>
    </row>
    <row r="1170" spans="2:2" x14ac:dyDescent="0.25">
      <c r="B1170" s="17"/>
    </row>
    <row r="1171" spans="2:2" x14ac:dyDescent="0.25">
      <c r="B1171" s="17"/>
    </row>
    <row r="1172" spans="2:2" x14ac:dyDescent="0.25">
      <c r="B1172" s="17"/>
    </row>
    <row r="1173" spans="2:2" x14ac:dyDescent="0.25">
      <c r="B1173" s="17"/>
    </row>
    <row r="1174" spans="2:2" x14ac:dyDescent="0.25">
      <c r="B1174" s="17"/>
    </row>
    <row r="1175" spans="2:2" x14ac:dyDescent="0.25">
      <c r="B1175" s="17"/>
    </row>
    <row r="1176" spans="2:2" x14ac:dyDescent="0.25">
      <c r="B1176" s="17"/>
    </row>
    <row r="1177" spans="2:2" x14ac:dyDescent="0.25">
      <c r="B1177" s="17"/>
    </row>
    <row r="1178" spans="2:2" x14ac:dyDescent="0.25">
      <c r="B1178" s="17"/>
    </row>
    <row r="1179" spans="2:2" x14ac:dyDescent="0.25">
      <c r="B1179" s="17"/>
    </row>
    <row r="1180" spans="2:2" x14ac:dyDescent="0.25">
      <c r="B1180" s="17"/>
    </row>
    <row r="1181" spans="2:2" x14ac:dyDescent="0.25">
      <c r="B1181" s="17"/>
    </row>
    <row r="1182" spans="2:2" x14ac:dyDescent="0.25">
      <c r="B1182" s="17"/>
    </row>
    <row r="1183" spans="2:2" x14ac:dyDescent="0.25">
      <c r="B1183" s="17"/>
    </row>
    <row r="1184" spans="2:2" x14ac:dyDescent="0.25">
      <c r="B1184" s="17"/>
    </row>
    <row r="1185" spans="2:2" x14ac:dyDescent="0.25">
      <c r="B1185" s="17"/>
    </row>
    <row r="1186" spans="2:2" x14ac:dyDescent="0.25">
      <c r="B1186" s="17"/>
    </row>
    <row r="1187" spans="2:2" x14ac:dyDescent="0.25">
      <c r="B1187" s="17"/>
    </row>
    <row r="1188" spans="2:2" x14ac:dyDescent="0.25">
      <c r="B1188" s="17"/>
    </row>
    <row r="1189" spans="2:2" x14ac:dyDescent="0.25">
      <c r="B1189" s="17"/>
    </row>
    <row r="1190" spans="2:2" x14ac:dyDescent="0.25">
      <c r="B1190" s="17"/>
    </row>
    <row r="1191" spans="2:2" x14ac:dyDescent="0.25">
      <c r="B1191" s="17"/>
    </row>
    <row r="1192" spans="2:2" x14ac:dyDescent="0.25">
      <c r="B1192" s="17"/>
    </row>
    <row r="1193" spans="2:2" x14ac:dyDescent="0.25">
      <c r="B1193" s="17"/>
    </row>
    <row r="1194" spans="2:2" x14ac:dyDescent="0.25">
      <c r="B1194" s="17"/>
    </row>
    <row r="1195" spans="2:2" x14ac:dyDescent="0.25">
      <c r="B1195" s="17"/>
    </row>
    <row r="1196" spans="2:2" x14ac:dyDescent="0.25">
      <c r="B1196" s="17"/>
    </row>
    <row r="1197" spans="2:2" x14ac:dyDescent="0.25">
      <c r="B1197" s="17"/>
    </row>
    <row r="1198" spans="2:2" x14ac:dyDescent="0.25">
      <c r="B1198" s="17"/>
    </row>
    <row r="1199" spans="2:2" x14ac:dyDescent="0.25">
      <c r="B1199" s="17"/>
    </row>
    <row r="1200" spans="2:2" x14ac:dyDescent="0.25">
      <c r="B1200" s="17"/>
    </row>
    <row r="1201" spans="2:2" x14ac:dyDescent="0.25">
      <c r="B1201" s="17"/>
    </row>
    <row r="1202" spans="2:2" x14ac:dyDescent="0.25">
      <c r="B1202" s="17"/>
    </row>
    <row r="1203" spans="2:2" x14ac:dyDescent="0.25">
      <c r="B1203" s="17"/>
    </row>
    <row r="1204" spans="2:2" x14ac:dyDescent="0.25">
      <c r="B1204" s="17"/>
    </row>
    <row r="1205" spans="2:2" x14ac:dyDescent="0.25">
      <c r="B1205" s="17"/>
    </row>
    <row r="1206" spans="2:2" x14ac:dyDescent="0.25">
      <c r="B1206" s="17"/>
    </row>
    <row r="1207" spans="2:2" x14ac:dyDescent="0.25">
      <c r="B1207" s="17"/>
    </row>
    <row r="1208" spans="2:2" x14ac:dyDescent="0.25">
      <c r="B1208" s="17"/>
    </row>
    <row r="1209" spans="2:2" x14ac:dyDescent="0.25">
      <c r="B1209" s="17"/>
    </row>
    <row r="1210" spans="2:2" x14ac:dyDescent="0.25">
      <c r="B1210" s="17"/>
    </row>
    <row r="1211" spans="2:2" x14ac:dyDescent="0.25">
      <c r="B1211" s="17"/>
    </row>
    <row r="1212" spans="2:2" x14ac:dyDescent="0.25">
      <c r="B1212" s="17"/>
    </row>
    <row r="1213" spans="2:2" x14ac:dyDescent="0.25">
      <c r="B1213" s="17"/>
    </row>
    <row r="1214" spans="2:2" x14ac:dyDescent="0.25">
      <c r="B1214" s="17"/>
    </row>
    <row r="1215" spans="2:2" x14ac:dyDescent="0.25">
      <c r="B1215" s="17"/>
    </row>
    <row r="1216" spans="2:2" x14ac:dyDescent="0.25">
      <c r="B1216" s="17"/>
    </row>
    <row r="1217" spans="2:2" x14ac:dyDescent="0.25">
      <c r="B1217" s="17"/>
    </row>
    <row r="1218" spans="2:2" x14ac:dyDescent="0.25">
      <c r="B1218" s="17"/>
    </row>
    <row r="1219" spans="2:2" x14ac:dyDescent="0.25">
      <c r="B1219" s="17"/>
    </row>
    <row r="1220" spans="2:2" x14ac:dyDescent="0.25">
      <c r="B1220" s="17"/>
    </row>
    <row r="1221" spans="2:2" x14ac:dyDescent="0.25">
      <c r="B1221" s="17"/>
    </row>
    <row r="1222" spans="2:2" x14ac:dyDescent="0.25">
      <c r="B1222" s="17"/>
    </row>
    <row r="1223" spans="2:2" x14ac:dyDescent="0.25">
      <c r="B1223" s="17"/>
    </row>
    <row r="1224" spans="2:2" x14ac:dyDescent="0.25">
      <c r="B1224" s="17"/>
    </row>
    <row r="1225" spans="2:2" x14ac:dyDescent="0.25">
      <c r="B1225" s="17"/>
    </row>
    <row r="1226" spans="2:2" x14ac:dyDescent="0.25">
      <c r="B1226" s="17"/>
    </row>
    <row r="1227" spans="2:2" x14ac:dyDescent="0.25">
      <c r="B1227" s="17"/>
    </row>
    <row r="1228" spans="2:2" x14ac:dyDescent="0.25">
      <c r="B1228" s="17"/>
    </row>
    <row r="1229" spans="2:2" x14ac:dyDescent="0.25">
      <c r="B1229" s="17"/>
    </row>
    <row r="1230" spans="2:2" x14ac:dyDescent="0.25">
      <c r="B1230" s="17"/>
    </row>
    <row r="1231" spans="2:2" x14ac:dyDescent="0.25">
      <c r="B1231" s="17"/>
    </row>
    <row r="1232" spans="2:2" x14ac:dyDescent="0.25">
      <c r="B1232" s="17"/>
    </row>
    <row r="1233" spans="2:2" x14ac:dyDescent="0.25">
      <c r="B1233" s="17"/>
    </row>
    <row r="1234" spans="2:2" x14ac:dyDescent="0.25">
      <c r="B1234" s="17"/>
    </row>
    <row r="1235" spans="2:2" x14ac:dyDescent="0.25">
      <c r="B1235" s="17"/>
    </row>
    <row r="1236" spans="2:2" x14ac:dyDescent="0.25">
      <c r="B1236" s="17"/>
    </row>
    <row r="1237" spans="2:2" x14ac:dyDescent="0.25">
      <c r="B1237" s="17"/>
    </row>
    <row r="1238" spans="2:2" x14ac:dyDescent="0.25">
      <c r="B1238" s="17"/>
    </row>
    <row r="1239" spans="2:2" x14ac:dyDescent="0.25">
      <c r="B1239" s="17"/>
    </row>
    <row r="1240" spans="2:2" x14ac:dyDescent="0.25">
      <c r="B1240" s="17"/>
    </row>
    <row r="1241" spans="2:2" x14ac:dyDescent="0.25">
      <c r="B1241" s="17"/>
    </row>
    <row r="1242" spans="2:2" x14ac:dyDescent="0.25">
      <c r="B1242" s="17"/>
    </row>
    <row r="1243" spans="2:2" x14ac:dyDescent="0.25">
      <c r="B1243" s="17"/>
    </row>
    <row r="1244" spans="2:2" x14ac:dyDescent="0.25">
      <c r="B1244" s="17"/>
    </row>
    <row r="1245" spans="2:2" x14ac:dyDescent="0.25">
      <c r="B1245" s="17"/>
    </row>
    <row r="1246" spans="2:2" x14ac:dyDescent="0.25">
      <c r="B1246" s="17"/>
    </row>
    <row r="1247" spans="2:2" x14ac:dyDescent="0.25">
      <c r="B1247" s="17"/>
    </row>
    <row r="1248" spans="2:2" x14ac:dyDescent="0.25">
      <c r="B1248" s="17"/>
    </row>
    <row r="1249" spans="2:2" x14ac:dyDescent="0.25">
      <c r="B1249" s="17"/>
    </row>
    <row r="1250" spans="2:2" x14ac:dyDescent="0.25">
      <c r="B1250" s="17"/>
    </row>
    <row r="1251" spans="2:2" x14ac:dyDescent="0.25">
      <c r="B1251" s="17"/>
    </row>
    <row r="1252" spans="2:2" x14ac:dyDescent="0.25">
      <c r="B1252" s="17"/>
    </row>
    <row r="1253" spans="2:2" x14ac:dyDescent="0.25">
      <c r="B1253" s="17"/>
    </row>
    <row r="1254" spans="2:2" x14ac:dyDescent="0.25">
      <c r="B1254" s="17"/>
    </row>
    <row r="1255" spans="2:2" x14ac:dyDescent="0.25">
      <c r="B1255" s="17"/>
    </row>
    <row r="1256" spans="2:2" x14ac:dyDescent="0.25">
      <c r="B1256" s="17"/>
    </row>
    <row r="1257" spans="2:2" x14ac:dyDescent="0.25">
      <c r="B1257" s="17"/>
    </row>
    <row r="1258" spans="2:2" x14ac:dyDescent="0.25">
      <c r="B1258" s="17"/>
    </row>
    <row r="1259" spans="2:2" x14ac:dyDescent="0.25">
      <c r="B1259" s="17"/>
    </row>
    <row r="1260" spans="2:2" x14ac:dyDescent="0.25">
      <c r="B1260" s="17"/>
    </row>
    <row r="1261" spans="2:2" x14ac:dyDescent="0.25">
      <c r="B1261" s="17"/>
    </row>
    <row r="1262" spans="2:2" x14ac:dyDescent="0.25">
      <c r="B1262" s="17"/>
    </row>
    <row r="1263" spans="2:2" x14ac:dyDescent="0.25">
      <c r="B1263" s="17"/>
    </row>
    <row r="1264" spans="2:2" x14ac:dyDescent="0.25">
      <c r="B1264" s="17"/>
    </row>
    <row r="1265" spans="2:2" x14ac:dyDescent="0.25">
      <c r="B1265" s="17"/>
    </row>
    <row r="1266" spans="2:2" x14ac:dyDescent="0.25">
      <c r="B1266" s="17"/>
    </row>
    <row r="1267" spans="2:2" x14ac:dyDescent="0.25">
      <c r="B1267" s="17"/>
    </row>
    <row r="1268" spans="2:2" x14ac:dyDescent="0.25">
      <c r="B1268" s="17"/>
    </row>
    <row r="1269" spans="2:2" x14ac:dyDescent="0.25">
      <c r="B1269" s="17"/>
    </row>
    <row r="1270" spans="2:2" x14ac:dyDescent="0.25">
      <c r="B1270" s="17"/>
    </row>
    <row r="1271" spans="2:2" x14ac:dyDescent="0.25">
      <c r="B1271" s="17"/>
    </row>
    <row r="1272" spans="2:2" x14ac:dyDescent="0.25">
      <c r="B1272" s="17"/>
    </row>
    <row r="1273" spans="2:2" x14ac:dyDescent="0.25">
      <c r="B1273" s="17"/>
    </row>
    <row r="1274" spans="2:2" x14ac:dyDescent="0.25">
      <c r="B1274" s="17"/>
    </row>
    <row r="1275" spans="2:2" x14ac:dyDescent="0.25">
      <c r="B1275" s="17"/>
    </row>
    <row r="1276" spans="2:2" x14ac:dyDescent="0.25">
      <c r="B1276" s="17"/>
    </row>
    <row r="1277" spans="2:2" x14ac:dyDescent="0.25">
      <c r="B1277" s="17"/>
    </row>
    <row r="1278" spans="2:2" x14ac:dyDescent="0.25">
      <c r="B1278" s="17"/>
    </row>
    <row r="1279" spans="2:2" x14ac:dyDescent="0.25">
      <c r="B1279" s="17"/>
    </row>
    <row r="1280" spans="2:2" x14ac:dyDescent="0.25">
      <c r="B1280" s="17"/>
    </row>
    <row r="1281" spans="2:2" x14ac:dyDescent="0.25">
      <c r="B1281" s="17"/>
    </row>
    <row r="1282" spans="2:2" x14ac:dyDescent="0.25">
      <c r="B1282" s="17"/>
    </row>
    <row r="1283" spans="2:2" x14ac:dyDescent="0.25">
      <c r="B1283" s="17"/>
    </row>
    <row r="1284" spans="2:2" x14ac:dyDescent="0.25">
      <c r="B1284" s="17"/>
    </row>
    <row r="1285" spans="2:2" x14ac:dyDescent="0.25">
      <c r="B1285" s="17"/>
    </row>
    <row r="1286" spans="2:2" x14ac:dyDescent="0.25">
      <c r="B1286" s="17"/>
    </row>
    <row r="1287" spans="2:2" x14ac:dyDescent="0.25">
      <c r="B1287" s="17"/>
    </row>
    <row r="1288" spans="2:2" x14ac:dyDescent="0.25">
      <c r="B1288" s="17"/>
    </row>
    <row r="1289" spans="2:2" x14ac:dyDescent="0.25">
      <c r="B1289" s="17"/>
    </row>
    <row r="1290" spans="2:2" x14ac:dyDescent="0.25">
      <c r="B1290" s="17"/>
    </row>
    <row r="1291" spans="2:2" x14ac:dyDescent="0.25">
      <c r="B1291" s="17"/>
    </row>
    <row r="1292" spans="2:2" x14ac:dyDescent="0.25">
      <c r="B1292" s="17"/>
    </row>
    <row r="1293" spans="2:2" x14ac:dyDescent="0.25">
      <c r="B1293" s="17"/>
    </row>
    <row r="1294" spans="2:2" x14ac:dyDescent="0.25">
      <c r="B1294" s="17"/>
    </row>
    <row r="1295" spans="2:2" x14ac:dyDescent="0.25">
      <c r="B1295" s="17"/>
    </row>
    <row r="1296" spans="2:2" x14ac:dyDescent="0.25">
      <c r="B1296" s="17"/>
    </row>
    <row r="1297" spans="2:2" x14ac:dyDescent="0.25">
      <c r="B1297" s="17"/>
    </row>
    <row r="1298" spans="2:2" x14ac:dyDescent="0.25">
      <c r="B1298" s="17"/>
    </row>
    <row r="1299" spans="2:2" x14ac:dyDescent="0.25">
      <c r="B1299" s="17"/>
    </row>
    <row r="1300" spans="2:2" x14ac:dyDescent="0.25">
      <c r="B1300" s="17"/>
    </row>
    <row r="1301" spans="2:2" x14ac:dyDescent="0.25">
      <c r="B1301" s="17"/>
    </row>
    <row r="1302" spans="2:2" x14ac:dyDescent="0.25">
      <c r="B1302" s="17"/>
    </row>
    <row r="1303" spans="2:2" x14ac:dyDescent="0.25">
      <c r="B1303" s="17"/>
    </row>
    <row r="1304" spans="2:2" x14ac:dyDescent="0.25">
      <c r="B1304" s="17"/>
    </row>
    <row r="1305" spans="2:2" x14ac:dyDescent="0.25">
      <c r="B1305" s="17"/>
    </row>
    <row r="1306" spans="2:2" x14ac:dyDescent="0.25">
      <c r="B1306" s="17"/>
    </row>
    <row r="1307" spans="2:2" x14ac:dyDescent="0.25">
      <c r="B1307" s="17"/>
    </row>
    <row r="1308" spans="2:2" x14ac:dyDescent="0.25">
      <c r="B1308" s="17"/>
    </row>
    <row r="1309" spans="2:2" x14ac:dyDescent="0.25">
      <c r="B1309" s="17"/>
    </row>
    <row r="1310" spans="2:2" x14ac:dyDescent="0.25">
      <c r="B1310" s="17"/>
    </row>
    <row r="1311" spans="2:2" x14ac:dyDescent="0.25">
      <c r="B1311" s="17"/>
    </row>
    <row r="1312" spans="2:2" x14ac:dyDescent="0.25">
      <c r="B1312" s="17"/>
    </row>
    <row r="1313" spans="2:2" x14ac:dyDescent="0.25">
      <c r="B1313" s="17"/>
    </row>
    <row r="1314" spans="2:2" x14ac:dyDescent="0.25">
      <c r="B1314" s="17"/>
    </row>
    <row r="1315" spans="2:2" x14ac:dyDescent="0.25">
      <c r="B1315" s="17"/>
    </row>
    <row r="1316" spans="2:2" x14ac:dyDescent="0.25">
      <c r="B1316" s="17"/>
    </row>
    <row r="1317" spans="2:2" x14ac:dyDescent="0.25">
      <c r="B1317" s="17"/>
    </row>
    <row r="1318" spans="2:2" x14ac:dyDescent="0.25">
      <c r="B1318" s="17"/>
    </row>
    <row r="1319" spans="2:2" x14ac:dyDescent="0.25">
      <c r="B1319" s="17"/>
    </row>
    <row r="1320" spans="2:2" x14ac:dyDescent="0.25">
      <c r="B1320" s="17"/>
    </row>
    <row r="1321" spans="2:2" x14ac:dyDescent="0.25">
      <c r="B1321" s="17"/>
    </row>
    <row r="1322" spans="2:2" x14ac:dyDescent="0.25">
      <c r="B1322" s="17"/>
    </row>
    <row r="1323" spans="2:2" x14ac:dyDescent="0.25">
      <c r="B1323" s="17"/>
    </row>
    <row r="1324" spans="2:2" x14ac:dyDescent="0.25">
      <c r="B1324" s="17"/>
    </row>
    <row r="1325" spans="2:2" x14ac:dyDescent="0.25">
      <c r="B1325" s="17"/>
    </row>
    <row r="1326" spans="2:2" x14ac:dyDescent="0.25">
      <c r="B1326" s="17"/>
    </row>
    <row r="1327" spans="2:2" x14ac:dyDescent="0.25">
      <c r="B1327" s="17"/>
    </row>
    <row r="1328" spans="2:2" x14ac:dyDescent="0.25">
      <c r="B1328" s="17"/>
    </row>
    <row r="1329" spans="2:2" x14ac:dyDescent="0.25">
      <c r="B1329" s="17"/>
    </row>
    <row r="1330" spans="2:2" x14ac:dyDescent="0.25">
      <c r="B1330" s="17"/>
    </row>
    <row r="1331" spans="2:2" x14ac:dyDescent="0.25">
      <c r="B1331" s="17"/>
    </row>
    <row r="1332" spans="2:2" x14ac:dyDescent="0.25">
      <c r="B1332" s="17"/>
    </row>
    <row r="1333" spans="2:2" x14ac:dyDescent="0.25">
      <c r="B1333" s="17"/>
    </row>
    <row r="1334" spans="2:2" x14ac:dyDescent="0.25">
      <c r="B1334" s="17"/>
    </row>
    <row r="1335" spans="2:2" x14ac:dyDescent="0.25">
      <c r="B1335" s="17"/>
    </row>
    <row r="1336" spans="2:2" x14ac:dyDescent="0.25">
      <c r="B1336" s="17"/>
    </row>
    <row r="1337" spans="2:2" x14ac:dyDescent="0.25">
      <c r="B1337" s="17"/>
    </row>
    <row r="1338" spans="2:2" x14ac:dyDescent="0.25">
      <c r="B1338" s="17"/>
    </row>
    <row r="1339" spans="2:2" x14ac:dyDescent="0.25">
      <c r="B1339" s="17"/>
    </row>
    <row r="1340" spans="2:2" x14ac:dyDescent="0.25">
      <c r="B1340" s="17"/>
    </row>
    <row r="1341" spans="2:2" x14ac:dyDescent="0.25">
      <c r="B1341" s="17"/>
    </row>
    <row r="1342" spans="2:2" x14ac:dyDescent="0.25">
      <c r="B1342" s="17"/>
    </row>
    <row r="1343" spans="2:2" x14ac:dyDescent="0.25">
      <c r="B1343" s="17"/>
    </row>
    <row r="1344" spans="2:2" x14ac:dyDescent="0.25">
      <c r="B1344" s="17"/>
    </row>
    <row r="1345" spans="2:2" x14ac:dyDescent="0.25">
      <c r="B1345" s="17"/>
    </row>
    <row r="1346" spans="2:2" x14ac:dyDescent="0.25">
      <c r="B1346" s="17"/>
    </row>
    <row r="1347" spans="2:2" x14ac:dyDescent="0.25">
      <c r="B1347" s="17"/>
    </row>
    <row r="1348" spans="2:2" x14ac:dyDescent="0.25">
      <c r="B1348" s="17"/>
    </row>
    <row r="1349" spans="2:2" x14ac:dyDescent="0.25">
      <c r="B1349" s="17"/>
    </row>
    <row r="1350" spans="2:2" x14ac:dyDescent="0.25">
      <c r="B1350" s="17"/>
    </row>
    <row r="1351" spans="2:2" x14ac:dyDescent="0.25">
      <c r="B1351" s="17"/>
    </row>
    <row r="1352" spans="2:2" x14ac:dyDescent="0.25">
      <c r="B1352" s="17"/>
    </row>
    <row r="1353" spans="2:2" x14ac:dyDescent="0.25">
      <c r="B1353" s="17"/>
    </row>
    <row r="1354" spans="2:2" x14ac:dyDescent="0.25">
      <c r="B1354" s="17"/>
    </row>
    <row r="1355" spans="2:2" x14ac:dyDescent="0.25">
      <c r="B1355" s="17"/>
    </row>
    <row r="1356" spans="2:2" x14ac:dyDescent="0.25">
      <c r="B1356" s="17"/>
    </row>
    <row r="1357" spans="2:2" x14ac:dyDescent="0.25">
      <c r="B1357" s="17"/>
    </row>
    <row r="1358" spans="2:2" x14ac:dyDescent="0.25">
      <c r="B1358" s="17"/>
    </row>
    <row r="1359" spans="2:2" x14ac:dyDescent="0.25">
      <c r="B1359" s="17"/>
    </row>
    <row r="1360" spans="2:2" x14ac:dyDescent="0.25">
      <c r="B1360" s="17"/>
    </row>
    <row r="1361" spans="2:2" x14ac:dyDescent="0.25">
      <c r="B1361" s="17"/>
    </row>
    <row r="1362" spans="2:2" x14ac:dyDescent="0.25">
      <c r="B1362" s="17"/>
    </row>
    <row r="1363" spans="2:2" x14ac:dyDescent="0.25">
      <c r="B1363" s="17"/>
    </row>
    <row r="1364" spans="2:2" x14ac:dyDescent="0.25">
      <c r="B1364" s="17"/>
    </row>
    <row r="1365" spans="2:2" x14ac:dyDescent="0.25">
      <c r="B1365" s="17"/>
    </row>
    <row r="1366" spans="2:2" x14ac:dyDescent="0.25">
      <c r="B1366" s="17"/>
    </row>
    <row r="1367" spans="2:2" x14ac:dyDescent="0.25">
      <c r="B1367" s="17"/>
    </row>
    <row r="1368" spans="2:2" x14ac:dyDescent="0.25">
      <c r="B1368" s="17"/>
    </row>
    <row r="1369" spans="2:2" x14ac:dyDescent="0.25">
      <c r="B1369" s="17"/>
    </row>
    <row r="1370" spans="2:2" x14ac:dyDescent="0.25">
      <c r="B1370" s="17"/>
    </row>
    <row r="1371" spans="2:2" x14ac:dyDescent="0.25">
      <c r="B1371" s="17"/>
    </row>
    <row r="1372" spans="2:2" x14ac:dyDescent="0.25">
      <c r="B1372" s="17"/>
    </row>
    <row r="1373" spans="2:2" x14ac:dyDescent="0.25">
      <c r="B1373" s="17"/>
    </row>
    <row r="1374" spans="2:2" x14ac:dyDescent="0.25">
      <c r="B1374" s="17"/>
    </row>
    <row r="1375" spans="2:2" x14ac:dyDescent="0.25">
      <c r="B1375" s="17"/>
    </row>
    <row r="1376" spans="2:2" x14ac:dyDescent="0.25">
      <c r="B1376" s="17"/>
    </row>
    <row r="1377" spans="2:2" x14ac:dyDescent="0.25">
      <c r="B1377" s="17"/>
    </row>
    <row r="1378" spans="2:2" x14ac:dyDescent="0.25">
      <c r="B1378" s="17"/>
    </row>
    <row r="1379" spans="2:2" x14ac:dyDescent="0.25">
      <c r="B1379" s="17"/>
    </row>
    <row r="1380" spans="2:2" x14ac:dyDescent="0.25">
      <c r="B1380" s="17"/>
    </row>
    <row r="1381" spans="2:2" x14ac:dyDescent="0.25">
      <c r="B1381" s="17"/>
    </row>
    <row r="1382" spans="2:2" x14ac:dyDescent="0.25">
      <c r="B1382" s="17"/>
    </row>
    <row r="1383" spans="2:2" x14ac:dyDescent="0.25">
      <c r="B1383" s="17"/>
    </row>
    <row r="1384" spans="2:2" x14ac:dyDescent="0.25">
      <c r="B1384" s="17"/>
    </row>
    <row r="1385" spans="2:2" x14ac:dyDescent="0.25">
      <c r="B1385" s="17"/>
    </row>
    <row r="1386" spans="2:2" x14ac:dyDescent="0.25">
      <c r="B1386" s="17"/>
    </row>
    <row r="1387" spans="2:2" x14ac:dyDescent="0.25">
      <c r="B1387" s="17"/>
    </row>
    <row r="1388" spans="2:2" x14ac:dyDescent="0.25">
      <c r="B1388" s="17"/>
    </row>
    <row r="1389" spans="2:2" x14ac:dyDescent="0.25">
      <c r="B1389" s="17"/>
    </row>
    <row r="1390" spans="2:2" x14ac:dyDescent="0.25">
      <c r="B1390" s="17"/>
    </row>
    <row r="1391" spans="2:2" x14ac:dyDescent="0.25">
      <c r="B1391" s="17"/>
    </row>
    <row r="1392" spans="2:2" x14ac:dyDescent="0.25">
      <c r="B1392" s="17"/>
    </row>
    <row r="1393" spans="2:2" x14ac:dyDescent="0.25">
      <c r="B1393" s="17"/>
    </row>
    <row r="1394" spans="2:2" x14ac:dyDescent="0.25">
      <c r="B1394" s="17"/>
    </row>
    <row r="1395" spans="2:2" x14ac:dyDescent="0.25">
      <c r="B1395" s="17"/>
    </row>
    <row r="1396" spans="2:2" x14ac:dyDescent="0.25">
      <c r="B1396" s="17"/>
    </row>
    <row r="1397" spans="2:2" x14ac:dyDescent="0.25">
      <c r="B1397" s="17"/>
    </row>
    <row r="1398" spans="2:2" x14ac:dyDescent="0.25">
      <c r="B1398" s="17"/>
    </row>
    <row r="1399" spans="2:2" x14ac:dyDescent="0.25">
      <c r="B1399" s="17"/>
    </row>
    <row r="1400" spans="2:2" x14ac:dyDescent="0.25">
      <c r="B1400" s="17"/>
    </row>
    <row r="1401" spans="2:2" x14ac:dyDescent="0.25">
      <c r="B1401" s="17"/>
    </row>
    <row r="1402" spans="2:2" x14ac:dyDescent="0.25">
      <c r="B1402" s="17"/>
    </row>
    <row r="1403" spans="2:2" x14ac:dyDescent="0.25">
      <c r="B1403" s="17"/>
    </row>
    <row r="1404" spans="2:2" x14ac:dyDescent="0.25">
      <c r="B1404" s="17"/>
    </row>
    <row r="1405" spans="2:2" x14ac:dyDescent="0.25">
      <c r="B1405" s="17"/>
    </row>
    <row r="1406" spans="2:2" x14ac:dyDescent="0.25">
      <c r="B1406" s="17"/>
    </row>
    <row r="1407" spans="2:2" x14ac:dyDescent="0.25">
      <c r="B1407" s="17"/>
    </row>
    <row r="1408" spans="2:2" x14ac:dyDescent="0.25">
      <c r="B1408" s="17"/>
    </row>
    <row r="1409" spans="2:2" x14ac:dyDescent="0.25">
      <c r="B1409" s="17"/>
    </row>
    <row r="1410" spans="2:2" x14ac:dyDescent="0.25">
      <c r="B1410" s="17"/>
    </row>
    <row r="1411" spans="2:2" x14ac:dyDescent="0.25">
      <c r="B1411" s="17"/>
    </row>
    <row r="1412" spans="2:2" x14ac:dyDescent="0.25">
      <c r="B1412" s="17"/>
    </row>
    <row r="1413" spans="2:2" x14ac:dyDescent="0.25">
      <c r="B1413" s="17"/>
    </row>
    <row r="1414" spans="2:2" x14ac:dyDescent="0.25">
      <c r="B1414" s="17"/>
    </row>
    <row r="1415" spans="2:2" x14ac:dyDescent="0.25">
      <c r="B1415" s="17"/>
    </row>
    <row r="1416" spans="2:2" x14ac:dyDescent="0.25">
      <c r="B1416" s="17"/>
    </row>
    <row r="1417" spans="2:2" x14ac:dyDescent="0.25">
      <c r="B1417" s="17"/>
    </row>
    <row r="1418" spans="2:2" x14ac:dyDescent="0.25">
      <c r="B1418" s="17"/>
    </row>
    <row r="1419" spans="2:2" x14ac:dyDescent="0.25">
      <c r="B1419" s="17"/>
    </row>
    <row r="1420" spans="2:2" x14ac:dyDescent="0.25">
      <c r="B1420" s="17"/>
    </row>
    <row r="1421" spans="2:2" x14ac:dyDescent="0.25">
      <c r="B1421" s="17"/>
    </row>
    <row r="1422" spans="2:2" x14ac:dyDescent="0.25">
      <c r="B1422" s="17"/>
    </row>
    <row r="1423" spans="2:2" x14ac:dyDescent="0.25">
      <c r="B1423" s="17"/>
    </row>
    <row r="1424" spans="2:2" x14ac:dyDescent="0.25">
      <c r="B1424" s="17"/>
    </row>
    <row r="1425" spans="2:2" x14ac:dyDescent="0.25">
      <c r="B1425" s="17"/>
    </row>
    <row r="1426" spans="2:2" x14ac:dyDescent="0.25">
      <c r="B1426" s="17"/>
    </row>
    <row r="1427" spans="2:2" x14ac:dyDescent="0.25">
      <c r="B1427" s="17"/>
    </row>
    <row r="1428" spans="2:2" x14ac:dyDescent="0.25">
      <c r="B1428" s="17"/>
    </row>
    <row r="1429" spans="2:2" x14ac:dyDescent="0.25">
      <c r="B1429" s="17"/>
    </row>
    <row r="1430" spans="2:2" x14ac:dyDescent="0.25">
      <c r="B1430" s="17"/>
    </row>
    <row r="1431" spans="2:2" x14ac:dyDescent="0.25">
      <c r="B1431" s="17"/>
    </row>
    <row r="1432" spans="2:2" x14ac:dyDescent="0.25">
      <c r="B1432" s="17"/>
    </row>
    <row r="1433" spans="2:2" x14ac:dyDescent="0.25">
      <c r="B1433" s="17"/>
    </row>
    <row r="1434" spans="2:2" x14ac:dyDescent="0.25">
      <c r="B1434" s="17"/>
    </row>
    <row r="1435" spans="2:2" x14ac:dyDescent="0.25">
      <c r="B1435" s="17"/>
    </row>
    <row r="1436" spans="2:2" x14ac:dyDescent="0.25">
      <c r="B1436" s="17"/>
    </row>
    <row r="1437" spans="2:2" x14ac:dyDescent="0.25">
      <c r="B1437" s="17"/>
    </row>
    <row r="1438" spans="2:2" x14ac:dyDescent="0.25">
      <c r="B1438" s="17"/>
    </row>
    <row r="1439" spans="2:2" x14ac:dyDescent="0.25">
      <c r="B1439" s="17"/>
    </row>
    <row r="1440" spans="2:2" x14ac:dyDescent="0.25">
      <c r="B1440" s="17"/>
    </row>
    <row r="1441" spans="2:2" x14ac:dyDescent="0.25">
      <c r="B1441" s="17"/>
    </row>
    <row r="1442" spans="2:2" x14ac:dyDescent="0.25">
      <c r="B1442" s="17"/>
    </row>
    <row r="1443" spans="2:2" x14ac:dyDescent="0.25">
      <c r="B1443" s="17"/>
    </row>
    <row r="1444" spans="2:2" x14ac:dyDescent="0.25">
      <c r="B1444" s="17"/>
    </row>
    <row r="1445" spans="2:2" x14ac:dyDescent="0.25">
      <c r="B1445" s="17"/>
    </row>
    <row r="1446" spans="2:2" x14ac:dyDescent="0.25">
      <c r="B1446" s="17"/>
    </row>
    <row r="1447" spans="2:2" x14ac:dyDescent="0.25">
      <c r="B1447" s="17"/>
    </row>
    <row r="1448" spans="2:2" x14ac:dyDescent="0.25">
      <c r="B1448" s="17"/>
    </row>
    <row r="1449" spans="2:2" x14ac:dyDescent="0.25">
      <c r="B1449" s="17"/>
    </row>
    <row r="1450" spans="2:2" x14ac:dyDescent="0.25">
      <c r="B1450" s="17"/>
    </row>
    <row r="1451" spans="2:2" x14ac:dyDescent="0.25">
      <c r="B1451" s="17"/>
    </row>
    <row r="1452" spans="2:2" x14ac:dyDescent="0.25">
      <c r="B1452" s="17"/>
    </row>
    <row r="1453" spans="2:2" x14ac:dyDescent="0.25">
      <c r="B1453" s="17"/>
    </row>
    <row r="1454" spans="2:2" x14ac:dyDescent="0.25">
      <c r="B1454" s="17"/>
    </row>
    <row r="1455" spans="2:2" x14ac:dyDescent="0.25">
      <c r="B1455" s="17"/>
    </row>
    <row r="1456" spans="2:2" x14ac:dyDescent="0.25">
      <c r="B1456" s="17"/>
    </row>
    <row r="1457" spans="2:2" x14ac:dyDescent="0.25">
      <c r="B1457" s="17"/>
    </row>
    <row r="1458" spans="2:2" x14ac:dyDescent="0.25">
      <c r="B1458" s="17"/>
    </row>
    <row r="1459" spans="2:2" x14ac:dyDescent="0.25">
      <c r="B1459" s="17"/>
    </row>
    <row r="1460" spans="2:2" x14ac:dyDescent="0.25">
      <c r="B1460" s="17"/>
    </row>
    <row r="1461" spans="2:2" x14ac:dyDescent="0.25">
      <c r="B1461" s="17"/>
    </row>
    <row r="1462" spans="2:2" x14ac:dyDescent="0.25">
      <c r="B1462" s="17"/>
    </row>
    <row r="1463" spans="2:2" x14ac:dyDescent="0.25">
      <c r="B1463" s="17"/>
    </row>
    <row r="1464" spans="2:2" x14ac:dyDescent="0.25">
      <c r="B1464" s="17"/>
    </row>
    <row r="1465" spans="2:2" x14ac:dyDescent="0.25">
      <c r="B1465" s="17"/>
    </row>
    <row r="1466" spans="2:2" x14ac:dyDescent="0.25">
      <c r="B1466" s="17"/>
    </row>
    <row r="1467" spans="2:2" x14ac:dyDescent="0.25">
      <c r="B1467" s="17"/>
    </row>
    <row r="1468" spans="2:2" x14ac:dyDescent="0.25">
      <c r="B1468" s="17"/>
    </row>
    <row r="1469" spans="2:2" x14ac:dyDescent="0.25">
      <c r="B1469" s="17"/>
    </row>
    <row r="1470" spans="2:2" x14ac:dyDescent="0.25">
      <c r="B1470" s="17"/>
    </row>
    <row r="1471" spans="2:2" x14ac:dyDescent="0.25">
      <c r="B1471" s="17"/>
    </row>
    <row r="1472" spans="2:2" x14ac:dyDescent="0.25">
      <c r="B1472" s="17"/>
    </row>
    <row r="1473" spans="2:2" x14ac:dyDescent="0.25">
      <c r="B1473" s="17"/>
    </row>
    <row r="1474" spans="2:2" x14ac:dyDescent="0.25">
      <c r="B1474" s="17"/>
    </row>
    <row r="1475" spans="2:2" x14ac:dyDescent="0.25">
      <c r="B1475" s="17"/>
    </row>
    <row r="1476" spans="2:2" x14ac:dyDescent="0.25">
      <c r="B1476" s="17"/>
    </row>
    <row r="1477" spans="2:2" x14ac:dyDescent="0.25">
      <c r="B1477" s="17"/>
    </row>
    <row r="1478" spans="2:2" x14ac:dyDescent="0.25">
      <c r="B1478" s="17"/>
    </row>
    <row r="1479" spans="2:2" x14ac:dyDescent="0.25">
      <c r="B1479" s="17"/>
    </row>
    <row r="1480" spans="2:2" x14ac:dyDescent="0.25">
      <c r="B1480" s="17"/>
    </row>
    <row r="1481" spans="2:2" x14ac:dyDescent="0.25">
      <c r="B1481" s="17"/>
    </row>
    <row r="1482" spans="2:2" x14ac:dyDescent="0.25">
      <c r="B1482" s="17"/>
    </row>
    <row r="1483" spans="2:2" x14ac:dyDescent="0.25">
      <c r="B1483" s="17"/>
    </row>
    <row r="1484" spans="2:2" x14ac:dyDescent="0.25">
      <c r="B1484" s="17"/>
    </row>
    <row r="1485" spans="2:2" x14ac:dyDescent="0.25">
      <c r="B1485" s="17"/>
    </row>
    <row r="1486" spans="2:2" x14ac:dyDescent="0.25">
      <c r="B1486" s="17"/>
    </row>
    <row r="1487" spans="2:2" x14ac:dyDescent="0.25">
      <c r="B1487" s="17"/>
    </row>
    <row r="1488" spans="2:2" x14ac:dyDescent="0.25">
      <c r="B1488" s="17"/>
    </row>
    <row r="1489" spans="2:2" x14ac:dyDescent="0.25">
      <c r="B1489" s="17"/>
    </row>
    <row r="1490" spans="2:2" x14ac:dyDescent="0.25">
      <c r="B1490" s="17"/>
    </row>
    <row r="1491" spans="2:2" x14ac:dyDescent="0.25">
      <c r="B1491" s="17"/>
    </row>
    <row r="1492" spans="2:2" x14ac:dyDescent="0.25">
      <c r="B1492" s="17"/>
    </row>
    <row r="1493" spans="2:2" x14ac:dyDescent="0.25">
      <c r="B1493" s="17"/>
    </row>
    <row r="1494" spans="2:2" x14ac:dyDescent="0.25">
      <c r="B1494" s="17"/>
    </row>
    <row r="1495" spans="2:2" x14ac:dyDescent="0.25">
      <c r="B1495" s="17"/>
    </row>
    <row r="1496" spans="2:2" x14ac:dyDescent="0.25">
      <c r="B1496" s="17"/>
    </row>
    <row r="1497" spans="2:2" x14ac:dyDescent="0.25">
      <c r="B1497" s="17"/>
    </row>
    <row r="1498" spans="2:2" x14ac:dyDescent="0.25">
      <c r="B1498" s="17"/>
    </row>
    <row r="1499" spans="2:2" x14ac:dyDescent="0.25">
      <c r="B1499" s="17"/>
    </row>
    <row r="1500" spans="2:2" x14ac:dyDescent="0.25">
      <c r="B1500" s="17"/>
    </row>
    <row r="1501" spans="2:2" x14ac:dyDescent="0.25">
      <c r="B1501" s="17"/>
    </row>
    <row r="1502" spans="2:2" x14ac:dyDescent="0.25">
      <c r="B1502" s="17"/>
    </row>
    <row r="1503" spans="2:2" x14ac:dyDescent="0.25">
      <c r="B1503" s="17"/>
    </row>
    <row r="1504" spans="2:2" x14ac:dyDescent="0.25">
      <c r="B1504" s="17"/>
    </row>
    <row r="1505" spans="2:2" x14ac:dyDescent="0.25">
      <c r="B1505" s="17"/>
    </row>
    <row r="1506" spans="2:2" x14ac:dyDescent="0.25">
      <c r="B1506" s="17"/>
    </row>
    <row r="1507" spans="2:2" x14ac:dyDescent="0.25">
      <c r="B1507" s="17"/>
    </row>
    <row r="1508" spans="2:2" x14ac:dyDescent="0.25">
      <c r="B1508" s="17"/>
    </row>
    <row r="1509" spans="2:2" x14ac:dyDescent="0.25">
      <c r="B1509" s="17"/>
    </row>
    <row r="1510" spans="2:2" x14ac:dyDescent="0.25">
      <c r="B1510" s="17"/>
    </row>
    <row r="1511" spans="2:2" x14ac:dyDescent="0.25">
      <c r="B1511" s="17"/>
    </row>
    <row r="1512" spans="2:2" x14ac:dyDescent="0.25">
      <c r="B1512" s="17"/>
    </row>
    <row r="1513" spans="2:2" x14ac:dyDescent="0.25">
      <c r="B1513" s="17"/>
    </row>
    <row r="1514" spans="2:2" x14ac:dyDescent="0.25">
      <c r="B1514" s="17"/>
    </row>
    <row r="1515" spans="2:2" x14ac:dyDescent="0.25">
      <c r="B1515" s="17"/>
    </row>
    <row r="1516" spans="2:2" x14ac:dyDescent="0.25">
      <c r="B1516" s="17"/>
    </row>
    <row r="1517" spans="2:2" x14ac:dyDescent="0.25">
      <c r="B1517" s="17"/>
    </row>
    <row r="1518" spans="2:2" x14ac:dyDescent="0.25">
      <c r="B1518" s="17"/>
    </row>
    <row r="1519" spans="2:2" x14ac:dyDescent="0.25">
      <c r="B1519" s="17"/>
    </row>
    <row r="1520" spans="2:2" x14ac:dyDescent="0.25">
      <c r="B1520" s="17"/>
    </row>
    <row r="1521" spans="2:2" x14ac:dyDescent="0.25">
      <c r="B1521" s="17"/>
    </row>
    <row r="1522" spans="2:2" x14ac:dyDescent="0.25">
      <c r="B1522" s="17"/>
    </row>
    <row r="1523" spans="2:2" x14ac:dyDescent="0.25">
      <c r="B1523" s="17"/>
    </row>
    <row r="1524" spans="2:2" x14ac:dyDescent="0.25">
      <c r="B1524" s="17"/>
    </row>
    <row r="1525" spans="2:2" x14ac:dyDescent="0.25">
      <c r="B1525" s="17"/>
    </row>
    <row r="1526" spans="2:2" x14ac:dyDescent="0.25">
      <c r="B1526" s="17"/>
    </row>
    <row r="1527" spans="2:2" x14ac:dyDescent="0.25">
      <c r="B1527" s="17"/>
    </row>
    <row r="1528" spans="2:2" x14ac:dyDescent="0.25">
      <c r="B1528" s="17"/>
    </row>
    <row r="1529" spans="2:2" x14ac:dyDescent="0.25">
      <c r="B1529" s="17"/>
    </row>
    <row r="1530" spans="2:2" x14ac:dyDescent="0.25">
      <c r="B1530" s="17"/>
    </row>
    <row r="1531" spans="2:2" x14ac:dyDescent="0.25">
      <c r="B1531" s="17"/>
    </row>
    <row r="1532" spans="2:2" x14ac:dyDescent="0.25">
      <c r="B1532" s="17"/>
    </row>
    <row r="1533" spans="2:2" x14ac:dyDescent="0.25">
      <c r="B1533" s="17"/>
    </row>
    <row r="1534" spans="2:2" x14ac:dyDescent="0.25">
      <c r="B1534" s="17"/>
    </row>
    <row r="1535" spans="2:2" x14ac:dyDescent="0.25">
      <c r="B1535" s="17"/>
    </row>
    <row r="1536" spans="2:2" x14ac:dyDescent="0.25">
      <c r="B1536" s="17"/>
    </row>
    <row r="1537" spans="2:2" x14ac:dyDescent="0.25">
      <c r="B1537" s="17"/>
    </row>
    <row r="1538" spans="2:2" x14ac:dyDescent="0.25">
      <c r="B1538" s="17"/>
    </row>
    <row r="1539" spans="2:2" x14ac:dyDescent="0.25">
      <c r="B1539" s="17"/>
    </row>
    <row r="1540" spans="2:2" x14ac:dyDescent="0.25">
      <c r="B1540" s="17"/>
    </row>
    <row r="1541" spans="2:2" x14ac:dyDescent="0.25">
      <c r="B1541" s="17"/>
    </row>
    <row r="1542" spans="2:2" x14ac:dyDescent="0.25">
      <c r="B1542" s="17"/>
    </row>
    <row r="1543" spans="2:2" x14ac:dyDescent="0.25">
      <c r="B1543" s="17"/>
    </row>
    <row r="1544" spans="2:2" x14ac:dyDescent="0.25">
      <c r="B1544" s="17"/>
    </row>
    <row r="1545" spans="2:2" x14ac:dyDescent="0.25">
      <c r="B1545" s="17"/>
    </row>
    <row r="1546" spans="2:2" x14ac:dyDescent="0.25">
      <c r="B1546" s="17"/>
    </row>
    <row r="1547" spans="2:2" x14ac:dyDescent="0.25">
      <c r="B1547" s="17"/>
    </row>
    <row r="1548" spans="2:2" x14ac:dyDescent="0.25">
      <c r="B1548" s="17"/>
    </row>
    <row r="1549" spans="2:2" x14ac:dyDescent="0.25">
      <c r="B1549" s="17"/>
    </row>
    <row r="1550" spans="2:2" x14ac:dyDescent="0.25">
      <c r="B1550" s="17"/>
    </row>
    <row r="1551" spans="2:2" x14ac:dyDescent="0.25">
      <c r="B1551" s="17"/>
    </row>
    <row r="1552" spans="2:2" x14ac:dyDescent="0.25">
      <c r="B1552" s="17"/>
    </row>
    <row r="1553" spans="2:2" x14ac:dyDescent="0.25">
      <c r="B1553" s="17"/>
    </row>
    <row r="1554" spans="2:2" x14ac:dyDescent="0.25">
      <c r="B1554" s="17"/>
    </row>
    <row r="1555" spans="2:2" x14ac:dyDescent="0.25">
      <c r="B1555" s="17"/>
    </row>
    <row r="1556" spans="2:2" x14ac:dyDescent="0.25">
      <c r="B1556" s="17"/>
    </row>
    <row r="1557" spans="2:2" x14ac:dyDescent="0.25">
      <c r="B1557" s="17"/>
    </row>
    <row r="1558" spans="2:2" x14ac:dyDescent="0.25">
      <c r="B1558" s="17"/>
    </row>
    <row r="1559" spans="2:2" x14ac:dyDescent="0.25">
      <c r="B1559" s="17"/>
    </row>
    <row r="1560" spans="2:2" x14ac:dyDescent="0.25">
      <c r="B1560" s="17"/>
    </row>
    <row r="1561" spans="2:2" x14ac:dyDescent="0.25">
      <c r="B1561" s="17"/>
    </row>
    <row r="1562" spans="2:2" x14ac:dyDescent="0.25">
      <c r="B1562" s="17"/>
    </row>
    <row r="1563" spans="2:2" x14ac:dyDescent="0.25">
      <c r="B1563" s="17"/>
    </row>
    <row r="1564" spans="2:2" x14ac:dyDescent="0.25">
      <c r="B1564" s="17"/>
    </row>
    <row r="1565" spans="2:2" x14ac:dyDescent="0.25">
      <c r="B1565" s="17"/>
    </row>
    <row r="1566" spans="2:2" x14ac:dyDescent="0.25">
      <c r="B1566" s="17"/>
    </row>
    <row r="1567" spans="2:2" x14ac:dyDescent="0.25">
      <c r="B1567" s="17"/>
    </row>
    <row r="1568" spans="2:2" x14ac:dyDescent="0.25">
      <c r="B1568" s="17"/>
    </row>
    <row r="1569" spans="2:2" x14ac:dyDescent="0.25">
      <c r="B1569" s="17"/>
    </row>
    <row r="1570" spans="2:2" x14ac:dyDescent="0.25">
      <c r="B1570" s="17"/>
    </row>
    <row r="1571" spans="2:2" x14ac:dyDescent="0.25">
      <c r="B1571" s="17"/>
    </row>
    <row r="1572" spans="2:2" x14ac:dyDescent="0.25">
      <c r="B1572" s="17"/>
    </row>
    <row r="1573" spans="2:2" x14ac:dyDescent="0.25">
      <c r="B1573" s="17"/>
    </row>
    <row r="1574" spans="2:2" x14ac:dyDescent="0.25">
      <c r="B1574" s="17"/>
    </row>
    <row r="1575" spans="2:2" x14ac:dyDescent="0.25">
      <c r="B1575" s="17"/>
    </row>
    <row r="1576" spans="2:2" x14ac:dyDescent="0.25">
      <c r="B1576" s="17"/>
    </row>
    <row r="1577" spans="2:2" x14ac:dyDescent="0.25">
      <c r="B1577" s="17"/>
    </row>
    <row r="1578" spans="2:2" x14ac:dyDescent="0.25">
      <c r="B1578" s="17"/>
    </row>
    <row r="1579" spans="2:2" x14ac:dyDescent="0.25">
      <c r="B1579" s="17"/>
    </row>
    <row r="1580" spans="2:2" x14ac:dyDescent="0.25">
      <c r="B1580" s="17"/>
    </row>
    <row r="1581" spans="2:2" x14ac:dyDescent="0.25">
      <c r="B1581" s="17"/>
    </row>
    <row r="1582" spans="2:2" x14ac:dyDescent="0.25">
      <c r="B1582" s="17"/>
    </row>
    <row r="1583" spans="2:2" x14ac:dyDescent="0.25">
      <c r="B1583" s="17"/>
    </row>
    <row r="1584" spans="2:2" x14ac:dyDescent="0.25">
      <c r="B1584" s="17"/>
    </row>
    <row r="1585" spans="2:2" x14ac:dyDescent="0.25">
      <c r="B1585" s="17"/>
    </row>
    <row r="1586" spans="2:2" x14ac:dyDescent="0.25">
      <c r="B1586" s="17"/>
    </row>
    <row r="1587" spans="2:2" x14ac:dyDescent="0.25">
      <c r="B1587" s="17"/>
    </row>
    <row r="1588" spans="2:2" x14ac:dyDescent="0.25">
      <c r="B1588" s="17"/>
    </row>
    <row r="1589" spans="2:2" x14ac:dyDescent="0.25">
      <c r="B1589" s="17"/>
    </row>
    <row r="1590" spans="2:2" x14ac:dyDescent="0.25">
      <c r="B1590" s="17"/>
    </row>
    <row r="1591" spans="2:2" x14ac:dyDescent="0.25">
      <c r="B1591" s="17"/>
    </row>
    <row r="1592" spans="2:2" x14ac:dyDescent="0.25">
      <c r="B1592" s="17"/>
    </row>
    <row r="1593" spans="2:2" x14ac:dyDescent="0.25">
      <c r="B1593" s="17"/>
    </row>
    <row r="1594" spans="2:2" x14ac:dyDescent="0.25">
      <c r="B1594" s="17"/>
    </row>
    <row r="1595" spans="2:2" x14ac:dyDescent="0.25">
      <c r="B1595" s="17"/>
    </row>
    <row r="1596" spans="2:2" x14ac:dyDescent="0.25">
      <c r="B1596" s="17"/>
    </row>
    <row r="1597" spans="2:2" x14ac:dyDescent="0.25">
      <c r="B1597" s="17"/>
    </row>
    <row r="1598" spans="2:2" x14ac:dyDescent="0.25">
      <c r="B1598" s="17"/>
    </row>
    <row r="1599" spans="2:2" x14ac:dyDescent="0.25">
      <c r="B1599" s="17"/>
    </row>
    <row r="1600" spans="2:2" x14ac:dyDescent="0.25">
      <c r="B1600" s="17"/>
    </row>
    <row r="1601" spans="2:2" x14ac:dyDescent="0.25">
      <c r="B1601" s="17"/>
    </row>
    <row r="1602" spans="2:2" x14ac:dyDescent="0.25">
      <c r="B1602" s="17"/>
    </row>
    <row r="1603" spans="2:2" x14ac:dyDescent="0.25">
      <c r="B1603" s="17"/>
    </row>
    <row r="1604" spans="2:2" x14ac:dyDescent="0.25">
      <c r="B1604" s="17"/>
    </row>
    <row r="1605" spans="2:2" x14ac:dyDescent="0.25">
      <c r="B1605" s="17"/>
    </row>
    <row r="1606" spans="2:2" x14ac:dyDescent="0.25">
      <c r="B1606" s="17"/>
    </row>
    <row r="1607" spans="2:2" x14ac:dyDescent="0.25">
      <c r="B1607" s="17"/>
    </row>
    <row r="1608" spans="2:2" x14ac:dyDescent="0.25">
      <c r="B1608" s="17"/>
    </row>
    <row r="1609" spans="2:2" x14ac:dyDescent="0.25">
      <c r="B1609" s="17"/>
    </row>
    <row r="1610" spans="2:2" x14ac:dyDescent="0.25">
      <c r="B1610" s="17"/>
    </row>
    <row r="1611" spans="2:2" x14ac:dyDescent="0.25">
      <c r="B1611" s="17"/>
    </row>
    <row r="1612" spans="2:2" x14ac:dyDescent="0.25">
      <c r="B1612" s="17"/>
    </row>
    <row r="1613" spans="2:2" x14ac:dyDescent="0.25">
      <c r="B1613" s="17"/>
    </row>
    <row r="1614" spans="2:2" x14ac:dyDescent="0.25">
      <c r="B1614" s="17"/>
    </row>
    <row r="1615" spans="2:2" x14ac:dyDescent="0.25">
      <c r="B1615" s="17"/>
    </row>
    <row r="1616" spans="2:2" x14ac:dyDescent="0.25">
      <c r="B1616" s="17"/>
    </row>
    <row r="1617" spans="2:2" x14ac:dyDescent="0.25">
      <c r="B1617" s="17"/>
    </row>
    <row r="1618" spans="2:2" x14ac:dyDescent="0.25">
      <c r="B1618" s="17"/>
    </row>
    <row r="1619" spans="2:2" x14ac:dyDescent="0.25">
      <c r="B1619" s="17"/>
    </row>
    <row r="1620" spans="2:2" x14ac:dyDescent="0.25">
      <c r="B1620" s="17"/>
    </row>
    <row r="1621" spans="2:2" x14ac:dyDescent="0.25">
      <c r="B1621" s="17"/>
    </row>
    <row r="1622" spans="2:2" x14ac:dyDescent="0.25">
      <c r="B1622" s="17"/>
    </row>
    <row r="1623" spans="2:2" x14ac:dyDescent="0.25">
      <c r="B1623" s="17"/>
    </row>
    <row r="1624" spans="2:2" x14ac:dyDescent="0.25">
      <c r="B1624" s="17"/>
    </row>
    <row r="1625" spans="2:2" x14ac:dyDescent="0.25">
      <c r="B1625" s="17"/>
    </row>
    <row r="1626" spans="2:2" x14ac:dyDescent="0.25">
      <c r="B1626" s="17"/>
    </row>
    <row r="1627" spans="2:2" x14ac:dyDescent="0.25">
      <c r="B1627" s="17"/>
    </row>
    <row r="1628" spans="2:2" x14ac:dyDescent="0.25">
      <c r="B1628" s="17"/>
    </row>
    <row r="1629" spans="2:2" x14ac:dyDescent="0.25">
      <c r="B1629" s="17"/>
    </row>
    <row r="1630" spans="2:2" x14ac:dyDescent="0.25">
      <c r="B1630" s="17"/>
    </row>
    <row r="1631" spans="2:2" x14ac:dyDescent="0.25">
      <c r="B1631" s="17"/>
    </row>
    <row r="1632" spans="2:2" x14ac:dyDescent="0.25">
      <c r="B1632" s="17"/>
    </row>
    <row r="1633" spans="2:2" x14ac:dyDescent="0.25">
      <c r="B1633" s="17"/>
    </row>
    <row r="1634" spans="2:2" x14ac:dyDescent="0.25">
      <c r="B1634" s="17"/>
    </row>
    <row r="1635" spans="2:2" x14ac:dyDescent="0.25">
      <c r="B1635" s="17"/>
    </row>
    <row r="1636" spans="2:2" x14ac:dyDescent="0.25">
      <c r="B1636" s="17"/>
    </row>
    <row r="1637" spans="2:2" x14ac:dyDescent="0.25">
      <c r="B1637" s="17"/>
    </row>
    <row r="1638" spans="2:2" x14ac:dyDescent="0.25">
      <c r="B1638" s="17"/>
    </row>
    <row r="1639" spans="2:2" x14ac:dyDescent="0.25">
      <c r="B1639" s="17"/>
    </row>
    <row r="1640" spans="2:2" x14ac:dyDescent="0.25">
      <c r="B1640" s="17"/>
    </row>
    <row r="1641" spans="2:2" x14ac:dyDescent="0.25">
      <c r="B1641" s="17"/>
    </row>
    <row r="1642" spans="2:2" x14ac:dyDescent="0.25">
      <c r="B1642" s="17"/>
    </row>
    <row r="1643" spans="2:2" x14ac:dyDescent="0.25">
      <c r="B1643" s="17"/>
    </row>
    <row r="1644" spans="2:2" x14ac:dyDescent="0.25">
      <c r="B1644" s="17"/>
    </row>
    <row r="1645" spans="2:2" x14ac:dyDescent="0.25">
      <c r="B1645" s="17"/>
    </row>
    <row r="1646" spans="2:2" x14ac:dyDescent="0.25">
      <c r="B1646" s="17"/>
    </row>
    <row r="1647" spans="2:2" x14ac:dyDescent="0.25">
      <c r="B1647" s="17"/>
    </row>
    <row r="1648" spans="2:2" x14ac:dyDescent="0.25">
      <c r="B1648" s="17"/>
    </row>
    <row r="1649" spans="2:2" x14ac:dyDescent="0.25">
      <c r="B1649" s="17"/>
    </row>
    <row r="1650" spans="2:2" x14ac:dyDescent="0.25">
      <c r="B1650" s="17"/>
    </row>
    <row r="1651" spans="2:2" x14ac:dyDescent="0.25">
      <c r="B1651" s="17"/>
    </row>
    <row r="1652" spans="2:2" x14ac:dyDescent="0.25">
      <c r="B1652" s="17"/>
    </row>
    <row r="1653" spans="2:2" x14ac:dyDescent="0.25">
      <c r="B1653" s="17"/>
    </row>
    <row r="1654" spans="2:2" x14ac:dyDescent="0.25">
      <c r="B1654" s="17"/>
    </row>
    <row r="1655" spans="2:2" x14ac:dyDescent="0.25">
      <c r="B1655" s="17"/>
    </row>
    <row r="1656" spans="2:2" x14ac:dyDescent="0.25">
      <c r="B1656" s="17"/>
    </row>
    <row r="1657" spans="2:2" x14ac:dyDescent="0.25">
      <c r="B1657" s="17"/>
    </row>
    <row r="1658" spans="2:2" x14ac:dyDescent="0.25">
      <c r="B1658" s="17"/>
    </row>
    <row r="1659" spans="2:2" x14ac:dyDescent="0.25">
      <c r="B1659" s="17"/>
    </row>
    <row r="1660" spans="2:2" x14ac:dyDescent="0.25">
      <c r="B1660" s="17"/>
    </row>
    <row r="1661" spans="2:2" x14ac:dyDescent="0.25">
      <c r="B1661" s="17"/>
    </row>
    <row r="1662" spans="2:2" x14ac:dyDescent="0.25">
      <c r="B1662" s="17"/>
    </row>
    <row r="1663" spans="2:2" x14ac:dyDescent="0.25">
      <c r="B1663" s="17"/>
    </row>
    <row r="1664" spans="2:2" x14ac:dyDescent="0.25">
      <c r="B1664" s="17"/>
    </row>
    <row r="1665" spans="2:2" x14ac:dyDescent="0.25">
      <c r="B1665" s="17"/>
    </row>
    <row r="1666" spans="2:2" x14ac:dyDescent="0.25">
      <c r="B1666" s="17"/>
    </row>
    <row r="1667" spans="2:2" x14ac:dyDescent="0.25">
      <c r="B1667" s="17"/>
    </row>
    <row r="1668" spans="2:2" x14ac:dyDescent="0.25">
      <c r="B1668" s="17"/>
    </row>
    <row r="1669" spans="2:2" x14ac:dyDescent="0.25">
      <c r="B1669" s="17"/>
    </row>
    <row r="1670" spans="2:2" x14ac:dyDescent="0.25">
      <c r="B1670" s="17"/>
    </row>
    <row r="1671" spans="2:2" x14ac:dyDescent="0.25">
      <c r="B1671" s="17"/>
    </row>
    <row r="1672" spans="2:2" x14ac:dyDescent="0.25">
      <c r="B1672" s="17"/>
    </row>
    <row r="1673" spans="2:2" x14ac:dyDescent="0.25">
      <c r="B1673" s="17"/>
    </row>
    <row r="1674" spans="2:2" x14ac:dyDescent="0.25">
      <c r="B1674" s="17"/>
    </row>
    <row r="1675" spans="2:2" x14ac:dyDescent="0.25">
      <c r="B1675" s="17"/>
    </row>
    <row r="1676" spans="2:2" x14ac:dyDescent="0.25">
      <c r="B1676" s="17"/>
    </row>
    <row r="1677" spans="2:2" x14ac:dyDescent="0.25">
      <c r="B1677" s="17"/>
    </row>
    <row r="1678" spans="2:2" x14ac:dyDescent="0.25">
      <c r="B1678" s="17"/>
    </row>
    <row r="1679" spans="2:2" x14ac:dyDescent="0.25">
      <c r="B1679" s="17"/>
    </row>
    <row r="1680" spans="2:2" x14ac:dyDescent="0.25">
      <c r="B1680" s="17"/>
    </row>
    <row r="1681" spans="2:2" x14ac:dyDescent="0.25">
      <c r="B1681" s="17"/>
    </row>
    <row r="1682" spans="2:2" x14ac:dyDescent="0.25">
      <c r="B1682" s="17"/>
    </row>
    <row r="1683" spans="2:2" x14ac:dyDescent="0.25">
      <c r="B1683" s="17"/>
    </row>
    <row r="1684" spans="2:2" x14ac:dyDescent="0.25">
      <c r="B1684" s="17"/>
    </row>
    <row r="1685" spans="2:2" x14ac:dyDescent="0.25">
      <c r="B1685" s="17"/>
    </row>
    <row r="1686" spans="2:2" x14ac:dyDescent="0.25">
      <c r="B1686" s="17"/>
    </row>
    <row r="1687" spans="2:2" x14ac:dyDescent="0.25">
      <c r="B1687" s="17"/>
    </row>
    <row r="1688" spans="2:2" x14ac:dyDescent="0.25">
      <c r="B1688" s="17"/>
    </row>
    <row r="1689" spans="2:2" x14ac:dyDescent="0.25">
      <c r="B1689" s="17"/>
    </row>
    <row r="1690" spans="2:2" x14ac:dyDescent="0.25">
      <c r="B1690" s="17"/>
    </row>
    <row r="1691" spans="2:2" x14ac:dyDescent="0.25">
      <c r="B1691" s="17"/>
    </row>
    <row r="1692" spans="2:2" x14ac:dyDescent="0.25">
      <c r="B1692" s="17"/>
    </row>
    <row r="1693" spans="2:2" x14ac:dyDescent="0.25">
      <c r="B1693" s="17"/>
    </row>
    <row r="1694" spans="2:2" x14ac:dyDescent="0.25">
      <c r="B1694" s="17"/>
    </row>
    <row r="1695" spans="2:2" x14ac:dyDescent="0.25">
      <c r="B1695" s="17"/>
    </row>
    <row r="1696" spans="2:2" x14ac:dyDescent="0.25">
      <c r="B1696" s="17"/>
    </row>
    <row r="1697" spans="2:2" x14ac:dyDescent="0.25">
      <c r="B1697" s="17"/>
    </row>
    <row r="1698" spans="2:2" x14ac:dyDescent="0.25">
      <c r="B1698" s="17"/>
    </row>
    <row r="1699" spans="2:2" x14ac:dyDescent="0.25">
      <c r="B1699" s="17"/>
    </row>
    <row r="1700" spans="2:2" x14ac:dyDescent="0.25">
      <c r="B1700" s="17"/>
    </row>
    <row r="1701" spans="2:2" x14ac:dyDescent="0.25">
      <c r="B1701" s="17"/>
    </row>
    <row r="1702" spans="2:2" x14ac:dyDescent="0.25">
      <c r="B1702" s="17"/>
    </row>
    <row r="1703" spans="2:2" x14ac:dyDescent="0.25">
      <c r="B1703" s="17"/>
    </row>
    <row r="1704" spans="2:2" x14ac:dyDescent="0.25">
      <c r="B1704" s="17"/>
    </row>
    <row r="1705" spans="2:2" x14ac:dyDescent="0.25">
      <c r="B1705" s="17"/>
    </row>
    <row r="1706" spans="2:2" x14ac:dyDescent="0.25">
      <c r="B1706" s="17"/>
    </row>
    <row r="1707" spans="2:2" x14ac:dyDescent="0.25">
      <c r="B1707" s="17"/>
    </row>
    <row r="1708" spans="2:2" x14ac:dyDescent="0.25">
      <c r="B1708" s="17"/>
    </row>
    <row r="1709" spans="2:2" x14ac:dyDescent="0.25">
      <c r="B1709" s="17"/>
    </row>
    <row r="1710" spans="2:2" x14ac:dyDescent="0.25">
      <c r="B1710" s="17"/>
    </row>
    <row r="1711" spans="2:2" x14ac:dyDescent="0.25">
      <c r="B1711" s="17"/>
    </row>
    <row r="1712" spans="2:2" x14ac:dyDescent="0.25">
      <c r="B1712" s="17"/>
    </row>
    <row r="1713" spans="2:2" x14ac:dyDescent="0.25">
      <c r="B1713" s="17"/>
    </row>
    <row r="1714" spans="2:2" x14ac:dyDescent="0.25">
      <c r="B1714" s="17"/>
    </row>
    <row r="1715" spans="2:2" x14ac:dyDescent="0.25">
      <c r="B1715" s="17"/>
    </row>
    <row r="1716" spans="2:2" x14ac:dyDescent="0.25">
      <c r="B1716" s="17"/>
    </row>
    <row r="1717" spans="2:2" x14ac:dyDescent="0.25">
      <c r="B1717" s="17"/>
    </row>
    <row r="1718" spans="2:2" x14ac:dyDescent="0.25">
      <c r="B1718" s="17"/>
    </row>
    <row r="1719" spans="2:2" x14ac:dyDescent="0.25">
      <c r="B1719" s="17"/>
    </row>
    <row r="1720" spans="2:2" x14ac:dyDescent="0.25">
      <c r="B1720" s="17"/>
    </row>
    <row r="1721" spans="2:2" x14ac:dyDescent="0.25">
      <c r="B1721" s="17"/>
    </row>
    <row r="1722" spans="2:2" x14ac:dyDescent="0.25">
      <c r="B1722" s="17"/>
    </row>
    <row r="1723" spans="2:2" x14ac:dyDescent="0.25">
      <c r="B1723" s="17"/>
    </row>
    <row r="1724" spans="2:2" x14ac:dyDescent="0.25">
      <c r="B1724" s="17"/>
    </row>
    <row r="1725" spans="2:2" x14ac:dyDescent="0.25">
      <c r="B1725" s="17"/>
    </row>
    <row r="1726" spans="2:2" x14ac:dyDescent="0.25">
      <c r="B1726" s="17"/>
    </row>
    <row r="1727" spans="2:2" x14ac:dyDescent="0.25">
      <c r="B1727" s="17"/>
    </row>
    <row r="1728" spans="2:2" x14ac:dyDescent="0.25">
      <c r="B1728" s="17"/>
    </row>
    <row r="1729" spans="2:2" x14ac:dyDescent="0.25">
      <c r="B1729" s="17"/>
    </row>
    <row r="1730" spans="2:2" x14ac:dyDescent="0.25">
      <c r="B1730" s="17"/>
    </row>
    <row r="1731" spans="2:2" x14ac:dyDescent="0.25">
      <c r="B1731" s="17"/>
    </row>
    <row r="1732" spans="2:2" x14ac:dyDescent="0.25">
      <c r="B1732" s="17"/>
    </row>
    <row r="1733" spans="2:2" x14ac:dyDescent="0.25">
      <c r="B1733" s="17"/>
    </row>
    <row r="1734" spans="2:2" x14ac:dyDescent="0.25">
      <c r="B1734" s="17"/>
    </row>
    <row r="1735" spans="2:2" x14ac:dyDescent="0.25">
      <c r="B1735" s="17"/>
    </row>
    <row r="1736" spans="2:2" x14ac:dyDescent="0.25">
      <c r="B1736" s="17"/>
    </row>
    <row r="1737" spans="2:2" x14ac:dyDescent="0.25">
      <c r="B1737" s="17"/>
    </row>
    <row r="1738" spans="2:2" x14ac:dyDescent="0.25">
      <c r="B1738" s="17"/>
    </row>
    <row r="1739" spans="2:2" x14ac:dyDescent="0.25">
      <c r="B1739" s="17"/>
    </row>
    <row r="1740" spans="2:2" x14ac:dyDescent="0.25">
      <c r="B1740" s="17"/>
    </row>
    <row r="1741" spans="2:2" x14ac:dyDescent="0.25">
      <c r="B1741" s="17"/>
    </row>
    <row r="1742" spans="2:2" x14ac:dyDescent="0.25">
      <c r="B1742" s="17"/>
    </row>
    <row r="1743" spans="2:2" x14ac:dyDescent="0.25">
      <c r="B1743" s="17"/>
    </row>
    <row r="1744" spans="2:2" x14ac:dyDescent="0.25">
      <c r="B1744" s="17"/>
    </row>
    <row r="1745" spans="2:2" x14ac:dyDescent="0.25">
      <c r="B1745" s="17"/>
    </row>
    <row r="1746" spans="2:2" x14ac:dyDescent="0.25">
      <c r="B1746" s="17"/>
    </row>
    <row r="1747" spans="2:2" x14ac:dyDescent="0.25">
      <c r="B1747" s="17"/>
    </row>
    <row r="1748" spans="2:2" x14ac:dyDescent="0.25">
      <c r="B1748" s="17"/>
    </row>
    <row r="1749" spans="2:2" x14ac:dyDescent="0.25">
      <c r="B1749" s="17"/>
    </row>
    <row r="1750" spans="2:2" x14ac:dyDescent="0.25">
      <c r="B1750" s="17"/>
    </row>
    <row r="1751" spans="2:2" x14ac:dyDescent="0.25">
      <c r="B1751" s="17"/>
    </row>
    <row r="1752" spans="2:2" x14ac:dyDescent="0.25">
      <c r="B1752" s="17"/>
    </row>
    <row r="1753" spans="2:2" x14ac:dyDescent="0.25">
      <c r="B1753" s="17"/>
    </row>
    <row r="1754" spans="2:2" x14ac:dyDescent="0.25">
      <c r="B1754" s="17"/>
    </row>
    <row r="1755" spans="2:2" x14ac:dyDescent="0.25">
      <c r="B1755" s="17"/>
    </row>
    <row r="1756" spans="2:2" x14ac:dyDescent="0.25">
      <c r="B1756" s="17"/>
    </row>
    <row r="1757" spans="2:2" x14ac:dyDescent="0.25">
      <c r="B1757" s="17"/>
    </row>
    <row r="1758" spans="2:2" x14ac:dyDescent="0.25">
      <c r="B1758" s="17"/>
    </row>
    <row r="1759" spans="2:2" x14ac:dyDescent="0.25">
      <c r="B1759" s="17"/>
    </row>
    <row r="1760" spans="2:2" x14ac:dyDescent="0.25">
      <c r="B1760" s="17"/>
    </row>
    <row r="1761" spans="2:2" x14ac:dyDescent="0.25">
      <c r="B1761" s="17"/>
    </row>
    <row r="1762" spans="2:2" x14ac:dyDescent="0.25">
      <c r="B1762" s="17"/>
    </row>
    <row r="1763" spans="2:2" x14ac:dyDescent="0.25">
      <c r="B1763" s="17"/>
    </row>
    <row r="1764" spans="2:2" x14ac:dyDescent="0.25">
      <c r="B1764" s="17"/>
    </row>
    <row r="1765" spans="2:2" x14ac:dyDescent="0.25">
      <c r="B1765" s="17"/>
    </row>
    <row r="1766" spans="2:2" x14ac:dyDescent="0.25">
      <c r="B1766" s="17"/>
    </row>
    <row r="1767" spans="2:2" x14ac:dyDescent="0.25">
      <c r="B1767" s="17"/>
    </row>
    <row r="1768" spans="2:2" x14ac:dyDescent="0.25">
      <c r="B1768" s="17"/>
    </row>
    <row r="1769" spans="2:2" x14ac:dyDescent="0.25">
      <c r="B1769" s="17"/>
    </row>
    <row r="1770" spans="2:2" x14ac:dyDescent="0.25">
      <c r="B1770" s="17"/>
    </row>
    <row r="1771" spans="2:2" x14ac:dyDescent="0.25">
      <c r="B1771" s="17"/>
    </row>
    <row r="1772" spans="2:2" x14ac:dyDescent="0.25">
      <c r="B1772" s="17"/>
    </row>
    <row r="1773" spans="2:2" x14ac:dyDescent="0.25">
      <c r="B1773" s="17"/>
    </row>
    <row r="1774" spans="2:2" x14ac:dyDescent="0.25">
      <c r="B1774" s="17"/>
    </row>
    <row r="1775" spans="2:2" x14ac:dyDescent="0.25">
      <c r="B1775" s="17"/>
    </row>
    <row r="1776" spans="2:2" x14ac:dyDescent="0.25">
      <c r="B1776" s="17"/>
    </row>
    <row r="1777" spans="2:2" x14ac:dyDescent="0.25">
      <c r="B1777" s="17"/>
    </row>
    <row r="1778" spans="2:2" x14ac:dyDescent="0.25">
      <c r="B1778" s="17"/>
    </row>
    <row r="1779" spans="2:2" x14ac:dyDescent="0.25">
      <c r="B1779" s="17"/>
    </row>
    <row r="1780" spans="2:2" x14ac:dyDescent="0.25">
      <c r="B1780" s="17"/>
    </row>
    <row r="1781" spans="2:2" x14ac:dyDescent="0.25">
      <c r="B1781" s="17"/>
    </row>
    <row r="1782" spans="2:2" x14ac:dyDescent="0.25">
      <c r="B1782" s="17"/>
    </row>
    <row r="1783" spans="2:2" x14ac:dyDescent="0.25">
      <c r="B1783" s="17"/>
    </row>
    <row r="1784" spans="2:2" x14ac:dyDescent="0.25">
      <c r="B1784" s="17"/>
    </row>
    <row r="1785" spans="2:2" x14ac:dyDescent="0.25">
      <c r="B1785" s="17"/>
    </row>
    <row r="1786" spans="2:2" x14ac:dyDescent="0.25">
      <c r="B1786" s="17"/>
    </row>
    <row r="1787" spans="2:2" x14ac:dyDescent="0.25">
      <c r="B1787" s="17"/>
    </row>
    <row r="1788" spans="2:2" x14ac:dyDescent="0.25">
      <c r="B1788" s="17"/>
    </row>
    <row r="1789" spans="2:2" x14ac:dyDescent="0.25">
      <c r="B1789" s="17"/>
    </row>
    <row r="1790" spans="2:2" x14ac:dyDescent="0.25">
      <c r="B1790" s="17"/>
    </row>
    <row r="1791" spans="2:2" x14ac:dyDescent="0.25">
      <c r="B1791" s="17"/>
    </row>
    <row r="1792" spans="2:2" x14ac:dyDescent="0.25">
      <c r="B1792" s="17"/>
    </row>
    <row r="1793" spans="2:2" x14ac:dyDescent="0.25">
      <c r="B1793" s="17"/>
    </row>
    <row r="1794" spans="2:2" x14ac:dyDescent="0.25">
      <c r="B1794" s="17"/>
    </row>
    <row r="1795" spans="2:2" x14ac:dyDescent="0.25">
      <c r="B1795" s="17"/>
    </row>
    <row r="1796" spans="2:2" x14ac:dyDescent="0.25">
      <c r="B1796" s="17"/>
    </row>
    <row r="1797" spans="2:2" x14ac:dyDescent="0.25">
      <c r="B1797" s="17"/>
    </row>
    <row r="1798" spans="2:2" x14ac:dyDescent="0.25">
      <c r="B1798" s="17"/>
    </row>
    <row r="1799" spans="2:2" x14ac:dyDescent="0.25">
      <c r="B1799" s="17"/>
    </row>
    <row r="1800" spans="2:2" x14ac:dyDescent="0.25">
      <c r="B1800" s="17"/>
    </row>
    <row r="1801" spans="2:2" x14ac:dyDescent="0.25">
      <c r="B1801" s="17"/>
    </row>
    <row r="1802" spans="2:2" x14ac:dyDescent="0.25">
      <c r="B1802" s="17"/>
    </row>
    <row r="1803" spans="2:2" x14ac:dyDescent="0.25">
      <c r="B1803" s="17"/>
    </row>
    <row r="1804" spans="2:2" x14ac:dyDescent="0.25">
      <c r="B1804" s="17"/>
    </row>
    <row r="1805" spans="2:2" x14ac:dyDescent="0.25">
      <c r="B1805" s="17"/>
    </row>
    <row r="1806" spans="2:2" x14ac:dyDescent="0.25">
      <c r="B1806" s="17"/>
    </row>
    <row r="1807" spans="2:2" x14ac:dyDescent="0.25">
      <c r="B1807" s="17"/>
    </row>
    <row r="1808" spans="2:2" x14ac:dyDescent="0.25">
      <c r="B1808" s="17"/>
    </row>
    <row r="1809" spans="2:2" x14ac:dyDescent="0.25">
      <c r="B1809" s="17"/>
    </row>
    <row r="1810" spans="2:2" x14ac:dyDescent="0.25">
      <c r="B1810" s="17"/>
    </row>
    <row r="1811" spans="2:2" x14ac:dyDescent="0.25">
      <c r="B1811" s="17"/>
    </row>
    <row r="1812" spans="2:2" x14ac:dyDescent="0.25">
      <c r="B1812" s="17"/>
    </row>
    <row r="1813" spans="2:2" x14ac:dyDescent="0.25">
      <c r="B1813" s="17"/>
    </row>
    <row r="1814" spans="2:2" x14ac:dyDescent="0.25">
      <c r="B1814" s="17"/>
    </row>
    <row r="1815" spans="2:2" x14ac:dyDescent="0.25">
      <c r="B1815" s="17"/>
    </row>
    <row r="1816" spans="2:2" x14ac:dyDescent="0.25">
      <c r="B1816" s="17"/>
    </row>
  </sheetData>
  <conditionalFormatting sqref="B2:B113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{4BEC9B59-1399-4873-A367-2C38B0108DF5}</x14:id>
        </ext>
      </extLst>
    </cfRule>
  </conditionalFormatting>
  <conditionalFormatting sqref="B1142:B18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{BC3FA2C7-73F2-4E6B-9DBA-E7374BA191CB}</x14:id>
        </ext>
      </extLst>
    </cfRule>
  </conditionalFormatting>
  <pageMargins left="0.7" right="0.7" top="0.75" bottom="0.75" header="0.3" footer="0.3"/>
  <pageSetup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EC9B59-1399-4873-A367-2C38B0108D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B2:B1139</xm:sqref>
        </x14:conditionalFormatting>
        <x14:conditionalFormatting xmlns:xm="http://schemas.microsoft.com/office/excel/2006/main">
          <x14:cfRule type="dataBar" id="{BC3FA2C7-73F2-4E6B-9DBA-E7374BA191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B1142:B1816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F74-ED24-49C1-9B46-F65140EDD9BE}">
  <dimension ref="A1:P394"/>
  <sheetViews>
    <sheetView zoomScale="70" zoomScaleNormal="70" workbookViewId="0"/>
  </sheetViews>
  <sheetFormatPr defaultRowHeight="15" x14ac:dyDescent="0.25"/>
  <cols>
    <col min="1" max="1" width="15" customWidth="1"/>
    <col min="13" max="13" width="19.140625" bestFit="1" customWidth="1"/>
    <col min="14" max="14" width="21.7109375" bestFit="1" customWidth="1"/>
    <col min="15" max="16" width="18.85546875" bestFit="1" customWidth="1"/>
    <col min="17" max="17" width="17.7109375" bestFit="1" customWidth="1"/>
    <col min="18" max="18" width="18.85546875" bestFit="1" customWidth="1"/>
    <col min="19" max="20" width="17.7109375" bestFit="1" customWidth="1"/>
    <col min="21" max="21" width="18.85546875" bestFit="1" customWidth="1"/>
    <col min="22" max="23" width="17.7109375" bestFit="1" customWidth="1"/>
    <col min="24" max="24" width="18.85546875" bestFit="1" customWidth="1"/>
    <col min="25" max="26" width="17.7109375" bestFit="1" customWidth="1"/>
    <col min="27" max="27" width="18.85546875" bestFit="1" customWidth="1"/>
    <col min="28" max="28" width="17.42578125" bestFit="1" customWidth="1"/>
    <col min="29" max="29" width="17.7109375" bestFit="1" customWidth="1"/>
    <col min="30" max="30" width="18.85546875" bestFit="1" customWidth="1"/>
    <col min="31" max="32" width="17.7109375" bestFit="1" customWidth="1"/>
    <col min="33" max="37" width="18.85546875" bestFit="1" customWidth="1"/>
    <col min="38" max="39" width="17.7109375" bestFit="1" customWidth="1"/>
    <col min="40" max="41" width="18.85546875" bestFit="1" customWidth="1"/>
    <col min="42" max="45" width="17.7109375" bestFit="1" customWidth="1"/>
    <col min="46" max="46" width="18.85546875" bestFit="1" customWidth="1"/>
    <col min="47" max="54" width="17.7109375" bestFit="1" customWidth="1"/>
    <col min="55" max="56" width="18.85546875" bestFit="1" customWidth="1"/>
    <col min="57" max="59" width="17.7109375" bestFit="1" customWidth="1"/>
    <col min="60" max="61" width="18.85546875" bestFit="1" customWidth="1"/>
    <col min="62" max="63" width="16" bestFit="1" customWidth="1"/>
    <col min="64" max="74" width="17.7109375" bestFit="1" customWidth="1"/>
    <col min="75" max="76" width="16" bestFit="1" customWidth="1"/>
    <col min="77" max="77" width="13" bestFit="1" customWidth="1"/>
    <col min="78" max="78" width="13.85546875" bestFit="1" customWidth="1"/>
    <col min="79" max="92" width="17.7109375" bestFit="1" customWidth="1"/>
    <col min="93" max="94" width="18.85546875" bestFit="1" customWidth="1"/>
    <col min="95" max="98" width="17.7109375" bestFit="1" customWidth="1"/>
    <col min="99" max="100" width="18.85546875" bestFit="1" customWidth="1"/>
    <col min="101" max="105" width="17.7109375" bestFit="1" customWidth="1"/>
    <col min="106" max="107" width="17.42578125" bestFit="1" customWidth="1"/>
    <col min="108" max="114" width="18.85546875" bestFit="1" customWidth="1"/>
    <col min="115" max="116" width="17.7109375" bestFit="1" customWidth="1"/>
    <col min="117" max="118" width="18.85546875" bestFit="1" customWidth="1"/>
    <col min="119" max="120" width="17.7109375" bestFit="1" customWidth="1"/>
    <col min="121" max="121" width="18.85546875" bestFit="1" customWidth="1"/>
    <col min="122" max="127" width="17.7109375" bestFit="1" customWidth="1"/>
    <col min="128" max="129" width="18.85546875" bestFit="1" customWidth="1"/>
    <col min="130" max="130" width="17.7109375" bestFit="1" customWidth="1"/>
    <col min="131" max="132" width="18.85546875" bestFit="1" customWidth="1"/>
    <col min="133" max="140" width="17.7109375" bestFit="1" customWidth="1"/>
  </cols>
  <sheetData>
    <row r="1" spans="1:16" x14ac:dyDescent="0.25">
      <c r="A1" t="s">
        <v>84</v>
      </c>
      <c r="B1" t="s">
        <v>86</v>
      </c>
      <c r="C1" t="s">
        <v>85</v>
      </c>
      <c r="D1" t="s">
        <v>87</v>
      </c>
      <c r="E1" t="s">
        <v>88</v>
      </c>
    </row>
    <row r="2" spans="1:16" x14ac:dyDescent="0.25">
      <c r="A2" s="28">
        <v>44820</v>
      </c>
      <c r="B2" s="17">
        <v>-7.0884980530973501E-2</v>
      </c>
      <c r="C2">
        <v>26.299999</v>
      </c>
      <c r="D2">
        <v>4</v>
      </c>
      <c r="E2" t="str">
        <f t="shared" ref="E2:E65" si="0">IF(B2&gt;0,"Green","Red")</f>
        <v>Red</v>
      </c>
      <c r="F2" t="s">
        <v>21</v>
      </c>
      <c r="G2" t="s">
        <v>22</v>
      </c>
      <c r="H2" t="s">
        <v>27</v>
      </c>
      <c r="I2">
        <v>2.2000000000000002</v>
      </c>
      <c r="J2">
        <v>1</v>
      </c>
    </row>
    <row r="3" spans="1:16" x14ac:dyDescent="0.25">
      <c r="A3" s="28">
        <v>44804</v>
      </c>
      <c r="B3" s="17">
        <v>-4.2440128258508597E-2</v>
      </c>
      <c r="C3">
        <v>25.870000999999998</v>
      </c>
      <c r="D3">
        <v>4</v>
      </c>
      <c r="E3" t="str">
        <f t="shared" si="0"/>
        <v>Red</v>
      </c>
      <c r="F3">
        <v>2</v>
      </c>
      <c r="G3">
        <v>1</v>
      </c>
      <c r="H3" t="s">
        <v>26</v>
      </c>
      <c r="I3">
        <v>2</v>
      </c>
      <c r="J3">
        <v>1</v>
      </c>
      <c r="M3" s="29" t="s">
        <v>109</v>
      </c>
      <c r="N3" s="29" t="s">
        <v>108</v>
      </c>
    </row>
    <row r="4" spans="1:16" x14ac:dyDescent="0.25">
      <c r="A4" s="28">
        <v>44771</v>
      </c>
      <c r="B4" s="17">
        <v>9.1116391659653406E-2</v>
      </c>
      <c r="C4">
        <v>21.33</v>
      </c>
      <c r="D4">
        <v>3</v>
      </c>
      <c r="E4" t="str">
        <f t="shared" si="0"/>
        <v>Green</v>
      </c>
      <c r="F4">
        <v>1</v>
      </c>
      <c r="G4">
        <v>1</v>
      </c>
      <c r="H4" t="s">
        <v>25</v>
      </c>
      <c r="I4">
        <v>2.7</v>
      </c>
      <c r="J4">
        <v>1.6</v>
      </c>
      <c r="M4" s="29" t="s">
        <v>91</v>
      </c>
      <c r="N4" t="s">
        <v>90</v>
      </c>
      <c r="O4" t="s">
        <v>89</v>
      </c>
      <c r="P4" t="s">
        <v>92</v>
      </c>
    </row>
    <row r="5" spans="1:16" x14ac:dyDescent="0.25">
      <c r="A5" s="28">
        <v>44742</v>
      </c>
      <c r="B5" s="17">
        <v>-8.3919999812243101E-2</v>
      </c>
      <c r="C5">
        <v>28.709999</v>
      </c>
      <c r="D5">
        <v>4</v>
      </c>
      <c r="E5" t="str">
        <f t="shared" si="0"/>
        <v>Red</v>
      </c>
      <c r="F5">
        <v>7</v>
      </c>
      <c r="G5">
        <v>5</v>
      </c>
      <c r="H5" s="17" t="s">
        <v>76</v>
      </c>
      <c r="I5" s="17">
        <v>0.19780220000000001</v>
      </c>
      <c r="J5" s="17">
        <v>0.13043479999999999</v>
      </c>
      <c r="M5" s="30" t="s">
        <v>102</v>
      </c>
      <c r="N5" s="31">
        <v>0.17378666914418744</v>
      </c>
      <c r="O5" s="31">
        <v>-0.22701212130771542</v>
      </c>
      <c r="P5" s="31">
        <v>-5.3225452163527955E-2</v>
      </c>
    </row>
    <row r="6" spans="1:16" x14ac:dyDescent="0.25">
      <c r="A6" s="28">
        <v>44712</v>
      </c>
      <c r="B6" s="17">
        <v>5.3177568506868103E-5</v>
      </c>
      <c r="C6">
        <v>26.190000999999999</v>
      </c>
      <c r="D6">
        <v>4</v>
      </c>
      <c r="E6" t="str">
        <f t="shared" si="0"/>
        <v>Green</v>
      </c>
      <c r="F6">
        <v>2</v>
      </c>
      <c r="G6">
        <v>1</v>
      </c>
      <c r="H6" t="s">
        <v>78</v>
      </c>
      <c r="I6" s="17">
        <v>0.2967033</v>
      </c>
      <c r="J6" s="17">
        <v>0.13043479999999999</v>
      </c>
      <c r="M6" s="32" t="s">
        <v>122</v>
      </c>
      <c r="N6" s="31">
        <v>5.6178704444133101E-2</v>
      </c>
      <c r="O6" s="31"/>
      <c r="P6" s="31">
        <v>5.6178704444133101E-2</v>
      </c>
    </row>
    <row r="7" spans="1:16" x14ac:dyDescent="0.25">
      <c r="A7" s="28">
        <v>44680</v>
      </c>
      <c r="B7" s="17">
        <v>-8.7956711705729301E-2</v>
      </c>
      <c r="C7">
        <v>33.400002000000001</v>
      </c>
      <c r="D7">
        <v>4</v>
      </c>
      <c r="E7" t="str">
        <f t="shared" si="0"/>
        <v>Red</v>
      </c>
      <c r="F7">
        <v>1</v>
      </c>
      <c r="G7">
        <v>1</v>
      </c>
      <c r="M7" s="32" t="s">
        <v>123</v>
      </c>
      <c r="N7" s="31"/>
      <c r="O7" s="31">
        <v>-3.8947372061896898E-2</v>
      </c>
      <c r="P7" s="31">
        <v>-3.8947372061896898E-2</v>
      </c>
    </row>
    <row r="8" spans="1:16" x14ac:dyDescent="0.25">
      <c r="A8" s="28">
        <v>44651</v>
      </c>
      <c r="B8" s="17">
        <v>3.5773288410591901E-2</v>
      </c>
      <c r="C8">
        <v>20.559999000000001</v>
      </c>
      <c r="D8">
        <v>3</v>
      </c>
      <c r="E8" t="str">
        <f t="shared" si="0"/>
        <v>Green</v>
      </c>
      <c r="F8">
        <v>1</v>
      </c>
      <c r="G8">
        <v>1</v>
      </c>
      <c r="M8" s="32" t="s">
        <v>124</v>
      </c>
      <c r="N8" s="31"/>
      <c r="O8" s="31">
        <v>-2.6884498624825101E-2</v>
      </c>
      <c r="P8" s="31">
        <v>-2.6884498624825101E-2</v>
      </c>
    </row>
    <row r="9" spans="1:16" x14ac:dyDescent="0.25">
      <c r="A9" s="28">
        <v>44620</v>
      </c>
      <c r="B9" s="17">
        <v>-3.1360492102910101E-2</v>
      </c>
      <c r="C9">
        <v>30.15</v>
      </c>
      <c r="D9">
        <v>4</v>
      </c>
      <c r="E9" t="str">
        <f t="shared" si="0"/>
        <v>Red</v>
      </c>
      <c r="F9">
        <v>1</v>
      </c>
      <c r="G9">
        <v>1</v>
      </c>
      <c r="M9" s="32" t="s">
        <v>125</v>
      </c>
      <c r="N9" s="31">
        <v>2.7187751316435399E-3</v>
      </c>
      <c r="O9" s="31"/>
      <c r="P9" s="31">
        <v>2.7187751316435399E-3</v>
      </c>
    </row>
    <row r="10" spans="1:16" x14ac:dyDescent="0.25">
      <c r="A10" s="28">
        <v>44592</v>
      </c>
      <c r="B10" s="17">
        <v>-5.2585165005310602E-2</v>
      </c>
      <c r="C10">
        <v>24.83</v>
      </c>
      <c r="D10">
        <v>4</v>
      </c>
      <c r="E10" t="str">
        <f t="shared" si="0"/>
        <v>Red</v>
      </c>
      <c r="F10">
        <v>2</v>
      </c>
      <c r="G10">
        <v>1</v>
      </c>
      <c r="M10" s="32" t="s">
        <v>126</v>
      </c>
      <c r="N10" s="31">
        <v>2.1608341965291902E-2</v>
      </c>
      <c r="O10" s="31"/>
      <c r="P10" s="31">
        <v>2.1608341965291902E-2</v>
      </c>
    </row>
    <row r="11" spans="1:16" x14ac:dyDescent="0.25">
      <c r="A11" s="28">
        <v>44561</v>
      </c>
      <c r="B11" s="17">
        <v>4.3612913509962797E-2</v>
      </c>
      <c r="C11">
        <v>17.219999000000001</v>
      </c>
      <c r="D11">
        <v>2</v>
      </c>
      <c r="E11" t="str">
        <f t="shared" si="0"/>
        <v>Green</v>
      </c>
      <c r="F11">
        <v>1</v>
      </c>
      <c r="G11">
        <v>1</v>
      </c>
      <c r="M11" s="32" t="s">
        <v>127</v>
      </c>
      <c r="N11" s="31">
        <v>4.8424360241865498E-3</v>
      </c>
      <c r="O11" s="31"/>
      <c r="P11" s="31">
        <v>4.8424360241865498E-3</v>
      </c>
    </row>
    <row r="12" spans="1:16" x14ac:dyDescent="0.25">
      <c r="A12" s="28">
        <v>44530</v>
      </c>
      <c r="B12" s="17">
        <v>-8.3337062251199693E-3</v>
      </c>
      <c r="C12">
        <v>27.190000999999999</v>
      </c>
      <c r="D12">
        <v>4</v>
      </c>
      <c r="E12" t="str">
        <f t="shared" si="0"/>
        <v>Red</v>
      </c>
      <c r="F12">
        <v>7</v>
      </c>
      <c r="G12">
        <v>1</v>
      </c>
      <c r="M12" s="32" t="s">
        <v>128</v>
      </c>
      <c r="N12" s="31">
        <v>3.6021556221367303E-2</v>
      </c>
      <c r="O12" s="31"/>
      <c r="P12" s="31">
        <v>3.6021556221367303E-2</v>
      </c>
    </row>
    <row r="13" spans="1:16" x14ac:dyDescent="0.25">
      <c r="A13" s="28">
        <v>44498</v>
      </c>
      <c r="B13" s="17">
        <v>6.9143836459647501E-2</v>
      </c>
      <c r="C13">
        <v>16.260000000000002</v>
      </c>
      <c r="D13">
        <v>2</v>
      </c>
      <c r="E13" t="str">
        <f t="shared" si="0"/>
        <v>Green</v>
      </c>
      <c r="F13">
        <v>2</v>
      </c>
      <c r="G13">
        <v>1</v>
      </c>
      <c r="M13" s="32" t="s">
        <v>129</v>
      </c>
      <c r="N13" s="31">
        <v>3.0263211466054599E-2</v>
      </c>
      <c r="O13" s="31"/>
      <c r="P13" s="31">
        <v>3.0263211466054599E-2</v>
      </c>
    </row>
    <row r="14" spans="1:16" x14ac:dyDescent="0.25">
      <c r="A14" s="28">
        <v>44469</v>
      </c>
      <c r="B14" s="17">
        <v>-4.75691688617867E-2</v>
      </c>
      <c r="C14">
        <v>23.139999</v>
      </c>
      <c r="D14">
        <v>3</v>
      </c>
      <c r="E14" t="str">
        <f t="shared" si="0"/>
        <v>Red</v>
      </c>
      <c r="F14">
        <v>1</v>
      </c>
      <c r="G14">
        <v>1</v>
      </c>
      <c r="M14" s="32" t="s">
        <v>107</v>
      </c>
      <c r="N14" s="31">
        <v>4.29428710266144E-3</v>
      </c>
      <c r="O14" s="31"/>
      <c r="P14" s="31">
        <v>4.29428710266144E-3</v>
      </c>
    </row>
    <row r="15" spans="1:16" x14ac:dyDescent="0.25">
      <c r="A15" s="28">
        <v>44439</v>
      </c>
      <c r="B15" s="17">
        <v>2.8990416217415299E-2</v>
      </c>
      <c r="C15">
        <v>16.48</v>
      </c>
      <c r="D15">
        <v>2</v>
      </c>
      <c r="E15" t="str">
        <f t="shared" si="0"/>
        <v>Green</v>
      </c>
      <c r="F15">
        <v>1</v>
      </c>
      <c r="G15">
        <v>1</v>
      </c>
      <c r="M15" s="32" t="s">
        <v>130</v>
      </c>
      <c r="N15" s="31"/>
      <c r="O15" s="31">
        <v>-6.9403356024429499E-2</v>
      </c>
      <c r="P15" s="31">
        <v>-6.9403356024429499E-2</v>
      </c>
    </row>
    <row r="16" spans="1:16" x14ac:dyDescent="0.25">
      <c r="A16" s="28">
        <v>44407</v>
      </c>
      <c r="B16" s="17">
        <v>2.2748054915648699E-2</v>
      </c>
      <c r="C16">
        <v>18.239999999999998</v>
      </c>
      <c r="D16">
        <v>3</v>
      </c>
      <c r="E16" t="str">
        <f t="shared" si="0"/>
        <v>Green</v>
      </c>
      <c r="F16">
        <v>2</v>
      </c>
      <c r="G16">
        <v>1</v>
      </c>
      <c r="M16" s="32" t="s">
        <v>131</v>
      </c>
      <c r="N16" s="31">
        <v>1.7859356788849E-2</v>
      </c>
      <c r="O16" s="31"/>
      <c r="P16" s="31">
        <v>1.7859356788849E-2</v>
      </c>
    </row>
    <row r="17" spans="1:16" x14ac:dyDescent="0.25">
      <c r="A17" s="28">
        <v>44377</v>
      </c>
      <c r="B17" s="17">
        <v>2.2214009634219802E-2</v>
      </c>
      <c r="C17">
        <v>15.83</v>
      </c>
      <c r="D17">
        <v>2</v>
      </c>
      <c r="E17" t="str">
        <f t="shared" si="0"/>
        <v>Green</v>
      </c>
      <c r="F17">
        <v>2</v>
      </c>
      <c r="G17">
        <v>2</v>
      </c>
      <c r="M17" s="32" t="s">
        <v>93</v>
      </c>
      <c r="N17" s="31"/>
      <c r="O17" s="31">
        <v>-9.1776894596563893E-2</v>
      </c>
      <c r="P17" s="31">
        <v>-9.1776894596563893E-2</v>
      </c>
    </row>
    <row r="18" spans="1:16" x14ac:dyDescent="0.25">
      <c r="A18" s="28">
        <v>44344</v>
      </c>
      <c r="B18" s="17">
        <v>5.4864885732810497E-3</v>
      </c>
      <c r="C18">
        <v>16.760000000000002</v>
      </c>
      <c r="D18">
        <v>2</v>
      </c>
      <c r="E18" t="str">
        <f t="shared" si="0"/>
        <v>Green</v>
      </c>
      <c r="F18">
        <v>2</v>
      </c>
      <c r="G18">
        <v>1</v>
      </c>
      <c r="M18" s="30" t="s">
        <v>103</v>
      </c>
      <c r="N18" s="31">
        <v>0.34795916641079366</v>
      </c>
      <c r="O18" s="31">
        <v>-8.3869358470613595E-2</v>
      </c>
      <c r="P18" s="31">
        <v>0.26408980794018</v>
      </c>
    </row>
    <row r="19" spans="1:16" x14ac:dyDescent="0.25">
      <c r="A19" s="28">
        <v>44316</v>
      </c>
      <c r="B19" s="17">
        <v>5.2425321267266303E-2</v>
      </c>
      <c r="C19">
        <v>18.610001</v>
      </c>
      <c r="D19">
        <v>3</v>
      </c>
      <c r="E19" t="str">
        <f t="shared" si="0"/>
        <v>Green</v>
      </c>
      <c r="F19">
        <v>1</v>
      </c>
      <c r="G19">
        <v>1</v>
      </c>
      <c r="M19" s="32" t="s">
        <v>122</v>
      </c>
      <c r="N19" s="31">
        <v>7.8684401655036804E-2</v>
      </c>
      <c r="O19" s="31"/>
      <c r="P19" s="31">
        <v>7.8684401655036804E-2</v>
      </c>
    </row>
    <row r="20" spans="1:16" x14ac:dyDescent="0.25">
      <c r="A20" s="28">
        <v>44286</v>
      </c>
      <c r="B20" s="17">
        <v>4.24386327378838E-2</v>
      </c>
      <c r="C20">
        <v>19.399999999999999</v>
      </c>
      <c r="D20">
        <v>3</v>
      </c>
      <c r="E20" t="str">
        <f t="shared" si="0"/>
        <v>Green</v>
      </c>
      <c r="F20">
        <v>8</v>
      </c>
      <c r="G20">
        <v>1</v>
      </c>
      <c r="M20" s="32" t="s">
        <v>123</v>
      </c>
      <c r="N20" s="31">
        <v>2.9728889126352302E-2</v>
      </c>
      <c r="O20" s="31"/>
      <c r="P20" s="31">
        <v>2.9728889126352302E-2</v>
      </c>
    </row>
    <row r="21" spans="1:16" x14ac:dyDescent="0.25">
      <c r="A21" s="28">
        <v>44253</v>
      </c>
      <c r="B21" s="17">
        <v>2.60914513496475E-2</v>
      </c>
      <c r="C21">
        <v>27.950001</v>
      </c>
      <c r="D21">
        <v>4</v>
      </c>
      <c r="E21" t="str">
        <f t="shared" si="0"/>
        <v>Green</v>
      </c>
      <c r="F21">
        <v>1</v>
      </c>
      <c r="G21">
        <v>1</v>
      </c>
      <c r="M21" s="32" t="s">
        <v>124</v>
      </c>
      <c r="N21" s="31">
        <v>1.7924256211817102E-2</v>
      </c>
      <c r="O21" s="31"/>
      <c r="P21" s="31">
        <v>1.7924256211817102E-2</v>
      </c>
    </row>
    <row r="22" spans="1:16" x14ac:dyDescent="0.25">
      <c r="A22" s="28">
        <v>44225</v>
      </c>
      <c r="B22" s="17">
        <v>-1.11366607232312E-2</v>
      </c>
      <c r="C22">
        <v>33.090000000000003</v>
      </c>
      <c r="D22">
        <v>4</v>
      </c>
      <c r="E22" t="str">
        <f t="shared" si="0"/>
        <v>Red</v>
      </c>
      <c r="F22">
        <v>8</v>
      </c>
      <c r="G22">
        <v>1</v>
      </c>
      <c r="M22" s="32" t="s">
        <v>125</v>
      </c>
      <c r="N22" s="31">
        <v>3.9313498395682697E-2</v>
      </c>
      <c r="O22" s="31"/>
      <c r="P22" s="31">
        <v>3.9313498395682697E-2</v>
      </c>
    </row>
    <row r="23" spans="1:16" x14ac:dyDescent="0.25">
      <c r="A23" s="28">
        <v>44196</v>
      </c>
      <c r="B23" s="17">
        <v>3.7121458940645703E-2</v>
      </c>
      <c r="C23">
        <v>22.75</v>
      </c>
      <c r="D23">
        <v>3</v>
      </c>
      <c r="E23" t="str">
        <f t="shared" si="0"/>
        <v>Green</v>
      </c>
      <c r="F23">
        <v>4</v>
      </c>
      <c r="G23">
        <v>1</v>
      </c>
      <c r="M23" s="32" t="s">
        <v>126</v>
      </c>
      <c r="N23" s="31"/>
      <c r="O23" s="31">
        <v>-6.5777731189286898E-2</v>
      </c>
      <c r="P23" s="31">
        <v>-6.5777731189286898E-2</v>
      </c>
    </row>
    <row r="24" spans="1:16" x14ac:dyDescent="0.25">
      <c r="A24" s="28">
        <v>44165</v>
      </c>
      <c r="B24" s="17">
        <v>0.10754563548003</v>
      </c>
      <c r="C24">
        <v>20.57</v>
      </c>
      <c r="D24">
        <v>3</v>
      </c>
      <c r="E24" t="str">
        <f t="shared" si="0"/>
        <v>Green</v>
      </c>
      <c r="F24">
        <v>2</v>
      </c>
      <c r="G24">
        <v>1</v>
      </c>
      <c r="M24" s="32" t="s">
        <v>127</v>
      </c>
      <c r="N24" s="31">
        <v>6.8930163925612103E-2</v>
      </c>
      <c r="O24" s="31"/>
      <c r="P24" s="31">
        <v>6.8930163925612103E-2</v>
      </c>
    </row>
    <row r="25" spans="1:16" x14ac:dyDescent="0.25">
      <c r="A25" s="28">
        <v>44134</v>
      </c>
      <c r="B25" s="17">
        <v>-2.7665786202795101E-2</v>
      </c>
      <c r="C25">
        <v>38.020000000000003</v>
      </c>
      <c r="D25">
        <v>4</v>
      </c>
      <c r="E25" t="str">
        <f t="shared" si="0"/>
        <v>Red</v>
      </c>
      <c r="F25">
        <v>4</v>
      </c>
      <c r="G25">
        <v>1</v>
      </c>
      <c r="M25" s="32" t="s">
        <v>128</v>
      </c>
      <c r="N25" s="31">
        <v>1.31281521499778E-2</v>
      </c>
      <c r="O25" s="31"/>
      <c r="P25" s="31">
        <v>1.31281521499778E-2</v>
      </c>
    </row>
    <row r="26" spans="1:16" x14ac:dyDescent="0.25">
      <c r="A26" s="28">
        <v>44104</v>
      </c>
      <c r="B26" s="17">
        <v>-3.9227970289931399E-2</v>
      </c>
      <c r="C26">
        <v>26.370000999999998</v>
      </c>
      <c r="D26">
        <v>4</v>
      </c>
      <c r="E26" t="str">
        <f t="shared" si="0"/>
        <v>Red</v>
      </c>
      <c r="F26">
        <v>1</v>
      </c>
      <c r="G26">
        <v>1</v>
      </c>
      <c r="M26" s="32" t="s">
        <v>129</v>
      </c>
      <c r="N26" s="31"/>
      <c r="O26" s="31">
        <v>-1.8091627281326701E-2</v>
      </c>
      <c r="P26" s="31">
        <v>-1.8091627281326701E-2</v>
      </c>
    </row>
    <row r="27" spans="1:16" x14ac:dyDescent="0.25">
      <c r="A27" s="28">
        <v>44074</v>
      </c>
      <c r="B27" s="17">
        <v>7.0064667087246499E-2</v>
      </c>
      <c r="C27">
        <v>26.41</v>
      </c>
      <c r="D27">
        <v>4</v>
      </c>
      <c r="E27" t="str">
        <f t="shared" si="0"/>
        <v>Green</v>
      </c>
      <c r="F27">
        <v>6</v>
      </c>
      <c r="G27">
        <v>1</v>
      </c>
      <c r="M27" s="32" t="s">
        <v>107</v>
      </c>
      <c r="N27" s="31">
        <v>1.71811778292086E-2</v>
      </c>
      <c r="O27" s="31"/>
      <c r="P27" s="31">
        <v>1.71811778292086E-2</v>
      </c>
    </row>
    <row r="28" spans="1:16" x14ac:dyDescent="0.25">
      <c r="A28" s="28">
        <v>44043</v>
      </c>
      <c r="B28" s="17">
        <v>5.5101321441235702E-2</v>
      </c>
      <c r="C28">
        <v>24.459999</v>
      </c>
      <c r="D28">
        <v>4</v>
      </c>
      <c r="E28" t="str">
        <f t="shared" si="0"/>
        <v>Green</v>
      </c>
      <c r="F28">
        <v>1</v>
      </c>
      <c r="G28">
        <v>1</v>
      </c>
      <c r="M28" s="32" t="s">
        <v>130</v>
      </c>
      <c r="N28" s="31">
        <v>2.0431770730503101E-2</v>
      </c>
      <c r="O28" s="31"/>
      <c r="P28" s="31">
        <v>2.0431770730503101E-2</v>
      </c>
    </row>
    <row r="29" spans="1:16" x14ac:dyDescent="0.25">
      <c r="A29" s="28">
        <v>44012</v>
      </c>
      <c r="B29" s="17">
        <v>1.8388396357494698E-2</v>
      </c>
      <c r="C29">
        <v>30.43</v>
      </c>
      <c r="D29">
        <v>4</v>
      </c>
      <c r="E29" t="str">
        <f t="shared" si="0"/>
        <v>Green</v>
      </c>
      <c r="F29">
        <v>5</v>
      </c>
      <c r="G29">
        <v>2</v>
      </c>
      <c r="M29" s="32" t="s">
        <v>131</v>
      </c>
      <c r="N29" s="31">
        <v>3.4047037421886202E-2</v>
      </c>
      <c r="O29" s="31"/>
      <c r="P29" s="31">
        <v>3.4047037421886202E-2</v>
      </c>
    </row>
    <row r="30" spans="1:16" x14ac:dyDescent="0.25">
      <c r="A30" s="28">
        <v>43980</v>
      </c>
      <c r="B30" s="17">
        <v>4.52818196760656E-2</v>
      </c>
      <c r="C30">
        <v>27.51</v>
      </c>
      <c r="D30">
        <v>4</v>
      </c>
      <c r="E30" t="str">
        <f t="shared" si="0"/>
        <v>Green</v>
      </c>
      <c r="F30">
        <v>2</v>
      </c>
      <c r="G30">
        <v>1</v>
      </c>
      <c r="M30" s="32" t="s">
        <v>93</v>
      </c>
      <c r="N30" s="31">
        <v>2.85898189647169E-2</v>
      </c>
      <c r="O30" s="31"/>
      <c r="P30" s="31">
        <v>2.85898189647169E-2</v>
      </c>
    </row>
    <row r="31" spans="1:16" x14ac:dyDescent="0.25">
      <c r="A31" s="28">
        <v>43951</v>
      </c>
      <c r="B31" s="17">
        <v>0.12684403825663801</v>
      </c>
      <c r="C31">
        <v>34.150002000000001</v>
      </c>
      <c r="D31">
        <v>4</v>
      </c>
      <c r="E31" t="str">
        <f t="shared" si="0"/>
        <v>Green</v>
      </c>
      <c r="F31">
        <v>1</v>
      </c>
      <c r="G31">
        <v>1</v>
      </c>
      <c r="M31" s="30" t="s">
        <v>104</v>
      </c>
      <c r="N31" s="31">
        <v>0.46034733723935622</v>
      </c>
      <c r="O31" s="31">
        <v>-0.27775161521423541</v>
      </c>
      <c r="P31" s="31">
        <v>0.18259572202512078</v>
      </c>
    </row>
    <row r="32" spans="1:16" x14ac:dyDescent="0.25">
      <c r="A32" s="28">
        <v>43921</v>
      </c>
      <c r="B32" s="17">
        <v>-0.12511928245982301</v>
      </c>
      <c r="C32">
        <v>53.540000999999997</v>
      </c>
      <c r="D32">
        <v>4</v>
      </c>
      <c r="E32" t="str">
        <f t="shared" si="0"/>
        <v>Red</v>
      </c>
      <c r="F32">
        <v>3</v>
      </c>
      <c r="G32">
        <v>3</v>
      </c>
      <c r="M32" s="32" t="s">
        <v>122</v>
      </c>
      <c r="N32" s="31"/>
      <c r="O32" s="31">
        <v>-1.6280925822201901E-3</v>
      </c>
      <c r="P32" s="31">
        <v>-1.6280925822201901E-3</v>
      </c>
    </row>
    <row r="33" spans="1:16" x14ac:dyDescent="0.25">
      <c r="A33" s="28">
        <v>43889</v>
      </c>
      <c r="B33" s="17">
        <v>-8.4110483679465706E-2</v>
      </c>
      <c r="C33">
        <v>40.110000999999997</v>
      </c>
      <c r="D33">
        <v>4</v>
      </c>
      <c r="E33" t="str">
        <f t="shared" si="0"/>
        <v>Red</v>
      </c>
      <c r="F33">
        <v>1</v>
      </c>
      <c r="G33">
        <v>2</v>
      </c>
      <c r="M33" s="32" t="s">
        <v>123</v>
      </c>
      <c r="N33" s="31"/>
      <c r="O33" s="31">
        <v>-8.4110483679465706E-2</v>
      </c>
      <c r="P33" s="31">
        <v>-8.4110483679465706E-2</v>
      </c>
    </row>
    <row r="34" spans="1:16" x14ac:dyDescent="0.25">
      <c r="A34" s="28">
        <v>43861</v>
      </c>
      <c r="B34" s="17">
        <v>-1.6280925822201901E-3</v>
      </c>
      <c r="C34">
        <v>18.84</v>
      </c>
      <c r="D34">
        <v>3</v>
      </c>
      <c r="E34" t="str">
        <f t="shared" si="0"/>
        <v>Red</v>
      </c>
      <c r="F34">
        <v>1</v>
      </c>
      <c r="G34">
        <v>2</v>
      </c>
      <c r="M34" s="32" t="s">
        <v>124</v>
      </c>
      <c r="N34" s="31"/>
      <c r="O34" s="31">
        <v>-0.12511928245982301</v>
      </c>
      <c r="P34" s="31">
        <v>-0.12511928245982301</v>
      </c>
    </row>
    <row r="35" spans="1:16" x14ac:dyDescent="0.25">
      <c r="A35" s="28">
        <v>43830</v>
      </c>
      <c r="B35" s="17">
        <v>2.85898189647169E-2</v>
      </c>
      <c r="C35">
        <v>13.78</v>
      </c>
      <c r="D35">
        <v>1</v>
      </c>
      <c r="E35" t="str">
        <f t="shared" si="0"/>
        <v>Green</v>
      </c>
      <c r="F35">
        <v>1</v>
      </c>
      <c r="G35">
        <v>1</v>
      </c>
      <c r="M35" s="32" t="s">
        <v>125</v>
      </c>
      <c r="N35" s="31">
        <v>0.12684403825663801</v>
      </c>
      <c r="O35" s="31"/>
      <c r="P35" s="31">
        <v>0.12684403825663801</v>
      </c>
    </row>
    <row r="36" spans="1:16" x14ac:dyDescent="0.25">
      <c r="A36" s="28">
        <v>43798</v>
      </c>
      <c r="B36" s="17">
        <v>3.4047037421886202E-2</v>
      </c>
      <c r="C36">
        <v>12.62</v>
      </c>
      <c r="D36">
        <v>1</v>
      </c>
      <c r="E36" t="str">
        <f t="shared" si="0"/>
        <v>Green</v>
      </c>
      <c r="F36">
        <v>2</v>
      </c>
      <c r="G36">
        <v>3</v>
      </c>
      <c r="M36" s="32" t="s">
        <v>126</v>
      </c>
      <c r="N36" s="31">
        <v>4.52818196760656E-2</v>
      </c>
      <c r="O36" s="31"/>
      <c r="P36" s="31">
        <v>4.52818196760656E-2</v>
      </c>
    </row>
    <row r="37" spans="1:16" x14ac:dyDescent="0.25">
      <c r="A37" s="28">
        <v>43769</v>
      </c>
      <c r="B37" s="17">
        <v>2.0431770730503101E-2</v>
      </c>
      <c r="C37">
        <v>13.22</v>
      </c>
      <c r="D37">
        <v>1</v>
      </c>
      <c r="E37" t="str">
        <f t="shared" si="0"/>
        <v>Green</v>
      </c>
      <c r="F37">
        <v>2</v>
      </c>
      <c r="G37">
        <v>2</v>
      </c>
      <c r="M37" s="32" t="s">
        <v>127</v>
      </c>
      <c r="N37" s="31">
        <v>1.8388396357494698E-2</v>
      </c>
      <c r="O37" s="31"/>
      <c r="P37" s="31">
        <v>1.8388396357494698E-2</v>
      </c>
    </row>
    <row r="38" spans="1:16" x14ac:dyDescent="0.25">
      <c r="A38" s="28">
        <v>43738</v>
      </c>
      <c r="B38" s="17">
        <v>1.71811778292086E-2</v>
      </c>
      <c r="C38">
        <v>16.239999999999998</v>
      </c>
      <c r="D38">
        <v>2</v>
      </c>
      <c r="E38" t="str">
        <f t="shared" si="0"/>
        <v>Green</v>
      </c>
      <c r="F38">
        <v>3</v>
      </c>
      <c r="G38">
        <v>4</v>
      </c>
      <c r="M38" s="32" t="s">
        <v>128</v>
      </c>
      <c r="N38" s="31">
        <v>5.5101321441235702E-2</v>
      </c>
      <c r="O38" s="31"/>
      <c r="P38" s="31">
        <v>5.5101321441235702E-2</v>
      </c>
    </row>
    <row r="39" spans="1:16" x14ac:dyDescent="0.25">
      <c r="A39" s="28">
        <v>43707</v>
      </c>
      <c r="B39" s="17">
        <v>-1.8091627281326701E-2</v>
      </c>
      <c r="C39">
        <v>18.98</v>
      </c>
      <c r="D39">
        <v>3</v>
      </c>
      <c r="E39" t="str">
        <f t="shared" si="0"/>
        <v>Red</v>
      </c>
      <c r="F39">
        <v>1</v>
      </c>
      <c r="G39">
        <v>2</v>
      </c>
      <c r="M39" s="32" t="s">
        <v>129</v>
      </c>
      <c r="N39" s="31">
        <v>7.0064667087246499E-2</v>
      </c>
      <c r="O39" s="31"/>
      <c r="P39" s="31">
        <v>7.0064667087246499E-2</v>
      </c>
    </row>
    <row r="40" spans="1:16" x14ac:dyDescent="0.25">
      <c r="A40" s="28">
        <v>43677</v>
      </c>
      <c r="B40" s="17">
        <v>1.31281521499778E-2</v>
      </c>
      <c r="C40">
        <v>16.120000999999998</v>
      </c>
      <c r="D40">
        <v>2</v>
      </c>
      <c r="E40" t="str">
        <f t="shared" si="0"/>
        <v>Green</v>
      </c>
      <c r="F40">
        <v>1</v>
      </c>
      <c r="G40">
        <v>4</v>
      </c>
      <c r="M40" s="32" t="s">
        <v>107</v>
      </c>
      <c r="N40" s="31"/>
      <c r="O40" s="31">
        <v>-3.9227970289931399E-2</v>
      </c>
      <c r="P40" s="31">
        <v>-3.9227970289931399E-2</v>
      </c>
    </row>
    <row r="41" spans="1:16" x14ac:dyDescent="0.25">
      <c r="A41" s="28">
        <v>43644</v>
      </c>
      <c r="B41" s="17">
        <v>6.8930163925612103E-2</v>
      </c>
      <c r="C41">
        <v>15.08</v>
      </c>
      <c r="D41">
        <v>2</v>
      </c>
      <c r="E41" t="str">
        <f t="shared" si="0"/>
        <v>Green</v>
      </c>
      <c r="F41">
        <v>2</v>
      </c>
      <c r="G41">
        <v>1</v>
      </c>
      <c r="M41" s="32" t="s">
        <v>130</v>
      </c>
      <c r="N41" s="31"/>
      <c r="O41" s="31">
        <v>-2.7665786202795101E-2</v>
      </c>
      <c r="P41" s="31">
        <v>-2.7665786202795101E-2</v>
      </c>
    </row>
    <row r="42" spans="1:16" x14ac:dyDescent="0.25">
      <c r="A42" s="28">
        <v>43616</v>
      </c>
      <c r="B42" s="17">
        <v>-6.5777731189286898E-2</v>
      </c>
      <c r="C42">
        <v>18.709999</v>
      </c>
      <c r="D42">
        <v>3</v>
      </c>
      <c r="E42" t="str">
        <f t="shared" si="0"/>
        <v>Red</v>
      </c>
      <c r="F42">
        <v>6</v>
      </c>
      <c r="G42">
        <v>3</v>
      </c>
      <c r="M42" s="32" t="s">
        <v>131</v>
      </c>
      <c r="N42" s="31">
        <v>0.10754563548003</v>
      </c>
      <c r="O42" s="31"/>
      <c r="P42" s="31">
        <v>0.10754563548003</v>
      </c>
    </row>
    <row r="43" spans="1:16" x14ac:dyDescent="0.25">
      <c r="A43" s="28">
        <v>43585</v>
      </c>
      <c r="B43" s="17">
        <v>3.9313498395682697E-2</v>
      </c>
      <c r="C43">
        <v>13.12</v>
      </c>
      <c r="D43">
        <v>1</v>
      </c>
      <c r="E43" t="str">
        <f t="shared" si="0"/>
        <v>Green</v>
      </c>
      <c r="F43">
        <v>5</v>
      </c>
      <c r="G43">
        <v>1</v>
      </c>
      <c r="M43" s="32" t="s">
        <v>93</v>
      </c>
      <c r="N43" s="31">
        <v>3.7121458940645703E-2</v>
      </c>
      <c r="O43" s="31"/>
      <c r="P43" s="31">
        <v>3.7121458940645703E-2</v>
      </c>
    </row>
    <row r="44" spans="1:16" x14ac:dyDescent="0.25">
      <c r="A44" s="28">
        <v>43553</v>
      </c>
      <c r="B44" s="17">
        <v>1.7924256211817102E-2</v>
      </c>
      <c r="C44">
        <v>13.71</v>
      </c>
      <c r="D44">
        <v>1</v>
      </c>
      <c r="E44" t="str">
        <f t="shared" si="0"/>
        <v>Green</v>
      </c>
      <c r="F44">
        <v>2</v>
      </c>
      <c r="G44">
        <v>2</v>
      </c>
      <c r="M44" s="30" t="s">
        <v>105</v>
      </c>
      <c r="N44" s="31">
        <v>0.31315112466497275</v>
      </c>
      <c r="O44" s="31">
        <v>-6.7039535810137871E-2</v>
      </c>
      <c r="P44" s="31">
        <v>0.24611158885483486</v>
      </c>
    </row>
    <row r="45" spans="1:16" x14ac:dyDescent="0.25">
      <c r="A45" s="28">
        <v>43524</v>
      </c>
      <c r="B45" s="17">
        <v>2.9728889126352302E-2</v>
      </c>
      <c r="C45">
        <v>14.78</v>
      </c>
      <c r="D45">
        <v>2</v>
      </c>
      <c r="E45" t="str">
        <f t="shared" si="0"/>
        <v>Green</v>
      </c>
      <c r="F45">
        <v>5</v>
      </c>
      <c r="G45">
        <v>1</v>
      </c>
      <c r="M45" s="32" t="s">
        <v>122</v>
      </c>
      <c r="N45" s="31"/>
      <c r="O45" s="31">
        <v>-1.11366607232312E-2</v>
      </c>
      <c r="P45" s="31">
        <v>-1.11366607232312E-2</v>
      </c>
    </row>
    <row r="46" spans="1:16" x14ac:dyDescent="0.25">
      <c r="A46" s="28">
        <v>43496</v>
      </c>
      <c r="B46" s="17">
        <v>7.8684401655036804E-2</v>
      </c>
      <c r="C46">
        <v>16.57</v>
      </c>
      <c r="D46">
        <v>2</v>
      </c>
      <c r="E46" t="str">
        <f t="shared" si="0"/>
        <v>Green</v>
      </c>
      <c r="F46">
        <v>1</v>
      </c>
      <c r="G46">
        <v>1</v>
      </c>
      <c r="M46" s="32" t="s">
        <v>123</v>
      </c>
      <c r="N46" s="31">
        <v>2.60914513496475E-2</v>
      </c>
      <c r="O46" s="31"/>
      <c r="P46" s="31">
        <v>2.60914513496475E-2</v>
      </c>
    </row>
    <row r="47" spans="1:16" x14ac:dyDescent="0.25">
      <c r="A47" s="28">
        <v>43465</v>
      </c>
      <c r="B47" s="17">
        <v>-9.1776894596563893E-2</v>
      </c>
      <c r="C47">
        <v>25.42</v>
      </c>
      <c r="D47">
        <v>4</v>
      </c>
      <c r="E47" t="str">
        <f t="shared" si="0"/>
        <v>Red</v>
      </c>
      <c r="F47">
        <v>1</v>
      </c>
      <c r="G47">
        <v>2</v>
      </c>
      <c r="M47" s="32" t="s">
        <v>124</v>
      </c>
      <c r="N47" s="31">
        <v>4.24386327378838E-2</v>
      </c>
      <c r="O47" s="31"/>
      <c r="P47" s="31">
        <v>4.24386327378838E-2</v>
      </c>
    </row>
    <row r="48" spans="1:16" x14ac:dyDescent="0.25">
      <c r="A48" s="28">
        <v>43434</v>
      </c>
      <c r="B48" s="17">
        <v>1.7859356788849E-2</v>
      </c>
      <c r="C48">
        <v>18.07</v>
      </c>
      <c r="D48">
        <v>3</v>
      </c>
      <c r="E48" t="str">
        <f t="shared" si="0"/>
        <v>Green</v>
      </c>
      <c r="F48">
        <v>1</v>
      </c>
      <c r="G48">
        <v>1</v>
      </c>
      <c r="M48" s="32" t="s">
        <v>125</v>
      </c>
      <c r="N48" s="31">
        <v>5.2425321267266303E-2</v>
      </c>
      <c r="O48" s="31"/>
      <c r="P48" s="31">
        <v>5.2425321267266303E-2</v>
      </c>
    </row>
    <row r="49" spans="1:16" x14ac:dyDescent="0.25">
      <c r="A49" s="28">
        <v>43404</v>
      </c>
      <c r="B49" s="17">
        <v>-6.9403356024429499E-2</v>
      </c>
      <c r="C49">
        <v>21.23</v>
      </c>
      <c r="D49">
        <v>3</v>
      </c>
      <c r="E49" t="str">
        <f t="shared" si="0"/>
        <v>Red</v>
      </c>
      <c r="F49">
        <v>1</v>
      </c>
      <c r="G49">
        <v>1</v>
      </c>
      <c r="M49" s="32" t="s">
        <v>126</v>
      </c>
      <c r="N49" s="31">
        <v>5.4864885732810497E-3</v>
      </c>
      <c r="O49" s="31"/>
      <c r="P49" s="31">
        <v>5.4864885732810497E-3</v>
      </c>
    </row>
    <row r="50" spans="1:16" x14ac:dyDescent="0.25">
      <c r="A50" s="28">
        <v>43371</v>
      </c>
      <c r="B50" s="17">
        <v>4.29428710266144E-3</v>
      </c>
      <c r="C50">
        <v>12.12</v>
      </c>
      <c r="D50">
        <v>1</v>
      </c>
      <c r="E50" t="str">
        <f t="shared" si="0"/>
        <v>Green</v>
      </c>
      <c r="F50">
        <v>1</v>
      </c>
      <c r="G50">
        <v>1</v>
      </c>
      <c r="M50" s="32" t="s">
        <v>127</v>
      </c>
      <c r="N50" s="31">
        <v>2.2214009634219802E-2</v>
      </c>
      <c r="O50" s="31"/>
      <c r="P50" s="31">
        <v>2.2214009634219802E-2</v>
      </c>
    </row>
    <row r="51" spans="1:16" x14ac:dyDescent="0.25">
      <c r="A51" s="28">
        <v>43343</v>
      </c>
      <c r="B51" s="17">
        <v>3.0263211466054599E-2</v>
      </c>
      <c r="C51">
        <v>12.86</v>
      </c>
      <c r="D51">
        <v>1</v>
      </c>
      <c r="E51" t="str">
        <f t="shared" si="0"/>
        <v>Green</v>
      </c>
      <c r="F51">
        <v>4</v>
      </c>
      <c r="G51">
        <v>1</v>
      </c>
      <c r="M51" s="32" t="s">
        <v>128</v>
      </c>
      <c r="N51" s="31">
        <v>2.2748054915648699E-2</v>
      </c>
      <c r="O51" s="31"/>
      <c r="P51" s="31">
        <v>2.2748054915648699E-2</v>
      </c>
    </row>
    <row r="52" spans="1:16" x14ac:dyDescent="0.25">
      <c r="A52" s="28">
        <v>43312</v>
      </c>
      <c r="B52" s="17">
        <v>3.6021556221367303E-2</v>
      </c>
      <c r="C52">
        <v>12.83</v>
      </c>
      <c r="D52">
        <v>1</v>
      </c>
      <c r="E52" t="str">
        <f t="shared" si="0"/>
        <v>Green</v>
      </c>
      <c r="F52">
        <v>8</v>
      </c>
      <c r="G52">
        <v>1</v>
      </c>
      <c r="M52" s="32" t="s">
        <v>129</v>
      </c>
      <c r="N52" s="31">
        <v>2.8990416217415299E-2</v>
      </c>
      <c r="O52" s="31"/>
      <c r="P52" s="31">
        <v>2.8990416217415299E-2</v>
      </c>
    </row>
    <row r="53" spans="1:16" x14ac:dyDescent="0.25">
      <c r="A53" s="28">
        <v>43280</v>
      </c>
      <c r="B53" s="17">
        <v>4.8424360241865498E-3</v>
      </c>
      <c r="C53">
        <v>16.09</v>
      </c>
      <c r="D53">
        <v>2</v>
      </c>
      <c r="E53" t="str">
        <f t="shared" si="0"/>
        <v>Green</v>
      </c>
      <c r="F53">
        <v>3</v>
      </c>
      <c r="G53">
        <v>1</v>
      </c>
      <c r="M53" s="32" t="s">
        <v>107</v>
      </c>
      <c r="N53" s="31"/>
      <c r="O53" s="31">
        <v>-4.75691688617867E-2</v>
      </c>
      <c r="P53" s="31">
        <v>-4.75691688617867E-2</v>
      </c>
    </row>
    <row r="54" spans="1:16" x14ac:dyDescent="0.25">
      <c r="A54" s="28">
        <v>43251</v>
      </c>
      <c r="B54" s="17">
        <v>2.1608341965291902E-2</v>
      </c>
      <c r="C54">
        <v>15.43</v>
      </c>
      <c r="D54">
        <v>2</v>
      </c>
      <c r="E54" t="str">
        <f t="shared" si="0"/>
        <v>Green</v>
      </c>
      <c r="F54">
        <v>3</v>
      </c>
      <c r="G54">
        <v>2</v>
      </c>
      <c r="M54" s="32" t="s">
        <v>130</v>
      </c>
      <c r="N54" s="31">
        <v>6.9143836459647501E-2</v>
      </c>
      <c r="O54" s="31"/>
      <c r="P54" s="31">
        <v>6.9143836459647501E-2</v>
      </c>
    </row>
    <row r="55" spans="1:16" x14ac:dyDescent="0.25">
      <c r="A55" s="28">
        <v>43220</v>
      </c>
      <c r="B55" s="17">
        <v>2.7187751316435399E-3</v>
      </c>
      <c r="C55">
        <v>15.93</v>
      </c>
      <c r="D55">
        <v>2</v>
      </c>
      <c r="E55" t="str">
        <f t="shared" si="0"/>
        <v>Green</v>
      </c>
      <c r="F55">
        <v>2</v>
      </c>
      <c r="G55">
        <v>5</v>
      </c>
      <c r="M55" s="32" t="s">
        <v>131</v>
      </c>
      <c r="N55" s="31"/>
      <c r="O55" s="31">
        <v>-8.3337062251199693E-3</v>
      </c>
      <c r="P55" s="31">
        <v>-8.3337062251199693E-3</v>
      </c>
    </row>
    <row r="56" spans="1:16" x14ac:dyDescent="0.25">
      <c r="A56" s="28">
        <v>43188</v>
      </c>
      <c r="B56" s="17">
        <v>-2.6884498624825101E-2</v>
      </c>
      <c r="C56">
        <v>19.969999000000001</v>
      </c>
      <c r="D56">
        <v>3</v>
      </c>
      <c r="E56" t="str">
        <f t="shared" si="0"/>
        <v>Red</v>
      </c>
      <c r="F56">
        <v>1</v>
      </c>
      <c r="G56">
        <v>2</v>
      </c>
      <c r="M56" s="32" t="s">
        <v>93</v>
      </c>
      <c r="N56" s="31">
        <v>4.3612913509962797E-2</v>
      </c>
      <c r="O56" s="31"/>
      <c r="P56" s="31">
        <v>4.3612913509962797E-2</v>
      </c>
    </row>
    <row r="57" spans="1:16" x14ac:dyDescent="0.25">
      <c r="A57" s="28">
        <v>43159</v>
      </c>
      <c r="B57" s="17">
        <v>-3.8947372061896898E-2</v>
      </c>
      <c r="C57">
        <v>19.850000000000001</v>
      </c>
      <c r="D57">
        <v>3</v>
      </c>
      <c r="E57" t="str">
        <f t="shared" si="0"/>
        <v>Red</v>
      </c>
      <c r="F57">
        <v>1</v>
      </c>
      <c r="G57">
        <v>3</v>
      </c>
      <c r="M57" s="30" t="s">
        <v>106</v>
      </c>
      <c r="N57" s="31">
        <v>0.12694285763875218</v>
      </c>
      <c r="O57" s="31">
        <v>-0.36914747741567522</v>
      </c>
      <c r="P57" s="31">
        <v>-0.24220461977692304</v>
      </c>
    </row>
    <row r="58" spans="1:16" x14ac:dyDescent="0.25">
      <c r="A58" s="28">
        <v>43131</v>
      </c>
      <c r="B58" s="17">
        <v>5.6178704444133101E-2</v>
      </c>
      <c r="C58">
        <v>13.54</v>
      </c>
      <c r="D58">
        <v>1</v>
      </c>
      <c r="E58" t="str">
        <f t="shared" si="0"/>
        <v>Green</v>
      </c>
      <c r="F58">
        <v>7</v>
      </c>
      <c r="G58">
        <v>2</v>
      </c>
      <c r="M58" s="32" t="s">
        <v>122</v>
      </c>
      <c r="N58" s="31"/>
      <c r="O58" s="31">
        <v>-5.2585165005310602E-2</v>
      </c>
      <c r="P58" s="31">
        <v>-5.2585165005310602E-2</v>
      </c>
    </row>
    <row r="59" spans="1:16" x14ac:dyDescent="0.25">
      <c r="A59" s="28">
        <v>43098</v>
      </c>
      <c r="B59" s="17">
        <v>9.8316304826040497E-3</v>
      </c>
      <c r="C59">
        <v>11.04</v>
      </c>
      <c r="D59">
        <v>1</v>
      </c>
      <c r="E59" t="str">
        <f t="shared" si="0"/>
        <v>Green</v>
      </c>
      <c r="F59">
        <v>2</v>
      </c>
      <c r="G59">
        <v>1</v>
      </c>
      <c r="M59" s="32" t="s">
        <v>123</v>
      </c>
      <c r="N59" s="31"/>
      <c r="O59" s="31">
        <v>-3.1360492102910101E-2</v>
      </c>
      <c r="P59" s="31">
        <v>-3.1360492102910101E-2</v>
      </c>
    </row>
    <row r="60" spans="1:16" x14ac:dyDescent="0.25">
      <c r="A60" s="28">
        <v>43069</v>
      </c>
      <c r="B60" s="17">
        <v>2.8082627664458602E-2</v>
      </c>
      <c r="C60">
        <v>11.28</v>
      </c>
      <c r="D60">
        <v>1</v>
      </c>
      <c r="E60" t="str">
        <f t="shared" si="0"/>
        <v>Green</v>
      </c>
      <c r="F60">
        <v>3</v>
      </c>
      <c r="G60">
        <v>1</v>
      </c>
      <c r="M60" s="32" t="s">
        <v>124</v>
      </c>
      <c r="N60" s="31">
        <v>3.5773288410591901E-2</v>
      </c>
      <c r="O60" s="31"/>
      <c r="P60" s="31">
        <v>3.5773288410591901E-2</v>
      </c>
    </row>
    <row r="61" spans="1:16" x14ac:dyDescent="0.25">
      <c r="A61" s="28">
        <v>43039</v>
      </c>
      <c r="B61" s="17">
        <v>2.21881353303497E-2</v>
      </c>
      <c r="C61">
        <v>10.18</v>
      </c>
      <c r="D61">
        <v>1</v>
      </c>
      <c r="E61" t="str">
        <f t="shared" si="0"/>
        <v>Green</v>
      </c>
      <c r="F61">
        <v>1</v>
      </c>
      <c r="G61">
        <v>2</v>
      </c>
      <c r="M61" s="32" t="s">
        <v>125</v>
      </c>
      <c r="N61" s="31"/>
      <c r="O61" s="31">
        <v>-8.7956711705729301E-2</v>
      </c>
      <c r="P61" s="31">
        <v>-8.7956711705729301E-2</v>
      </c>
    </row>
    <row r="62" spans="1:16" x14ac:dyDescent="0.25">
      <c r="A62" s="28">
        <v>43007</v>
      </c>
      <c r="B62" s="17">
        <v>1.9302978533243701E-2</v>
      </c>
      <c r="C62">
        <v>9.51</v>
      </c>
      <c r="D62">
        <v>1</v>
      </c>
      <c r="E62" t="str">
        <f t="shared" si="0"/>
        <v>Green</v>
      </c>
      <c r="F62">
        <v>2</v>
      </c>
      <c r="G62">
        <v>1</v>
      </c>
      <c r="M62" s="32" t="s">
        <v>126</v>
      </c>
      <c r="N62" s="31">
        <v>5.3177568506868103E-5</v>
      </c>
      <c r="O62" s="31"/>
      <c r="P62" s="31">
        <v>5.3177568506868103E-5</v>
      </c>
    </row>
    <row r="63" spans="1:16" x14ac:dyDescent="0.25">
      <c r="A63" s="28">
        <v>42978</v>
      </c>
      <c r="B63" s="17">
        <v>5.4643281108557296E-4</v>
      </c>
      <c r="C63">
        <v>10.59</v>
      </c>
      <c r="D63">
        <v>1</v>
      </c>
      <c r="E63" t="str">
        <f t="shared" si="0"/>
        <v>Green</v>
      </c>
      <c r="F63">
        <v>3</v>
      </c>
      <c r="G63">
        <v>1</v>
      </c>
      <c r="M63" s="32" t="s">
        <v>127</v>
      </c>
      <c r="N63" s="31"/>
      <c r="O63" s="31">
        <v>-8.3919999812243101E-2</v>
      </c>
      <c r="P63" s="31">
        <v>-8.3919999812243101E-2</v>
      </c>
    </row>
    <row r="64" spans="1:16" x14ac:dyDescent="0.25">
      <c r="A64" s="28">
        <v>42947</v>
      </c>
      <c r="B64" s="17">
        <v>1.9348826118030599E-2</v>
      </c>
      <c r="C64">
        <v>10.26</v>
      </c>
      <c r="D64">
        <v>1</v>
      </c>
      <c r="E64" t="str">
        <f t="shared" si="0"/>
        <v>Green</v>
      </c>
      <c r="F64">
        <v>1</v>
      </c>
      <c r="G64">
        <v>1</v>
      </c>
      <c r="M64" s="32" t="s">
        <v>128</v>
      </c>
      <c r="N64" s="31">
        <v>9.1116391659653406E-2</v>
      </c>
      <c r="O64" s="31"/>
      <c r="P64" s="31">
        <v>9.1116391659653406E-2</v>
      </c>
    </row>
    <row r="65" spans="1:16" x14ac:dyDescent="0.25">
      <c r="A65" s="28">
        <v>42916</v>
      </c>
      <c r="B65" s="17">
        <v>4.8137750908554501E-3</v>
      </c>
      <c r="C65">
        <v>11.18</v>
      </c>
      <c r="D65">
        <v>1</v>
      </c>
      <c r="E65" t="str">
        <f t="shared" si="0"/>
        <v>Green</v>
      </c>
      <c r="F65">
        <v>1</v>
      </c>
      <c r="G65">
        <v>5</v>
      </c>
      <c r="M65" s="32" t="s">
        <v>129</v>
      </c>
      <c r="N65" s="31"/>
      <c r="O65" s="31">
        <v>-4.2440128258508597E-2</v>
      </c>
      <c r="P65" s="31">
        <v>-4.2440128258508597E-2</v>
      </c>
    </row>
    <row r="66" spans="1:16" x14ac:dyDescent="0.25">
      <c r="A66" s="28">
        <v>42886</v>
      </c>
      <c r="B66" s="17">
        <v>1.1576251391341301E-2</v>
      </c>
      <c r="C66">
        <v>10.41</v>
      </c>
      <c r="D66">
        <v>1</v>
      </c>
      <c r="E66" t="str">
        <f t="shared" ref="E66:E129" si="1">IF(B66&gt;0,"Green","Red")</f>
        <v>Green</v>
      </c>
      <c r="F66">
        <v>4</v>
      </c>
      <c r="G66">
        <v>1</v>
      </c>
      <c r="M66" s="32" t="s">
        <v>107</v>
      </c>
      <c r="N66" s="31"/>
      <c r="O66" s="31">
        <v>-7.0884980530973501E-2</v>
      </c>
      <c r="P66" s="31">
        <v>-7.0884980530973501E-2</v>
      </c>
    </row>
    <row r="67" spans="1:16" x14ac:dyDescent="0.25">
      <c r="A67" s="28">
        <v>42853</v>
      </c>
      <c r="B67" s="17">
        <v>9.0912085493182193E-3</v>
      </c>
      <c r="C67">
        <v>10.82</v>
      </c>
      <c r="D67">
        <v>1</v>
      </c>
      <c r="E67" t="str">
        <f t="shared" si="1"/>
        <v>Green</v>
      </c>
      <c r="F67">
        <v>4</v>
      </c>
      <c r="G67">
        <v>2</v>
      </c>
      <c r="M67" s="30" t="s">
        <v>92</v>
      </c>
      <c r="N67" s="31">
        <v>1.422187155098062</v>
      </c>
      <c r="O67" s="31">
        <v>-1.0248201082183777</v>
      </c>
      <c r="P67" s="31">
        <v>0.39736704687968472</v>
      </c>
    </row>
    <row r="68" spans="1:16" x14ac:dyDescent="0.25">
      <c r="A68" s="28">
        <v>42825</v>
      </c>
      <c r="B68" s="17">
        <v>-3.891971880845E-4</v>
      </c>
      <c r="C68">
        <v>12.37</v>
      </c>
      <c r="D68">
        <v>1</v>
      </c>
      <c r="E68" t="str">
        <f t="shared" si="1"/>
        <v>Red</v>
      </c>
      <c r="F68">
        <v>7</v>
      </c>
      <c r="G68">
        <v>1</v>
      </c>
    </row>
    <row r="69" spans="1:16" x14ac:dyDescent="0.25">
      <c r="A69" s="28">
        <v>42794</v>
      </c>
      <c r="B69" s="17">
        <v>3.7198160337279101E-2</v>
      </c>
      <c r="C69">
        <v>12.92</v>
      </c>
      <c r="D69">
        <v>1</v>
      </c>
      <c r="E69" t="str">
        <f t="shared" si="1"/>
        <v>Green</v>
      </c>
      <c r="F69">
        <v>1</v>
      </c>
      <c r="G69">
        <v>1</v>
      </c>
    </row>
    <row r="70" spans="1:16" x14ac:dyDescent="0.25">
      <c r="A70" s="28">
        <v>42766</v>
      </c>
      <c r="B70" s="17">
        <v>1.7884358171464498E-2</v>
      </c>
      <c r="C70">
        <v>11.99</v>
      </c>
      <c r="D70">
        <v>1</v>
      </c>
      <c r="E70" t="str">
        <f t="shared" si="1"/>
        <v>Green</v>
      </c>
      <c r="F70">
        <v>4</v>
      </c>
      <c r="G70">
        <v>1</v>
      </c>
    </row>
    <row r="71" spans="1:16" x14ac:dyDescent="0.25">
      <c r="A71" s="28">
        <v>42734</v>
      </c>
      <c r="B71" s="17">
        <v>1.82007621968951E-2</v>
      </c>
      <c r="C71">
        <v>14.04</v>
      </c>
      <c r="D71">
        <v>2</v>
      </c>
      <c r="E71" t="str">
        <f t="shared" si="1"/>
        <v>Green</v>
      </c>
      <c r="F71">
        <v>5</v>
      </c>
      <c r="G71">
        <v>1</v>
      </c>
    </row>
    <row r="72" spans="1:16" x14ac:dyDescent="0.25">
      <c r="A72" s="28">
        <v>42704</v>
      </c>
      <c r="B72" s="17">
        <v>3.4174522187570402E-2</v>
      </c>
      <c r="C72">
        <v>13.33</v>
      </c>
      <c r="D72">
        <v>1</v>
      </c>
      <c r="E72" t="str">
        <f t="shared" si="1"/>
        <v>Green</v>
      </c>
      <c r="F72">
        <v>1</v>
      </c>
      <c r="G72">
        <v>1</v>
      </c>
    </row>
    <row r="73" spans="1:16" x14ac:dyDescent="0.25">
      <c r="A73" s="28">
        <v>42674</v>
      </c>
      <c r="B73" s="17">
        <v>-1.94256792795575E-2</v>
      </c>
      <c r="C73">
        <v>17.059999000000001</v>
      </c>
      <c r="D73">
        <v>2</v>
      </c>
      <c r="E73" t="str">
        <f t="shared" si="1"/>
        <v>Red</v>
      </c>
      <c r="F73">
        <v>2</v>
      </c>
      <c r="G73">
        <v>1</v>
      </c>
    </row>
    <row r="74" spans="1:16" x14ac:dyDescent="0.25">
      <c r="A74" s="28">
        <v>42643</v>
      </c>
      <c r="B74" s="17">
        <v>-1.23445084432539E-3</v>
      </c>
      <c r="C74">
        <v>13.29</v>
      </c>
      <c r="D74">
        <v>1</v>
      </c>
      <c r="E74" t="str">
        <f t="shared" si="1"/>
        <v>Red</v>
      </c>
      <c r="F74">
        <v>1</v>
      </c>
      <c r="G74">
        <v>2</v>
      </c>
    </row>
    <row r="75" spans="1:16" x14ac:dyDescent="0.25">
      <c r="A75" s="28">
        <v>42613</v>
      </c>
      <c r="B75" s="17">
        <v>-1.2192431360480401E-3</v>
      </c>
      <c r="C75">
        <v>13.42</v>
      </c>
      <c r="D75">
        <v>1</v>
      </c>
      <c r="E75" t="str">
        <f t="shared" si="1"/>
        <v>Red</v>
      </c>
      <c r="F75">
        <v>2</v>
      </c>
      <c r="G75">
        <v>1</v>
      </c>
    </row>
    <row r="76" spans="1:16" x14ac:dyDescent="0.25">
      <c r="A76" s="28">
        <v>42580</v>
      </c>
      <c r="B76" s="17">
        <v>3.5609801125254401E-2</v>
      </c>
      <c r="C76">
        <v>11.87</v>
      </c>
      <c r="D76">
        <v>1</v>
      </c>
      <c r="E76" t="str">
        <f t="shared" si="1"/>
        <v>Green</v>
      </c>
      <c r="F76">
        <v>1</v>
      </c>
      <c r="G76">
        <v>1</v>
      </c>
    </row>
    <row r="77" spans="1:16" x14ac:dyDescent="0.25">
      <c r="A77" s="28">
        <v>42551</v>
      </c>
      <c r="B77" s="17">
        <v>9.1092112097812495E-4</v>
      </c>
      <c r="C77">
        <v>15.63</v>
      </c>
      <c r="D77">
        <v>2</v>
      </c>
      <c r="E77" t="str">
        <f t="shared" si="1"/>
        <v>Green</v>
      </c>
      <c r="F77">
        <v>2</v>
      </c>
      <c r="G77">
        <v>2</v>
      </c>
    </row>
    <row r="78" spans="1:16" x14ac:dyDescent="0.25">
      <c r="A78" s="28">
        <v>42521</v>
      </c>
      <c r="B78" s="17">
        <v>1.53246023575726E-2</v>
      </c>
      <c r="C78">
        <v>14.19</v>
      </c>
      <c r="D78">
        <v>2</v>
      </c>
      <c r="E78" t="str">
        <f t="shared" si="1"/>
        <v>Green</v>
      </c>
      <c r="F78">
        <v>5</v>
      </c>
      <c r="G78">
        <v>3</v>
      </c>
    </row>
    <row r="79" spans="1:16" x14ac:dyDescent="0.25">
      <c r="A79" s="28">
        <v>42489</v>
      </c>
      <c r="B79" s="17">
        <v>2.6993984808731902E-3</v>
      </c>
      <c r="C79">
        <v>15.7</v>
      </c>
      <c r="D79">
        <v>2</v>
      </c>
      <c r="E79" t="str">
        <f t="shared" si="1"/>
        <v>Green</v>
      </c>
      <c r="F79">
        <v>4</v>
      </c>
      <c r="G79">
        <v>3</v>
      </c>
    </row>
    <row r="80" spans="1:16" x14ac:dyDescent="0.25">
      <c r="A80" s="28">
        <v>42460</v>
      </c>
      <c r="B80" s="17">
        <v>6.5991114577365104E-2</v>
      </c>
      <c r="C80">
        <v>13.95</v>
      </c>
      <c r="D80">
        <v>2</v>
      </c>
      <c r="E80" t="str">
        <f t="shared" si="1"/>
        <v>Green</v>
      </c>
      <c r="F80">
        <v>10</v>
      </c>
      <c r="G80">
        <v>1</v>
      </c>
    </row>
    <row r="81" spans="1:7" x14ac:dyDescent="0.25">
      <c r="A81" s="28">
        <v>42429</v>
      </c>
      <c r="B81" s="17">
        <v>-4.12836043029907E-3</v>
      </c>
      <c r="C81">
        <v>20.549999</v>
      </c>
      <c r="D81">
        <v>3</v>
      </c>
      <c r="E81" t="str">
        <f t="shared" si="1"/>
        <v>Red</v>
      </c>
      <c r="F81">
        <v>6</v>
      </c>
      <c r="G81">
        <v>2</v>
      </c>
    </row>
    <row r="82" spans="1:7" x14ac:dyDescent="0.25">
      <c r="A82" s="28">
        <v>42398</v>
      </c>
      <c r="B82" s="17">
        <v>-5.0735321972946397E-2</v>
      </c>
      <c r="C82">
        <v>20.200001</v>
      </c>
      <c r="D82">
        <v>3</v>
      </c>
      <c r="E82" t="str">
        <f t="shared" si="1"/>
        <v>Red</v>
      </c>
      <c r="F82">
        <v>1</v>
      </c>
      <c r="G82">
        <v>1</v>
      </c>
    </row>
    <row r="83" spans="1:7" x14ac:dyDescent="0.25">
      <c r="A83" s="28">
        <v>42369</v>
      </c>
      <c r="B83" s="17">
        <v>-1.7530185176314401E-2</v>
      </c>
      <c r="C83">
        <v>18.209999</v>
      </c>
      <c r="D83">
        <v>3</v>
      </c>
      <c r="E83" t="str">
        <f t="shared" si="1"/>
        <v>Red</v>
      </c>
      <c r="F83">
        <v>4</v>
      </c>
      <c r="G83">
        <v>1</v>
      </c>
    </row>
    <row r="84" spans="1:7" x14ac:dyDescent="0.25">
      <c r="A84" s="28">
        <v>42338</v>
      </c>
      <c r="B84" s="17">
        <v>5.0486926072412796E-4</v>
      </c>
      <c r="C84">
        <v>16.129999000000002</v>
      </c>
      <c r="D84">
        <v>2</v>
      </c>
      <c r="E84" t="str">
        <f t="shared" si="1"/>
        <v>Green</v>
      </c>
      <c r="F84">
        <v>2</v>
      </c>
      <c r="G84">
        <v>1</v>
      </c>
    </row>
    <row r="85" spans="1:7" x14ac:dyDescent="0.25">
      <c r="A85" s="28">
        <v>42307</v>
      </c>
      <c r="B85" s="17">
        <v>8.2983117760394104E-2</v>
      </c>
      <c r="C85">
        <v>15.07</v>
      </c>
      <c r="D85">
        <v>2</v>
      </c>
      <c r="E85" t="str">
        <f t="shared" si="1"/>
        <v>Green</v>
      </c>
      <c r="F85">
        <v>4</v>
      </c>
      <c r="G85">
        <v>1</v>
      </c>
    </row>
    <row r="86" spans="1:7" x14ac:dyDescent="0.25">
      <c r="A86" s="28">
        <v>42277</v>
      </c>
      <c r="B86" s="17">
        <v>-2.6442831573227101E-2</v>
      </c>
      <c r="C86">
        <v>24.5</v>
      </c>
      <c r="D86">
        <v>4</v>
      </c>
      <c r="E86" t="str">
        <f t="shared" si="1"/>
        <v>Red</v>
      </c>
      <c r="F86">
        <v>5</v>
      </c>
      <c r="G86">
        <v>3</v>
      </c>
    </row>
    <row r="87" spans="1:7" x14ac:dyDescent="0.25">
      <c r="A87" s="28">
        <v>42247</v>
      </c>
      <c r="B87" s="17">
        <v>-6.2580818167202804E-2</v>
      </c>
      <c r="C87">
        <v>28.43</v>
      </c>
      <c r="D87">
        <v>4</v>
      </c>
      <c r="E87" t="str">
        <f t="shared" si="1"/>
        <v>Red</v>
      </c>
      <c r="F87">
        <v>2</v>
      </c>
      <c r="G87">
        <v>2</v>
      </c>
    </row>
    <row r="88" spans="1:7" x14ac:dyDescent="0.25">
      <c r="A88" s="28">
        <v>42216</v>
      </c>
      <c r="B88" s="17">
        <v>1.9742029696721501E-2</v>
      </c>
      <c r="C88">
        <v>12.12</v>
      </c>
      <c r="D88">
        <v>1</v>
      </c>
      <c r="E88" t="str">
        <f t="shared" si="1"/>
        <v>Green</v>
      </c>
      <c r="F88">
        <v>7</v>
      </c>
      <c r="G88">
        <v>1</v>
      </c>
    </row>
    <row r="89" spans="1:7" x14ac:dyDescent="0.25">
      <c r="A89" s="28">
        <v>42185</v>
      </c>
      <c r="B89" s="17">
        <v>-2.10116723759005E-2</v>
      </c>
      <c r="C89">
        <v>18.23</v>
      </c>
      <c r="D89">
        <v>3</v>
      </c>
      <c r="E89" t="str">
        <f t="shared" si="1"/>
        <v>Red</v>
      </c>
      <c r="F89">
        <v>1</v>
      </c>
      <c r="G89">
        <v>1</v>
      </c>
    </row>
    <row r="90" spans="1:7" x14ac:dyDescent="0.25">
      <c r="A90" s="28">
        <v>42153</v>
      </c>
      <c r="B90" s="17">
        <v>1.04913823933168E-2</v>
      </c>
      <c r="C90">
        <v>13.84</v>
      </c>
      <c r="D90">
        <v>2</v>
      </c>
      <c r="E90" t="str">
        <f t="shared" si="1"/>
        <v>Green</v>
      </c>
      <c r="F90">
        <v>1</v>
      </c>
      <c r="G90">
        <v>1</v>
      </c>
    </row>
    <row r="91" spans="1:7" x14ac:dyDescent="0.25">
      <c r="A91" s="28">
        <v>42124</v>
      </c>
      <c r="B91" s="17">
        <v>8.5208197301247495E-3</v>
      </c>
      <c r="C91">
        <v>14.55</v>
      </c>
      <c r="D91">
        <v>2</v>
      </c>
      <c r="E91" t="str">
        <f t="shared" si="1"/>
        <v>Green</v>
      </c>
      <c r="F91">
        <v>1</v>
      </c>
      <c r="G91">
        <v>2</v>
      </c>
    </row>
    <row r="92" spans="1:7" x14ac:dyDescent="0.25">
      <c r="A92" s="28">
        <v>42094</v>
      </c>
      <c r="B92" s="17">
        <v>-1.7396106913756301E-2</v>
      </c>
      <c r="C92">
        <v>15.29</v>
      </c>
      <c r="D92">
        <v>2</v>
      </c>
      <c r="E92" t="str">
        <f t="shared" si="1"/>
        <v>Red</v>
      </c>
      <c r="F92">
        <v>1</v>
      </c>
      <c r="G92">
        <v>1</v>
      </c>
    </row>
    <row r="93" spans="1:7" x14ac:dyDescent="0.25">
      <c r="A93" s="28">
        <v>42062</v>
      </c>
      <c r="B93" s="17">
        <v>5.4892511014553898E-2</v>
      </c>
      <c r="C93">
        <v>13.34</v>
      </c>
      <c r="D93">
        <v>1</v>
      </c>
      <c r="E93" t="str">
        <f t="shared" si="1"/>
        <v>Green</v>
      </c>
      <c r="F93">
        <v>1</v>
      </c>
      <c r="G93">
        <v>1</v>
      </c>
    </row>
    <row r="94" spans="1:7" x14ac:dyDescent="0.25">
      <c r="A94" s="28">
        <v>42034</v>
      </c>
      <c r="B94" s="17">
        <v>-3.1040805790470201E-2</v>
      </c>
      <c r="C94">
        <v>20.969999000000001</v>
      </c>
      <c r="D94">
        <v>3</v>
      </c>
      <c r="E94" t="str">
        <f t="shared" si="1"/>
        <v>Red</v>
      </c>
    </row>
    <row r="95" spans="1:7" x14ac:dyDescent="0.25">
      <c r="A95" s="28">
        <v>42004</v>
      </c>
      <c r="B95" s="17">
        <v>-4.1885878779204201E-3</v>
      </c>
      <c r="C95">
        <v>19.200001</v>
      </c>
      <c r="D95">
        <v>3</v>
      </c>
      <c r="E95" t="str">
        <f t="shared" si="1"/>
        <v>Red</v>
      </c>
    </row>
    <row r="96" spans="1:7" x14ac:dyDescent="0.25">
      <c r="A96" s="28">
        <v>41971</v>
      </c>
      <c r="B96" s="17">
        <v>2.4533588760364801E-2</v>
      </c>
      <c r="C96">
        <v>13.33</v>
      </c>
      <c r="D96">
        <v>1</v>
      </c>
      <c r="E96" t="str">
        <f t="shared" si="1"/>
        <v>Green</v>
      </c>
    </row>
    <row r="97" spans="1:5" x14ac:dyDescent="0.25">
      <c r="A97" s="28">
        <v>41943</v>
      </c>
      <c r="B97" s="17">
        <v>2.32014607867723E-2</v>
      </c>
      <c r="C97">
        <v>14.03</v>
      </c>
      <c r="D97">
        <v>2</v>
      </c>
      <c r="E97" t="str">
        <f t="shared" si="1"/>
        <v>Green</v>
      </c>
    </row>
    <row r="98" spans="1:5" x14ac:dyDescent="0.25">
      <c r="A98" s="28">
        <v>41912</v>
      </c>
      <c r="B98" s="17">
        <v>-1.5513837223063799E-2</v>
      </c>
      <c r="C98">
        <v>16.309999000000001</v>
      </c>
      <c r="D98">
        <v>2</v>
      </c>
      <c r="E98" t="str">
        <f t="shared" si="1"/>
        <v>Red</v>
      </c>
    </row>
    <row r="99" spans="1:5" x14ac:dyDescent="0.25">
      <c r="A99" s="28">
        <v>41880</v>
      </c>
      <c r="B99" s="17">
        <v>3.7655295489735098E-2</v>
      </c>
      <c r="C99">
        <v>12.09</v>
      </c>
      <c r="D99">
        <v>1</v>
      </c>
      <c r="E99" t="str">
        <f t="shared" si="1"/>
        <v>Green</v>
      </c>
    </row>
    <row r="100" spans="1:5" x14ac:dyDescent="0.25">
      <c r="A100" s="28">
        <v>41851</v>
      </c>
      <c r="B100" s="17">
        <v>-1.50798305819199E-2</v>
      </c>
      <c r="C100">
        <v>16.950001</v>
      </c>
      <c r="D100">
        <v>2</v>
      </c>
      <c r="E100" t="str">
        <f t="shared" si="1"/>
        <v>Red</v>
      </c>
    </row>
    <row r="101" spans="1:5" x14ac:dyDescent="0.25">
      <c r="A101" s="28">
        <v>41820</v>
      </c>
      <c r="B101" s="17">
        <v>1.90583316589206E-2</v>
      </c>
      <c r="C101">
        <v>11.57</v>
      </c>
      <c r="D101">
        <v>1</v>
      </c>
      <c r="E101" t="str">
        <f t="shared" si="1"/>
        <v>Green</v>
      </c>
    </row>
    <row r="102" spans="1:5" x14ac:dyDescent="0.25">
      <c r="A102" s="28">
        <v>41789</v>
      </c>
      <c r="B102" s="17">
        <v>2.1030280012995999E-2</v>
      </c>
      <c r="C102">
        <v>11.4</v>
      </c>
      <c r="D102">
        <v>1</v>
      </c>
      <c r="E102" t="str">
        <f t="shared" si="1"/>
        <v>Green</v>
      </c>
    </row>
    <row r="103" spans="1:5" x14ac:dyDescent="0.25">
      <c r="A103" s="28">
        <v>41759</v>
      </c>
      <c r="B103" s="17">
        <v>6.2007889650528298E-3</v>
      </c>
      <c r="C103">
        <v>13.41</v>
      </c>
      <c r="D103">
        <v>1</v>
      </c>
      <c r="E103" t="str">
        <f t="shared" si="1"/>
        <v>Green</v>
      </c>
    </row>
    <row r="104" spans="1:5" x14ac:dyDescent="0.25">
      <c r="A104" s="28">
        <v>41729</v>
      </c>
      <c r="B104" s="17">
        <v>6.93216560793575E-3</v>
      </c>
      <c r="C104">
        <v>13.88</v>
      </c>
      <c r="D104">
        <v>2</v>
      </c>
      <c r="E104" t="str">
        <f t="shared" si="1"/>
        <v>Green</v>
      </c>
    </row>
    <row r="105" spans="1:5" x14ac:dyDescent="0.25">
      <c r="A105" s="28">
        <v>41698</v>
      </c>
      <c r="B105" s="17">
        <v>4.3117029976595299E-2</v>
      </c>
      <c r="C105">
        <v>14</v>
      </c>
      <c r="D105">
        <v>2</v>
      </c>
      <c r="E105" t="str">
        <f t="shared" si="1"/>
        <v>Green</v>
      </c>
    </row>
    <row r="106" spans="1:5" x14ac:dyDescent="0.25">
      <c r="A106" s="28">
        <v>41670</v>
      </c>
      <c r="B106" s="17">
        <v>-3.5582905675162597E-2</v>
      </c>
      <c r="C106">
        <v>18.41</v>
      </c>
      <c r="D106">
        <v>3</v>
      </c>
      <c r="E106" t="str">
        <f t="shared" si="1"/>
        <v>Red</v>
      </c>
    </row>
    <row r="107" spans="1:5" x14ac:dyDescent="0.25">
      <c r="A107" s="28">
        <v>41639</v>
      </c>
      <c r="B107" s="17">
        <v>2.35627915504928E-2</v>
      </c>
      <c r="C107">
        <v>13.72</v>
      </c>
      <c r="D107">
        <v>1</v>
      </c>
      <c r="E107" t="str">
        <f t="shared" si="1"/>
        <v>Green</v>
      </c>
    </row>
    <row r="108" spans="1:5" x14ac:dyDescent="0.25">
      <c r="A108" s="28">
        <v>41607</v>
      </c>
      <c r="B108" s="17">
        <v>2.80494716351865E-2</v>
      </c>
      <c r="C108">
        <v>13.7</v>
      </c>
      <c r="D108">
        <v>1</v>
      </c>
      <c r="E108" t="str">
        <f t="shared" si="1"/>
        <v>Green</v>
      </c>
    </row>
    <row r="109" spans="1:5" x14ac:dyDescent="0.25">
      <c r="A109" s="28">
        <v>41578</v>
      </c>
      <c r="B109" s="17">
        <v>4.45957526180061E-2</v>
      </c>
      <c r="C109">
        <v>13.75</v>
      </c>
      <c r="D109">
        <v>1</v>
      </c>
      <c r="E109" t="str">
        <f t="shared" si="1"/>
        <v>Green</v>
      </c>
    </row>
    <row r="110" spans="1:5" x14ac:dyDescent="0.25">
      <c r="A110" s="28">
        <v>41547</v>
      </c>
      <c r="B110" s="17">
        <v>2.9749523177239098E-2</v>
      </c>
      <c r="C110">
        <v>16.600000000000001</v>
      </c>
      <c r="D110">
        <v>2</v>
      </c>
      <c r="E110" t="str">
        <f t="shared" si="1"/>
        <v>Green</v>
      </c>
    </row>
    <row r="111" spans="1:5" x14ac:dyDescent="0.25">
      <c r="A111" s="28">
        <v>41516</v>
      </c>
      <c r="B111" s="17">
        <v>-3.1298019033866899E-2</v>
      </c>
      <c r="C111">
        <v>17.010000000000002</v>
      </c>
      <c r="D111">
        <v>2</v>
      </c>
      <c r="E111" t="str">
        <f t="shared" si="1"/>
        <v>Red</v>
      </c>
    </row>
    <row r="112" spans="1:5" x14ac:dyDescent="0.25">
      <c r="A112" s="28">
        <v>41486</v>
      </c>
      <c r="B112" s="17">
        <v>4.9462079815224998E-2</v>
      </c>
      <c r="C112">
        <v>13.45</v>
      </c>
      <c r="D112">
        <v>1</v>
      </c>
      <c r="E112" t="str">
        <f t="shared" si="1"/>
        <v>Green</v>
      </c>
    </row>
    <row r="113" spans="1:5" x14ac:dyDescent="0.25">
      <c r="A113" s="28">
        <v>41453</v>
      </c>
      <c r="B113" s="17">
        <v>-1.4999301636062799E-2</v>
      </c>
      <c r="C113">
        <v>16.860001</v>
      </c>
      <c r="D113">
        <v>2</v>
      </c>
      <c r="E113" t="str">
        <f t="shared" si="1"/>
        <v>Red</v>
      </c>
    </row>
    <row r="114" spans="1:5" x14ac:dyDescent="0.25">
      <c r="A114" s="28">
        <v>41425</v>
      </c>
      <c r="B114" s="17">
        <v>2.07628117210461E-2</v>
      </c>
      <c r="C114">
        <v>16.299999</v>
      </c>
      <c r="D114">
        <v>2</v>
      </c>
      <c r="E114" t="str">
        <f t="shared" si="1"/>
        <v>Green</v>
      </c>
    </row>
    <row r="115" spans="1:5" x14ac:dyDescent="0.25">
      <c r="A115" s="28">
        <v>41394</v>
      </c>
      <c r="B115" s="17">
        <v>1.80857678592523E-2</v>
      </c>
      <c r="C115">
        <v>13.52</v>
      </c>
      <c r="D115">
        <v>1</v>
      </c>
      <c r="E115" t="str">
        <f t="shared" si="1"/>
        <v>Green</v>
      </c>
    </row>
    <row r="116" spans="1:5" x14ac:dyDescent="0.25">
      <c r="A116" s="28">
        <v>41361</v>
      </c>
      <c r="B116" s="17">
        <v>3.5987723516956102E-2</v>
      </c>
      <c r="C116">
        <v>12.7</v>
      </c>
      <c r="D116">
        <v>1</v>
      </c>
      <c r="E116" t="str">
        <f t="shared" si="1"/>
        <v>Green</v>
      </c>
    </row>
    <row r="117" spans="1:5" x14ac:dyDescent="0.25">
      <c r="A117" s="28">
        <v>41333</v>
      </c>
      <c r="B117" s="17">
        <v>1.10606491952592E-2</v>
      </c>
      <c r="C117">
        <v>15.51</v>
      </c>
      <c r="D117">
        <v>2</v>
      </c>
      <c r="E117" t="str">
        <f t="shared" si="1"/>
        <v>Green</v>
      </c>
    </row>
    <row r="118" spans="1:5" x14ac:dyDescent="0.25">
      <c r="A118" s="28">
        <v>41305</v>
      </c>
      <c r="B118" s="17">
        <v>5.0428096519578497E-2</v>
      </c>
      <c r="C118">
        <v>14.28</v>
      </c>
      <c r="D118">
        <v>2</v>
      </c>
      <c r="E118" t="str">
        <f t="shared" si="1"/>
        <v>Green</v>
      </c>
    </row>
    <row r="119" spans="1:5" x14ac:dyDescent="0.25">
      <c r="A119" s="28">
        <v>41274</v>
      </c>
      <c r="B119" s="17">
        <v>7.0682304638645102E-3</v>
      </c>
      <c r="C119">
        <v>18.02</v>
      </c>
      <c r="D119">
        <v>2</v>
      </c>
      <c r="E119" t="str">
        <f t="shared" si="1"/>
        <v>Green</v>
      </c>
    </row>
    <row r="120" spans="1:5" x14ac:dyDescent="0.25">
      <c r="A120" s="28">
        <v>41243</v>
      </c>
      <c r="B120" s="17">
        <v>2.8467170173434001E-3</v>
      </c>
      <c r="C120">
        <v>15.87</v>
      </c>
      <c r="D120">
        <v>2</v>
      </c>
      <c r="E120" t="str">
        <f t="shared" si="1"/>
        <v>Green</v>
      </c>
    </row>
    <row r="121" spans="1:5" x14ac:dyDescent="0.25">
      <c r="A121" s="28">
        <v>41213</v>
      </c>
      <c r="B121" s="17">
        <v>-1.9789409878227401E-2</v>
      </c>
      <c r="C121">
        <v>18.600000000000001</v>
      </c>
      <c r="D121">
        <v>3</v>
      </c>
      <c r="E121" t="str">
        <f t="shared" si="1"/>
        <v>Red</v>
      </c>
    </row>
    <row r="122" spans="1:5" x14ac:dyDescent="0.25">
      <c r="A122" s="28">
        <v>41180</v>
      </c>
      <c r="B122" s="17">
        <v>2.4236153696477001E-2</v>
      </c>
      <c r="C122">
        <v>15.73</v>
      </c>
      <c r="D122">
        <v>2</v>
      </c>
      <c r="E122" t="str">
        <f t="shared" si="1"/>
        <v>Green</v>
      </c>
    </row>
    <row r="123" spans="1:5" x14ac:dyDescent="0.25">
      <c r="A123" s="28">
        <v>41152</v>
      </c>
      <c r="B123" s="17">
        <v>1.9763369680148201E-2</v>
      </c>
      <c r="C123">
        <v>17.469999000000001</v>
      </c>
      <c r="D123">
        <v>2</v>
      </c>
      <c r="E123" t="str">
        <f t="shared" si="1"/>
        <v>Green</v>
      </c>
    </row>
    <row r="124" spans="1:5" x14ac:dyDescent="0.25">
      <c r="A124" s="28">
        <v>41121</v>
      </c>
      <c r="B124" s="17">
        <v>1.25975741261544E-2</v>
      </c>
      <c r="C124">
        <v>18.93</v>
      </c>
      <c r="D124">
        <v>3</v>
      </c>
      <c r="E124" t="str">
        <f t="shared" si="1"/>
        <v>Green</v>
      </c>
    </row>
    <row r="125" spans="1:5" x14ac:dyDescent="0.25">
      <c r="A125" s="28">
        <v>41089</v>
      </c>
      <c r="B125" s="17">
        <v>3.95549821345915E-2</v>
      </c>
      <c r="C125">
        <v>17.079999999999998</v>
      </c>
      <c r="D125">
        <v>2</v>
      </c>
      <c r="E125" t="str">
        <f t="shared" si="1"/>
        <v>Green</v>
      </c>
    </row>
    <row r="126" spans="1:5" x14ac:dyDescent="0.25">
      <c r="A126" s="28">
        <v>41060</v>
      </c>
      <c r="B126" s="17">
        <v>-6.2650725633177598E-2</v>
      </c>
      <c r="C126">
        <v>24.059999000000001</v>
      </c>
      <c r="D126">
        <v>4</v>
      </c>
      <c r="E126" t="str">
        <f t="shared" si="1"/>
        <v>Red</v>
      </c>
    </row>
    <row r="127" spans="1:5" x14ac:dyDescent="0.25">
      <c r="A127" s="28">
        <v>41029</v>
      </c>
      <c r="B127" s="17">
        <v>-7.4974527092703802E-3</v>
      </c>
      <c r="C127">
        <v>17.149999999999999</v>
      </c>
      <c r="D127">
        <v>2</v>
      </c>
      <c r="E127" t="str">
        <f t="shared" si="1"/>
        <v>Red</v>
      </c>
    </row>
    <row r="128" spans="1:5" x14ac:dyDescent="0.25">
      <c r="A128" s="28">
        <v>40998</v>
      </c>
      <c r="B128" s="17">
        <v>3.1332314530530599E-2</v>
      </c>
      <c r="C128">
        <v>15.5</v>
      </c>
      <c r="D128">
        <v>2</v>
      </c>
      <c r="E128" t="str">
        <f t="shared" si="1"/>
        <v>Green</v>
      </c>
    </row>
    <row r="129" spans="1:5" x14ac:dyDescent="0.25">
      <c r="A129" s="28">
        <v>40968</v>
      </c>
      <c r="B129" s="17">
        <v>4.0589464130841697E-2</v>
      </c>
      <c r="C129">
        <v>18.43</v>
      </c>
      <c r="D129">
        <v>3</v>
      </c>
      <c r="E129" t="str">
        <f t="shared" si="1"/>
        <v>Green</v>
      </c>
    </row>
    <row r="130" spans="1:5" x14ac:dyDescent="0.25">
      <c r="A130" s="28">
        <v>40939</v>
      </c>
      <c r="B130" s="17">
        <v>4.3583062218506302E-2</v>
      </c>
      <c r="C130">
        <v>19.440000999999999</v>
      </c>
      <c r="D130">
        <v>3</v>
      </c>
      <c r="E130" t="str">
        <f t="shared" ref="E130:E193" si="2">IF(B130&gt;0,"Green","Red")</f>
        <v>Green</v>
      </c>
    </row>
    <row r="131" spans="1:5" x14ac:dyDescent="0.25">
      <c r="A131" s="28">
        <v>40907</v>
      </c>
      <c r="B131" s="17">
        <v>8.5327639481440603E-3</v>
      </c>
      <c r="C131">
        <v>23.4</v>
      </c>
      <c r="D131">
        <v>3</v>
      </c>
      <c r="E131" t="str">
        <f t="shared" si="2"/>
        <v>Green</v>
      </c>
    </row>
    <row r="132" spans="1:5" x14ac:dyDescent="0.25">
      <c r="A132" s="28">
        <v>40877</v>
      </c>
      <c r="B132" s="17">
        <v>-5.0587151935872496E-3</v>
      </c>
      <c r="C132">
        <v>27.799999</v>
      </c>
      <c r="D132">
        <v>4</v>
      </c>
      <c r="E132" t="str">
        <f t="shared" si="2"/>
        <v>Red</v>
      </c>
    </row>
    <row r="133" spans="1:5" x14ac:dyDescent="0.25">
      <c r="A133" s="28">
        <v>40847</v>
      </c>
      <c r="B133" s="17">
        <v>0.10772303853581</v>
      </c>
      <c r="C133">
        <v>29.959999</v>
      </c>
      <c r="D133">
        <v>4</v>
      </c>
      <c r="E133" t="str">
        <f t="shared" si="2"/>
        <v>Green</v>
      </c>
    </row>
    <row r="134" spans="1:5" x14ac:dyDescent="0.25">
      <c r="A134" s="28">
        <v>40816</v>
      </c>
      <c r="B134" s="17">
        <v>-7.1761988303760099E-2</v>
      </c>
      <c r="C134">
        <v>42.959999000000003</v>
      </c>
      <c r="D134">
        <v>4</v>
      </c>
      <c r="E134" t="str">
        <f t="shared" si="2"/>
        <v>Red</v>
      </c>
    </row>
    <row r="135" spans="1:5" x14ac:dyDescent="0.25">
      <c r="A135" s="28">
        <v>40786</v>
      </c>
      <c r="B135" s="17">
        <v>-5.6791107463597598E-2</v>
      </c>
      <c r="C135">
        <v>31.620000999999998</v>
      </c>
      <c r="D135">
        <v>4</v>
      </c>
      <c r="E135" t="str">
        <f t="shared" si="2"/>
        <v>Red</v>
      </c>
    </row>
    <row r="136" spans="1:5" x14ac:dyDescent="0.25">
      <c r="A136" s="28">
        <v>40753</v>
      </c>
      <c r="B136" s="17">
        <v>-2.1474425791951999E-2</v>
      </c>
      <c r="C136">
        <v>25.25</v>
      </c>
      <c r="D136">
        <v>4</v>
      </c>
      <c r="E136" t="str">
        <f t="shared" si="2"/>
        <v>Red</v>
      </c>
    </row>
    <row r="137" spans="1:5" x14ac:dyDescent="0.25">
      <c r="A137" s="28">
        <v>40724</v>
      </c>
      <c r="B137" s="17">
        <v>-1.8257461265697099E-2</v>
      </c>
      <c r="C137">
        <v>16.52</v>
      </c>
      <c r="D137">
        <v>2</v>
      </c>
      <c r="E137" t="str">
        <f t="shared" si="2"/>
        <v>Red</v>
      </c>
    </row>
    <row r="138" spans="1:5" x14ac:dyDescent="0.25">
      <c r="A138" s="28">
        <v>40694</v>
      </c>
      <c r="B138" s="17">
        <v>-1.3500952766930601E-2</v>
      </c>
      <c r="C138">
        <v>15.45</v>
      </c>
      <c r="D138">
        <v>2</v>
      </c>
      <c r="E138" t="str">
        <f t="shared" si="2"/>
        <v>Red</v>
      </c>
    </row>
    <row r="139" spans="1:5" x14ac:dyDescent="0.25">
      <c r="A139" s="28">
        <v>40662</v>
      </c>
      <c r="B139" s="17">
        <v>2.8495380443795099E-2</v>
      </c>
      <c r="C139">
        <v>14.75</v>
      </c>
      <c r="D139">
        <v>2</v>
      </c>
      <c r="E139" t="str">
        <f t="shared" si="2"/>
        <v>Green</v>
      </c>
    </row>
    <row r="140" spans="1:5" x14ac:dyDescent="0.25">
      <c r="A140" s="28">
        <v>40633</v>
      </c>
      <c r="B140" s="17">
        <v>-1.0473132038185699E-3</v>
      </c>
      <c r="C140">
        <v>17.739999999999998</v>
      </c>
      <c r="D140">
        <v>2</v>
      </c>
      <c r="E140" t="str">
        <f t="shared" si="2"/>
        <v>Red</v>
      </c>
    </row>
    <row r="141" spans="1:5" x14ac:dyDescent="0.25">
      <c r="A141" s="28">
        <v>40602</v>
      </c>
      <c r="B141" s="17">
        <v>3.1956564052952198E-2</v>
      </c>
      <c r="C141">
        <v>18.350000000000001</v>
      </c>
      <c r="D141">
        <v>3</v>
      </c>
      <c r="E141" t="str">
        <f t="shared" si="2"/>
        <v>Green</v>
      </c>
    </row>
    <row r="142" spans="1:5" x14ac:dyDescent="0.25">
      <c r="A142" s="28">
        <v>40574</v>
      </c>
      <c r="B142" s="17">
        <v>2.2645573980086799E-2</v>
      </c>
      <c r="C142">
        <v>19.530000999999999</v>
      </c>
      <c r="D142">
        <v>3</v>
      </c>
      <c r="E142" t="str">
        <f t="shared" si="2"/>
        <v>Green</v>
      </c>
    </row>
    <row r="143" spans="1:5" x14ac:dyDescent="0.25">
      <c r="A143" s="28">
        <v>40543</v>
      </c>
      <c r="B143" s="17">
        <v>6.5300040489854702E-2</v>
      </c>
      <c r="C143">
        <v>17.75</v>
      </c>
      <c r="D143">
        <v>2</v>
      </c>
      <c r="E143" t="str">
        <f t="shared" si="2"/>
        <v>Green</v>
      </c>
    </row>
    <row r="144" spans="1:5" x14ac:dyDescent="0.25">
      <c r="A144" s="28">
        <v>40512</v>
      </c>
      <c r="B144" s="17">
        <v>-2.29024979894321E-3</v>
      </c>
      <c r="C144">
        <v>23.540001</v>
      </c>
      <c r="D144">
        <v>3</v>
      </c>
      <c r="E144" t="str">
        <f t="shared" si="2"/>
        <v>Red</v>
      </c>
    </row>
    <row r="145" spans="1:5" x14ac:dyDescent="0.25">
      <c r="A145" s="28">
        <v>40480</v>
      </c>
      <c r="B145" s="17">
        <v>3.68559943970765E-2</v>
      </c>
      <c r="C145">
        <v>21.200001</v>
      </c>
      <c r="D145">
        <v>3</v>
      </c>
      <c r="E145" t="str">
        <f t="shared" si="2"/>
        <v>Green</v>
      </c>
    </row>
    <row r="146" spans="1:5" x14ac:dyDescent="0.25">
      <c r="A146" s="28">
        <v>40451</v>
      </c>
      <c r="B146" s="17">
        <v>8.7551102944020104E-2</v>
      </c>
      <c r="C146">
        <v>23.700001</v>
      </c>
      <c r="D146">
        <v>3</v>
      </c>
      <c r="E146" t="str">
        <f t="shared" si="2"/>
        <v>Green</v>
      </c>
    </row>
    <row r="147" spans="1:5" x14ac:dyDescent="0.25">
      <c r="A147" s="28">
        <v>40421</v>
      </c>
      <c r="B147" s="17">
        <v>-4.7449184040287203E-2</v>
      </c>
      <c r="C147">
        <v>26.049999</v>
      </c>
      <c r="D147">
        <v>4</v>
      </c>
      <c r="E147" t="str">
        <f t="shared" si="2"/>
        <v>Red</v>
      </c>
    </row>
    <row r="148" spans="1:5" x14ac:dyDescent="0.25">
      <c r="A148" s="28">
        <v>40389</v>
      </c>
      <c r="B148" s="17">
        <v>6.8777849911552294E-2</v>
      </c>
      <c r="C148">
        <v>23.5</v>
      </c>
      <c r="D148">
        <v>3</v>
      </c>
      <c r="E148" t="str">
        <f t="shared" si="2"/>
        <v>Green</v>
      </c>
    </row>
    <row r="149" spans="1:5" x14ac:dyDescent="0.25">
      <c r="A149" s="28">
        <v>40359</v>
      </c>
      <c r="B149" s="17">
        <v>-5.3882442026415102E-2</v>
      </c>
      <c r="C149">
        <v>34.540000999999997</v>
      </c>
      <c r="D149">
        <v>4</v>
      </c>
      <c r="E149" t="str">
        <f t="shared" si="2"/>
        <v>Red</v>
      </c>
    </row>
    <row r="150" spans="1:5" x14ac:dyDescent="0.25">
      <c r="A150" s="28">
        <v>40326</v>
      </c>
      <c r="B150" s="17">
        <v>-8.1975841910334496E-2</v>
      </c>
      <c r="C150">
        <v>32.07</v>
      </c>
      <c r="D150">
        <v>4</v>
      </c>
      <c r="E150" t="str">
        <f t="shared" si="2"/>
        <v>Red</v>
      </c>
    </row>
    <row r="151" spans="1:5" x14ac:dyDescent="0.25">
      <c r="A151" s="28">
        <v>40298</v>
      </c>
      <c r="B151" s="17">
        <v>1.47592298837911E-2</v>
      </c>
      <c r="C151">
        <v>22.049999</v>
      </c>
      <c r="D151">
        <v>3</v>
      </c>
      <c r="E151" t="str">
        <f t="shared" si="2"/>
        <v>Green</v>
      </c>
    </row>
    <row r="152" spans="1:5" x14ac:dyDescent="0.25">
      <c r="A152" s="28">
        <v>40268</v>
      </c>
      <c r="B152" s="17">
        <v>5.8796426031891801E-2</v>
      </c>
      <c r="C152">
        <v>17.59</v>
      </c>
      <c r="D152">
        <v>2</v>
      </c>
      <c r="E152" t="str">
        <f t="shared" si="2"/>
        <v>Green</v>
      </c>
    </row>
    <row r="153" spans="1:5" x14ac:dyDescent="0.25">
      <c r="A153" s="28">
        <v>40235</v>
      </c>
      <c r="B153" s="17">
        <v>2.8513688940531301E-2</v>
      </c>
      <c r="C153">
        <v>19.5</v>
      </c>
      <c r="D153">
        <v>3</v>
      </c>
      <c r="E153" t="str">
        <f t="shared" si="2"/>
        <v>Green</v>
      </c>
    </row>
    <row r="154" spans="1:5" x14ac:dyDescent="0.25">
      <c r="A154" s="28">
        <v>40207</v>
      </c>
      <c r="B154" s="17">
        <v>-3.6974246154947397E-2</v>
      </c>
      <c r="C154">
        <v>24.620000999999998</v>
      </c>
      <c r="D154">
        <v>4</v>
      </c>
      <c r="E154" t="str">
        <f t="shared" si="2"/>
        <v>Red</v>
      </c>
    </row>
    <row r="155" spans="1:5" x14ac:dyDescent="0.25">
      <c r="A155" s="28">
        <v>40178</v>
      </c>
      <c r="B155" s="17">
        <v>1.7770571188400398E-2</v>
      </c>
      <c r="C155">
        <v>21.68</v>
      </c>
      <c r="D155">
        <v>3</v>
      </c>
      <c r="E155" t="str">
        <f t="shared" si="2"/>
        <v>Green</v>
      </c>
    </row>
    <row r="156" spans="1:5" x14ac:dyDescent="0.25">
      <c r="A156" s="28">
        <v>40147</v>
      </c>
      <c r="B156" s="17">
        <v>5.7364061981373601E-2</v>
      </c>
      <c r="C156">
        <v>24.51</v>
      </c>
      <c r="D156">
        <v>4</v>
      </c>
      <c r="E156" t="str">
        <f t="shared" si="2"/>
        <v>Green</v>
      </c>
    </row>
    <row r="157" spans="1:5" x14ac:dyDescent="0.25">
      <c r="A157" s="28">
        <v>40116</v>
      </c>
      <c r="B157" s="17">
        <v>-1.9762000860415501E-2</v>
      </c>
      <c r="C157">
        <v>30.690000999999999</v>
      </c>
      <c r="D157">
        <v>4</v>
      </c>
      <c r="E157" t="str">
        <f t="shared" si="2"/>
        <v>Red</v>
      </c>
    </row>
    <row r="158" spans="1:5" x14ac:dyDescent="0.25">
      <c r="A158" s="28">
        <v>40086</v>
      </c>
      <c r="B158" s="17">
        <v>3.5723345788458698E-2</v>
      </c>
      <c r="C158">
        <v>25.610001</v>
      </c>
      <c r="D158">
        <v>4</v>
      </c>
      <c r="E158" t="str">
        <f t="shared" si="2"/>
        <v>Green</v>
      </c>
    </row>
    <row r="159" spans="1:5" x14ac:dyDescent="0.25">
      <c r="A159" s="28">
        <v>40056</v>
      </c>
      <c r="B159" s="17">
        <v>3.3560189240494899E-2</v>
      </c>
      <c r="C159">
        <v>26.01</v>
      </c>
      <c r="D159">
        <v>4</v>
      </c>
      <c r="E159" t="str">
        <f t="shared" si="2"/>
        <v>Green</v>
      </c>
    </row>
    <row r="160" spans="1:5" x14ac:dyDescent="0.25">
      <c r="A160" s="28">
        <v>40025</v>
      </c>
      <c r="B160" s="17">
        <v>7.4141727016716605E-2</v>
      </c>
      <c r="C160">
        <v>25.92</v>
      </c>
      <c r="D160">
        <v>4</v>
      </c>
      <c r="E160" t="str">
        <f t="shared" si="2"/>
        <v>Green</v>
      </c>
    </row>
    <row r="161" spans="1:5" x14ac:dyDescent="0.25">
      <c r="A161" s="28">
        <v>39994</v>
      </c>
      <c r="B161" s="17">
        <v>1.9582653030303401E-4</v>
      </c>
      <c r="C161">
        <v>26.35</v>
      </c>
      <c r="D161">
        <v>4</v>
      </c>
      <c r="E161" t="str">
        <f t="shared" si="2"/>
        <v>Green</v>
      </c>
    </row>
    <row r="162" spans="1:5" x14ac:dyDescent="0.25">
      <c r="A162" s="28">
        <v>39962</v>
      </c>
      <c r="B162" s="17">
        <v>5.3081446255385502E-2</v>
      </c>
      <c r="C162">
        <v>28.92</v>
      </c>
      <c r="D162">
        <v>4</v>
      </c>
      <c r="E162" t="str">
        <f t="shared" si="2"/>
        <v>Green</v>
      </c>
    </row>
    <row r="163" spans="1:5" x14ac:dyDescent="0.25">
      <c r="A163" s="28">
        <v>39933</v>
      </c>
      <c r="B163" s="17">
        <v>9.3925079862164695E-2</v>
      </c>
      <c r="C163">
        <v>36.5</v>
      </c>
      <c r="D163">
        <v>4</v>
      </c>
      <c r="E163" t="str">
        <f t="shared" si="2"/>
        <v>Green</v>
      </c>
    </row>
    <row r="164" spans="1:5" x14ac:dyDescent="0.25">
      <c r="A164" s="28">
        <v>39903</v>
      </c>
      <c r="B164" s="17">
        <v>8.5404461622494696E-2</v>
      </c>
      <c r="C164">
        <v>44.139999000000003</v>
      </c>
      <c r="D164">
        <v>4</v>
      </c>
      <c r="E164" t="str">
        <f t="shared" si="2"/>
        <v>Green</v>
      </c>
    </row>
    <row r="165" spans="1:5" x14ac:dyDescent="0.25">
      <c r="A165" s="28">
        <v>39871</v>
      </c>
      <c r="B165" s="17">
        <v>-0.109931197571492</v>
      </c>
      <c r="C165">
        <v>46.349997999999999</v>
      </c>
      <c r="D165">
        <v>4</v>
      </c>
      <c r="E165" t="str">
        <f t="shared" si="2"/>
        <v>Red</v>
      </c>
    </row>
    <row r="166" spans="1:5" x14ac:dyDescent="0.25">
      <c r="A166" s="28">
        <v>39843</v>
      </c>
      <c r="B166" s="17">
        <v>-8.5657342928314395E-2</v>
      </c>
      <c r="C166">
        <v>44.84</v>
      </c>
      <c r="D166">
        <v>4</v>
      </c>
      <c r="E166" t="str">
        <f t="shared" si="2"/>
        <v>Red</v>
      </c>
    </row>
    <row r="167" spans="1:5" x14ac:dyDescent="0.25">
      <c r="A167" s="28">
        <v>39813</v>
      </c>
      <c r="B167" s="17">
        <v>7.8215768970539799E-3</v>
      </c>
      <c r="C167">
        <v>40</v>
      </c>
      <c r="D167">
        <v>4</v>
      </c>
      <c r="E167" t="str">
        <f t="shared" si="2"/>
        <v>Green</v>
      </c>
    </row>
    <row r="168" spans="1:5" x14ac:dyDescent="0.25">
      <c r="A168" s="28">
        <v>39780</v>
      </c>
      <c r="B168" s="17">
        <v>-7.4849042580645203E-2</v>
      </c>
      <c r="C168">
        <v>55.279998999999997</v>
      </c>
      <c r="D168">
        <v>4</v>
      </c>
      <c r="E168" t="str">
        <f t="shared" si="2"/>
        <v>Red</v>
      </c>
    </row>
    <row r="169" spans="1:5" x14ac:dyDescent="0.25">
      <c r="A169" s="28">
        <v>39752</v>
      </c>
      <c r="B169" s="17">
        <v>-0.16942452376742001</v>
      </c>
      <c r="C169">
        <v>59.889999000000003</v>
      </c>
      <c r="D169">
        <v>4</v>
      </c>
      <c r="E169" t="str">
        <f t="shared" si="2"/>
        <v>Red</v>
      </c>
    </row>
    <row r="170" spans="1:5" x14ac:dyDescent="0.25">
      <c r="A170" s="28">
        <v>39721</v>
      </c>
      <c r="B170" s="17">
        <v>-9.0791433779084593E-2</v>
      </c>
      <c r="C170">
        <v>39.389999000000003</v>
      </c>
      <c r="D170">
        <v>4</v>
      </c>
      <c r="E170" t="str">
        <f t="shared" si="2"/>
        <v>Red</v>
      </c>
    </row>
    <row r="171" spans="1:5" x14ac:dyDescent="0.25">
      <c r="A171" s="28">
        <v>39689</v>
      </c>
      <c r="B171" s="17">
        <v>1.2190464532379999E-2</v>
      </c>
      <c r="C171">
        <v>20.65</v>
      </c>
      <c r="D171">
        <v>3</v>
      </c>
      <c r="E171" t="str">
        <f t="shared" si="2"/>
        <v>Green</v>
      </c>
    </row>
    <row r="172" spans="1:5" x14ac:dyDescent="0.25">
      <c r="A172" s="28">
        <v>39660</v>
      </c>
      <c r="B172" s="17">
        <v>-9.8593710937500099E-3</v>
      </c>
      <c r="C172">
        <v>22.940000999999999</v>
      </c>
      <c r="D172">
        <v>3</v>
      </c>
      <c r="E172" t="str">
        <f t="shared" si="2"/>
        <v>Red</v>
      </c>
    </row>
    <row r="173" spans="1:5" x14ac:dyDescent="0.25">
      <c r="A173" s="28">
        <v>39629</v>
      </c>
      <c r="B173" s="17">
        <v>-8.5962384902803599E-2</v>
      </c>
      <c r="C173">
        <v>23.950001</v>
      </c>
      <c r="D173">
        <v>4</v>
      </c>
      <c r="E173" t="str">
        <f t="shared" si="2"/>
        <v>Red</v>
      </c>
    </row>
    <row r="174" spans="1:5" x14ac:dyDescent="0.25">
      <c r="A174" s="28">
        <v>39598</v>
      </c>
      <c r="B174" s="17">
        <v>1.06741816575771E-2</v>
      </c>
      <c r="C174">
        <v>17.829999999999998</v>
      </c>
      <c r="D174">
        <v>2</v>
      </c>
      <c r="E174" t="str">
        <f t="shared" si="2"/>
        <v>Green</v>
      </c>
    </row>
    <row r="175" spans="1:5" x14ac:dyDescent="0.25">
      <c r="A175" s="28">
        <v>39568</v>
      </c>
      <c r="B175" s="17">
        <v>4.7546697913198897E-2</v>
      </c>
      <c r="C175">
        <v>20.790001</v>
      </c>
      <c r="D175">
        <v>3</v>
      </c>
      <c r="E175" t="str">
        <f t="shared" si="2"/>
        <v>Green</v>
      </c>
    </row>
    <row r="176" spans="1:5" x14ac:dyDescent="0.25">
      <c r="A176" s="28">
        <v>39538</v>
      </c>
      <c r="B176" s="17">
        <v>-5.95962361452984E-3</v>
      </c>
      <c r="C176">
        <v>25.610001</v>
      </c>
      <c r="D176">
        <v>4</v>
      </c>
      <c r="E176" t="str">
        <f t="shared" si="2"/>
        <v>Red</v>
      </c>
    </row>
    <row r="177" spans="1:5" x14ac:dyDescent="0.25">
      <c r="A177" s="28">
        <v>39507</v>
      </c>
      <c r="B177" s="17">
        <v>-3.4761192772624502E-2</v>
      </c>
      <c r="C177">
        <v>26.540001</v>
      </c>
      <c r="D177">
        <v>4</v>
      </c>
      <c r="E177" t="str">
        <f t="shared" si="2"/>
        <v>Red</v>
      </c>
    </row>
    <row r="178" spans="1:5" x14ac:dyDescent="0.25">
      <c r="A178" s="28">
        <v>39478</v>
      </c>
      <c r="B178" s="17">
        <v>-6.1163431935936402E-2</v>
      </c>
      <c r="C178">
        <v>26.200001</v>
      </c>
      <c r="D178">
        <v>4</v>
      </c>
      <c r="E178" t="str">
        <f t="shared" si="2"/>
        <v>Red</v>
      </c>
    </row>
    <row r="179" spans="1:5" x14ac:dyDescent="0.25">
      <c r="A179" s="28">
        <v>39447</v>
      </c>
      <c r="B179" s="17">
        <v>-8.6285090339686104E-3</v>
      </c>
      <c r="C179">
        <v>22.5</v>
      </c>
      <c r="D179">
        <v>3</v>
      </c>
      <c r="E179" t="str">
        <f t="shared" si="2"/>
        <v>Red</v>
      </c>
    </row>
    <row r="180" spans="1:5" x14ac:dyDescent="0.25">
      <c r="A180" s="28">
        <v>39416</v>
      </c>
      <c r="B180" s="17">
        <v>-4.4043417224814398E-2</v>
      </c>
      <c r="C180">
        <v>22.870000999999998</v>
      </c>
      <c r="D180">
        <v>3</v>
      </c>
      <c r="E180" t="str">
        <f t="shared" si="2"/>
        <v>Red</v>
      </c>
    </row>
    <row r="181" spans="1:5" x14ac:dyDescent="0.25">
      <c r="A181" s="28">
        <v>39386</v>
      </c>
      <c r="B181" s="17">
        <v>1.48223383003112E-2</v>
      </c>
      <c r="C181">
        <v>18.530000999999999</v>
      </c>
      <c r="D181">
        <v>3</v>
      </c>
      <c r="E181" t="str">
        <f t="shared" si="2"/>
        <v>Green</v>
      </c>
    </row>
    <row r="182" spans="1:5" x14ac:dyDescent="0.25">
      <c r="A182" s="28">
        <v>39353</v>
      </c>
      <c r="B182" s="17">
        <v>3.5794008343299502E-2</v>
      </c>
      <c r="C182">
        <v>18</v>
      </c>
      <c r="D182">
        <v>2</v>
      </c>
      <c r="E182" t="str">
        <f t="shared" si="2"/>
        <v>Green</v>
      </c>
    </row>
    <row r="183" spans="1:5" x14ac:dyDescent="0.25">
      <c r="A183" s="28">
        <v>39325</v>
      </c>
      <c r="B183" s="17">
        <v>1.2863571531556799E-2</v>
      </c>
      <c r="C183">
        <v>23.379999000000002</v>
      </c>
      <c r="D183">
        <v>3</v>
      </c>
      <c r="E183" t="str">
        <f t="shared" si="2"/>
        <v>Green</v>
      </c>
    </row>
    <row r="184" spans="1:5" x14ac:dyDescent="0.25">
      <c r="A184" s="28">
        <v>39294</v>
      </c>
      <c r="B184" s="17">
        <v>-3.1981878316802499E-2</v>
      </c>
      <c r="C184">
        <v>23.52</v>
      </c>
      <c r="D184">
        <v>3</v>
      </c>
      <c r="E184" t="str">
        <f t="shared" si="2"/>
        <v>Red</v>
      </c>
    </row>
    <row r="185" spans="1:5" x14ac:dyDescent="0.25">
      <c r="A185" s="28">
        <v>39262</v>
      </c>
      <c r="B185" s="17">
        <v>-1.7816322202167601E-2</v>
      </c>
      <c r="C185">
        <v>16.23</v>
      </c>
      <c r="D185">
        <v>2</v>
      </c>
      <c r="E185" t="str">
        <f t="shared" si="2"/>
        <v>Red</v>
      </c>
    </row>
    <row r="186" spans="1:5" x14ac:dyDescent="0.25">
      <c r="A186" s="28">
        <v>39233</v>
      </c>
      <c r="B186" s="17">
        <v>3.2549228709934902E-2</v>
      </c>
      <c r="C186">
        <v>13.05</v>
      </c>
      <c r="D186">
        <v>1</v>
      </c>
      <c r="E186" t="str">
        <f t="shared" si="2"/>
        <v>Green</v>
      </c>
    </row>
    <row r="187" spans="1:5" x14ac:dyDescent="0.25">
      <c r="A187" s="28">
        <v>39202</v>
      </c>
      <c r="B187" s="17">
        <v>4.3290690602424201E-2</v>
      </c>
      <c r="C187">
        <v>14.22</v>
      </c>
      <c r="D187">
        <v>2</v>
      </c>
      <c r="E187" t="str">
        <f t="shared" si="2"/>
        <v>Green</v>
      </c>
    </row>
    <row r="188" spans="1:5" x14ac:dyDescent="0.25">
      <c r="A188" s="28">
        <v>39171</v>
      </c>
      <c r="B188" s="17">
        <v>9.9799828968305491E-3</v>
      </c>
      <c r="C188">
        <v>14.64</v>
      </c>
      <c r="D188">
        <v>2</v>
      </c>
      <c r="E188" t="str">
        <f t="shared" si="2"/>
        <v>Green</v>
      </c>
    </row>
    <row r="189" spans="1:5" x14ac:dyDescent="0.25">
      <c r="A189" s="28">
        <v>39141</v>
      </c>
      <c r="B189" s="17">
        <v>-2.1846176033528199E-2</v>
      </c>
      <c r="C189">
        <v>15.42</v>
      </c>
      <c r="D189">
        <v>2</v>
      </c>
      <c r="E189" t="str">
        <f t="shared" si="2"/>
        <v>Red</v>
      </c>
    </row>
    <row r="190" spans="1:5" x14ac:dyDescent="0.25">
      <c r="A190" s="28">
        <v>39113</v>
      </c>
      <c r="B190" s="17">
        <v>1.4059042735039801E-2</v>
      </c>
      <c r="C190">
        <v>10.42</v>
      </c>
      <c r="D190">
        <v>1</v>
      </c>
      <c r="E190" t="str">
        <f t="shared" si="2"/>
        <v>Green</v>
      </c>
    </row>
    <row r="191" spans="1:5" x14ac:dyDescent="0.25">
      <c r="A191" s="28">
        <v>39080</v>
      </c>
      <c r="B191" s="17">
        <v>1.26157828526599E-2</v>
      </c>
      <c r="C191">
        <v>11.56</v>
      </c>
      <c r="D191">
        <v>1</v>
      </c>
      <c r="E191" t="str">
        <f t="shared" si="2"/>
        <v>Green</v>
      </c>
    </row>
    <row r="192" spans="1:5" x14ac:dyDescent="0.25">
      <c r="A192" s="28">
        <v>39051</v>
      </c>
      <c r="B192" s="17">
        <v>1.64666567278202E-2</v>
      </c>
      <c r="C192">
        <v>10.91</v>
      </c>
      <c r="D192">
        <v>1</v>
      </c>
      <c r="E192" t="str">
        <f t="shared" si="2"/>
        <v>Green</v>
      </c>
    </row>
    <row r="193" spans="1:8" x14ac:dyDescent="0.25">
      <c r="A193" s="28">
        <v>39021</v>
      </c>
      <c r="B193" s="17">
        <v>3.1508002961554198E-2</v>
      </c>
      <c r="C193">
        <v>11.1</v>
      </c>
      <c r="D193">
        <v>1</v>
      </c>
      <c r="E193" t="str">
        <f t="shared" si="2"/>
        <v>Green</v>
      </c>
    </row>
    <row r="194" spans="1:8" x14ac:dyDescent="0.25">
      <c r="A194" s="28">
        <v>38989</v>
      </c>
      <c r="B194" s="17">
        <v>2.45662985125095E-2</v>
      </c>
      <c r="C194">
        <v>11.98</v>
      </c>
      <c r="D194">
        <v>1</v>
      </c>
      <c r="E194" t="str">
        <f t="shared" ref="E194:E257" si="3">IF(B194&gt;0,"Green","Red")</f>
        <v>Green</v>
      </c>
    </row>
    <row r="195" spans="1:8" x14ac:dyDescent="0.25">
      <c r="A195" s="28">
        <v>38960</v>
      </c>
      <c r="B195" s="17">
        <v>2.12741930323481E-2</v>
      </c>
      <c r="C195">
        <v>12.31</v>
      </c>
      <c r="D195">
        <v>1</v>
      </c>
      <c r="E195" t="str">
        <f t="shared" si="3"/>
        <v>Green</v>
      </c>
    </row>
    <row r="196" spans="1:8" x14ac:dyDescent="0.25">
      <c r="A196" s="28">
        <v>38929</v>
      </c>
      <c r="B196" s="17">
        <v>5.0858787979908299E-3</v>
      </c>
      <c r="C196">
        <v>14.95</v>
      </c>
      <c r="D196">
        <v>2</v>
      </c>
      <c r="E196" t="str">
        <f t="shared" si="3"/>
        <v>Green</v>
      </c>
    </row>
    <row r="197" spans="1:8" x14ac:dyDescent="0.25">
      <c r="A197" s="28">
        <v>38898</v>
      </c>
      <c r="B197" s="17">
        <v>8.6596227782509403E-5</v>
      </c>
      <c r="C197">
        <v>13.08</v>
      </c>
      <c r="D197">
        <v>1</v>
      </c>
      <c r="E197" t="str">
        <f t="shared" si="3"/>
        <v>Green</v>
      </c>
    </row>
    <row r="198" spans="1:8" x14ac:dyDescent="0.25">
      <c r="A198" s="28">
        <v>38868</v>
      </c>
      <c r="B198" s="17">
        <v>-3.0916916141150899E-2</v>
      </c>
      <c r="C198">
        <v>16.440000999999999</v>
      </c>
      <c r="D198">
        <v>2</v>
      </c>
      <c r="E198" t="str">
        <f t="shared" si="3"/>
        <v>Red</v>
      </c>
    </row>
    <row r="199" spans="1:8" x14ac:dyDescent="0.25">
      <c r="A199" s="28">
        <v>38835</v>
      </c>
      <c r="B199" s="17">
        <v>1.21556527379414E-2</v>
      </c>
      <c r="C199">
        <v>11.59</v>
      </c>
      <c r="D199">
        <v>1</v>
      </c>
      <c r="E199" t="str">
        <f t="shared" si="3"/>
        <v>Green</v>
      </c>
      <c r="H199" s="22"/>
    </row>
    <row r="200" spans="1:8" x14ac:dyDescent="0.25">
      <c r="A200" s="28">
        <v>38807</v>
      </c>
      <c r="B200" s="17">
        <v>1.10958104592496E-2</v>
      </c>
      <c r="C200">
        <v>11.39</v>
      </c>
      <c r="D200">
        <v>1</v>
      </c>
      <c r="E200" t="str">
        <f t="shared" si="3"/>
        <v>Green</v>
      </c>
    </row>
    <row r="201" spans="1:8" x14ac:dyDescent="0.25">
      <c r="A201" s="28">
        <v>38776</v>
      </c>
      <c r="B201" s="17">
        <v>4.53157630725398E-4</v>
      </c>
      <c r="C201">
        <v>12.34</v>
      </c>
      <c r="D201">
        <v>1</v>
      </c>
      <c r="E201" t="str">
        <f t="shared" si="3"/>
        <v>Green</v>
      </c>
    </row>
    <row r="202" spans="1:8" x14ac:dyDescent="0.25">
      <c r="A202" s="28">
        <v>38748</v>
      </c>
      <c r="B202" s="17">
        <v>2.5466771348641601E-2</v>
      </c>
      <c r="C202">
        <v>12.95</v>
      </c>
      <c r="D202">
        <v>1</v>
      </c>
      <c r="E202" t="str">
        <f t="shared" si="3"/>
        <v>Green</v>
      </c>
    </row>
    <row r="203" spans="1:8" x14ac:dyDescent="0.25">
      <c r="A203" s="28">
        <v>38716</v>
      </c>
      <c r="B203" s="17">
        <v>-9.5234899241847205E-4</v>
      </c>
      <c r="C203">
        <v>12.07</v>
      </c>
      <c r="D203">
        <v>1</v>
      </c>
      <c r="E203" t="str">
        <f t="shared" si="3"/>
        <v>Red</v>
      </c>
    </row>
    <row r="204" spans="1:8" x14ac:dyDescent="0.25">
      <c r="A204" s="28">
        <v>38686</v>
      </c>
      <c r="B204" s="17">
        <v>3.5186095929726498E-2</v>
      </c>
      <c r="C204">
        <v>12.06</v>
      </c>
      <c r="D204">
        <v>1</v>
      </c>
      <c r="E204" t="str">
        <f t="shared" si="3"/>
        <v>Green</v>
      </c>
    </row>
    <row r="205" spans="1:8" x14ac:dyDescent="0.25">
      <c r="A205" s="28">
        <v>38656</v>
      </c>
      <c r="B205" s="17">
        <v>-1.7740780066319399E-2</v>
      </c>
      <c r="C205">
        <v>15.32</v>
      </c>
      <c r="D205">
        <v>2</v>
      </c>
      <c r="E205" t="str">
        <f t="shared" si="3"/>
        <v>Red</v>
      </c>
    </row>
    <row r="206" spans="1:8" x14ac:dyDescent="0.25">
      <c r="A206" s="28">
        <v>38625</v>
      </c>
      <c r="B206" s="17">
        <v>6.9490246947603298E-3</v>
      </c>
      <c r="C206">
        <v>11.92</v>
      </c>
      <c r="D206">
        <v>1</v>
      </c>
      <c r="E206" t="str">
        <f t="shared" si="3"/>
        <v>Green</v>
      </c>
    </row>
    <row r="207" spans="1:8" x14ac:dyDescent="0.25">
      <c r="A207" s="28">
        <v>38595</v>
      </c>
      <c r="B207" s="17">
        <v>-1.12221048744966E-2</v>
      </c>
      <c r="C207">
        <v>12.6</v>
      </c>
      <c r="D207">
        <v>1</v>
      </c>
      <c r="E207" t="str">
        <f t="shared" si="3"/>
        <v>Red</v>
      </c>
    </row>
    <row r="208" spans="1:8" x14ac:dyDescent="0.25">
      <c r="A208" s="28">
        <v>38562</v>
      </c>
      <c r="B208" s="17">
        <v>3.5968287193812301E-2</v>
      </c>
      <c r="C208">
        <v>11.57</v>
      </c>
      <c r="D208">
        <v>1</v>
      </c>
      <c r="E208" t="str">
        <f t="shared" si="3"/>
        <v>Green</v>
      </c>
    </row>
    <row r="209" spans="1:5" x14ac:dyDescent="0.25">
      <c r="A209" s="28">
        <v>38533</v>
      </c>
      <c r="B209" s="17">
        <v>-1.42714225765839E-4</v>
      </c>
      <c r="C209">
        <v>12.04</v>
      </c>
      <c r="D209">
        <v>1</v>
      </c>
      <c r="E209" t="str">
        <f t="shared" si="3"/>
        <v>Red</v>
      </c>
    </row>
    <row r="210" spans="1:5" x14ac:dyDescent="0.25">
      <c r="A210" s="28">
        <v>38503</v>
      </c>
      <c r="B210" s="17">
        <v>2.9952046262565798E-2</v>
      </c>
      <c r="C210">
        <v>13.29</v>
      </c>
      <c r="D210">
        <v>1</v>
      </c>
      <c r="E210" t="str">
        <f t="shared" si="3"/>
        <v>Green</v>
      </c>
    </row>
    <row r="211" spans="1:5" x14ac:dyDescent="0.25">
      <c r="A211" s="28">
        <v>38471</v>
      </c>
      <c r="B211" s="17">
        <v>-2.0108581881679299E-2</v>
      </c>
      <c r="C211">
        <v>15.31</v>
      </c>
      <c r="D211">
        <v>2</v>
      </c>
      <c r="E211" t="str">
        <f t="shared" si="3"/>
        <v>Red</v>
      </c>
    </row>
    <row r="212" spans="1:5" x14ac:dyDescent="0.25">
      <c r="A212" s="28">
        <v>38442</v>
      </c>
      <c r="B212" s="17">
        <v>-1.9117655748441001E-2</v>
      </c>
      <c r="C212">
        <v>14.02</v>
      </c>
      <c r="D212">
        <v>2</v>
      </c>
      <c r="E212" t="str">
        <f t="shared" si="3"/>
        <v>Red</v>
      </c>
    </row>
    <row r="213" spans="1:5" x14ac:dyDescent="0.25">
      <c r="A213" s="28">
        <v>38411</v>
      </c>
      <c r="B213" s="17">
        <v>1.8903346078316601E-2</v>
      </c>
      <c r="C213">
        <v>12.08</v>
      </c>
      <c r="D213">
        <v>1</v>
      </c>
      <c r="E213" t="str">
        <f t="shared" si="3"/>
        <v>Green</v>
      </c>
    </row>
    <row r="214" spans="1:5" x14ac:dyDescent="0.25">
      <c r="A214" s="28">
        <v>38383</v>
      </c>
      <c r="B214" s="17">
        <v>-2.5290467099494601E-2</v>
      </c>
      <c r="C214">
        <v>12.82</v>
      </c>
      <c r="D214">
        <v>1</v>
      </c>
      <c r="E214" t="str">
        <f t="shared" si="3"/>
        <v>Red</v>
      </c>
    </row>
    <row r="215" spans="1:5" x14ac:dyDescent="0.25">
      <c r="A215" s="28">
        <v>38352</v>
      </c>
      <c r="B215" s="17">
        <v>3.24582131440454E-2</v>
      </c>
      <c r="C215">
        <v>13.29</v>
      </c>
      <c r="D215">
        <v>1</v>
      </c>
      <c r="E215" t="str">
        <f t="shared" si="3"/>
        <v>Green</v>
      </c>
    </row>
    <row r="216" spans="1:5" x14ac:dyDescent="0.25">
      <c r="A216" s="28">
        <v>38321</v>
      </c>
      <c r="B216" s="17">
        <v>3.8594936198152401E-2</v>
      </c>
      <c r="C216">
        <v>13.24</v>
      </c>
      <c r="D216">
        <v>1</v>
      </c>
      <c r="E216" t="str">
        <f t="shared" si="3"/>
        <v>Green</v>
      </c>
    </row>
    <row r="217" spans="1:5" x14ac:dyDescent="0.25">
      <c r="A217" s="28">
        <v>38289</v>
      </c>
      <c r="B217" s="17">
        <v>1.4014243586487E-2</v>
      </c>
      <c r="C217">
        <v>16.27</v>
      </c>
      <c r="D217">
        <v>2</v>
      </c>
      <c r="E217" t="str">
        <f t="shared" si="3"/>
        <v>Green</v>
      </c>
    </row>
    <row r="218" spans="1:5" x14ac:dyDescent="0.25">
      <c r="A218" s="28">
        <v>38260</v>
      </c>
      <c r="B218" s="17">
        <v>9.3638756915515008E-3</v>
      </c>
      <c r="C218">
        <v>13.34</v>
      </c>
      <c r="D218">
        <v>1</v>
      </c>
      <c r="E218" t="str">
        <f t="shared" si="3"/>
        <v>Green</v>
      </c>
    </row>
    <row r="219" spans="1:5" x14ac:dyDescent="0.25">
      <c r="A219" s="28">
        <v>38230</v>
      </c>
      <c r="B219" s="17">
        <v>2.28734984055223E-3</v>
      </c>
      <c r="C219">
        <v>15.29</v>
      </c>
      <c r="D219">
        <v>2</v>
      </c>
      <c r="E219" t="str">
        <f t="shared" si="3"/>
        <v>Green</v>
      </c>
    </row>
    <row r="220" spans="1:5" x14ac:dyDescent="0.25">
      <c r="A220" s="28">
        <v>38198</v>
      </c>
      <c r="B220" s="17">
        <v>-3.4290519411905002E-2</v>
      </c>
      <c r="C220">
        <v>15.32</v>
      </c>
      <c r="D220">
        <v>2</v>
      </c>
      <c r="E220" t="str">
        <f t="shared" si="3"/>
        <v>Red</v>
      </c>
    </row>
    <row r="221" spans="1:5" x14ac:dyDescent="0.25">
      <c r="A221" s="28">
        <v>38168</v>
      </c>
      <c r="B221" s="17">
        <v>1.7988998669195701E-2</v>
      </c>
      <c r="C221">
        <v>14.34</v>
      </c>
      <c r="D221">
        <v>2</v>
      </c>
      <c r="E221" t="str">
        <f t="shared" si="3"/>
        <v>Green</v>
      </c>
    </row>
    <row r="222" spans="1:5" x14ac:dyDescent="0.25">
      <c r="A222" s="28">
        <v>38135</v>
      </c>
      <c r="B222" s="17">
        <v>1.2083450201310301E-2</v>
      </c>
      <c r="C222">
        <v>15.5</v>
      </c>
      <c r="D222">
        <v>2</v>
      </c>
      <c r="E222" t="str">
        <f t="shared" si="3"/>
        <v>Green</v>
      </c>
    </row>
    <row r="223" spans="1:5" x14ac:dyDescent="0.25">
      <c r="A223" s="28">
        <v>38107</v>
      </c>
      <c r="B223" s="17">
        <v>-1.6790751862298701E-2</v>
      </c>
      <c r="C223">
        <v>17.190000999999999</v>
      </c>
      <c r="D223">
        <v>2</v>
      </c>
      <c r="E223" t="str">
        <f t="shared" si="3"/>
        <v>Red</v>
      </c>
    </row>
    <row r="224" spans="1:5" x14ac:dyDescent="0.25">
      <c r="A224" s="28">
        <v>38077</v>
      </c>
      <c r="B224" s="17">
        <v>-1.6358919214261199E-2</v>
      </c>
      <c r="C224">
        <v>16.739999999999998</v>
      </c>
      <c r="D224">
        <v>2</v>
      </c>
      <c r="E224" t="str">
        <f t="shared" si="3"/>
        <v>Red</v>
      </c>
    </row>
    <row r="225" spans="1:5" x14ac:dyDescent="0.25">
      <c r="A225" s="28">
        <v>38044</v>
      </c>
      <c r="B225" s="17">
        <v>1.22089732735895E-2</v>
      </c>
      <c r="C225">
        <v>14.55</v>
      </c>
      <c r="D225">
        <v>2</v>
      </c>
      <c r="E225" t="str">
        <f t="shared" si="3"/>
        <v>Green</v>
      </c>
    </row>
    <row r="226" spans="1:5" x14ac:dyDescent="0.25">
      <c r="A226" s="28">
        <v>38016</v>
      </c>
      <c r="B226" s="17">
        <v>1.7276387006114599E-2</v>
      </c>
      <c r="C226">
        <v>16.629999000000002</v>
      </c>
      <c r="D226">
        <v>2</v>
      </c>
      <c r="E226" t="str">
        <f t="shared" si="3"/>
        <v>Green</v>
      </c>
    </row>
    <row r="227" spans="1:5" x14ac:dyDescent="0.25">
      <c r="A227" s="28">
        <v>37986</v>
      </c>
      <c r="B227" s="17">
        <v>5.0765541001239298E-2</v>
      </c>
      <c r="C227">
        <v>18.309999000000001</v>
      </c>
      <c r="D227">
        <v>3</v>
      </c>
      <c r="E227" t="str">
        <f t="shared" si="3"/>
        <v>Green</v>
      </c>
    </row>
    <row r="228" spans="1:5" x14ac:dyDescent="0.25">
      <c r="A228" s="28">
        <v>37953</v>
      </c>
      <c r="B228" s="17">
        <v>7.1285038478854403E-3</v>
      </c>
      <c r="C228">
        <v>16.32</v>
      </c>
      <c r="D228">
        <v>2</v>
      </c>
      <c r="E228" t="str">
        <f t="shared" si="3"/>
        <v>Green</v>
      </c>
    </row>
    <row r="229" spans="1:5" x14ac:dyDescent="0.25">
      <c r="A229" s="28">
        <v>37925</v>
      </c>
      <c r="B229" s="17">
        <v>5.4961486384010702E-2</v>
      </c>
      <c r="C229">
        <v>16.100000000000001</v>
      </c>
      <c r="D229">
        <v>2</v>
      </c>
      <c r="E229" t="str">
        <f t="shared" si="3"/>
        <v>Green</v>
      </c>
    </row>
    <row r="230" spans="1:5" x14ac:dyDescent="0.25">
      <c r="A230" s="28">
        <v>37894</v>
      </c>
      <c r="B230" s="17">
        <v>-1.1944364520745199E-2</v>
      </c>
      <c r="C230">
        <v>22.719999000000001</v>
      </c>
      <c r="D230">
        <v>3</v>
      </c>
      <c r="E230" t="str">
        <f t="shared" si="3"/>
        <v>Red</v>
      </c>
    </row>
    <row r="231" spans="1:5" x14ac:dyDescent="0.25">
      <c r="A231" s="28">
        <v>37862</v>
      </c>
      <c r="B231" s="17">
        <v>1.7873203376464399E-2</v>
      </c>
      <c r="C231">
        <v>18.629999000000002</v>
      </c>
      <c r="D231">
        <v>3</v>
      </c>
      <c r="E231" t="str">
        <f t="shared" si="3"/>
        <v>Green</v>
      </c>
    </row>
    <row r="232" spans="1:5" x14ac:dyDescent="0.25">
      <c r="A232" s="28">
        <v>37833</v>
      </c>
      <c r="B232" s="17">
        <v>1.62237024114931E-2</v>
      </c>
      <c r="C232">
        <v>19.489999999999998</v>
      </c>
      <c r="D232">
        <v>3</v>
      </c>
      <c r="E232" t="str">
        <f t="shared" si="3"/>
        <v>Green</v>
      </c>
    </row>
    <row r="233" spans="1:5" x14ac:dyDescent="0.25">
      <c r="A233" s="28">
        <v>37802</v>
      </c>
      <c r="B233" s="17">
        <v>1.13222145251615E-2</v>
      </c>
      <c r="C233">
        <v>19.52</v>
      </c>
      <c r="D233">
        <v>3</v>
      </c>
      <c r="E233" t="str">
        <f t="shared" si="3"/>
        <v>Green</v>
      </c>
    </row>
    <row r="234" spans="1:5" x14ac:dyDescent="0.25">
      <c r="A234" s="28">
        <v>37771</v>
      </c>
      <c r="B234" s="17">
        <v>5.0898709664177998E-2</v>
      </c>
      <c r="C234">
        <v>19.469999000000001</v>
      </c>
      <c r="D234">
        <v>3</v>
      </c>
      <c r="E234" t="str">
        <f t="shared" si="3"/>
        <v>Green</v>
      </c>
    </row>
    <row r="235" spans="1:5" x14ac:dyDescent="0.25">
      <c r="A235" s="28">
        <v>37741</v>
      </c>
      <c r="B235" s="17">
        <v>8.1044106872726104E-2</v>
      </c>
      <c r="C235">
        <v>21.209999</v>
      </c>
      <c r="D235">
        <v>3</v>
      </c>
      <c r="E235" t="str">
        <f t="shared" si="3"/>
        <v>Green</v>
      </c>
    </row>
    <row r="236" spans="1:5" x14ac:dyDescent="0.25">
      <c r="A236" s="28">
        <v>37711</v>
      </c>
      <c r="B236" s="17">
        <v>8.3575685661514392E-3</v>
      </c>
      <c r="C236">
        <v>29.15</v>
      </c>
      <c r="D236">
        <v>4</v>
      </c>
      <c r="E236" t="str">
        <f t="shared" si="3"/>
        <v>Green</v>
      </c>
    </row>
    <row r="237" spans="1:5" x14ac:dyDescent="0.25">
      <c r="A237" s="28">
        <v>37680</v>
      </c>
      <c r="B237" s="17">
        <v>-1.7003608502929399E-2</v>
      </c>
      <c r="C237">
        <v>29.629999000000002</v>
      </c>
      <c r="D237">
        <v>4</v>
      </c>
      <c r="E237" t="str">
        <f t="shared" si="3"/>
        <v>Red</v>
      </c>
    </row>
    <row r="238" spans="1:5" x14ac:dyDescent="0.25">
      <c r="A238" s="28">
        <v>37652</v>
      </c>
      <c r="B238" s="17">
        <v>-2.74146925599522E-2</v>
      </c>
      <c r="C238">
        <v>31.17</v>
      </c>
      <c r="D238">
        <v>4</v>
      </c>
      <c r="E238" t="str">
        <f t="shared" si="3"/>
        <v>Red</v>
      </c>
    </row>
    <row r="239" spans="1:5" x14ac:dyDescent="0.25">
      <c r="A239" s="28">
        <v>37621</v>
      </c>
      <c r="B239" s="17">
        <v>-6.0332572674290597E-2</v>
      </c>
      <c r="C239">
        <v>28.620000999999998</v>
      </c>
      <c r="D239">
        <v>4</v>
      </c>
      <c r="E239" t="str">
        <f t="shared" si="3"/>
        <v>Red</v>
      </c>
    </row>
    <row r="240" spans="1:5" x14ac:dyDescent="0.25">
      <c r="A240" s="28">
        <v>37589</v>
      </c>
      <c r="B240" s="17">
        <v>5.7069620923617899E-2</v>
      </c>
      <c r="C240">
        <v>27.5</v>
      </c>
      <c r="D240">
        <v>4</v>
      </c>
      <c r="E240" t="str">
        <f t="shared" si="3"/>
        <v>Green</v>
      </c>
    </row>
    <row r="241" spans="1:5" x14ac:dyDescent="0.25">
      <c r="A241" s="28">
        <v>37560</v>
      </c>
      <c r="B241" s="17">
        <v>8.6448801016809906E-2</v>
      </c>
      <c r="C241">
        <v>31.139999</v>
      </c>
      <c r="D241">
        <v>4</v>
      </c>
      <c r="E241" t="str">
        <f t="shared" si="3"/>
        <v>Green</v>
      </c>
    </row>
    <row r="242" spans="1:5" x14ac:dyDescent="0.25">
      <c r="A242" s="28">
        <v>37529</v>
      </c>
      <c r="B242" s="17">
        <v>-0.110024318261519</v>
      </c>
      <c r="C242">
        <v>39.689999</v>
      </c>
      <c r="D242">
        <v>4</v>
      </c>
      <c r="E242" t="str">
        <f t="shared" si="3"/>
        <v>Red</v>
      </c>
    </row>
    <row r="243" spans="1:5" x14ac:dyDescent="0.25">
      <c r="A243" s="28">
        <v>37498</v>
      </c>
      <c r="B243" s="17">
        <v>4.8814330800193203E-3</v>
      </c>
      <c r="C243">
        <v>32.639999000000003</v>
      </c>
      <c r="D243">
        <v>4</v>
      </c>
      <c r="E243" t="str">
        <f t="shared" si="3"/>
        <v>Green</v>
      </c>
    </row>
    <row r="244" spans="1:5" x14ac:dyDescent="0.25">
      <c r="A244" s="28">
        <v>37468</v>
      </c>
      <c r="B244" s="17">
        <v>-7.9004274966125304E-2</v>
      </c>
      <c r="C244">
        <v>32.029998999999997</v>
      </c>
      <c r="D244">
        <v>4</v>
      </c>
      <c r="E244" t="str">
        <f t="shared" si="3"/>
        <v>Red</v>
      </c>
    </row>
    <row r="245" spans="1:5" x14ac:dyDescent="0.25">
      <c r="A245" s="28">
        <v>37435</v>
      </c>
      <c r="B245" s="17">
        <v>-7.2455354417573697E-2</v>
      </c>
      <c r="C245">
        <v>25.4</v>
      </c>
      <c r="D245">
        <v>4</v>
      </c>
      <c r="E245" t="str">
        <f t="shared" si="3"/>
        <v>Red</v>
      </c>
    </row>
    <row r="246" spans="1:5" x14ac:dyDescent="0.25">
      <c r="A246" s="28">
        <v>37407</v>
      </c>
      <c r="B246" s="17">
        <v>-9.0814810760454501E-3</v>
      </c>
      <c r="C246">
        <v>19.98</v>
      </c>
      <c r="D246">
        <v>3</v>
      </c>
      <c r="E246" t="str">
        <f t="shared" si="3"/>
        <v>Red</v>
      </c>
    </row>
    <row r="247" spans="1:5" x14ac:dyDescent="0.25">
      <c r="A247" s="28">
        <v>37376</v>
      </c>
      <c r="B247" s="17">
        <v>-6.1417626159139899E-2</v>
      </c>
      <c r="C247">
        <v>21.91</v>
      </c>
      <c r="D247">
        <v>3</v>
      </c>
      <c r="E247" t="str">
        <f t="shared" si="3"/>
        <v>Red</v>
      </c>
    </row>
    <row r="248" spans="1:5" x14ac:dyDescent="0.25">
      <c r="A248" s="28">
        <v>37343</v>
      </c>
      <c r="B248" s="17">
        <v>3.67388936188391E-2</v>
      </c>
      <c r="C248">
        <v>17.399999999999999</v>
      </c>
      <c r="D248">
        <v>2</v>
      </c>
      <c r="E248" t="str">
        <f t="shared" si="3"/>
        <v>Green</v>
      </c>
    </row>
    <row r="249" spans="1:5" x14ac:dyDescent="0.25">
      <c r="A249" s="28">
        <v>37315</v>
      </c>
      <c r="B249" s="17">
        <v>-2.0766211305560299E-2</v>
      </c>
      <c r="C249">
        <v>21.59</v>
      </c>
      <c r="D249">
        <v>3</v>
      </c>
      <c r="E249" t="str">
        <f t="shared" si="3"/>
        <v>Red</v>
      </c>
    </row>
    <row r="250" spans="1:5" x14ac:dyDescent="0.25">
      <c r="A250" s="28">
        <v>37287</v>
      </c>
      <c r="B250" s="17">
        <v>-1.55738325597943E-2</v>
      </c>
      <c r="C250">
        <v>21.09</v>
      </c>
      <c r="D250">
        <v>3</v>
      </c>
      <c r="E250" t="str">
        <f t="shared" si="3"/>
        <v>Red</v>
      </c>
    </row>
    <row r="251" spans="1:5" x14ac:dyDescent="0.25">
      <c r="A251" s="28">
        <v>37256</v>
      </c>
      <c r="B251" s="17">
        <v>7.5738341929156797E-3</v>
      </c>
      <c r="C251">
        <v>23.799999</v>
      </c>
      <c r="D251">
        <v>3</v>
      </c>
      <c r="E251" t="str">
        <f t="shared" si="3"/>
        <v>Green</v>
      </c>
    </row>
    <row r="252" spans="1:5" x14ac:dyDescent="0.25">
      <c r="A252" s="28">
        <v>37225</v>
      </c>
      <c r="B252" s="17">
        <v>7.5175904263053497E-2</v>
      </c>
      <c r="C252">
        <v>23.84</v>
      </c>
      <c r="D252">
        <v>4</v>
      </c>
      <c r="E252" t="str">
        <f t="shared" si="3"/>
        <v>Green</v>
      </c>
    </row>
    <row r="253" spans="1:5" x14ac:dyDescent="0.25">
      <c r="A253" s="28">
        <v>37195</v>
      </c>
      <c r="B253" s="17">
        <v>1.8099111445277798E-2</v>
      </c>
      <c r="C253">
        <v>33.560001</v>
      </c>
      <c r="D253">
        <v>4</v>
      </c>
      <c r="E253" t="str">
        <f t="shared" si="3"/>
        <v>Green</v>
      </c>
    </row>
    <row r="254" spans="1:5" x14ac:dyDescent="0.25">
      <c r="A254" s="28">
        <v>37162</v>
      </c>
      <c r="B254" s="17">
        <v>-8.1723406019716199E-2</v>
      </c>
      <c r="C254">
        <v>31.93</v>
      </c>
      <c r="D254">
        <v>4</v>
      </c>
      <c r="E254" t="str">
        <f t="shared" si="3"/>
        <v>Red</v>
      </c>
    </row>
    <row r="255" spans="1:5" x14ac:dyDescent="0.25">
      <c r="A255" s="28">
        <v>37134</v>
      </c>
      <c r="B255" s="17">
        <v>-6.4108406563714707E-2</v>
      </c>
      <c r="C255">
        <v>24.92</v>
      </c>
      <c r="D255">
        <v>4</v>
      </c>
      <c r="E255" t="str">
        <f t="shared" si="3"/>
        <v>Red</v>
      </c>
    </row>
    <row r="256" spans="1:5" x14ac:dyDescent="0.25">
      <c r="A256" s="28">
        <v>37103</v>
      </c>
      <c r="B256" s="17">
        <v>-1.0740150072934201E-2</v>
      </c>
      <c r="C256">
        <v>21.620000999999998</v>
      </c>
      <c r="D256">
        <v>3</v>
      </c>
      <c r="E256" t="str">
        <f t="shared" si="3"/>
        <v>Red</v>
      </c>
    </row>
    <row r="257" spans="1:5" x14ac:dyDescent="0.25">
      <c r="A257" s="28">
        <v>37071</v>
      </c>
      <c r="B257" s="17">
        <v>-2.5035389109833502E-2</v>
      </c>
      <c r="C257">
        <v>19.059999000000001</v>
      </c>
      <c r="D257">
        <v>3</v>
      </c>
      <c r="E257" t="str">
        <f t="shared" si="3"/>
        <v>Red</v>
      </c>
    </row>
    <row r="258" spans="1:5" x14ac:dyDescent="0.25">
      <c r="A258" s="28">
        <v>37042</v>
      </c>
      <c r="B258" s="17">
        <v>5.0901871196495901E-3</v>
      </c>
      <c r="C258">
        <v>22.639999</v>
      </c>
      <c r="D258">
        <v>3</v>
      </c>
      <c r="E258" t="str">
        <f t="shared" ref="E258:E321" si="4">IF(B258&gt;0,"Green","Red")</f>
        <v>Green</v>
      </c>
    </row>
    <row r="259" spans="1:5" x14ac:dyDescent="0.25">
      <c r="A259" s="28">
        <v>37011</v>
      </c>
      <c r="B259" s="17">
        <v>7.6814361759009797E-2</v>
      </c>
      <c r="C259">
        <v>25.48</v>
      </c>
      <c r="D259">
        <v>4</v>
      </c>
      <c r="E259" t="str">
        <f t="shared" si="4"/>
        <v>Green</v>
      </c>
    </row>
    <row r="260" spans="1:5" x14ac:dyDescent="0.25">
      <c r="A260" s="28">
        <v>36980</v>
      </c>
      <c r="B260" s="17">
        <v>-6.4204710540895493E-2</v>
      </c>
      <c r="C260">
        <v>28.639999</v>
      </c>
      <c r="D260">
        <v>4</v>
      </c>
      <c r="E260" t="str">
        <f t="shared" si="4"/>
        <v>Red</v>
      </c>
    </row>
    <row r="261" spans="1:5" x14ac:dyDescent="0.25">
      <c r="A261" s="28">
        <v>36950</v>
      </c>
      <c r="B261" s="17">
        <v>-9.2290735848999994E-2</v>
      </c>
      <c r="C261">
        <v>28.35</v>
      </c>
      <c r="D261">
        <v>4</v>
      </c>
      <c r="E261" t="str">
        <f t="shared" si="4"/>
        <v>Red</v>
      </c>
    </row>
    <row r="262" spans="1:5" x14ac:dyDescent="0.25">
      <c r="A262" s="28">
        <v>36922</v>
      </c>
      <c r="B262" s="17">
        <v>3.4636577086329501E-2</v>
      </c>
      <c r="C262">
        <v>22.02</v>
      </c>
      <c r="D262">
        <v>3</v>
      </c>
      <c r="E262" t="str">
        <f t="shared" si="4"/>
        <v>Green</v>
      </c>
    </row>
    <row r="263" spans="1:5" x14ac:dyDescent="0.25">
      <c r="A263" s="28">
        <v>36889</v>
      </c>
      <c r="B263" s="17">
        <v>4.0534455291978402E-3</v>
      </c>
      <c r="C263">
        <v>26.85</v>
      </c>
      <c r="D263">
        <v>4</v>
      </c>
      <c r="E263" t="str">
        <f t="shared" si="4"/>
        <v>Green</v>
      </c>
    </row>
    <row r="264" spans="1:5" x14ac:dyDescent="0.25">
      <c r="A264" s="28">
        <v>36860</v>
      </c>
      <c r="B264" s="17">
        <v>-8.0068609961069903E-2</v>
      </c>
      <c r="C264">
        <v>29.65</v>
      </c>
      <c r="D264">
        <v>4</v>
      </c>
      <c r="E264" t="str">
        <f t="shared" si="4"/>
        <v>Red</v>
      </c>
    </row>
    <row r="265" spans="1:5" x14ac:dyDescent="0.25">
      <c r="A265" s="28">
        <v>36830</v>
      </c>
      <c r="B265" s="17">
        <v>-4.9494858723608797E-3</v>
      </c>
      <c r="C265">
        <v>23.629999000000002</v>
      </c>
      <c r="D265">
        <v>3</v>
      </c>
      <c r="E265" t="str">
        <f t="shared" si="4"/>
        <v>Red</v>
      </c>
    </row>
    <row r="266" spans="1:5" x14ac:dyDescent="0.25">
      <c r="A266" s="28">
        <v>36798</v>
      </c>
      <c r="B266" s="17">
        <v>-5.3482974745611297E-2</v>
      </c>
      <c r="C266">
        <v>20.57</v>
      </c>
      <c r="D266">
        <v>3</v>
      </c>
      <c r="E266" t="str">
        <f t="shared" si="4"/>
        <v>Red</v>
      </c>
    </row>
    <row r="267" spans="1:5" x14ac:dyDescent="0.25">
      <c r="A267" s="28">
        <v>36769</v>
      </c>
      <c r="B267" s="17">
        <v>6.0699105184235998E-2</v>
      </c>
      <c r="C267">
        <v>16.84</v>
      </c>
      <c r="D267">
        <v>2</v>
      </c>
      <c r="E267" t="str">
        <f t="shared" si="4"/>
        <v>Green</v>
      </c>
    </row>
    <row r="268" spans="1:5" x14ac:dyDescent="0.25">
      <c r="A268" s="28">
        <v>36738</v>
      </c>
      <c r="B268" s="17">
        <v>-1.6341276221772699E-2</v>
      </c>
      <c r="C268">
        <v>20.74</v>
      </c>
      <c r="D268">
        <v>3</v>
      </c>
      <c r="E268" t="str">
        <f t="shared" si="4"/>
        <v>Red</v>
      </c>
    </row>
    <row r="269" spans="1:5" x14ac:dyDescent="0.25">
      <c r="A269" s="28">
        <v>36707</v>
      </c>
      <c r="B269" s="17">
        <v>2.3933549608901299E-2</v>
      </c>
      <c r="C269">
        <v>19.540001</v>
      </c>
      <c r="D269">
        <v>3</v>
      </c>
      <c r="E269" t="str">
        <f t="shared" si="4"/>
        <v>Green</v>
      </c>
    </row>
    <row r="270" spans="1:5" x14ac:dyDescent="0.25">
      <c r="A270" s="28">
        <v>36677</v>
      </c>
      <c r="B270" s="17">
        <v>-2.1915050512993601E-2</v>
      </c>
      <c r="C270">
        <v>23.65</v>
      </c>
      <c r="D270">
        <v>3</v>
      </c>
      <c r="E270" t="str">
        <f t="shared" si="4"/>
        <v>Red</v>
      </c>
    </row>
    <row r="271" spans="1:5" x14ac:dyDescent="0.25">
      <c r="A271" s="28">
        <v>36644</v>
      </c>
      <c r="B271" s="17">
        <v>-3.0795755551931401E-2</v>
      </c>
      <c r="C271">
        <v>26.200001</v>
      </c>
      <c r="D271">
        <v>4</v>
      </c>
      <c r="E271" t="str">
        <f t="shared" si="4"/>
        <v>Red</v>
      </c>
    </row>
    <row r="272" spans="1:5" x14ac:dyDescent="0.25">
      <c r="A272" s="28">
        <v>36616</v>
      </c>
      <c r="B272" s="17">
        <v>9.6719828269732397E-2</v>
      </c>
      <c r="C272">
        <v>24.110001</v>
      </c>
      <c r="D272">
        <v>4</v>
      </c>
      <c r="E272" t="str">
        <f t="shared" si="4"/>
        <v>Green</v>
      </c>
    </row>
    <row r="273" spans="1:5" x14ac:dyDescent="0.25">
      <c r="A273" s="28">
        <v>36585</v>
      </c>
      <c r="B273" s="17">
        <v>-2.0108083261058299E-2</v>
      </c>
      <c r="C273">
        <v>23.370000999999998</v>
      </c>
      <c r="D273">
        <v>3</v>
      </c>
      <c r="E273" t="str">
        <f t="shared" si="4"/>
        <v>Red</v>
      </c>
    </row>
    <row r="274" spans="1:5" x14ac:dyDescent="0.25">
      <c r="A274" s="28">
        <v>36556</v>
      </c>
      <c r="B274" s="17">
        <v>-5.0903548749361899E-2</v>
      </c>
      <c r="C274">
        <v>24.950001</v>
      </c>
      <c r="D274">
        <v>4</v>
      </c>
      <c r="E274" t="str">
        <f t="shared" si="4"/>
        <v>Red</v>
      </c>
    </row>
    <row r="275" spans="1:5" x14ac:dyDescent="0.25">
      <c r="A275" s="28">
        <v>36525</v>
      </c>
      <c r="B275" s="17">
        <v>5.7843894876779399E-2</v>
      </c>
      <c r="C275">
        <v>24.639999</v>
      </c>
      <c r="D275">
        <v>4</v>
      </c>
      <c r="E275" t="str">
        <f t="shared" si="4"/>
        <v>Green</v>
      </c>
    </row>
    <row r="276" spans="1:5" x14ac:dyDescent="0.25">
      <c r="A276" s="28">
        <v>36494</v>
      </c>
      <c r="B276" s="17">
        <v>1.9061858621249601E-2</v>
      </c>
      <c r="C276">
        <v>24.18</v>
      </c>
      <c r="D276">
        <v>4</v>
      </c>
      <c r="E276" t="str">
        <f t="shared" si="4"/>
        <v>Green</v>
      </c>
    </row>
    <row r="277" spans="1:5" x14ac:dyDescent="0.25">
      <c r="A277" s="28">
        <v>36462</v>
      </c>
      <c r="B277" s="17">
        <v>6.2539541625965298E-2</v>
      </c>
      <c r="C277">
        <v>22.200001</v>
      </c>
      <c r="D277">
        <v>3</v>
      </c>
      <c r="E277" t="str">
        <f t="shared" si="4"/>
        <v>Green</v>
      </c>
    </row>
    <row r="278" spans="1:5" x14ac:dyDescent="0.25">
      <c r="A278" s="28">
        <v>36433</v>
      </c>
      <c r="B278" s="17">
        <v>-2.85517922684916E-2</v>
      </c>
      <c r="C278">
        <v>25.41</v>
      </c>
      <c r="D278">
        <v>4</v>
      </c>
      <c r="E278" t="str">
        <f t="shared" si="4"/>
        <v>Red</v>
      </c>
    </row>
    <row r="279" spans="1:5" x14ac:dyDescent="0.25">
      <c r="A279" s="28">
        <v>36403</v>
      </c>
      <c r="B279" s="17">
        <v>-6.2540920445004504E-3</v>
      </c>
      <c r="C279">
        <v>24.450001</v>
      </c>
      <c r="D279">
        <v>4</v>
      </c>
      <c r="E279" t="str">
        <f t="shared" si="4"/>
        <v>Red</v>
      </c>
    </row>
    <row r="280" spans="1:5" x14ac:dyDescent="0.25">
      <c r="A280" s="28">
        <v>36371</v>
      </c>
      <c r="B280" s="17">
        <v>-3.2046092218893797E-2</v>
      </c>
      <c r="C280">
        <v>24.639999</v>
      </c>
      <c r="D280">
        <v>4</v>
      </c>
      <c r="E280" t="str">
        <f t="shared" si="4"/>
        <v>Red</v>
      </c>
    </row>
    <row r="281" spans="1:5" x14ac:dyDescent="0.25">
      <c r="A281" s="28">
        <v>36341</v>
      </c>
      <c r="B281" s="17">
        <v>5.4438331016794198E-2</v>
      </c>
      <c r="C281">
        <v>21.09</v>
      </c>
      <c r="D281">
        <v>3</v>
      </c>
      <c r="E281" t="str">
        <f t="shared" si="4"/>
        <v>Green</v>
      </c>
    </row>
    <row r="282" spans="1:5" x14ac:dyDescent="0.25">
      <c r="A282" s="28">
        <v>36308</v>
      </c>
      <c r="B282" s="17">
        <v>-2.4970480872686801E-2</v>
      </c>
      <c r="C282">
        <v>25.389999</v>
      </c>
      <c r="D282">
        <v>4</v>
      </c>
      <c r="E282" t="str">
        <f t="shared" si="4"/>
        <v>Red</v>
      </c>
    </row>
    <row r="283" spans="1:5" x14ac:dyDescent="0.25">
      <c r="A283" s="28">
        <v>36280</v>
      </c>
      <c r="B283" s="17">
        <v>3.7944027915545402E-2</v>
      </c>
      <c r="C283">
        <v>25.07</v>
      </c>
      <c r="D283">
        <v>4</v>
      </c>
      <c r="E283" t="str">
        <f t="shared" si="4"/>
        <v>Green</v>
      </c>
    </row>
    <row r="284" spans="1:5" x14ac:dyDescent="0.25">
      <c r="A284" s="28">
        <v>36250</v>
      </c>
      <c r="B284" s="17">
        <v>3.8794215360158799E-2</v>
      </c>
      <c r="C284">
        <v>23.26</v>
      </c>
      <c r="D284">
        <v>3</v>
      </c>
      <c r="E284" t="str">
        <f t="shared" si="4"/>
        <v>Green</v>
      </c>
    </row>
    <row r="285" spans="1:5" x14ac:dyDescent="0.25">
      <c r="A285" s="28">
        <v>36217</v>
      </c>
      <c r="B285" s="17">
        <v>-3.2282562686194102E-2</v>
      </c>
      <c r="C285">
        <v>27.879999000000002</v>
      </c>
      <c r="D285">
        <v>4</v>
      </c>
      <c r="E285" t="str">
        <f t="shared" si="4"/>
        <v>Red</v>
      </c>
    </row>
    <row r="286" spans="1:5" x14ac:dyDescent="0.25">
      <c r="A286" s="28">
        <v>36189</v>
      </c>
      <c r="B286" s="17">
        <v>4.1009441536725297E-2</v>
      </c>
      <c r="C286">
        <v>26.25</v>
      </c>
      <c r="D286">
        <v>4</v>
      </c>
      <c r="E286" t="str">
        <f t="shared" si="4"/>
        <v>Green</v>
      </c>
    </row>
    <row r="287" spans="1:5" x14ac:dyDescent="0.25">
      <c r="A287" s="28">
        <v>36160</v>
      </c>
      <c r="B287" s="17">
        <v>5.63752865757359E-2</v>
      </c>
      <c r="C287">
        <v>24.42</v>
      </c>
      <c r="D287">
        <v>4</v>
      </c>
      <c r="E287" t="str">
        <f t="shared" si="4"/>
        <v>Green</v>
      </c>
    </row>
    <row r="288" spans="1:5" x14ac:dyDescent="0.25">
      <c r="A288" s="28">
        <v>36129</v>
      </c>
      <c r="B288" s="17">
        <v>5.91259963396253E-2</v>
      </c>
      <c r="C288">
        <v>26.01</v>
      </c>
      <c r="D288">
        <v>4</v>
      </c>
      <c r="E288" t="str">
        <f t="shared" si="4"/>
        <v>Green</v>
      </c>
    </row>
    <row r="289" spans="1:5" x14ac:dyDescent="0.25">
      <c r="A289" s="28">
        <v>36098</v>
      </c>
      <c r="B289" s="17">
        <v>8.0294228372442406E-2</v>
      </c>
      <c r="C289">
        <v>28.049999</v>
      </c>
      <c r="D289">
        <v>4</v>
      </c>
      <c r="E289" t="str">
        <f t="shared" si="4"/>
        <v>Green</v>
      </c>
    </row>
    <row r="290" spans="1:5" x14ac:dyDescent="0.25">
      <c r="A290" s="28">
        <v>36068</v>
      </c>
      <c r="B290" s="17">
        <v>6.2395515617718902E-2</v>
      </c>
      <c r="C290">
        <v>40.950001</v>
      </c>
      <c r="D290">
        <v>4</v>
      </c>
      <c r="E290" t="str">
        <f t="shared" si="4"/>
        <v>Green</v>
      </c>
    </row>
    <row r="291" spans="1:5" x14ac:dyDescent="0.25">
      <c r="A291" s="28">
        <v>36038</v>
      </c>
      <c r="B291" s="17">
        <v>-0.14579671855670701</v>
      </c>
      <c r="C291">
        <v>44.279998999999997</v>
      </c>
      <c r="D291">
        <v>4</v>
      </c>
      <c r="E291" t="str">
        <f t="shared" si="4"/>
        <v>Red</v>
      </c>
    </row>
    <row r="292" spans="1:5" x14ac:dyDescent="0.25">
      <c r="A292" s="28">
        <v>36007</v>
      </c>
      <c r="B292" s="17">
        <v>-1.1615327025789501E-2</v>
      </c>
      <c r="C292">
        <v>24.799999</v>
      </c>
      <c r="D292">
        <v>4</v>
      </c>
      <c r="E292" t="str">
        <f t="shared" si="4"/>
        <v>Red</v>
      </c>
    </row>
    <row r="293" spans="1:5" x14ac:dyDescent="0.25">
      <c r="A293" s="28">
        <v>35976</v>
      </c>
      <c r="B293" s="17">
        <v>3.9438241075214098E-2</v>
      </c>
      <c r="C293">
        <v>19.709999</v>
      </c>
      <c r="D293">
        <v>3</v>
      </c>
      <c r="E293" t="str">
        <f t="shared" si="4"/>
        <v>Green</v>
      </c>
    </row>
    <row r="294" spans="1:5" x14ac:dyDescent="0.25">
      <c r="A294" s="28">
        <v>35944</v>
      </c>
      <c r="B294" s="17">
        <v>-1.8826223521475099E-2</v>
      </c>
      <c r="C294">
        <v>21.32</v>
      </c>
      <c r="D294">
        <v>3</v>
      </c>
      <c r="E294" t="str">
        <f t="shared" si="4"/>
        <v>Red</v>
      </c>
    </row>
    <row r="295" spans="1:5" x14ac:dyDescent="0.25">
      <c r="A295" s="28">
        <v>35915</v>
      </c>
      <c r="B295" s="17">
        <v>9.0764692534604004E-3</v>
      </c>
      <c r="C295">
        <v>21.18</v>
      </c>
      <c r="D295">
        <v>3</v>
      </c>
      <c r="E295" t="str">
        <f t="shared" si="4"/>
        <v>Green</v>
      </c>
    </row>
    <row r="296" spans="1:5" x14ac:dyDescent="0.25">
      <c r="A296" s="28">
        <v>35885</v>
      </c>
      <c r="B296" s="17">
        <v>4.9945714161429497E-2</v>
      </c>
      <c r="C296">
        <v>24.219999000000001</v>
      </c>
      <c r="D296">
        <v>4</v>
      </c>
      <c r="E296" t="str">
        <f t="shared" si="4"/>
        <v>Green</v>
      </c>
    </row>
    <row r="297" spans="1:5" x14ac:dyDescent="0.25">
      <c r="A297" s="28">
        <v>35853</v>
      </c>
      <c r="B297" s="17">
        <v>7.0449193043797195E-2</v>
      </c>
      <c r="C297">
        <v>18.549999</v>
      </c>
      <c r="D297">
        <v>3</v>
      </c>
      <c r="E297" t="str">
        <f t="shared" si="4"/>
        <v>Green</v>
      </c>
    </row>
    <row r="298" spans="1:5" x14ac:dyDescent="0.25">
      <c r="A298" s="28">
        <v>35825</v>
      </c>
      <c r="B298" s="17">
        <v>1.01501767989975E-2</v>
      </c>
      <c r="C298">
        <v>21.469999000000001</v>
      </c>
      <c r="D298">
        <v>3</v>
      </c>
      <c r="E298" t="str">
        <f t="shared" si="4"/>
        <v>Green</v>
      </c>
    </row>
    <row r="299" spans="1:5" x14ac:dyDescent="0.25">
      <c r="A299" s="28">
        <v>35795</v>
      </c>
      <c r="B299" s="17">
        <v>1.5731597888257998E-2</v>
      </c>
      <c r="C299">
        <v>24.01</v>
      </c>
      <c r="D299">
        <v>4</v>
      </c>
      <c r="E299" t="str">
        <f t="shared" si="4"/>
        <v>Green</v>
      </c>
    </row>
    <row r="300" spans="1:5" x14ac:dyDescent="0.25">
      <c r="A300" s="28">
        <v>35762</v>
      </c>
      <c r="B300" s="17">
        <v>4.4586854893763801E-2</v>
      </c>
      <c r="C300">
        <v>27.43</v>
      </c>
      <c r="D300">
        <v>4</v>
      </c>
      <c r="E300" t="str">
        <f t="shared" si="4"/>
        <v>Green</v>
      </c>
    </row>
    <row r="301" spans="1:5" x14ac:dyDescent="0.25">
      <c r="A301" s="28">
        <v>35734</v>
      </c>
      <c r="B301" s="17">
        <v>-3.4477697196337802E-2</v>
      </c>
      <c r="C301">
        <v>35.090000000000003</v>
      </c>
      <c r="D301">
        <v>4</v>
      </c>
      <c r="E301" t="str">
        <f t="shared" si="4"/>
        <v>Red</v>
      </c>
    </row>
    <row r="302" spans="1:5" x14ac:dyDescent="0.25">
      <c r="A302" s="28">
        <v>35703</v>
      </c>
      <c r="B302" s="17">
        <v>5.3153589937912499E-2</v>
      </c>
      <c r="C302">
        <v>22.91</v>
      </c>
      <c r="D302">
        <v>3</v>
      </c>
      <c r="E302" t="str">
        <f t="shared" si="4"/>
        <v>Green</v>
      </c>
    </row>
    <row r="303" spans="1:5" x14ac:dyDescent="0.25">
      <c r="A303" s="28">
        <v>35671</v>
      </c>
      <c r="B303" s="17">
        <v>-5.7465631833399297E-2</v>
      </c>
      <c r="C303">
        <v>24.76</v>
      </c>
      <c r="D303">
        <v>4</v>
      </c>
      <c r="E303" t="str">
        <f t="shared" si="4"/>
        <v>Red</v>
      </c>
    </row>
    <row r="304" spans="1:5" x14ac:dyDescent="0.25">
      <c r="A304" s="28">
        <v>35642</v>
      </c>
      <c r="B304" s="17">
        <v>7.8145809507889102E-2</v>
      </c>
      <c r="C304">
        <v>21.48</v>
      </c>
      <c r="D304">
        <v>3</v>
      </c>
      <c r="E304" t="str">
        <f t="shared" si="4"/>
        <v>Green</v>
      </c>
    </row>
    <row r="305" spans="1:5" x14ac:dyDescent="0.25">
      <c r="A305" s="28">
        <v>35611</v>
      </c>
      <c r="B305" s="17">
        <v>4.3452615574897498E-2</v>
      </c>
      <c r="C305">
        <v>21.530000999999999</v>
      </c>
      <c r="D305">
        <v>3</v>
      </c>
      <c r="E305" t="str">
        <f t="shared" si="4"/>
        <v>Green</v>
      </c>
    </row>
    <row r="306" spans="1:5" x14ac:dyDescent="0.25">
      <c r="A306" s="28">
        <v>35580</v>
      </c>
      <c r="B306" s="17">
        <v>5.8576884241924997E-2</v>
      </c>
      <c r="C306">
        <v>19.190000999999999</v>
      </c>
      <c r="D306">
        <v>3</v>
      </c>
      <c r="E306" t="str">
        <f t="shared" si="4"/>
        <v>Green</v>
      </c>
    </row>
    <row r="307" spans="1:5" x14ac:dyDescent="0.25">
      <c r="A307" s="28">
        <v>35550</v>
      </c>
      <c r="B307" s="17">
        <v>5.8405579422057E-2</v>
      </c>
      <c r="C307">
        <v>20.059999000000001</v>
      </c>
      <c r="D307">
        <v>3</v>
      </c>
      <c r="E307" t="str">
        <f t="shared" si="4"/>
        <v>Green</v>
      </c>
    </row>
    <row r="308" spans="1:5" x14ac:dyDescent="0.25">
      <c r="A308" s="28">
        <v>35520</v>
      </c>
      <c r="B308" s="17">
        <v>-4.2614010396426399E-2</v>
      </c>
      <c r="C308">
        <v>22.139999</v>
      </c>
      <c r="D308">
        <v>3</v>
      </c>
      <c r="E308" t="str">
        <f t="shared" si="4"/>
        <v>Red</v>
      </c>
    </row>
    <row r="309" spans="1:5" x14ac:dyDescent="0.25">
      <c r="A309" s="28">
        <v>35489</v>
      </c>
      <c r="B309" s="17">
        <v>5.9275900071804602E-3</v>
      </c>
      <c r="C309">
        <v>21.1</v>
      </c>
      <c r="D309">
        <v>3</v>
      </c>
      <c r="E309" t="str">
        <f t="shared" si="4"/>
        <v>Green</v>
      </c>
    </row>
    <row r="310" spans="1:5" x14ac:dyDescent="0.25">
      <c r="A310" s="28">
        <v>35461</v>
      </c>
      <c r="B310" s="17">
        <v>6.1317039194819199E-2</v>
      </c>
      <c r="C310">
        <v>19.469999000000001</v>
      </c>
      <c r="D310">
        <v>3</v>
      </c>
      <c r="E310" t="str">
        <f t="shared" si="4"/>
        <v>Green</v>
      </c>
    </row>
    <row r="311" spans="1:5" x14ac:dyDescent="0.25">
      <c r="A311" s="28">
        <v>35430</v>
      </c>
      <c r="B311" s="17">
        <v>-2.1505415404998202E-2</v>
      </c>
      <c r="C311">
        <v>20.92</v>
      </c>
      <c r="D311">
        <v>3</v>
      </c>
      <c r="E311" t="str">
        <f t="shared" si="4"/>
        <v>Red</v>
      </c>
    </row>
    <row r="312" spans="1:5" x14ac:dyDescent="0.25">
      <c r="A312" s="28">
        <v>35398</v>
      </c>
      <c r="B312" s="17">
        <v>7.3376151732636993E-2</v>
      </c>
      <c r="C312">
        <v>17.139999</v>
      </c>
      <c r="D312">
        <v>2</v>
      </c>
      <c r="E312" t="str">
        <f t="shared" si="4"/>
        <v>Green</v>
      </c>
    </row>
    <row r="313" spans="1:5" x14ac:dyDescent="0.25">
      <c r="A313" s="28">
        <v>35369</v>
      </c>
      <c r="B313" s="17">
        <v>2.61010032390308E-2</v>
      </c>
      <c r="C313">
        <v>18.110001</v>
      </c>
      <c r="D313">
        <v>3</v>
      </c>
      <c r="E313" t="str">
        <f t="shared" si="4"/>
        <v>Green</v>
      </c>
    </row>
    <row r="314" spans="1:5" x14ac:dyDescent="0.25">
      <c r="A314" s="28">
        <v>35338</v>
      </c>
      <c r="B314" s="17">
        <v>5.4203327569492199E-2</v>
      </c>
      <c r="C314">
        <v>16.950001</v>
      </c>
      <c r="D314">
        <v>2</v>
      </c>
      <c r="E314" t="str">
        <f t="shared" si="4"/>
        <v>Green</v>
      </c>
    </row>
    <row r="315" spans="1:5" x14ac:dyDescent="0.25">
      <c r="A315" s="28">
        <v>35307</v>
      </c>
      <c r="B315" s="17">
        <v>1.8813935110919298E-2</v>
      </c>
      <c r="C315">
        <v>17.010000000000002</v>
      </c>
      <c r="D315">
        <v>2</v>
      </c>
      <c r="E315" t="str">
        <f t="shared" si="4"/>
        <v>Green</v>
      </c>
    </row>
    <row r="316" spans="1:5" x14ac:dyDescent="0.25">
      <c r="A316" s="28">
        <v>35277</v>
      </c>
      <c r="B316" s="17">
        <v>-4.5748017194667499E-2</v>
      </c>
      <c r="C316">
        <v>19.459999</v>
      </c>
      <c r="D316">
        <v>3</v>
      </c>
      <c r="E316" t="str">
        <f t="shared" si="4"/>
        <v>Red</v>
      </c>
    </row>
    <row r="317" spans="1:5" x14ac:dyDescent="0.25">
      <c r="A317" s="28">
        <v>35244</v>
      </c>
      <c r="B317" s="17">
        <v>2.2567103229369501E-3</v>
      </c>
      <c r="C317">
        <v>13.68</v>
      </c>
      <c r="D317">
        <v>1</v>
      </c>
      <c r="E317" t="str">
        <f t="shared" si="4"/>
        <v>Green</v>
      </c>
    </row>
    <row r="318" spans="1:5" x14ac:dyDescent="0.25">
      <c r="A318" s="28">
        <v>35216</v>
      </c>
      <c r="B318" s="17">
        <v>2.2853405672084999E-2</v>
      </c>
      <c r="C318">
        <v>16.07</v>
      </c>
      <c r="D318">
        <v>2</v>
      </c>
      <c r="E318" t="str">
        <f t="shared" si="4"/>
        <v>Green</v>
      </c>
    </row>
    <row r="319" spans="1:5" x14ac:dyDescent="0.25">
      <c r="A319" s="28">
        <v>35185</v>
      </c>
      <c r="B319" s="17">
        <v>1.34314221533696E-2</v>
      </c>
      <c r="C319">
        <v>15.83</v>
      </c>
      <c r="D319">
        <v>2</v>
      </c>
      <c r="E319" t="str">
        <f t="shared" si="4"/>
        <v>Green</v>
      </c>
    </row>
    <row r="320" spans="1:5" x14ac:dyDescent="0.25">
      <c r="A320" s="28">
        <v>35153</v>
      </c>
      <c r="B320" s="17">
        <v>7.9165670805803091E-3</v>
      </c>
      <c r="C320">
        <v>18.879999000000002</v>
      </c>
      <c r="D320">
        <v>3</v>
      </c>
      <c r="E320" t="str">
        <f t="shared" si="4"/>
        <v>Green</v>
      </c>
    </row>
    <row r="321" spans="1:5" x14ac:dyDescent="0.25">
      <c r="A321" s="28">
        <v>35124</v>
      </c>
      <c r="B321" s="17">
        <v>6.9337015523502901E-3</v>
      </c>
      <c r="C321">
        <v>17.040001</v>
      </c>
      <c r="D321">
        <v>2</v>
      </c>
      <c r="E321" t="str">
        <f t="shared" si="4"/>
        <v>Green</v>
      </c>
    </row>
    <row r="322" spans="1:5" x14ac:dyDescent="0.25">
      <c r="A322" s="28">
        <v>35095</v>
      </c>
      <c r="B322" s="17">
        <v>3.2617387086717201E-2</v>
      </c>
      <c r="C322">
        <v>12.53</v>
      </c>
      <c r="D322">
        <v>1</v>
      </c>
      <c r="E322" t="str">
        <f t="shared" ref="E322:E385" si="5">IF(B322&gt;0,"Green","Red")</f>
        <v>Green</v>
      </c>
    </row>
    <row r="323" spans="1:5" x14ac:dyDescent="0.25">
      <c r="A323" s="28">
        <v>35062</v>
      </c>
      <c r="B323" s="17">
        <v>1.7443874138492799E-2</v>
      </c>
      <c r="C323">
        <v>12.52</v>
      </c>
      <c r="D323">
        <v>1</v>
      </c>
      <c r="E323" t="str">
        <f t="shared" si="5"/>
        <v>Green</v>
      </c>
    </row>
    <row r="324" spans="1:5" x14ac:dyDescent="0.25">
      <c r="A324" s="28">
        <v>35033</v>
      </c>
      <c r="B324" s="17">
        <v>4.1049002579535802E-2</v>
      </c>
      <c r="C324">
        <v>11.58</v>
      </c>
      <c r="D324">
        <v>1</v>
      </c>
      <c r="E324" t="str">
        <f t="shared" si="5"/>
        <v>Green</v>
      </c>
    </row>
    <row r="325" spans="1:5" x14ac:dyDescent="0.25">
      <c r="A325" s="28">
        <v>35003</v>
      </c>
      <c r="B325" s="17">
        <v>-4.9793349436904099E-3</v>
      </c>
      <c r="C325">
        <v>13.83</v>
      </c>
      <c r="D325">
        <v>1</v>
      </c>
      <c r="E325" t="str">
        <f t="shared" si="5"/>
        <v>Red</v>
      </c>
    </row>
    <row r="326" spans="1:5" x14ac:dyDescent="0.25">
      <c r="A326" s="28">
        <v>34971</v>
      </c>
      <c r="B326" s="17">
        <v>4.0097472413171298E-2</v>
      </c>
      <c r="C326">
        <v>12.74</v>
      </c>
      <c r="D326">
        <v>1</v>
      </c>
      <c r="E326" t="str">
        <f t="shared" si="5"/>
        <v>Green</v>
      </c>
    </row>
    <row r="327" spans="1:5" x14ac:dyDescent="0.25">
      <c r="A327" s="28">
        <v>34942</v>
      </c>
      <c r="B327" s="17">
        <v>-3.2023805401637501E-4</v>
      </c>
      <c r="C327">
        <v>11.52</v>
      </c>
      <c r="D327">
        <v>1</v>
      </c>
      <c r="E327" t="str">
        <f t="shared" si="5"/>
        <v>Red</v>
      </c>
    </row>
    <row r="328" spans="1:5" x14ac:dyDescent="0.25">
      <c r="A328" s="28">
        <v>34911</v>
      </c>
      <c r="B328" s="17">
        <v>3.1776040385497903E-2</v>
      </c>
      <c r="C328">
        <v>13.49</v>
      </c>
      <c r="D328">
        <v>1</v>
      </c>
      <c r="E328" t="str">
        <f t="shared" si="5"/>
        <v>Green</v>
      </c>
    </row>
    <row r="329" spans="1:5" x14ac:dyDescent="0.25">
      <c r="A329" s="28">
        <v>34880</v>
      </c>
      <c r="B329" s="17">
        <v>2.1278544224437399E-2</v>
      </c>
      <c r="C329">
        <v>11.38</v>
      </c>
      <c r="D329">
        <v>1</v>
      </c>
      <c r="E329" t="str">
        <f t="shared" si="5"/>
        <v>Green</v>
      </c>
    </row>
    <row r="330" spans="1:5" x14ac:dyDescent="0.25">
      <c r="A330" s="28">
        <v>34850</v>
      </c>
      <c r="B330" s="17">
        <v>3.6311711839953402E-2</v>
      </c>
      <c r="C330">
        <v>12.85</v>
      </c>
      <c r="D330">
        <v>1</v>
      </c>
      <c r="E330" t="str">
        <f t="shared" si="5"/>
        <v>Green</v>
      </c>
    </row>
    <row r="331" spans="1:5" x14ac:dyDescent="0.25">
      <c r="A331" s="28">
        <v>34817</v>
      </c>
      <c r="B331" s="17">
        <v>2.7960358793799302E-2</v>
      </c>
      <c r="C331">
        <v>11.75</v>
      </c>
      <c r="D331">
        <v>1</v>
      </c>
      <c r="E331" t="str">
        <f t="shared" si="5"/>
        <v>Green</v>
      </c>
    </row>
    <row r="332" spans="1:5" x14ac:dyDescent="0.25">
      <c r="A332" s="28">
        <v>34789</v>
      </c>
      <c r="B332" s="17">
        <v>2.7329193438646801E-2</v>
      </c>
      <c r="C332">
        <v>13.37</v>
      </c>
      <c r="D332">
        <v>1</v>
      </c>
      <c r="E332" t="str">
        <f t="shared" si="5"/>
        <v>Green</v>
      </c>
    </row>
    <row r="333" spans="1:5" x14ac:dyDescent="0.25">
      <c r="A333" s="28">
        <v>34758</v>
      </c>
      <c r="B333" s="17">
        <v>3.6074149761991602E-2</v>
      </c>
      <c r="C333">
        <v>11.75</v>
      </c>
      <c r="D333">
        <v>1</v>
      </c>
      <c r="E333" t="str">
        <f t="shared" si="5"/>
        <v>Green</v>
      </c>
    </row>
    <row r="334" spans="1:5" x14ac:dyDescent="0.25">
      <c r="A334" s="28">
        <v>34730</v>
      </c>
      <c r="B334" s="17">
        <v>2.4277710860833E-2</v>
      </c>
      <c r="C334">
        <v>11.96</v>
      </c>
      <c r="D334">
        <v>1</v>
      </c>
      <c r="E334" t="str">
        <f t="shared" si="5"/>
        <v>Green</v>
      </c>
    </row>
    <row r="335" spans="1:5" x14ac:dyDescent="0.25">
      <c r="A335" s="28">
        <v>34698</v>
      </c>
      <c r="B335" s="17">
        <v>1.22991182864991E-2</v>
      </c>
      <c r="C335">
        <v>13.2</v>
      </c>
      <c r="D335">
        <v>1</v>
      </c>
      <c r="E335" t="str">
        <f t="shared" si="5"/>
        <v>Green</v>
      </c>
    </row>
    <row r="336" spans="1:5" x14ac:dyDescent="0.25">
      <c r="A336" s="28">
        <v>34668</v>
      </c>
      <c r="B336" s="17">
        <v>-3.9504612602884202E-2</v>
      </c>
      <c r="C336">
        <v>15.95</v>
      </c>
      <c r="D336">
        <v>2</v>
      </c>
      <c r="E336" t="str">
        <f t="shared" si="5"/>
        <v>Red</v>
      </c>
    </row>
    <row r="337" spans="1:5" x14ac:dyDescent="0.25">
      <c r="A337" s="28">
        <v>34638</v>
      </c>
      <c r="B337" s="17">
        <v>2.0833816402291601E-2</v>
      </c>
      <c r="C337">
        <v>14.56</v>
      </c>
      <c r="D337">
        <v>2</v>
      </c>
      <c r="E337" t="str">
        <f t="shared" si="5"/>
        <v>Green</v>
      </c>
    </row>
    <row r="338" spans="1:5" x14ac:dyDescent="0.25">
      <c r="A338" s="28">
        <v>34607</v>
      </c>
      <c r="B338" s="17">
        <v>-2.68775353188823E-2</v>
      </c>
      <c r="C338">
        <v>14.28</v>
      </c>
      <c r="D338">
        <v>2</v>
      </c>
      <c r="E338" t="str">
        <f t="shared" si="5"/>
        <v>Red</v>
      </c>
    </row>
    <row r="339" spans="1:5" x14ac:dyDescent="0.25">
      <c r="A339" s="28">
        <v>34577</v>
      </c>
      <c r="B339" s="17">
        <v>3.7598698607805597E-2</v>
      </c>
      <c r="C339">
        <v>11.97</v>
      </c>
      <c r="D339">
        <v>1</v>
      </c>
      <c r="E339" t="str">
        <f t="shared" si="5"/>
        <v>Green</v>
      </c>
    </row>
    <row r="340" spans="1:5" x14ac:dyDescent="0.25">
      <c r="A340" s="28">
        <v>34544</v>
      </c>
      <c r="B340" s="17">
        <v>3.1489907818193802E-2</v>
      </c>
      <c r="C340">
        <v>11.13</v>
      </c>
      <c r="D340">
        <v>1</v>
      </c>
      <c r="E340" t="str">
        <f t="shared" si="5"/>
        <v>Green</v>
      </c>
    </row>
    <row r="341" spans="1:5" x14ac:dyDescent="0.25">
      <c r="A341" s="28">
        <v>34515</v>
      </c>
      <c r="B341" s="17">
        <v>-2.67908236582695E-2</v>
      </c>
      <c r="C341">
        <v>14.97</v>
      </c>
      <c r="D341">
        <v>2</v>
      </c>
      <c r="E341" t="str">
        <f t="shared" si="5"/>
        <v>Red</v>
      </c>
    </row>
    <row r="342" spans="1:5" x14ac:dyDescent="0.25">
      <c r="A342" s="28">
        <v>34485</v>
      </c>
      <c r="B342" s="17">
        <v>1.23971434441716E-2</v>
      </c>
      <c r="C342">
        <v>13.03</v>
      </c>
      <c r="D342">
        <v>1</v>
      </c>
      <c r="E342" t="str">
        <f t="shared" si="5"/>
        <v>Green</v>
      </c>
    </row>
    <row r="343" spans="1:5" x14ac:dyDescent="0.25">
      <c r="A343" s="28">
        <v>34453</v>
      </c>
      <c r="B343" s="17">
        <v>1.1530643889981601E-2</v>
      </c>
      <c r="C343">
        <v>13.77</v>
      </c>
      <c r="D343">
        <v>1</v>
      </c>
      <c r="E343" t="str">
        <f t="shared" si="5"/>
        <v>Green</v>
      </c>
    </row>
    <row r="344" spans="1:5" x14ac:dyDescent="0.25">
      <c r="A344" s="28">
        <v>34424</v>
      </c>
      <c r="B344" s="17">
        <v>-4.5746511353774701E-2</v>
      </c>
      <c r="C344">
        <v>20.450001</v>
      </c>
      <c r="D344">
        <v>3</v>
      </c>
      <c r="E344" t="str">
        <f t="shared" si="5"/>
        <v>Red</v>
      </c>
    </row>
    <row r="345" spans="1:5" x14ac:dyDescent="0.25">
      <c r="A345" s="28">
        <v>34393</v>
      </c>
      <c r="B345" s="17">
        <v>-3.00449958486637E-2</v>
      </c>
      <c r="C345">
        <v>14.87</v>
      </c>
      <c r="D345">
        <v>2</v>
      </c>
      <c r="E345" t="str">
        <f t="shared" si="5"/>
        <v>Red</v>
      </c>
    </row>
    <row r="346" spans="1:5" x14ac:dyDescent="0.25">
      <c r="A346" s="28">
        <v>34365</v>
      </c>
      <c r="B346" s="17">
        <v>3.2500745224549397E-2</v>
      </c>
      <c r="C346">
        <v>10.63</v>
      </c>
      <c r="D346">
        <v>1</v>
      </c>
      <c r="E346" t="str">
        <f t="shared" si="5"/>
        <v>Green</v>
      </c>
    </row>
    <row r="347" spans="1:5" x14ac:dyDescent="0.25">
      <c r="A347" s="28">
        <v>34334</v>
      </c>
      <c r="B347" s="17">
        <v>1.0091173280450901E-2</v>
      </c>
      <c r="C347">
        <v>11.66</v>
      </c>
      <c r="D347">
        <v>1</v>
      </c>
      <c r="E347" t="str">
        <f t="shared" si="5"/>
        <v>Green</v>
      </c>
    </row>
    <row r="348" spans="1:5" x14ac:dyDescent="0.25">
      <c r="A348" s="28">
        <v>34303</v>
      </c>
      <c r="B348" s="17">
        <v>-1.2910626013377001E-2</v>
      </c>
      <c r="C348">
        <v>13.76</v>
      </c>
      <c r="D348">
        <v>1</v>
      </c>
      <c r="E348" t="str">
        <f t="shared" si="5"/>
        <v>Red</v>
      </c>
    </row>
    <row r="349" spans="1:5" x14ac:dyDescent="0.25">
      <c r="A349" s="28">
        <v>34271</v>
      </c>
      <c r="B349" s="17">
        <v>1.9392922963742801E-2</v>
      </c>
      <c r="C349">
        <v>11.46</v>
      </c>
      <c r="D349">
        <v>1</v>
      </c>
      <c r="E349" t="str">
        <f t="shared" si="5"/>
        <v>Green</v>
      </c>
    </row>
    <row r="350" spans="1:5" x14ac:dyDescent="0.25">
      <c r="A350" s="28">
        <v>34242</v>
      </c>
      <c r="B350" s="17">
        <v>-9.9879304080935406E-3</v>
      </c>
      <c r="C350">
        <v>12.99</v>
      </c>
      <c r="D350">
        <v>1</v>
      </c>
      <c r="E350" t="str">
        <f t="shared" si="5"/>
        <v>Red</v>
      </c>
    </row>
    <row r="351" spans="1:5" x14ac:dyDescent="0.25">
      <c r="A351" s="28">
        <v>34212</v>
      </c>
      <c r="B351" s="17">
        <v>3.4431956860375902E-2</v>
      </c>
      <c r="C351">
        <v>11.85</v>
      </c>
      <c r="D351">
        <v>1</v>
      </c>
      <c r="E351" t="str">
        <f t="shared" si="5"/>
        <v>Green</v>
      </c>
    </row>
    <row r="352" spans="1:5" x14ac:dyDescent="0.25">
      <c r="A352" s="28">
        <v>34180</v>
      </c>
      <c r="B352" s="17">
        <v>-5.3270459355138104E-3</v>
      </c>
      <c r="C352">
        <v>11.73</v>
      </c>
      <c r="D352">
        <v>1</v>
      </c>
      <c r="E352" t="str">
        <f t="shared" si="5"/>
        <v>Red</v>
      </c>
    </row>
    <row r="353" spans="1:5" x14ac:dyDescent="0.25">
      <c r="A353" s="28">
        <v>34150</v>
      </c>
      <c r="B353" s="17">
        <v>7.55230010638819E-4</v>
      </c>
      <c r="C353">
        <v>11.26</v>
      </c>
      <c r="D353">
        <v>1</v>
      </c>
      <c r="E353" t="str">
        <f t="shared" si="5"/>
        <v>Green</v>
      </c>
    </row>
    <row r="354" spans="1:5" x14ac:dyDescent="0.25">
      <c r="A354" s="28">
        <v>34117</v>
      </c>
      <c r="B354" s="17">
        <v>2.2717462810525099E-2</v>
      </c>
      <c r="C354">
        <v>13.47</v>
      </c>
      <c r="D354">
        <v>1</v>
      </c>
      <c r="E354" t="str">
        <f t="shared" si="5"/>
        <v>Green</v>
      </c>
    </row>
    <row r="355" spans="1:5" x14ac:dyDescent="0.25">
      <c r="A355" s="28">
        <v>34089</v>
      </c>
      <c r="B355" s="17">
        <v>-2.54168102144962E-2</v>
      </c>
      <c r="C355">
        <v>12.42</v>
      </c>
      <c r="D355">
        <v>1</v>
      </c>
      <c r="E355" t="str">
        <f t="shared" si="5"/>
        <v>Red</v>
      </c>
    </row>
    <row r="356" spans="1:5" x14ac:dyDescent="0.25">
      <c r="A356" s="28">
        <v>34059</v>
      </c>
      <c r="B356" s="17">
        <v>1.8697297817929399E-2</v>
      </c>
      <c r="C356">
        <v>12.53</v>
      </c>
      <c r="D356">
        <v>1</v>
      </c>
      <c r="E356" t="str">
        <f t="shared" si="5"/>
        <v>Green</v>
      </c>
    </row>
    <row r="357" spans="1:5" x14ac:dyDescent="0.25">
      <c r="A357" s="28">
        <v>34026</v>
      </c>
      <c r="B357" s="17">
        <v>1.0483627354217699E-2</v>
      </c>
      <c r="C357">
        <v>13.16</v>
      </c>
      <c r="D357">
        <v>1</v>
      </c>
      <c r="E357" t="str">
        <f t="shared" si="5"/>
        <v>Green</v>
      </c>
    </row>
    <row r="358" spans="1:5" x14ac:dyDescent="0.25">
      <c r="A358" s="28">
        <v>33998</v>
      </c>
      <c r="B358" s="17">
        <v>7.0459894503542798E-3</v>
      </c>
      <c r="C358">
        <v>12.42</v>
      </c>
      <c r="D358">
        <v>1</v>
      </c>
      <c r="E358" t="str">
        <f t="shared" si="5"/>
        <v>Green</v>
      </c>
    </row>
    <row r="359" spans="1:5" x14ac:dyDescent="0.25">
      <c r="A359" s="28">
        <v>33969</v>
      </c>
      <c r="B359" s="17">
        <v>1.01077661744602E-2</v>
      </c>
      <c r="C359">
        <v>12.57</v>
      </c>
      <c r="D359">
        <v>1</v>
      </c>
      <c r="E359" t="str">
        <f t="shared" si="5"/>
        <v>Green</v>
      </c>
    </row>
    <row r="360" spans="1:5" x14ac:dyDescent="0.25">
      <c r="A360" s="28">
        <v>33938</v>
      </c>
      <c r="B360" s="17">
        <v>3.02618066586238E-2</v>
      </c>
      <c r="C360">
        <v>13.01</v>
      </c>
      <c r="D360">
        <v>1</v>
      </c>
      <c r="E360" t="str">
        <f t="shared" si="5"/>
        <v>Green</v>
      </c>
    </row>
    <row r="361" spans="1:5" x14ac:dyDescent="0.25">
      <c r="A361" s="28">
        <v>33907</v>
      </c>
      <c r="B361" s="17">
        <v>2.1062829709799199E-3</v>
      </c>
      <c r="C361">
        <v>16.149999999999999</v>
      </c>
      <c r="D361">
        <v>2</v>
      </c>
      <c r="E361" t="str">
        <f t="shared" si="5"/>
        <v>Green</v>
      </c>
    </row>
    <row r="362" spans="1:5" x14ac:dyDescent="0.25">
      <c r="A362" s="28">
        <v>33877</v>
      </c>
      <c r="B362" s="17">
        <v>9.1055938195434595E-3</v>
      </c>
      <c r="C362">
        <v>14.28</v>
      </c>
      <c r="D362">
        <v>2</v>
      </c>
      <c r="E362" t="str">
        <f t="shared" si="5"/>
        <v>Green</v>
      </c>
    </row>
    <row r="363" spans="1:5" x14ac:dyDescent="0.25">
      <c r="A363" s="28">
        <v>33847</v>
      </c>
      <c r="B363" s="17">
        <v>-2.3997530034600301E-2</v>
      </c>
      <c r="C363">
        <v>13.58</v>
      </c>
      <c r="D363">
        <v>1</v>
      </c>
      <c r="E363" t="str">
        <f t="shared" si="5"/>
        <v>Red</v>
      </c>
    </row>
    <row r="364" spans="1:5" x14ac:dyDescent="0.25">
      <c r="A364" s="28">
        <v>33816</v>
      </c>
      <c r="B364" s="17">
        <v>3.9373684053008097E-2</v>
      </c>
      <c r="C364">
        <v>13.17</v>
      </c>
      <c r="D364">
        <v>1</v>
      </c>
      <c r="E364" t="str">
        <f t="shared" si="5"/>
        <v>Green</v>
      </c>
    </row>
    <row r="365" spans="1:5" x14ac:dyDescent="0.25">
      <c r="A365" s="28">
        <v>33785</v>
      </c>
      <c r="B365" s="17">
        <v>-1.7358832059340301E-2</v>
      </c>
      <c r="C365">
        <v>13.35</v>
      </c>
      <c r="D365">
        <v>1</v>
      </c>
      <c r="E365" t="str">
        <f t="shared" si="5"/>
        <v>Red</v>
      </c>
    </row>
    <row r="366" spans="1:5" x14ac:dyDescent="0.25">
      <c r="A366" s="28">
        <v>33753</v>
      </c>
      <c r="B366" s="17">
        <v>9.6395707538854403E-4</v>
      </c>
      <c r="C366">
        <v>13.86</v>
      </c>
      <c r="D366">
        <v>2</v>
      </c>
      <c r="E366" t="str">
        <f t="shared" si="5"/>
        <v>Green</v>
      </c>
    </row>
    <row r="367" spans="1:5" x14ac:dyDescent="0.25">
      <c r="A367" s="28">
        <v>33724</v>
      </c>
      <c r="B367" s="17">
        <v>2.78927145686407E-2</v>
      </c>
      <c r="C367">
        <v>15.53</v>
      </c>
      <c r="D367">
        <v>2</v>
      </c>
      <c r="E367" t="str">
        <f t="shared" si="5"/>
        <v>Green</v>
      </c>
    </row>
    <row r="368" spans="1:5" x14ac:dyDescent="0.25">
      <c r="A368" s="28">
        <v>33694</v>
      </c>
      <c r="B368" s="17">
        <v>-2.1831862704186199E-2</v>
      </c>
      <c r="C368">
        <v>16.18</v>
      </c>
      <c r="D368">
        <v>2</v>
      </c>
      <c r="E368" t="str">
        <f t="shared" si="5"/>
        <v>Red</v>
      </c>
    </row>
    <row r="369" spans="1:5" x14ac:dyDescent="0.25">
      <c r="A369" s="28">
        <v>33662</v>
      </c>
      <c r="B369" s="17">
        <v>9.5895420754186205E-3</v>
      </c>
      <c r="C369">
        <v>16.68</v>
      </c>
      <c r="D369">
        <v>2</v>
      </c>
      <c r="E369" t="str">
        <f t="shared" si="5"/>
        <v>Green</v>
      </c>
    </row>
    <row r="370" spans="1:5" x14ac:dyDescent="0.25">
      <c r="A370" s="28">
        <v>33634</v>
      </c>
      <c r="B370" s="17">
        <v>-1.9923750460799899E-2</v>
      </c>
      <c r="C370">
        <v>17.399999999999999</v>
      </c>
      <c r="D370">
        <v>2</v>
      </c>
      <c r="E370" t="str">
        <f t="shared" si="5"/>
        <v>Red</v>
      </c>
    </row>
    <row r="371" spans="1:5" x14ac:dyDescent="0.25">
      <c r="A371" s="28">
        <v>33603</v>
      </c>
      <c r="B371" s="17">
        <v>0.1115878548276</v>
      </c>
      <c r="C371">
        <v>19.309999000000001</v>
      </c>
      <c r="D371">
        <v>3</v>
      </c>
      <c r="E371" t="str">
        <f t="shared" si="5"/>
        <v>Green</v>
      </c>
    </row>
    <row r="372" spans="1:5" x14ac:dyDescent="0.25">
      <c r="A372" s="28">
        <v>33571</v>
      </c>
      <c r="B372" s="17">
        <v>-4.3903708684304897E-2</v>
      </c>
      <c r="C372">
        <v>20.260000000000002</v>
      </c>
      <c r="D372">
        <v>3</v>
      </c>
      <c r="E372" t="str">
        <f t="shared" si="5"/>
        <v>Red</v>
      </c>
    </row>
    <row r="373" spans="1:5" x14ac:dyDescent="0.25">
      <c r="A373" s="28">
        <v>33542</v>
      </c>
      <c r="B373" s="17">
        <v>1.1834237037883701E-2</v>
      </c>
      <c r="C373">
        <v>15.48</v>
      </c>
      <c r="D373">
        <v>2</v>
      </c>
      <c r="E373" t="str">
        <f t="shared" si="5"/>
        <v>Green</v>
      </c>
    </row>
    <row r="374" spans="1:5" x14ac:dyDescent="0.25">
      <c r="A374" s="28">
        <v>33511</v>
      </c>
      <c r="B374" s="17">
        <v>-1.9143737536368399E-2</v>
      </c>
      <c r="C374">
        <v>15.85</v>
      </c>
      <c r="D374">
        <v>2</v>
      </c>
      <c r="E374" t="str">
        <f t="shared" si="5"/>
        <v>Red</v>
      </c>
    </row>
    <row r="375" spans="1:5" x14ac:dyDescent="0.25">
      <c r="A375" s="28">
        <v>33480</v>
      </c>
      <c r="B375" s="17">
        <v>1.96487842997797E-2</v>
      </c>
      <c r="C375">
        <v>14.46</v>
      </c>
      <c r="D375">
        <v>2</v>
      </c>
      <c r="E375" t="str">
        <f t="shared" si="5"/>
        <v>Green</v>
      </c>
    </row>
    <row r="376" spans="1:5" x14ac:dyDescent="0.25">
      <c r="A376" s="28">
        <v>33450</v>
      </c>
      <c r="B376" s="17">
        <v>4.4859343195825498E-2</v>
      </c>
      <c r="C376">
        <v>15.18</v>
      </c>
      <c r="D376">
        <v>2</v>
      </c>
      <c r="E376" t="str">
        <f t="shared" si="5"/>
        <v>Green</v>
      </c>
    </row>
    <row r="377" spans="1:5" x14ac:dyDescent="0.25">
      <c r="A377" s="28">
        <v>33417</v>
      </c>
      <c r="B377" s="17">
        <v>-4.7892629152718302E-2</v>
      </c>
      <c r="C377">
        <v>19.549999</v>
      </c>
      <c r="D377">
        <v>3</v>
      </c>
      <c r="E377" t="str">
        <f t="shared" si="5"/>
        <v>Red</v>
      </c>
    </row>
    <row r="378" spans="1:5" x14ac:dyDescent="0.25">
      <c r="A378" s="28">
        <v>33389</v>
      </c>
      <c r="B378" s="17">
        <v>3.8604974568177998E-2</v>
      </c>
      <c r="C378">
        <v>15.93</v>
      </c>
      <c r="D378">
        <v>2</v>
      </c>
      <c r="E378" t="str">
        <f t="shared" si="5"/>
        <v>Green</v>
      </c>
    </row>
    <row r="379" spans="1:5" x14ac:dyDescent="0.25">
      <c r="A379" s="28">
        <v>33358</v>
      </c>
      <c r="B379" s="17">
        <v>3.1979905037093898E-4</v>
      </c>
      <c r="C379">
        <v>18.239999999999998</v>
      </c>
      <c r="D379">
        <v>3</v>
      </c>
      <c r="E379" t="str">
        <f t="shared" si="5"/>
        <v>Green</v>
      </c>
    </row>
    <row r="380" spans="1:5" x14ac:dyDescent="0.25">
      <c r="A380" s="28">
        <v>33325</v>
      </c>
      <c r="B380" s="17">
        <v>2.22028328236583E-2</v>
      </c>
      <c r="C380">
        <v>16.879999000000002</v>
      </c>
      <c r="D380">
        <v>2</v>
      </c>
      <c r="E380" t="str">
        <f t="shared" si="5"/>
        <v>Green</v>
      </c>
    </row>
    <row r="381" spans="1:5" x14ac:dyDescent="0.25">
      <c r="A381" s="28">
        <v>33297</v>
      </c>
      <c r="B381" s="17">
        <v>6.7281174863978596E-2</v>
      </c>
      <c r="C381">
        <v>21.23</v>
      </c>
      <c r="D381">
        <v>3</v>
      </c>
      <c r="E381" t="str">
        <f t="shared" si="5"/>
        <v>Green</v>
      </c>
    </row>
    <row r="382" spans="1:5" x14ac:dyDescent="0.25">
      <c r="A382" s="28">
        <v>33269</v>
      </c>
      <c r="B382" s="17">
        <v>4.1517751676101597E-2</v>
      </c>
      <c r="C382">
        <v>20.91</v>
      </c>
      <c r="D382">
        <v>3</v>
      </c>
      <c r="E382" t="str">
        <f t="shared" si="5"/>
        <v>Green</v>
      </c>
    </row>
    <row r="383" spans="1:5" x14ac:dyDescent="0.25">
      <c r="A383" s="28">
        <v>33238</v>
      </c>
      <c r="B383" s="17">
        <v>2.4827757355757599E-2</v>
      </c>
      <c r="C383">
        <v>26.379999000000002</v>
      </c>
      <c r="D383">
        <v>4</v>
      </c>
      <c r="E383" t="str">
        <f t="shared" si="5"/>
        <v>Green</v>
      </c>
    </row>
    <row r="384" spans="1:5" x14ac:dyDescent="0.25">
      <c r="A384" s="28">
        <v>33207</v>
      </c>
      <c r="B384" s="17">
        <v>5.9934213815789401E-2</v>
      </c>
      <c r="C384">
        <v>22.16</v>
      </c>
      <c r="D384">
        <v>3</v>
      </c>
      <c r="E384" t="str">
        <f t="shared" si="5"/>
        <v>Green</v>
      </c>
    </row>
    <row r="385" spans="1:8" x14ac:dyDescent="0.25">
      <c r="A385" s="28">
        <v>33177</v>
      </c>
      <c r="B385" s="17">
        <v>-6.6982129729734599E-3</v>
      </c>
      <c r="C385">
        <v>30.040001</v>
      </c>
      <c r="D385">
        <v>4</v>
      </c>
      <c r="E385" t="str">
        <f t="shared" si="5"/>
        <v>Red</v>
      </c>
    </row>
    <row r="386" spans="1:8" x14ac:dyDescent="0.25">
      <c r="A386" s="28">
        <v>33144</v>
      </c>
      <c r="B386" s="17">
        <v>-5.1184307112997998E-2</v>
      </c>
      <c r="C386">
        <v>29.110001</v>
      </c>
      <c r="D386">
        <v>4</v>
      </c>
      <c r="E386" t="str">
        <f t="shared" ref="E386:E394" si="6">IF(B386&gt;0,"Green","Red")</f>
        <v>Red</v>
      </c>
    </row>
    <row r="387" spans="1:8" x14ac:dyDescent="0.25">
      <c r="A387" s="28">
        <v>33116</v>
      </c>
      <c r="B387" s="17">
        <v>-9.43141838154853E-2</v>
      </c>
      <c r="C387">
        <v>29.9</v>
      </c>
      <c r="D387">
        <v>4</v>
      </c>
      <c r="E387" t="str">
        <f t="shared" si="6"/>
        <v>Red</v>
      </c>
    </row>
    <row r="388" spans="1:8" x14ac:dyDescent="0.25">
      <c r="A388" s="28">
        <v>33085</v>
      </c>
      <c r="B388" s="17">
        <v>-5.2231580846174904E-3</v>
      </c>
      <c r="C388">
        <v>21.110001</v>
      </c>
      <c r="D388">
        <v>3</v>
      </c>
      <c r="E388" t="str">
        <f t="shared" si="6"/>
        <v>Red</v>
      </c>
    </row>
    <row r="389" spans="1:8" x14ac:dyDescent="0.25">
      <c r="A389" s="28">
        <v>33053</v>
      </c>
      <c r="B389" s="17">
        <v>-8.8863657565815303E-3</v>
      </c>
      <c r="C389">
        <v>15.5</v>
      </c>
      <c r="D389">
        <v>2</v>
      </c>
      <c r="E389" t="str">
        <f t="shared" si="6"/>
        <v>Red</v>
      </c>
    </row>
    <row r="390" spans="1:8" x14ac:dyDescent="0.25">
      <c r="A390" s="28">
        <v>33024</v>
      </c>
      <c r="B390" s="17">
        <v>9.1989190156802597E-2</v>
      </c>
      <c r="C390">
        <v>17.370000999999998</v>
      </c>
      <c r="D390">
        <v>2</v>
      </c>
      <c r="E390" t="str">
        <f t="shared" si="6"/>
        <v>Green</v>
      </c>
      <c r="H390" s="22"/>
    </row>
    <row r="391" spans="1:8" x14ac:dyDescent="0.25">
      <c r="A391" s="28">
        <v>32993</v>
      </c>
      <c r="B391" s="17">
        <v>-2.6887138748678398E-2</v>
      </c>
      <c r="C391">
        <v>19.52</v>
      </c>
      <c r="D391">
        <v>3</v>
      </c>
      <c r="E391" t="str">
        <f t="shared" si="6"/>
        <v>Red</v>
      </c>
    </row>
    <row r="392" spans="1:8" x14ac:dyDescent="0.25">
      <c r="A392" s="28">
        <v>32962</v>
      </c>
      <c r="B392" s="17">
        <v>2.4254983989199001E-2</v>
      </c>
      <c r="C392">
        <v>19.73</v>
      </c>
      <c r="D392">
        <v>3</v>
      </c>
      <c r="E392" t="str">
        <f t="shared" si="6"/>
        <v>Green</v>
      </c>
    </row>
    <row r="393" spans="1:8" x14ac:dyDescent="0.25">
      <c r="A393" s="28">
        <v>32932</v>
      </c>
      <c r="B393" s="17">
        <v>8.5390425155207304E-3</v>
      </c>
      <c r="C393">
        <v>21.99</v>
      </c>
      <c r="D393">
        <v>3</v>
      </c>
      <c r="E393" t="str">
        <f t="shared" si="6"/>
        <v>Green</v>
      </c>
    </row>
    <row r="394" spans="1:8" x14ac:dyDescent="0.25">
      <c r="A394" s="28">
        <v>32904</v>
      </c>
      <c r="B394" s="17">
        <v>-6.8817225277032601E-2</v>
      </c>
      <c r="C394">
        <v>25.360001</v>
      </c>
      <c r="D394">
        <v>4</v>
      </c>
      <c r="E394" t="str">
        <f t="shared" si="6"/>
        <v>Red</v>
      </c>
    </row>
  </sheetData>
  <autoFilter ref="A1:E1" xr:uid="{0701DF74-ED24-49C1-9B46-F65140EDD9BE}">
    <sortState xmlns:xlrd2="http://schemas.microsoft.com/office/spreadsheetml/2017/richdata2" ref="A2:E394">
      <sortCondition descending="1" ref="A1"/>
    </sortState>
  </autoFilter>
  <conditionalFormatting sqref="B2:B39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{CEAC2502-8B0C-481E-B4DD-3780DA15D972}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AC2502-8B0C-481E-B4DD-3780DA15D9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B2:B394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1132-BA50-4B14-AA17-28C9175D698E}">
  <dimension ref="A1:S159"/>
  <sheetViews>
    <sheetView topLeftCell="A43" zoomScale="70" zoomScaleNormal="70" workbookViewId="0">
      <selection activeCell="C72" sqref="C72"/>
    </sheetView>
  </sheetViews>
  <sheetFormatPr defaultRowHeight="15" x14ac:dyDescent="0.25"/>
  <cols>
    <col min="1" max="1" width="25.5703125" bestFit="1" customWidth="1"/>
    <col min="2" max="2" width="15.42578125" bestFit="1" customWidth="1"/>
    <col min="3" max="3" width="16.28515625" bestFit="1" customWidth="1"/>
    <col min="4" max="5" width="16.28515625" customWidth="1"/>
    <col min="6" max="6" width="10.140625" bestFit="1" customWidth="1"/>
    <col min="7" max="7" width="10" bestFit="1" customWidth="1"/>
    <col min="8" max="8" width="19.140625" bestFit="1" customWidth="1"/>
    <col min="9" max="9" width="21.7109375" bestFit="1" customWidth="1"/>
    <col min="10" max="10" width="18.85546875" bestFit="1" customWidth="1"/>
    <col min="11" max="11" width="17.7109375" bestFit="1" customWidth="1"/>
    <col min="12" max="12" width="25.28515625" bestFit="1" customWidth="1"/>
    <col min="13" max="13" width="25.7109375" bestFit="1" customWidth="1"/>
    <col min="14" max="14" width="32" bestFit="1" customWidth="1"/>
  </cols>
  <sheetData>
    <row r="1" spans="1:19" x14ac:dyDescent="0.25">
      <c r="A1" t="s">
        <v>69</v>
      </c>
      <c r="B1">
        <v>16.16</v>
      </c>
      <c r="C1" t="s">
        <v>27</v>
      </c>
      <c r="D1" s="14">
        <v>0.1201844</v>
      </c>
      <c r="E1" t="s">
        <v>26</v>
      </c>
      <c r="F1" s="14">
        <v>9.5350229999999994E-2</v>
      </c>
      <c r="G1" t="s">
        <v>25</v>
      </c>
      <c r="H1" s="14">
        <v>0.1428536</v>
      </c>
      <c r="K1">
        <v>16.16</v>
      </c>
      <c r="L1" t="s">
        <v>45</v>
      </c>
      <c r="M1" s="13">
        <v>22.966699999999999</v>
      </c>
      <c r="N1" t="s">
        <v>27</v>
      </c>
      <c r="O1" s="14">
        <v>9.3736410000000006E-2</v>
      </c>
      <c r="P1" t="s">
        <v>26</v>
      </c>
      <c r="Q1" s="14">
        <v>0.16258919999999999</v>
      </c>
      <c r="R1" t="s">
        <v>25</v>
      </c>
      <c r="S1" s="14">
        <v>0.16358059999999999</v>
      </c>
    </row>
    <row r="2" spans="1:19" x14ac:dyDescent="0.25">
      <c r="A2" t="s">
        <v>68</v>
      </c>
      <c r="C2" t="s">
        <v>27</v>
      </c>
      <c r="D2" s="14">
        <f>D1/SQRT(252)</f>
        <v>7.5709055683216946E-3</v>
      </c>
      <c r="E2" t="s">
        <v>26</v>
      </c>
      <c r="F2" s="14">
        <f>(1+F1)^(1/252)-1</f>
        <v>3.6147069923009312E-4</v>
      </c>
      <c r="G2" t="s">
        <v>25</v>
      </c>
      <c r="H2" s="14">
        <f>(1+H1)^(1/252)-1</f>
        <v>5.3001458518253663E-4</v>
      </c>
      <c r="L2" t="s">
        <v>68</v>
      </c>
      <c r="N2" t="s">
        <v>27</v>
      </c>
      <c r="O2" s="14">
        <f>O1/SQRT(252)</f>
        <v>5.9048388012378095E-3</v>
      </c>
      <c r="P2" t="s">
        <v>26</v>
      </c>
      <c r="Q2" s="14">
        <f>(1+Q1)^(1/252)-1</f>
        <v>5.9799454780251615E-4</v>
      </c>
      <c r="R2" t="s">
        <v>25</v>
      </c>
      <c r="S2" s="14">
        <f>(1+S1)^(1/252)-1</f>
        <v>6.0137906983226408E-4</v>
      </c>
    </row>
    <row r="3" spans="1:19" x14ac:dyDescent="0.25">
      <c r="A3" t="s">
        <v>27</v>
      </c>
      <c r="B3" s="14">
        <v>0.1139672</v>
      </c>
      <c r="C3" s="14">
        <v>0</v>
      </c>
      <c r="D3" s="14">
        <f>B3/SQRT(252)</f>
        <v>7.1792587813895338E-3</v>
      </c>
      <c r="E3" s="14">
        <f>C3/SQRT(252)</f>
        <v>0</v>
      </c>
      <c r="F3" t="s">
        <v>68</v>
      </c>
      <c r="H3" s="14"/>
      <c r="I3" s="14"/>
      <c r="J3" s="14"/>
      <c r="L3" t="s">
        <v>27</v>
      </c>
      <c r="M3" s="14">
        <v>7.8710260000000004E-2</v>
      </c>
      <c r="N3" s="14">
        <v>0</v>
      </c>
      <c r="O3" s="14">
        <f>M3/SQRT(252)</f>
        <v>4.9582803235532092E-3</v>
      </c>
      <c r="P3" s="14">
        <f>N3/SQRT(252)</f>
        <v>0</v>
      </c>
      <c r="Q3" t="s">
        <v>68</v>
      </c>
      <c r="S3" s="14"/>
    </row>
    <row r="4" spans="1:19" x14ac:dyDescent="0.25">
      <c r="A4" t="s">
        <v>26</v>
      </c>
      <c r="B4" s="14">
        <v>0.11577229999999999</v>
      </c>
      <c r="C4" s="14">
        <v>-1.5392909999999999E-2</v>
      </c>
      <c r="D4" s="14">
        <f>(1+B4)^(1/252)-1</f>
        <v>4.3480406689533346E-4</v>
      </c>
      <c r="E4" s="14">
        <f>(1+C4)^(1/252)-1</f>
        <v>-6.1556084672620415E-5</v>
      </c>
      <c r="F4" s="14"/>
      <c r="G4" t="s">
        <v>80</v>
      </c>
      <c r="H4" s="14"/>
      <c r="I4" s="14" t="s">
        <v>19</v>
      </c>
      <c r="J4">
        <v>385.3</v>
      </c>
      <c r="L4" t="s">
        <v>26</v>
      </c>
      <c r="M4" s="14">
        <v>0.18261289999999999</v>
      </c>
      <c r="N4" s="14">
        <v>-7.2659969999999997E-3</v>
      </c>
      <c r="O4" s="14">
        <f>(1+M4)^(1/252)-1</f>
        <v>6.6580215313338798E-4</v>
      </c>
      <c r="P4" s="14">
        <f>(1+N4)^(1/252)-1</f>
        <v>-2.8938164322256377E-5</v>
      </c>
      <c r="Q4" s="14"/>
      <c r="R4" t="s">
        <v>79</v>
      </c>
      <c r="S4" s="14"/>
    </row>
    <row r="5" spans="1:19" x14ac:dyDescent="0.25">
      <c r="A5" t="s">
        <v>25</v>
      </c>
      <c r="B5" s="14">
        <v>0.15867829999999999</v>
      </c>
      <c r="C5" s="14">
        <v>-1.5392909999999999E-2</v>
      </c>
      <c r="D5" s="14">
        <f>(1+B5)^(1/252)-1</f>
        <v>5.8461510242646675E-4</v>
      </c>
      <c r="E5" s="14">
        <f>(1+C5)^(1/252)-1</f>
        <v>-6.1556084672620415E-5</v>
      </c>
      <c r="F5" s="21" t="s">
        <v>40</v>
      </c>
      <c r="G5">
        <v>10</v>
      </c>
      <c r="L5" t="s">
        <v>25</v>
      </c>
      <c r="M5" s="14">
        <v>0.1806652</v>
      </c>
      <c r="N5" s="14">
        <v>-7.2659969999999997E-3</v>
      </c>
      <c r="O5" s="14">
        <f>(1+M5)^(1/252)-1</f>
        <v>6.5925693048285439E-4</v>
      </c>
      <c r="P5" s="14">
        <f>(1+N5)^(1/252)-1</f>
        <v>-2.8938164322256377E-5</v>
      </c>
      <c r="Q5" s="21" t="s">
        <v>40</v>
      </c>
      <c r="R5">
        <v>10</v>
      </c>
    </row>
    <row r="6" spans="1:19" x14ac:dyDescent="0.25">
      <c r="A6" t="s">
        <v>31</v>
      </c>
      <c r="B6" t="s">
        <v>30</v>
      </c>
      <c r="C6" t="s">
        <v>33</v>
      </c>
      <c r="F6" s="21" t="s">
        <v>41</v>
      </c>
      <c r="G6">
        <v>1</v>
      </c>
      <c r="L6" t="s">
        <v>31</v>
      </c>
      <c r="M6" t="s">
        <v>30</v>
      </c>
      <c r="N6" t="s">
        <v>33</v>
      </c>
      <c r="Q6" s="21" t="s">
        <v>41</v>
      </c>
      <c r="R6">
        <v>1</v>
      </c>
    </row>
    <row r="7" spans="1:19" x14ac:dyDescent="0.25">
      <c r="A7">
        <v>3</v>
      </c>
      <c r="B7" s="17">
        <v>1</v>
      </c>
      <c r="C7" s="17">
        <v>0</v>
      </c>
      <c r="D7" s="25">
        <f>$J$4*(A7/100+1)</f>
        <v>396.85900000000004</v>
      </c>
      <c r="E7" s="25">
        <f>(1-A7/100)*$J$4</f>
        <v>373.74099999999999</v>
      </c>
      <c r="F7" t="s">
        <v>42</v>
      </c>
      <c r="G7" s="13">
        <f>G5/G6</f>
        <v>10</v>
      </c>
      <c r="L7">
        <v>3</v>
      </c>
      <c r="M7" s="17">
        <v>1</v>
      </c>
      <c r="N7" s="17">
        <v>0</v>
      </c>
      <c r="O7" s="25">
        <f>$J$4*(L7/100+1)</f>
        <v>396.85900000000004</v>
      </c>
      <c r="P7" s="25">
        <f>(1-L7/100)*$J$4</f>
        <v>373.74099999999999</v>
      </c>
      <c r="Q7" t="s">
        <v>42</v>
      </c>
      <c r="R7" s="13">
        <f>R5/R6</f>
        <v>10</v>
      </c>
    </row>
    <row r="8" spans="1:19" x14ac:dyDescent="0.25">
      <c r="A8">
        <v>6</v>
      </c>
      <c r="B8" s="17">
        <v>0.8</v>
      </c>
      <c r="C8" s="17">
        <v>0</v>
      </c>
      <c r="D8" s="25">
        <f t="shared" ref="D8:D18" si="0">$J$4*(A8/100+1)</f>
        <v>408.41800000000001</v>
      </c>
      <c r="E8" s="25">
        <f t="shared" ref="E8:E18" si="1">(1-A8/100)*$J$4</f>
        <v>362.18200000000002</v>
      </c>
      <c r="G8" s="17">
        <f>G5/SUM(G5:G6)</f>
        <v>0.90909090909090906</v>
      </c>
      <c r="L8">
        <v>6</v>
      </c>
      <c r="M8" s="17">
        <v>0.9</v>
      </c>
      <c r="N8" s="17"/>
      <c r="O8" s="25">
        <f t="shared" ref="O8:O22" si="2">$J$4*(L8/100+1)</f>
        <v>408.41800000000001</v>
      </c>
      <c r="P8" s="25">
        <f t="shared" ref="P8:P22" si="3">(1-L8/100)*$J$4</f>
        <v>362.18200000000002</v>
      </c>
      <c r="R8" s="17">
        <f>R5/SUM(R5:R6)</f>
        <v>0.90909090909090906</v>
      </c>
    </row>
    <row r="9" spans="1:19" x14ac:dyDescent="0.25">
      <c r="A9">
        <v>9</v>
      </c>
      <c r="B9" s="17">
        <v>0.6</v>
      </c>
      <c r="C9" s="17">
        <v>0</v>
      </c>
      <c r="D9" s="25">
        <f t="shared" si="0"/>
        <v>419.97700000000003</v>
      </c>
      <c r="E9" s="25">
        <f t="shared" si="1"/>
        <v>350.62300000000005</v>
      </c>
      <c r="F9" s="25"/>
      <c r="G9" s="17">
        <f>G6/SUM(G5:G6)</f>
        <v>9.0909090909090912E-2</v>
      </c>
      <c r="L9">
        <v>9</v>
      </c>
      <c r="M9" s="17">
        <v>0.9</v>
      </c>
      <c r="N9" s="17"/>
      <c r="O9" s="25">
        <f t="shared" si="2"/>
        <v>419.97700000000003</v>
      </c>
      <c r="P9" s="25">
        <f t="shared" si="3"/>
        <v>350.62300000000005</v>
      </c>
      <c r="Q9" s="25"/>
      <c r="R9" s="17">
        <f>R6/SUM(R5:R6)</f>
        <v>9.0909090909090912E-2</v>
      </c>
    </row>
    <row r="10" spans="1:19" x14ac:dyDescent="0.25">
      <c r="A10">
        <v>12</v>
      </c>
      <c r="B10" s="17">
        <v>0.5</v>
      </c>
      <c r="C10" s="17">
        <v>0</v>
      </c>
      <c r="D10" s="25">
        <f t="shared" si="0"/>
        <v>431.53600000000006</v>
      </c>
      <c r="E10" s="25">
        <f t="shared" si="1"/>
        <v>339.06400000000002</v>
      </c>
      <c r="F10" s="17"/>
      <c r="G10" s="17"/>
      <c r="J10" s="25"/>
      <c r="L10">
        <v>12</v>
      </c>
      <c r="M10" s="17">
        <v>0.8</v>
      </c>
      <c r="N10" s="17"/>
      <c r="O10" s="25">
        <f t="shared" si="2"/>
        <v>431.53600000000006</v>
      </c>
      <c r="P10" s="25">
        <f t="shared" si="3"/>
        <v>339.06400000000002</v>
      </c>
      <c r="Q10" s="17"/>
      <c r="R10" s="17"/>
    </row>
    <row r="11" spans="1:19" x14ac:dyDescent="0.25">
      <c r="A11">
        <v>15</v>
      </c>
      <c r="B11" s="17">
        <v>0.4</v>
      </c>
      <c r="C11" s="17">
        <v>0</v>
      </c>
      <c r="D11" s="25">
        <f t="shared" si="0"/>
        <v>443.09499999999997</v>
      </c>
      <c r="E11" s="25">
        <f t="shared" si="1"/>
        <v>327.505</v>
      </c>
      <c r="F11" s="17"/>
      <c r="G11" s="17"/>
      <c r="L11">
        <v>15</v>
      </c>
      <c r="M11" s="17">
        <v>0.6</v>
      </c>
      <c r="N11" s="17"/>
      <c r="O11" s="25">
        <f t="shared" si="2"/>
        <v>443.09499999999997</v>
      </c>
      <c r="P11" s="25">
        <f t="shared" si="3"/>
        <v>327.505</v>
      </c>
      <c r="Q11" s="17"/>
      <c r="R11" s="17"/>
    </row>
    <row r="12" spans="1:19" x14ac:dyDescent="0.25">
      <c r="A12">
        <v>18</v>
      </c>
      <c r="B12" s="17">
        <v>0.4</v>
      </c>
      <c r="C12" s="17">
        <v>0</v>
      </c>
      <c r="D12" s="25">
        <f t="shared" si="0"/>
        <v>454.654</v>
      </c>
      <c r="E12" s="25">
        <f t="shared" si="1"/>
        <v>315.94600000000003</v>
      </c>
      <c r="F12" s="17"/>
      <c r="G12" s="17"/>
      <c r="L12">
        <v>18</v>
      </c>
      <c r="M12" s="17">
        <v>0.5</v>
      </c>
      <c r="N12" s="17"/>
      <c r="O12" s="25">
        <f t="shared" si="2"/>
        <v>454.654</v>
      </c>
      <c r="P12" s="25">
        <f t="shared" si="3"/>
        <v>315.94600000000003</v>
      </c>
      <c r="Q12" s="17"/>
      <c r="R12" s="17"/>
    </row>
    <row r="13" spans="1:19" x14ac:dyDescent="0.25">
      <c r="A13">
        <v>21</v>
      </c>
      <c r="B13" s="17">
        <v>0.3</v>
      </c>
      <c r="C13" s="17">
        <v>0</v>
      </c>
      <c r="D13" s="25">
        <f t="shared" si="0"/>
        <v>466.21300000000002</v>
      </c>
      <c r="E13" s="25">
        <f t="shared" si="1"/>
        <v>304.387</v>
      </c>
      <c r="F13" s="17"/>
      <c r="G13" s="17"/>
      <c r="L13">
        <v>21</v>
      </c>
      <c r="M13" s="17">
        <v>0.4</v>
      </c>
      <c r="N13" s="17"/>
      <c r="O13" s="25">
        <f t="shared" si="2"/>
        <v>466.21300000000002</v>
      </c>
      <c r="P13" s="25">
        <f t="shared" si="3"/>
        <v>304.387</v>
      </c>
      <c r="Q13" s="17"/>
      <c r="R13" s="17"/>
    </row>
    <row r="14" spans="1:19" x14ac:dyDescent="0.25">
      <c r="A14">
        <v>24</v>
      </c>
      <c r="B14" s="17">
        <v>0.3</v>
      </c>
      <c r="C14" s="17">
        <v>0</v>
      </c>
      <c r="D14" s="25">
        <f t="shared" si="0"/>
        <v>477.77199999999999</v>
      </c>
      <c r="E14" s="25">
        <f t="shared" si="1"/>
        <v>292.82800000000003</v>
      </c>
      <c r="F14" s="17"/>
      <c r="G14" s="17"/>
      <c r="L14">
        <v>24</v>
      </c>
      <c r="M14" s="17">
        <v>0.3</v>
      </c>
      <c r="N14" s="17"/>
      <c r="O14" s="25">
        <f t="shared" si="2"/>
        <v>477.77199999999999</v>
      </c>
      <c r="P14" s="25">
        <f t="shared" si="3"/>
        <v>292.82800000000003</v>
      </c>
      <c r="Q14" s="17"/>
      <c r="R14" s="17"/>
    </row>
    <row r="15" spans="1:19" x14ac:dyDescent="0.25">
      <c r="A15">
        <v>27</v>
      </c>
      <c r="B15" s="17">
        <v>0.3</v>
      </c>
      <c r="C15" s="17">
        <v>0</v>
      </c>
      <c r="D15" s="25">
        <f t="shared" si="0"/>
        <v>489.33100000000002</v>
      </c>
      <c r="E15" s="25">
        <f t="shared" si="1"/>
        <v>281.26900000000001</v>
      </c>
      <c r="F15" s="17"/>
      <c r="G15" s="17"/>
      <c r="L15">
        <v>27</v>
      </c>
      <c r="M15" s="17">
        <v>0</v>
      </c>
      <c r="N15" s="17"/>
      <c r="O15" s="25">
        <f t="shared" si="2"/>
        <v>489.33100000000002</v>
      </c>
      <c r="P15" s="25">
        <f t="shared" si="3"/>
        <v>281.26900000000001</v>
      </c>
      <c r="Q15" s="17"/>
      <c r="R15" s="17"/>
    </row>
    <row r="16" spans="1:19" x14ac:dyDescent="0.25">
      <c r="A16">
        <v>30</v>
      </c>
      <c r="B16" s="17">
        <v>0.1</v>
      </c>
      <c r="C16" s="17">
        <v>0</v>
      </c>
      <c r="D16" s="25">
        <f t="shared" si="0"/>
        <v>500.89000000000004</v>
      </c>
      <c r="E16" s="25">
        <f t="shared" si="1"/>
        <v>269.70999999999998</v>
      </c>
      <c r="F16" s="17"/>
      <c r="G16" s="17"/>
      <c r="J16" s="25"/>
      <c r="L16">
        <v>30</v>
      </c>
      <c r="M16" s="17"/>
      <c r="N16" s="17"/>
      <c r="O16" s="25">
        <f t="shared" si="2"/>
        <v>500.89000000000004</v>
      </c>
      <c r="P16" s="25">
        <f t="shared" si="3"/>
        <v>269.70999999999998</v>
      </c>
      <c r="Q16" s="17"/>
      <c r="R16" s="17"/>
    </row>
    <row r="17" spans="1:18" x14ac:dyDescent="0.25">
      <c r="A17">
        <v>33</v>
      </c>
      <c r="B17" s="17">
        <v>0.1</v>
      </c>
      <c r="C17" s="17">
        <v>0</v>
      </c>
      <c r="D17" s="25">
        <f t="shared" si="0"/>
        <v>512.44900000000007</v>
      </c>
      <c r="E17" s="25">
        <f t="shared" si="1"/>
        <v>258.15099999999995</v>
      </c>
      <c r="F17" s="17"/>
      <c r="G17" s="17"/>
      <c r="J17" s="25"/>
      <c r="L17">
        <v>33</v>
      </c>
      <c r="M17" s="17"/>
      <c r="N17" s="17"/>
      <c r="O17" s="25">
        <f t="shared" si="2"/>
        <v>512.44900000000007</v>
      </c>
      <c r="P17" s="25">
        <f t="shared" si="3"/>
        <v>258.15099999999995</v>
      </c>
      <c r="Q17" s="17"/>
      <c r="R17" s="17"/>
    </row>
    <row r="18" spans="1:18" x14ac:dyDescent="0.25">
      <c r="A18">
        <v>36</v>
      </c>
      <c r="B18" s="17">
        <v>0</v>
      </c>
      <c r="C18" s="17">
        <v>0</v>
      </c>
      <c r="D18" s="25">
        <f t="shared" si="0"/>
        <v>524.00799999999992</v>
      </c>
      <c r="E18" s="25">
        <f t="shared" si="1"/>
        <v>246.59200000000001</v>
      </c>
      <c r="F18" s="17"/>
      <c r="G18" s="17"/>
      <c r="J18" s="25"/>
      <c r="L18">
        <v>36</v>
      </c>
      <c r="M18" s="17"/>
      <c r="N18" s="17"/>
      <c r="O18" s="25">
        <f t="shared" si="2"/>
        <v>524.00799999999992</v>
      </c>
      <c r="P18" s="25">
        <f t="shared" si="3"/>
        <v>246.59200000000001</v>
      </c>
      <c r="Q18" s="17"/>
      <c r="R18" s="17"/>
    </row>
    <row r="19" spans="1:18" x14ac:dyDescent="0.25">
      <c r="A19" t="s">
        <v>27</v>
      </c>
      <c r="B19">
        <v>4.2</v>
      </c>
      <c r="C19">
        <v>0</v>
      </c>
      <c r="D19" s="25"/>
      <c r="E19" s="25"/>
      <c r="F19" s="17"/>
      <c r="G19" s="17"/>
      <c r="J19" s="25"/>
      <c r="L19">
        <v>39</v>
      </c>
      <c r="M19" s="17"/>
      <c r="N19" s="17"/>
      <c r="O19" s="25">
        <f t="shared" si="2"/>
        <v>535.56700000000001</v>
      </c>
      <c r="P19" s="25">
        <f t="shared" si="3"/>
        <v>235.03300000000002</v>
      </c>
      <c r="Q19" s="17"/>
      <c r="R19" s="17"/>
    </row>
    <row r="20" spans="1:18" x14ac:dyDescent="0.25">
      <c r="A20" t="s">
        <v>26</v>
      </c>
      <c r="B20">
        <v>5</v>
      </c>
      <c r="C20">
        <v>1</v>
      </c>
      <c r="D20" s="25"/>
      <c r="E20" s="25"/>
      <c r="F20" s="17"/>
      <c r="G20" s="17"/>
      <c r="J20" s="25"/>
      <c r="L20">
        <v>42</v>
      </c>
      <c r="M20" s="17"/>
      <c r="N20" s="17"/>
      <c r="O20" s="25">
        <f t="shared" si="2"/>
        <v>547.12599999999998</v>
      </c>
      <c r="P20" s="25">
        <f t="shared" si="3"/>
        <v>223.47400000000005</v>
      </c>
      <c r="Q20" s="17"/>
      <c r="R20" s="17"/>
    </row>
    <row r="21" spans="1:18" x14ac:dyDescent="0.25">
      <c r="A21" t="s">
        <v>25</v>
      </c>
      <c r="B21">
        <v>5</v>
      </c>
      <c r="C21">
        <v>1</v>
      </c>
      <c r="D21" s="25"/>
      <c r="E21" s="25"/>
      <c r="F21" s="17"/>
      <c r="G21" s="17"/>
      <c r="J21" s="25"/>
      <c r="L21">
        <v>45</v>
      </c>
      <c r="M21" s="17"/>
      <c r="N21" s="17"/>
      <c r="O21" s="25">
        <f t="shared" si="2"/>
        <v>558.68499999999995</v>
      </c>
      <c r="P21" s="25">
        <f t="shared" si="3"/>
        <v>211.91500000000002</v>
      </c>
      <c r="Q21" s="17"/>
      <c r="R21" s="17"/>
    </row>
    <row r="22" spans="1:18" x14ac:dyDescent="0.25">
      <c r="A22" s="17" t="s">
        <v>76</v>
      </c>
      <c r="B22" s="17">
        <v>0</v>
      </c>
      <c r="C22" s="17">
        <v>0</v>
      </c>
      <c r="D22" s="25"/>
      <c r="E22" s="25"/>
      <c r="F22" s="17"/>
      <c r="G22" s="17"/>
      <c r="J22" s="25"/>
      <c r="L22">
        <v>48</v>
      </c>
      <c r="M22" s="17"/>
      <c r="N22" s="17"/>
      <c r="O22" s="25">
        <f t="shared" si="2"/>
        <v>570.24400000000003</v>
      </c>
      <c r="P22" s="25">
        <f t="shared" si="3"/>
        <v>200.35600000000002</v>
      </c>
      <c r="Q22" s="17"/>
      <c r="R22" s="17"/>
    </row>
    <row r="23" spans="1:18" x14ac:dyDescent="0.25">
      <c r="A23" t="s">
        <v>78</v>
      </c>
      <c r="B23" s="17">
        <v>0.5</v>
      </c>
      <c r="C23" s="17">
        <v>0</v>
      </c>
      <c r="D23" s="25"/>
      <c r="E23" s="25"/>
      <c r="F23" s="17"/>
      <c r="G23" s="17"/>
      <c r="J23" s="25"/>
      <c r="L23" t="s">
        <v>27</v>
      </c>
      <c r="M23">
        <v>4.2</v>
      </c>
      <c r="N23">
        <v>0</v>
      </c>
      <c r="O23" s="25"/>
      <c r="P23" s="25"/>
      <c r="Q23" s="17"/>
      <c r="R23" s="17"/>
    </row>
    <row r="24" spans="1:18" x14ac:dyDescent="0.25">
      <c r="A24" t="s">
        <v>81</v>
      </c>
      <c r="B24">
        <v>2</v>
      </c>
      <c r="C24">
        <v>8</v>
      </c>
      <c r="D24" s="25"/>
      <c r="E24" s="25"/>
      <c r="F24" s="17"/>
      <c r="G24" s="17"/>
      <c r="J24" s="25"/>
      <c r="L24" t="s">
        <v>26</v>
      </c>
      <c r="M24">
        <v>5</v>
      </c>
      <c r="N24">
        <v>1</v>
      </c>
      <c r="O24" s="25"/>
      <c r="P24" s="25"/>
      <c r="Q24" s="17"/>
      <c r="R24" s="17"/>
    </row>
    <row r="25" spans="1:18" x14ac:dyDescent="0.25">
      <c r="A25" t="s">
        <v>22</v>
      </c>
      <c r="B25">
        <v>1</v>
      </c>
      <c r="D25" s="25"/>
      <c r="E25" s="25"/>
      <c r="F25" s="17"/>
      <c r="G25" s="17"/>
      <c r="J25" s="25"/>
      <c r="L25" t="s">
        <v>25</v>
      </c>
      <c r="M25">
        <v>5</v>
      </c>
      <c r="N25">
        <v>1</v>
      </c>
      <c r="O25" s="25"/>
      <c r="P25" s="25"/>
      <c r="Q25" s="17"/>
      <c r="R25" s="17"/>
    </row>
    <row r="26" spans="1:18" x14ac:dyDescent="0.25">
      <c r="D26" s="25"/>
      <c r="E26" s="25"/>
      <c r="F26" s="17"/>
      <c r="G26" s="17"/>
      <c r="J26" s="25"/>
      <c r="L26" s="17" t="s">
        <v>76</v>
      </c>
      <c r="M26" s="17">
        <v>0</v>
      </c>
      <c r="N26" s="17">
        <v>0</v>
      </c>
      <c r="O26" s="25"/>
      <c r="P26" s="25"/>
      <c r="Q26" s="17"/>
      <c r="R26" s="17"/>
    </row>
    <row r="27" spans="1:18" x14ac:dyDescent="0.25">
      <c r="D27" s="25"/>
      <c r="E27" s="25"/>
      <c r="F27" s="17"/>
      <c r="G27" s="17"/>
      <c r="J27" s="25"/>
      <c r="L27" t="s">
        <v>78</v>
      </c>
      <c r="M27" s="17">
        <v>0.5</v>
      </c>
      <c r="N27" s="17">
        <v>0</v>
      </c>
      <c r="O27" s="25"/>
      <c r="P27" s="25"/>
      <c r="Q27" s="17"/>
      <c r="R27" s="17"/>
    </row>
    <row r="28" spans="1:18" x14ac:dyDescent="0.25">
      <c r="D28" s="25"/>
      <c r="E28" s="25"/>
      <c r="F28" s="17"/>
      <c r="G28" s="17"/>
      <c r="J28" s="25"/>
      <c r="L28" t="s">
        <v>81</v>
      </c>
      <c r="M28">
        <v>8</v>
      </c>
      <c r="N28">
        <v>2</v>
      </c>
      <c r="O28" s="25"/>
      <c r="P28" s="25"/>
      <c r="Q28" s="17"/>
      <c r="R28" s="17"/>
    </row>
    <row r="29" spans="1:18" x14ac:dyDescent="0.25">
      <c r="D29" s="25"/>
      <c r="E29" s="25"/>
      <c r="F29" s="17"/>
      <c r="G29" s="17"/>
      <c r="J29" s="25"/>
      <c r="L29" t="s">
        <v>22</v>
      </c>
      <c r="M29">
        <v>1</v>
      </c>
      <c r="O29" s="25"/>
      <c r="P29" s="25"/>
      <c r="Q29" s="17"/>
      <c r="R29" s="17"/>
    </row>
    <row r="30" spans="1:18" x14ac:dyDescent="0.25">
      <c r="A30">
        <v>22.97</v>
      </c>
      <c r="B30" s="17"/>
      <c r="C30" s="25"/>
      <c r="D30" s="25"/>
      <c r="E30" s="17"/>
      <c r="F30" s="17"/>
      <c r="J30" s="25"/>
      <c r="M30" s="17"/>
      <c r="N30" s="17"/>
      <c r="O30" s="25"/>
      <c r="P30" s="25"/>
      <c r="Q30" s="17"/>
      <c r="R30" s="17"/>
    </row>
    <row r="31" spans="1:18" x14ac:dyDescent="0.25">
      <c r="A31" t="s">
        <v>45</v>
      </c>
      <c r="B31" s="13">
        <v>40</v>
      </c>
      <c r="C31" t="s">
        <v>27</v>
      </c>
      <c r="D31" s="14">
        <v>0.21554619999999999</v>
      </c>
      <c r="E31" t="s">
        <v>26</v>
      </c>
      <c r="F31" s="14">
        <v>-6.5591380000000005E-2</v>
      </c>
      <c r="G31" t="s">
        <v>25</v>
      </c>
      <c r="H31" s="14">
        <v>-3.5784940000000001E-2</v>
      </c>
      <c r="J31" s="25"/>
      <c r="M31" s="17"/>
      <c r="N31" s="17"/>
      <c r="O31" s="25"/>
      <c r="P31" s="25"/>
      <c r="Q31" s="17"/>
      <c r="R31" s="17"/>
    </row>
    <row r="32" spans="1:18" x14ac:dyDescent="0.25">
      <c r="A32" t="s">
        <v>68</v>
      </c>
      <c r="C32" t="s">
        <v>27</v>
      </c>
      <c r="D32" s="14">
        <f>D31/SQRT(252)</f>
        <v>1.3578134315356915E-2</v>
      </c>
      <c r="E32" t="s">
        <v>26</v>
      </c>
      <c r="F32" s="14">
        <f>(1+F31)^(1/252)-1</f>
        <v>-2.6917583623575769E-4</v>
      </c>
      <c r="G32" t="s">
        <v>25</v>
      </c>
      <c r="H32" s="14">
        <f>(1+H31)^(1/252)-1</f>
        <v>-1.4459636226527017E-4</v>
      </c>
      <c r="J32" s="25"/>
      <c r="M32" s="17"/>
      <c r="N32" s="17"/>
      <c r="O32" s="25"/>
      <c r="P32" s="25"/>
      <c r="Q32" s="17"/>
      <c r="R32" s="17"/>
    </row>
    <row r="33" spans="1:18" x14ac:dyDescent="0.25">
      <c r="A33" t="s">
        <v>27</v>
      </c>
      <c r="B33" s="14">
        <v>5.797807E-2</v>
      </c>
      <c r="C33" s="14">
        <v>0.12156309999999999</v>
      </c>
      <c r="D33" s="14">
        <f>B33/SQRT(21)</f>
        <v>1.2651852115354684E-2</v>
      </c>
      <c r="E33" s="14">
        <f>C33/SQRT(21)</f>
        <v>2.6527243212546965E-2</v>
      </c>
      <c r="F33" t="s">
        <v>68</v>
      </c>
      <c r="H33" s="14"/>
      <c r="J33" s="25"/>
      <c r="M33" s="17"/>
      <c r="N33" s="17"/>
      <c r="O33" s="25"/>
      <c r="P33" s="25"/>
      <c r="Q33" s="17"/>
      <c r="R33" s="17"/>
    </row>
    <row r="34" spans="1:18" x14ac:dyDescent="0.25">
      <c r="A34" t="s">
        <v>26</v>
      </c>
      <c r="B34" s="14">
        <v>0.26668589999999998</v>
      </c>
      <c r="C34" s="14">
        <v>-0.1159094</v>
      </c>
      <c r="D34" s="14">
        <f>(1+B34)^(1/21)-1</f>
        <v>1.1320933727616334E-2</v>
      </c>
      <c r="E34" s="14">
        <f>(1+C34)^(1/21)-1</f>
        <v>-5.8492893751401764E-3</v>
      </c>
      <c r="F34" s="14"/>
      <c r="G34" t="s">
        <v>79</v>
      </c>
      <c r="H34" s="14"/>
      <c r="J34" s="25"/>
      <c r="M34" s="17"/>
      <c r="N34" s="17"/>
      <c r="O34" s="25"/>
      <c r="P34" s="25"/>
      <c r="Q34" s="17"/>
      <c r="R34" s="17"/>
    </row>
    <row r="35" spans="1:18" x14ac:dyDescent="0.25">
      <c r="A35" t="s">
        <v>25</v>
      </c>
      <c r="B35" s="14">
        <v>0.25734269999999998</v>
      </c>
      <c r="C35" s="14">
        <v>-0.1457078</v>
      </c>
      <c r="D35" s="14">
        <f>(1+B35)^(1/21)-1</f>
        <v>1.0964460840519719E-2</v>
      </c>
      <c r="E35" s="14">
        <f>(1+C35)^(1/21)-1</f>
        <v>-7.4710939292795819E-3</v>
      </c>
      <c r="F35" s="21" t="s">
        <v>40</v>
      </c>
      <c r="G35">
        <v>3</v>
      </c>
      <c r="J35" s="25"/>
      <c r="M35" s="17"/>
      <c r="N35" s="17"/>
      <c r="O35" s="25"/>
      <c r="P35" s="25"/>
      <c r="Q35" s="17"/>
      <c r="R35" s="17"/>
    </row>
    <row r="36" spans="1:18" x14ac:dyDescent="0.25">
      <c r="A36" t="s">
        <v>31</v>
      </c>
      <c r="B36" t="s">
        <v>30</v>
      </c>
      <c r="C36" t="s">
        <v>33</v>
      </c>
      <c r="F36" s="21" t="s">
        <v>41</v>
      </c>
      <c r="G36">
        <v>8</v>
      </c>
      <c r="J36" s="25"/>
      <c r="M36" s="17"/>
      <c r="N36" s="17"/>
      <c r="O36" s="25"/>
      <c r="P36" s="25"/>
      <c r="Q36" s="17"/>
      <c r="R36" s="17"/>
    </row>
    <row r="37" spans="1:18" x14ac:dyDescent="0.25">
      <c r="A37">
        <v>3</v>
      </c>
      <c r="B37" s="17">
        <v>1</v>
      </c>
      <c r="C37" s="17">
        <v>0.875</v>
      </c>
      <c r="D37" s="25">
        <f>$J$4*(A37/100+1)</f>
        <v>396.85900000000004</v>
      </c>
      <c r="E37" s="25">
        <f>(1-A37/100)*$J$4</f>
        <v>373.74099999999999</v>
      </c>
      <c r="F37" t="s">
        <v>42</v>
      </c>
      <c r="G37" s="13">
        <f>G35/G36</f>
        <v>0.375</v>
      </c>
      <c r="J37" s="25"/>
      <c r="M37" s="17"/>
      <c r="N37" s="17"/>
      <c r="O37" s="25"/>
      <c r="P37" s="25"/>
      <c r="Q37" s="17"/>
      <c r="R37" s="17"/>
    </row>
    <row r="38" spans="1:18" x14ac:dyDescent="0.25">
      <c r="A38">
        <v>6</v>
      </c>
      <c r="B38" s="17">
        <v>1</v>
      </c>
      <c r="C38" s="17">
        <v>0.875</v>
      </c>
      <c r="D38" s="25">
        <f t="shared" ref="D38:D52" si="4">$J$4*(A38/100+1)</f>
        <v>408.41800000000001</v>
      </c>
      <c r="E38" s="25">
        <f t="shared" ref="E38:E52" si="5">(1-A38/100)*$J$4</f>
        <v>362.18200000000002</v>
      </c>
      <c r="G38" s="17">
        <f>G35/SUM(G35:G36)</f>
        <v>0.27272727272727271</v>
      </c>
      <c r="J38" s="25"/>
      <c r="M38" s="17"/>
      <c r="N38" s="17"/>
      <c r="O38" s="25"/>
      <c r="P38" s="25"/>
      <c r="Q38" s="17"/>
      <c r="R38" s="17"/>
    </row>
    <row r="39" spans="1:18" x14ac:dyDescent="0.25">
      <c r="A39">
        <v>9</v>
      </c>
      <c r="B39" s="17">
        <v>1</v>
      </c>
      <c r="C39" s="17">
        <v>0.625</v>
      </c>
      <c r="D39" s="25">
        <f t="shared" si="4"/>
        <v>419.97700000000003</v>
      </c>
      <c r="E39" s="25">
        <f t="shared" si="5"/>
        <v>350.62300000000005</v>
      </c>
      <c r="F39" s="25"/>
      <c r="G39" s="17">
        <f>G36/SUM(G35:G36)</f>
        <v>0.72727272727272729</v>
      </c>
      <c r="J39" s="25"/>
      <c r="M39" s="17"/>
      <c r="N39" s="17"/>
      <c r="O39" s="25"/>
      <c r="P39" s="25"/>
      <c r="Q39" s="17"/>
      <c r="R39" s="17"/>
    </row>
    <row r="40" spans="1:18" x14ac:dyDescent="0.25">
      <c r="A40">
        <v>12</v>
      </c>
      <c r="B40" s="17">
        <v>1</v>
      </c>
      <c r="C40" s="17">
        <v>0.5</v>
      </c>
      <c r="D40" s="25">
        <f t="shared" si="4"/>
        <v>431.53600000000006</v>
      </c>
      <c r="E40" s="25">
        <f t="shared" si="5"/>
        <v>339.06400000000002</v>
      </c>
      <c r="F40" s="17"/>
      <c r="G40" s="17"/>
    </row>
    <row r="41" spans="1:18" x14ac:dyDescent="0.25">
      <c r="A41">
        <v>15</v>
      </c>
      <c r="B41" s="17">
        <v>1</v>
      </c>
      <c r="C41" s="17">
        <v>0.375</v>
      </c>
      <c r="D41" s="25">
        <f t="shared" si="4"/>
        <v>443.09499999999997</v>
      </c>
      <c r="E41" s="25">
        <f t="shared" si="5"/>
        <v>327.505</v>
      </c>
      <c r="F41" s="17"/>
      <c r="G41" s="17"/>
    </row>
    <row r="42" spans="1:18" x14ac:dyDescent="0.25">
      <c r="A42">
        <v>18</v>
      </c>
      <c r="B42" s="17">
        <v>1</v>
      </c>
      <c r="C42" s="17">
        <v>0.375</v>
      </c>
      <c r="D42" s="25">
        <f t="shared" si="4"/>
        <v>454.654</v>
      </c>
      <c r="E42" s="25">
        <f t="shared" si="5"/>
        <v>315.94600000000003</v>
      </c>
      <c r="F42" s="17"/>
      <c r="G42" s="17"/>
    </row>
    <row r="43" spans="1:18" x14ac:dyDescent="0.25">
      <c r="A43">
        <v>21</v>
      </c>
      <c r="B43" s="17">
        <v>0.66666669999999995</v>
      </c>
      <c r="C43" s="17">
        <v>0.25</v>
      </c>
      <c r="D43" s="25">
        <f t="shared" si="4"/>
        <v>466.21300000000002</v>
      </c>
      <c r="E43" s="25">
        <f t="shared" si="5"/>
        <v>304.387</v>
      </c>
      <c r="F43" s="17"/>
      <c r="G43" s="17"/>
      <c r="J43" s="13"/>
    </row>
    <row r="44" spans="1:18" x14ac:dyDescent="0.25">
      <c r="A44">
        <v>24</v>
      </c>
      <c r="B44" s="17">
        <v>0.66666669999999995</v>
      </c>
      <c r="C44" s="17">
        <v>0.125</v>
      </c>
      <c r="D44" s="25">
        <f t="shared" si="4"/>
        <v>477.77199999999999</v>
      </c>
      <c r="E44" s="25">
        <f t="shared" si="5"/>
        <v>292.82800000000003</v>
      </c>
      <c r="F44" s="17"/>
      <c r="G44" s="17"/>
    </row>
    <row r="45" spans="1:18" x14ac:dyDescent="0.25">
      <c r="A45">
        <v>27</v>
      </c>
      <c r="B45" s="17">
        <v>0.3333333</v>
      </c>
      <c r="C45" s="17">
        <v>0.125</v>
      </c>
      <c r="D45" s="25">
        <f t="shared" si="4"/>
        <v>489.33100000000002</v>
      </c>
      <c r="E45" s="25">
        <f t="shared" si="5"/>
        <v>281.26900000000001</v>
      </c>
      <c r="F45" s="17"/>
      <c r="G45" s="17"/>
    </row>
    <row r="46" spans="1:18" x14ac:dyDescent="0.25">
      <c r="A46">
        <v>30</v>
      </c>
      <c r="B46" s="17">
        <v>0.3333333</v>
      </c>
      <c r="C46" s="17">
        <v>0.125</v>
      </c>
      <c r="D46" s="25">
        <f t="shared" si="4"/>
        <v>500.89000000000004</v>
      </c>
      <c r="E46" s="25">
        <f t="shared" si="5"/>
        <v>269.70999999999998</v>
      </c>
      <c r="F46" s="17"/>
      <c r="G46" s="17"/>
    </row>
    <row r="47" spans="1:18" x14ac:dyDescent="0.25">
      <c r="A47">
        <v>33</v>
      </c>
      <c r="B47" s="17">
        <v>0</v>
      </c>
      <c r="C47" s="17">
        <v>0.125</v>
      </c>
      <c r="D47" s="25">
        <f t="shared" si="4"/>
        <v>512.44900000000007</v>
      </c>
      <c r="E47" s="25">
        <f t="shared" si="5"/>
        <v>258.15099999999995</v>
      </c>
      <c r="F47" s="17"/>
    </row>
    <row r="48" spans="1:18" x14ac:dyDescent="0.25">
      <c r="A48">
        <v>36</v>
      </c>
      <c r="B48" s="17">
        <v>0</v>
      </c>
      <c r="C48" s="17">
        <v>0.125</v>
      </c>
      <c r="D48" s="25">
        <f t="shared" si="4"/>
        <v>524.00799999999992</v>
      </c>
      <c r="E48" s="25">
        <f t="shared" si="5"/>
        <v>246.59200000000001</v>
      </c>
      <c r="F48" s="17"/>
      <c r="J48" t="s">
        <v>27</v>
      </c>
      <c r="K48">
        <v>1.6</v>
      </c>
      <c r="L48">
        <v>0.8</v>
      </c>
    </row>
    <row r="49" spans="1:12" x14ac:dyDescent="0.25">
      <c r="A49">
        <v>39</v>
      </c>
      <c r="B49" s="17"/>
      <c r="C49" s="17">
        <v>0</v>
      </c>
      <c r="D49" s="25">
        <f t="shared" si="4"/>
        <v>535.56700000000001</v>
      </c>
      <c r="E49" s="25">
        <f t="shared" si="5"/>
        <v>235.03300000000002</v>
      </c>
      <c r="F49" s="17"/>
      <c r="J49" t="s">
        <v>26</v>
      </c>
      <c r="K49">
        <v>3</v>
      </c>
      <c r="L49">
        <v>1</v>
      </c>
    </row>
    <row r="50" spans="1:12" x14ac:dyDescent="0.25">
      <c r="A50">
        <v>42</v>
      </c>
      <c r="B50" s="17"/>
      <c r="C50" s="17"/>
      <c r="D50" s="25">
        <f t="shared" si="4"/>
        <v>547.12599999999998</v>
      </c>
      <c r="E50" s="25">
        <f t="shared" si="5"/>
        <v>223.47400000000005</v>
      </c>
      <c r="F50" s="17"/>
      <c r="J50" t="s">
        <v>25</v>
      </c>
      <c r="K50">
        <v>2.9</v>
      </c>
      <c r="L50">
        <v>1.3</v>
      </c>
    </row>
    <row r="51" spans="1:12" x14ac:dyDescent="0.25">
      <c r="A51">
        <v>45</v>
      </c>
      <c r="B51" s="17"/>
      <c r="C51" s="17"/>
      <c r="D51" s="25">
        <f t="shared" si="4"/>
        <v>558.68499999999995</v>
      </c>
      <c r="E51" s="25">
        <f t="shared" si="5"/>
        <v>211.91500000000002</v>
      </c>
      <c r="F51" s="17"/>
      <c r="J51" s="17" t="s">
        <v>76</v>
      </c>
      <c r="K51" s="17">
        <v>0.13636363000000001</v>
      </c>
      <c r="L51" s="17">
        <v>0.13043479999999999</v>
      </c>
    </row>
    <row r="52" spans="1:12" x14ac:dyDescent="0.25">
      <c r="A52">
        <v>48</v>
      </c>
      <c r="B52" s="17"/>
      <c r="C52" s="17"/>
      <c r="D52" s="25">
        <f t="shared" si="4"/>
        <v>570.24400000000003</v>
      </c>
      <c r="E52" s="25">
        <f t="shared" si="5"/>
        <v>200.35600000000002</v>
      </c>
      <c r="F52" s="17"/>
      <c r="J52" t="s">
        <v>78</v>
      </c>
      <c r="K52" s="17">
        <v>0.1363636</v>
      </c>
      <c r="L52" s="17">
        <v>0.13043479999999999</v>
      </c>
    </row>
    <row r="53" spans="1:12" x14ac:dyDescent="0.25">
      <c r="A53" t="s">
        <v>27</v>
      </c>
      <c r="B53">
        <v>0</v>
      </c>
      <c r="C53">
        <v>4.2</v>
      </c>
      <c r="D53" s="25"/>
      <c r="E53" s="25"/>
      <c r="F53" s="17"/>
    </row>
    <row r="54" spans="1:12" x14ac:dyDescent="0.25">
      <c r="A54" t="s">
        <v>26</v>
      </c>
      <c r="B54">
        <v>3</v>
      </c>
      <c r="C54">
        <v>4</v>
      </c>
      <c r="D54" s="25"/>
      <c r="E54" s="25"/>
      <c r="F54" s="17"/>
    </row>
    <row r="55" spans="1:12" x14ac:dyDescent="0.25">
      <c r="A55" t="s">
        <v>25</v>
      </c>
      <c r="B55">
        <v>3</v>
      </c>
      <c r="C55">
        <v>4</v>
      </c>
      <c r="D55" s="25"/>
      <c r="E55" s="25"/>
      <c r="F55" s="17"/>
    </row>
    <row r="56" spans="1:12" x14ac:dyDescent="0.25">
      <c r="A56" s="17" t="s">
        <v>76</v>
      </c>
      <c r="B56" s="17">
        <v>0</v>
      </c>
      <c r="C56" s="17">
        <v>0</v>
      </c>
      <c r="D56" s="25"/>
      <c r="E56" s="25"/>
      <c r="F56" s="17"/>
      <c r="G56" s="17"/>
    </row>
    <row r="57" spans="1:12" x14ac:dyDescent="0.25">
      <c r="A57" t="s">
        <v>78</v>
      </c>
      <c r="B57" s="17">
        <v>0</v>
      </c>
      <c r="C57" s="17">
        <v>0.5</v>
      </c>
      <c r="D57" s="25"/>
      <c r="E57" s="25"/>
      <c r="F57" s="17"/>
      <c r="G57" s="17"/>
    </row>
    <row r="58" spans="1:12" x14ac:dyDescent="0.25">
      <c r="A58" t="s">
        <v>82</v>
      </c>
      <c r="B58">
        <v>3</v>
      </c>
      <c r="F58" s="14">
        <f>AVERAGE(F63:F157)</f>
        <v>0.66315789473684206</v>
      </c>
    </row>
    <row r="59" spans="1:12" x14ac:dyDescent="0.25">
      <c r="A59" t="s">
        <v>83</v>
      </c>
      <c r="B59">
        <v>7</v>
      </c>
      <c r="F59" s="14">
        <f>1-F58</f>
        <v>0.33684210526315794</v>
      </c>
    </row>
    <row r="60" spans="1:12" x14ac:dyDescent="0.25">
      <c r="B60" t="s">
        <v>25</v>
      </c>
      <c r="C60" s="23">
        <f>AVERAGE(B63:B157)</f>
        <v>7.7862721000882637E-2</v>
      </c>
    </row>
    <row r="61" spans="1:12" x14ac:dyDescent="0.25">
      <c r="B61" t="s">
        <v>26</v>
      </c>
      <c r="C61" s="23">
        <f>MEDIAN(B63:B157)</f>
        <v>0.10786753970987401</v>
      </c>
    </row>
    <row r="62" spans="1:12" x14ac:dyDescent="0.25">
      <c r="A62" t="s">
        <v>84</v>
      </c>
      <c r="B62" t="s">
        <v>86</v>
      </c>
      <c r="C62" t="s">
        <v>88</v>
      </c>
      <c r="D62" t="s">
        <v>82</v>
      </c>
      <c r="E62" t="s">
        <v>121</v>
      </c>
      <c r="H62" s="29" t="s">
        <v>109</v>
      </c>
      <c r="I62" s="29" t="s">
        <v>108</v>
      </c>
    </row>
    <row r="63" spans="1:12" x14ac:dyDescent="0.25">
      <c r="A63" s="28">
        <v>44834</v>
      </c>
      <c r="B63" s="17">
        <v>-9.339567E-2</v>
      </c>
      <c r="C63" t="str">
        <f t="shared" ref="C63:C94" si="6">IF(B63&gt;0,"Green","Red")</f>
        <v>Red</v>
      </c>
      <c r="D63" s="6">
        <v>1</v>
      </c>
      <c r="E63">
        <v>4</v>
      </c>
      <c r="F63">
        <f>IF(B63&gt;0,1,0)</f>
        <v>0</v>
      </c>
      <c r="H63" s="29" t="s">
        <v>91</v>
      </c>
      <c r="I63" t="s">
        <v>90</v>
      </c>
      <c r="J63" t="s">
        <v>89</v>
      </c>
      <c r="K63" t="s">
        <v>92</v>
      </c>
    </row>
    <row r="64" spans="1:12" x14ac:dyDescent="0.25">
      <c r="A64" s="28">
        <v>44561</v>
      </c>
      <c r="B64" s="17">
        <v>0.26892738679336098</v>
      </c>
      <c r="C64" t="str">
        <f t="shared" si="6"/>
        <v>Green</v>
      </c>
      <c r="D64">
        <v>1</v>
      </c>
      <c r="E64">
        <v>1</v>
      </c>
      <c r="F64">
        <f t="shared" ref="F64:F127" si="7">IF(B64&gt;0,1,0)</f>
        <v>1</v>
      </c>
      <c r="H64" s="33">
        <v>10593</v>
      </c>
      <c r="I64" s="31">
        <v>0.37882219705549303</v>
      </c>
      <c r="J64" s="31"/>
      <c r="K64" s="31">
        <v>0.37882219705549303</v>
      </c>
    </row>
    <row r="65" spans="1:11" x14ac:dyDescent="0.25">
      <c r="A65" s="28">
        <v>44196</v>
      </c>
      <c r="B65" s="17">
        <v>0.162589230552657</v>
      </c>
      <c r="C65" t="str">
        <f t="shared" si="6"/>
        <v>Green</v>
      </c>
      <c r="D65">
        <v>2</v>
      </c>
      <c r="E65">
        <v>1</v>
      </c>
      <c r="F65">
        <f t="shared" si="7"/>
        <v>1</v>
      </c>
      <c r="H65" s="33">
        <v>10958</v>
      </c>
      <c r="I65" s="31"/>
      <c r="J65" s="31">
        <v>-0.119096468172485</v>
      </c>
      <c r="K65" s="31">
        <v>-0.119096468172485</v>
      </c>
    </row>
    <row r="66" spans="1:11" x14ac:dyDescent="0.25">
      <c r="A66" s="28">
        <v>43830</v>
      </c>
      <c r="B66" s="17">
        <v>0.28878070195643601</v>
      </c>
      <c r="C66" t="str">
        <f t="shared" si="6"/>
        <v>Green</v>
      </c>
      <c r="D66">
        <v>1</v>
      </c>
      <c r="E66">
        <v>3</v>
      </c>
      <c r="F66">
        <f t="shared" si="7"/>
        <v>1</v>
      </c>
      <c r="H66" s="33">
        <v>11323</v>
      </c>
      <c r="I66" s="31"/>
      <c r="J66" s="31">
        <v>-0.28484851818888002</v>
      </c>
      <c r="K66" s="31">
        <v>-0.28484851818888002</v>
      </c>
    </row>
    <row r="67" spans="1:11" x14ac:dyDescent="0.25">
      <c r="A67" s="28">
        <v>43465</v>
      </c>
      <c r="B67" s="17">
        <v>-6.2372598219685001E-2</v>
      </c>
      <c r="C67" t="str">
        <f t="shared" si="6"/>
        <v>Red</v>
      </c>
      <c r="D67">
        <v>4</v>
      </c>
      <c r="E67">
        <v>1</v>
      </c>
      <c r="F67">
        <f t="shared" si="7"/>
        <v>0</v>
      </c>
      <c r="H67" s="33">
        <v>11688</v>
      </c>
      <c r="I67" s="31"/>
      <c r="J67" s="31">
        <v>-0.47066492829204698</v>
      </c>
      <c r="K67" s="31">
        <v>-0.47066492829204698</v>
      </c>
    </row>
    <row r="68" spans="1:11" x14ac:dyDescent="0.25">
      <c r="A68" s="28">
        <v>43098</v>
      </c>
      <c r="B68" s="17">
        <v>0.194199655111119</v>
      </c>
      <c r="C68" t="str">
        <f t="shared" si="6"/>
        <v>Green</v>
      </c>
      <c r="D68">
        <v>4</v>
      </c>
      <c r="E68">
        <v>1</v>
      </c>
      <c r="F68">
        <f t="shared" si="7"/>
        <v>1</v>
      </c>
      <c r="H68" s="33">
        <v>12053</v>
      </c>
      <c r="I68" s="31"/>
      <c r="J68" s="31">
        <v>-0.147783251231527</v>
      </c>
      <c r="K68" s="31">
        <v>-0.147783251231527</v>
      </c>
    </row>
    <row r="69" spans="1:11" x14ac:dyDescent="0.25">
      <c r="A69" s="28">
        <v>42734</v>
      </c>
      <c r="B69" s="17">
        <v>9.5350226829389997E-2</v>
      </c>
      <c r="C69" t="str">
        <f t="shared" si="6"/>
        <v>Green</v>
      </c>
      <c r="D69">
        <v>3</v>
      </c>
      <c r="E69">
        <v>1</v>
      </c>
      <c r="F69">
        <f t="shared" si="7"/>
        <v>1</v>
      </c>
      <c r="H69" s="33">
        <v>12417</v>
      </c>
      <c r="I69" s="31">
        <v>0.440751445086705</v>
      </c>
      <c r="J69" s="31"/>
      <c r="K69" s="31">
        <v>0.440751445086705</v>
      </c>
    </row>
    <row r="70" spans="1:11" x14ac:dyDescent="0.25">
      <c r="A70" s="28">
        <v>42369</v>
      </c>
      <c r="B70" s="17">
        <v>-7.2659972373926296E-3</v>
      </c>
      <c r="C70" t="str">
        <f t="shared" si="6"/>
        <v>Red</v>
      </c>
      <c r="D70">
        <v>2</v>
      </c>
      <c r="E70">
        <v>1</v>
      </c>
      <c r="F70">
        <f t="shared" si="7"/>
        <v>0</v>
      </c>
      <c r="H70" s="33">
        <v>12784</v>
      </c>
      <c r="I70" s="31"/>
      <c r="J70" s="31">
        <v>-4.7141424272818498E-2</v>
      </c>
      <c r="K70" s="31">
        <v>-4.7141424272818498E-2</v>
      </c>
    </row>
    <row r="71" spans="1:11" x14ac:dyDescent="0.25">
      <c r="A71" s="28">
        <v>42004</v>
      </c>
      <c r="B71" s="17">
        <v>0.113906337893373</v>
      </c>
      <c r="C71" t="str">
        <f t="shared" si="6"/>
        <v>Green</v>
      </c>
      <c r="D71">
        <v>1</v>
      </c>
      <c r="E71">
        <v>1</v>
      </c>
      <c r="F71">
        <f t="shared" si="7"/>
        <v>1</v>
      </c>
      <c r="H71" s="33">
        <v>13149</v>
      </c>
      <c r="I71" s="31">
        <v>0.41368421052631599</v>
      </c>
      <c r="J71" s="31"/>
      <c r="K71" s="31">
        <v>0.41368421052631599</v>
      </c>
    </row>
    <row r="72" spans="1:11" x14ac:dyDescent="0.25">
      <c r="A72" s="28">
        <v>41639</v>
      </c>
      <c r="B72" s="17">
        <v>0.296012495855908</v>
      </c>
      <c r="C72" t="str">
        <f t="shared" si="6"/>
        <v>Green</v>
      </c>
      <c r="D72">
        <v>3</v>
      </c>
      <c r="E72">
        <v>1</v>
      </c>
      <c r="F72">
        <f t="shared" si="7"/>
        <v>1</v>
      </c>
      <c r="H72" s="33">
        <v>13515</v>
      </c>
      <c r="I72" s="31">
        <v>0.27922561429635101</v>
      </c>
      <c r="J72" s="31"/>
      <c r="K72" s="31">
        <v>0.27922561429635101</v>
      </c>
    </row>
    <row r="73" spans="1:11" x14ac:dyDescent="0.25">
      <c r="A73" s="28">
        <v>41274</v>
      </c>
      <c r="B73" s="17">
        <v>0.134056908569788</v>
      </c>
      <c r="C73" t="str">
        <f t="shared" si="6"/>
        <v>Green</v>
      </c>
      <c r="D73">
        <v>2</v>
      </c>
      <c r="E73">
        <v>1</v>
      </c>
      <c r="F73">
        <f t="shared" si="7"/>
        <v>1</v>
      </c>
      <c r="H73" s="33">
        <v>13880</v>
      </c>
      <c r="I73" s="31"/>
      <c r="J73" s="31">
        <v>-0.38591385331781097</v>
      </c>
      <c r="K73" s="31">
        <v>-0.38591385331781097</v>
      </c>
    </row>
    <row r="74" spans="1:11" x14ac:dyDescent="0.25">
      <c r="A74" s="28">
        <v>40907</v>
      </c>
      <c r="B74" s="17">
        <v>-3.1836614231783903E-5</v>
      </c>
      <c r="C74" t="str">
        <f t="shared" si="6"/>
        <v>Red</v>
      </c>
      <c r="D74">
        <v>3</v>
      </c>
      <c r="E74">
        <v>1</v>
      </c>
      <c r="F74">
        <f t="shared" si="7"/>
        <v>0</v>
      </c>
      <c r="H74" s="33">
        <v>14244</v>
      </c>
      <c r="I74" s="31">
        <v>0.24549763033175401</v>
      </c>
      <c r="J74" s="31"/>
      <c r="K74" s="31">
        <v>0.24549763033175401</v>
      </c>
    </row>
    <row r="75" spans="1:11" x14ac:dyDescent="0.25">
      <c r="A75" s="28">
        <v>40543</v>
      </c>
      <c r="B75" s="17">
        <v>0.12782713843408799</v>
      </c>
      <c r="C75" t="str">
        <f t="shared" si="6"/>
        <v>Green</v>
      </c>
      <c r="D75">
        <v>2</v>
      </c>
      <c r="E75">
        <v>2</v>
      </c>
      <c r="F75">
        <f t="shared" si="7"/>
        <v>1</v>
      </c>
      <c r="H75" s="33">
        <v>14608</v>
      </c>
      <c r="I75" s="31"/>
      <c r="J75" s="31">
        <v>-5.1750380517503802E-2</v>
      </c>
      <c r="K75" s="31">
        <v>-5.1750380517503802E-2</v>
      </c>
    </row>
    <row r="76" spans="1:11" x14ac:dyDescent="0.25">
      <c r="A76" s="28">
        <v>40178</v>
      </c>
      <c r="B76" s="17">
        <v>0.23454190534182101</v>
      </c>
      <c r="C76" t="str">
        <f t="shared" si="6"/>
        <v>Green</v>
      </c>
      <c r="D76">
        <v>3</v>
      </c>
      <c r="E76">
        <v>1</v>
      </c>
      <c r="F76">
        <f t="shared" si="7"/>
        <v>1</v>
      </c>
      <c r="H76" s="33">
        <v>14976</v>
      </c>
      <c r="I76" s="31"/>
      <c r="J76" s="31">
        <v>-0.15088282504012901</v>
      </c>
      <c r="K76" s="31">
        <v>-0.15088282504012901</v>
      </c>
    </row>
    <row r="77" spans="1:11" x14ac:dyDescent="0.25">
      <c r="A77" s="28">
        <v>39813</v>
      </c>
      <c r="B77" s="17">
        <v>-0.38485793046178701</v>
      </c>
      <c r="C77" t="str">
        <f t="shared" si="6"/>
        <v>Red</v>
      </c>
      <c r="D77">
        <v>8</v>
      </c>
      <c r="E77">
        <v>1</v>
      </c>
      <c r="F77">
        <f t="shared" si="7"/>
        <v>0</v>
      </c>
      <c r="H77" s="33">
        <v>15341</v>
      </c>
      <c r="I77" s="31"/>
      <c r="J77" s="31">
        <v>-0.17863894139886599</v>
      </c>
      <c r="K77" s="31">
        <v>-0.17863894139886599</v>
      </c>
    </row>
    <row r="78" spans="1:11" x14ac:dyDescent="0.25">
      <c r="A78" s="28">
        <v>39447</v>
      </c>
      <c r="B78" s="17">
        <v>3.5295730290142699E-2</v>
      </c>
      <c r="C78" t="str">
        <f t="shared" si="6"/>
        <v>Green</v>
      </c>
      <c r="D78">
        <v>3</v>
      </c>
      <c r="E78">
        <v>1</v>
      </c>
      <c r="F78">
        <f t="shared" si="7"/>
        <v>1</v>
      </c>
      <c r="H78" s="33">
        <v>15706</v>
      </c>
      <c r="I78" s="31">
        <v>0.124280782508631</v>
      </c>
      <c r="J78" s="31"/>
      <c r="K78" s="31">
        <v>0.124280782508631</v>
      </c>
    </row>
    <row r="79" spans="1:11" x14ac:dyDescent="0.25">
      <c r="A79" s="28">
        <v>39080</v>
      </c>
      <c r="B79" s="17">
        <v>0.13619431757718301</v>
      </c>
      <c r="C79" t="str">
        <f t="shared" si="6"/>
        <v>Green</v>
      </c>
      <c r="D79">
        <v>5</v>
      </c>
      <c r="E79">
        <v>1</v>
      </c>
      <c r="F79">
        <f t="shared" si="7"/>
        <v>1</v>
      </c>
      <c r="H79" s="33">
        <v>16071</v>
      </c>
      <c r="I79" s="31">
        <v>0.19447287615148401</v>
      </c>
      <c r="J79" s="31"/>
      <c r="K79" s="31">
        <v>0.19447287615148401</v>
      </c>
    </row>
    <row r="80" spans="1:11" x14ac:dyDescent="0.25">
      <c r="A80" s="28">
        <v>38716</v>
      </c>
      <c r="B80" s="17">
        <v>3.0010226483224899E-2</v>
      </c>
      <c r="C80" t="str">
        <f t="shared" si="6"/>
        <v>Green</v>
      </c>
      <c r="D80">
        <v>5</v>
      </c>
      <c r="E80">
        <v>3</v>
      </c>
      <c r="F80">
        <f t="shared" si="7"/>
        <v>1</v>
      </c>
      <c r="H80" s="33">
        <v>16435</v>
      </c>
      <c r="I80" s="31">
        <v>0.13796058269066</v>
      </c>
      <c r="J80" s="31"/>
      <c r="K80" s="31">
        <v>0.13796058269066</v>
      </c>
    </row>
    <row r="81" spans="1:11" x14ac:dyDescent="0.25">
      <c r="A81" s="28">
        <v>38352</v>
      </c>
      <c r="B81" s="17">
        <v>8.9934524105044406E-2</v>
      </c>
      <c r="C81" t="str">
        <f t="shared" si="6"/>
        <v>Green</v>
      </c>
      <c r="D81">
        <v>2</v>
      </c>
      <c r="E81">
        <v>1</v>
      </c>
      <c r="F81">
        <f t="shared" si="7"/>
        <v>1</v>
      </c>
      <c r="H81" s="33">
        <v>16802</v>
      </c>
      <c r="I81" s="31">
        <v>0.30722899096385498</v>
      </c>
      <c r="J81" s="31"/>
      <c r="K81" s="31">
        <v>0.30722899096385498</v>
      </c>
    </row>
    <row r="82" spans="1:11" x14ac:dyDescent="0.25">
      <c r="A82" s="28">
        <v>37986</v>
      </c>
      <c r="B82" s="17">
        <v>0.263803999856075</v>
      </c>
      <c r="C82" t="str">
        <f t="shared" si="6"/>
        <v>Green</v>
      </c>
      <c r="D82">
        <v>3</v>
      </c>
      <c r="E82">
        <v>1</v>
      </c>
      <c r="F82">
        <f t="shared" si="7"/>
        <v>1</v>
      </c>
      <c r="H82" s="33">
        <v>17167</v>
      </c>
      <c r="I82" s="31"/>
      <c r="J82" s="31">
        <v>-0.118663645238269</v>
      </c>
      <c r="K82" s="31">
        <v>-0.118663645238269</v>
      </c>
    </row>
    <row r="83" spans="1:11" x14ac:dyDescent="0.25">
      <c r="A83" s="28">
        <v>37621</v>
      </c>
      <c r="B83" s="17">
        <v>-0.233659639816933</v>
      </c>
      <c r="C83" t="str">
        <f t="shared" si="6"/>
        <v>Red</v>
      </c>
      <c r="D83">
        <v>2</v>
      </c>
      <c r="E83">
        <v>1</v>
      </c>
      <c r="F83">
        <f t="shared" si="7"/>
        <v>0</v>
      </c>
      <c r="H83" s="33">
        <v>17532</v>
      </c>
      <c r="I83" s="31"/>
      <c r="J83" s="31">
        <v>0</v>
      </c>
      <c r="K83" s="31">
        <v>0</v>
      </c>
    </row>
    <row r="84" spans="1:11" x14ac:dyDescent="0.25">
      <c r="A84" s="28">
        <v>37256</v>
      </c>
      <c r="B84" s="17">
        <v>-0.130426931573317</v>
      </c>
      <c r="C84" t="str">
        <f t="shared" si="6"/>
        <v>Red</v>
      </c>
      <c r="D84">
        <v>3</v>
      </c>
      <c r="E84">
        <v>1</v>
      </c>
      <c r="F84">
        <f t="shared" si="7"/>
        <v>0</v>
      </c>
      <c r="H84" s="33">
        <v>17898</v>
      </c>
      <c r="I84" s="31"/>
      <c r="J84" s="31">
        <v>-6.5359477124183902E-3</v>
      </c>
      <c r="K84" s="31">
        <v>-6.5359477124183902E-3</v>
      </c>
    </row>
    <row r="85" spans="1:11" x14ac:dyDescent="0.25">
      <c r="A85" s="28">
        <v>36889</v>
      </c>
      <c r="B85" s="17">
        <v>-0.101391846860643</v>
      </c>
      <c r="C85" t="str">
        <f t="shared" si="6"/>
        <v>Red</v>
      </c>
      <c r="D85" s="13"/>
      <c r="E85">
        <v>1</v>
      </c>
      <c r="F85">
        <f t="shared" si="7"/>
        <v>0</v>
      </c>
      <c r="H85" s="33">
        <v>18262</v>
      </c>
      <c r="I85" s="31">
        <v>0.104605328947369</v>
      </c>
      <c r="J85" s="31"/>
      <c r="K85" s="31">
        <v>0.104605328947369</v>
      </c>
    </row>
    <row r="86" spans="1:11" x14ac:dyDescent="0.25">
      <c r="A86" s="28">
        <v>36525</v>
      </c>
      <c r="B86" s="17">
        <v>0.19526046704458</v>
      </c>
      <c r="C86" t="str">
        <f t="shared" si="6"/>
        <v>Green</v>
      </c>
      <c r="D86" s="13"/>
      <c r="F86">
        <f t="shared" si="7"/>
        <v>1</v>
      </c>
      <c r="H86" s="33">
        <v>18626</v>
      </c>
      <c r="I86" s="31">
        <v>0.21679563926172499</v>
      </c>
      <c r="J86" s="31"/>
      <c r="K86" s="31">
        <v>0.21679563926172499</v>
      </c>
    </row>
    <row r="87" spans="1:11" x14ac:dyDescent="0.25">
      <c r="A87" s="28">
        <v>36160</v>
      </c>
      <c r="B87" s="17">
        <v>0.26668589065342302</v>
      </c>
      <c r="C87" t="str">
        <f t="shared" si="6"/>
        <v>Green</v>
      </c>
      <c r="D87" s="13"/>
      <c r="F87">
        <f t="shared" si="7"/>
        <v>1</v>
      </c>
      <c r="H87" s="33">
        <v>18993</v>
      </c>
      <c r="I87" s="31">
        <v>0.16348507097405801</v>
      </c>
      <c r="J87" s="31"/>
      <c r="K87" s="31">
        <v>0.16348507097405801</v>
      </c>
    </row>
    <row r="88" spans="1:11" x14ac:dyDescent="0.25">
      <c r="A88" s="28">
        <v>35795</v>
      </c>
      <c r="B88" s="17">
        <v>0.31008181831792297</v>
      </c>
      <c r="C88" t="str">
        <f t="shared" si="6"/>
        <v>Green</v>
      </c>
      <c r="D88" s="13"/>
      <c r="F88">
        <f t="shared" si="7"/>
        <v>1</v>
      </c>
      <c r="H88" s="33">
        <v>19359</v>
      </c>
      <c r="I88" s="31">
        <v>0.117795540597392</v>
      </c>
      <c r="J88" s="31"/>
      <c r="K88" s="31">
        <v>0.117795540597392</v>
      </c>
    </row>
    <row r="89" spans="1:11" x14ac:dyDescent="0.25">
      <c r="A89" s="28">
        <v>35430</v>
      </c>
      <c r="B89" s="17">
        <v>0.20263666068945599</v>
      </c>
      <c r="C89" t="str">
        <f t="shared" si="6"/>
        <v>Green</v>
      </c>
      <c r="D89" s="13"/>
      <c r="F89">
        <f t="shared" si="7"/>
        <v>1</v>
      </c>
      <c r="H89" s="33">
        <v>19724</v>
      </c>
      <c r="I89" s="31"/>
      <c r="J89" s="31">
        <v>-6.6240158073014602E-2</v>
      </c>
      <c r="K89" s="31">
        <v>-6.6240158073014602E-2</v>
      </c>
    </row>
    <row r="90" spans="1:11" x14ac:dyDescent="0.25">
      <c r="A90" s="28">
        <v>35062</v>
      </c>
      <c r="B90" s="17">
        <v>0.34110655551673802</v>
      </c>
      <c r="C90" t="str">
        <f t="shared" si="6"/>
        <v>Green</v>
      </c>
      <c r="D90" s="13"/>
      <c r="F90">
        <f t="shared" si="7"/>
        <v>1</v>
      </c>
      <c r="H90" s="33">
        <v>20089</v>
      </c>
      <c r="I90" s="31">
        <v>0.45022174325762698</v>
      </c>
      <c r="J90" s="31"/>
      <c r="K90" s="31">
        <v>0.45022174325762698</v>
      </c>
    </row>
    <row r="91" spans="1:11" x14ac:dyDescent="0.25">
      <c r="A91" s="28">
        <v>34698</v>
      </c>
      <c r="B91" s="17">
        <v>-1.53929098837712E-2</v>
      </c>
      <c r="C91" t="str">
        <f t="shared" si="6"/>
        <v>Red</v>
      </c>
      <c r="D91" s="13"/>
      <c r="F91">
        <f t="shared" si="7"/>
        <v>0</v>
      </c>
      <c r="H91" s="33">
        <v>20453</v>
      </c>
      <c r="I91" s="31">
        <v>0.26403557531962202</v>
      </c>
      <c r="J91" s="31"/>
      <c r="K91" s="31">
        <v>0.26403557531962202</v>
      </c>
    </row>
    <row r="92" spans="1:11" x14ac:dyDescent="0.25">
      <c r="A92" s="28">
        <v>34334</v>
      </c>
      <c r="B92" s="17">
        <v>7.0551563275949705E-2</v>
      </c>
      <c r="C92" t="str">
        <f t="shared" si="6"/>
        <v>Green</v>
      </c>
      <c r="D92" s="13"/>
      <c r="F92">
        <f t="shared" si="7"/>
        <v>1</v>
      </c>
      <c r="H92" s="33">
        <v>20820</v>
      </c>
      <c r="I92" s="31">
        <v>2.6165303430079299E-2</v>
      </c>
      <c r="J92" s="31"/>
      <c r="K92" s="31">
        <v>2.6165303430079299E-2</v>
      </c>
    </row>
    <row r="93" spans="1:11" x14ac:dyDescent="0.25">
      <c r="A93" s="28">
        <v>33969</v>
      </c>
      <c r="B93" s="17">
        <v>4.4642631514950203E-2</v>
      </c>
      <c r="C93" t="str">
        <f t="shared" si="6"/>
        <v>Green</v>
      </c>
      <c r="D93" s="13"/>
      <c r="F93">
        <f t="shared" si="7"/>
        <v>1</v>
      </c>
      <c r="H93" s="33">
        <v>21185</v>
      </c>
      <c r="I93" s="31"/>
      <c r="J93" s="31">
        <v>-0.14313255380897999</v>
      </c>
      <c r="K93" s="31">
        <v>-0.14313255380897999</v>
      </c>
    </row>
    <row r="94" spans="1:11" x14ac:dyDescent="0.25">
      <c r="A94" s="28">
        <v>33603</v>
      </c>
      <c r="B94" s="17">
        <v>0.26306703027355399</v>
      </c>
      <c r="C94" t="str">
        <f t="shared" si="6"/>
        <v>Green</v>
      </c>
      <c r="D94" s="13"/>
      <c r="F94">
        <f t="shared" si="7"/>
        <v>1</v>
      </c>
      <c r="H94" s="33">
        <v>21550</v>
      </c>
      <c r="I94" s="31">
        <v>0.38059505473393102</v>
      </c>
      <c r="J94" s="31"/>
      <c r="K94" s="31">
        <v>0.38059505473393102</v>
      </c>
    </row>
    <row r="95" spans="1:11" x14ac:dyDescent="0.25">
      <c r="A95" s="28">
        <v>33238</v>
      </c>
      <c r="B95" s="17">
        <v>-6.5591379155484505E-2</v>
      </c>
      <c r="C95" t="str">
        <f t="shared" ref="C95:C126" si="8">IF(B95&gt;0,"Green","Red")</f>
        <v>Red</v>
      </c>
      <c r="D95" s="13"/>
      <c r="F95">
        <f t="shared" si="7"/>
        <v>0</v>
      </c>
      <c r="H95" s="33">
        <v>21915</v>
      </c>
      <c r="I95" s="31">
        <v>8.4767253844724805E-2</v>
      </c>
      <c r="J95" s="31"/>
      <c r="K95" s="31">
        <v>8.4767253844724805E-2</v>
      </c>
    </row>
    <row r="96" spans="1:11" x14ac:dyDescent="0.25">
      <c r="A96" s="28">
        <v>32871</v>
      </c>
      <c r="B96" s="17">
        <v>0.272504654787179</v>
      </c>
      <c r="C96" t="str">
        <f t="shared" si="8"/>
        <v>Green</v>
      </c>
      <c r="F96">
        <f t="shared" si="7"/>
        <v>1</v>
      </c>
      <c r="H96" s="33">
        <v>22280</v>
      </c>
      <c r="I96" s="31"/>
      <c r="J96" s="31">
        <v>-2.9721122553366699E-2</v>
      </c>
      <c r="K96" s="31">
        <v>-2.9721122553366699E-2</v>
      </c>
    </row>
    <row r="97" spans="1:11" x14ac:dyDescent="0.25">
      <c r="A97" s="28">
        <v>32507</v>
      </c>
      <c r="B97" s="17">
        <v>0.124008413274985</v>
      </c>
      <c r="C97" t="str">
        <f t="shared" si="8"/>
        <v>Green</v>
      </c>
      <c r="F97">
        <f t="shared" si="7"/>
        <v>1</v>
      </c>
      <c r="H97" s="33">
        <v>22644</v>
      </c>
      <c r="I97" s="31">
        <v>0.23128552346781101</v>
      </c>
      <c r="J97" s="31"/>
      <c r="K97" s="31">
        <v>0.23128552346781101</v>
      </c>
    </row>
    <row r="98" spans="1:11" x14ac:dyDescent="0.25">
      <c r="A98" s="28">
        <v>32142</v>
      </c>
      <c r="B98" s="17">
        <v>2.0275030105091799E-2</v>
      </c>
      <c r="C98" t="str">
        <f t="shared" si="8"/>
        <v>Green</v>
      </c>
      <c r="F98">
        <f t="shared" si="7"/>
        <v>1</v>
      </c>
      <c r="H98" s="33">
        <v>23011</v>
      </c>
      <c r="I98" s="31"/>
      <c r="J98" s="31">
        <v>-0.118099296236228</v>
      </c>
      <c r="K98" s="31">
        <v>-0.118099296236228</v>
      </c>
    </row>
    <row r="99" spans="1:11" x14ac:dyDescent="0.25">
      <c r="A99" s="28">
        <v>31777</v>
      </c>
      <c r="B99" s="17">
        <v>0.14620408531902701</v>
      </c>
      <c r="C99" t="str">
        <f t="shared" si="8"/>
        <v>Green</v>
      </c>
      <c r="F99">
        <f t="shared" si="7"/>
        <v>1</v>
      </c>
      <c r="H99" s="33">
        <v>23376</v>
      </c>
      <c r="I99" s="31">
        <v>0.188906487762488</v>
      </c>
      <c r="J99" s="31"/>
      <c r="K99" s="31">
        <v>0.188906487762488</v>
      </c>
    </row>
    <row r="100" spans="1:11" x14ac:dyDescent="0.25">
      <c r="A100" s="28">
        <v>31412</v>
      </c>
      <c r="B100" s="17">
        <v>0.26333408684124299</v>
      </c>
      <c r="C100" t="str">
        <f t="shared" si="8"/>
        <v>Green</v>
      </c>
      <c r="F100">
        <f t="shared" si="7"/>
        <v>1</v>
      </c>
      <c r="H100" s="33">
        <v>23742</v>
      </c>
      <c r="I100" s="31">
        <v>0.12969879217670499</v>
      </c>
      <c r="J100" s="31"/>
      <c r="K100" s="31">
        <v>0.12969879217670499</v>
      </c>
    </row>
    <row r="101" spans="1:11" x14ac:dyDescent="0.25">
      <c r="A101" s="28">
        <v>31047</v>
      </c>
      <c r="B101" s="17">
        <v>1.40060152673382E-2</v>
      </c>
      <c r="C101" t="str">
        <f t="shared" si="8"/>
        <v>Green</v>
      </c>
      <c r="F101">
        <f t="shared" si="7"/>
        <v>1</v>
      </c>
      <c r="H101" s="33">
        <v>24107</v>
      </c>
      <c r="I101" s="31">
        <v>9.0619469026548702E-2</v>
      </c>
      <c r="J101" s="31"/>
      <c r="K101" s="31">
        <v>9.0619469026548702E-2</v>
      </c>
    </row>
    <row r="102" spans="1:11" x14ac:dyDescent="0.25">
      <c r="A102" s="28">
        <v>30680</v>
      </c>
      <c r="B102" s="17">
        <v>0.17271042500505199</v>
      </c>
      <c r="C102" t="str">
        <f t="shared" si="8"/>
        <v>Green</v>
      </c>
      <c r="F102">
        <f t="shared" si="7"/>
        <v>1</v>
      </c>
      <c r="H102" s="33">
        <v>24471</v>
      </c>
      <c r="I102" s="31"/>
      <c r="J102" s="31">
        <v>-0.130909856107325</v>
      </c>
      <c r="K102" s="31">
        <v>-0.130909856107325</v>
      </c>
    </row>
    <row r="103" spans="1:11" x14ac:dyDescent="0.25">
      <c r="A103" s="28">
        <v>30316</v>
      </c>
      <c r="B103" s="17">
        <v>0.147613182840966</v>
      </c>
      <c r="C103" t="str">
        <f t="shared" si="8"/>
        <v>Green</v>
      </c>
      <c r="F103">
        <f t="shared" si="7"/>
        <v>1</v>
      </c>
      <c r="H103" s="33">
        <v>24835</v>
      </c>
      <c r="I103" s="31">
        <v>0.200921182598751</v>
      </c>
      <c r="J103" s="31"/>
      <c r="K103" s="31">
        <v>0.200921182598751</v>
      </c>
    </row>
    <row r="104" spans="1:11" x14ac:dyDescent="0.25">
      <c r="A104" s="28">
        <v>29951</v>
      </c>
      <c r="B104" s="17">
        <v>-9.7304010654979706E-2</v>
      </c>
      <c r="C104" t="str">
        <f t="shared" si="8"/>
        <v>Red</v>
      </c>
      <c r="F104">
        <f t="shared" si="7"/>
        <v>0</v>
      </c>
      <c r="H104" s="33">
        <v>25203</v>
      </c>
      <c r="I104" s="31">
        <v>7.6604124840840407E-2</v>
      </c>
      <c r="J104" s="31"/>
      <c r="K104" s="31">
        <v>7.6604124840840407E-2</v>
      </c>
    </row>
    <row r="105" spans="1:11" x14ac:dyDescent="0.25">
      <c r="A105" s="28">
        <v>29586</v>
      </c>
      <c r="B105" s="17">
        <v>0.25773570951017799</v>
      </c>
      <c r="C105" t="str">
        <f t="shared" si="8"/>
        <v>Green</v>
      </c>
      <c r="F105">
        <f t="shared" si="7"/>
        <v>1</v>
      </c>
      <c r="H105" s="33">
        <v>25568</v>
      </c>
      <c r="I105" s="31"/>
      <c r="J105" s="31">
        <v>-0.11361450882327701</v>
      </c>
      <c r="K105" s="31">
        <v>-0.11361450882327701</v>
      </c>
    </row>
    <row r="106" spans="1:11" x14ac:dyDescent="0.25">
      <c r="A106" s="28">
        <v>29220</v>
      </c>
      <c r="B106" s="17">
        <v>0.123088137310497</v>
      </c>
      <c r="C106" t="str">
        <f t="shared" si="8"/>
        <v>Green</v>
      </c>
      <c r="F106">
        <f t="shared" si="7"/>
        <v>1</v>
      </c>
      <c r="H106" s="33">
        <v>25933</v>
      </c>
      <c r="I106" s="31">
        <v>9.7766676032295897E-4</v>
      </c>
      <c r="J106" s="31"/>
      <c r="K106" s="31">
        <v>9.7766676032295897E-4</v>
      </c>
    </row>
    <row r="107" spans="1:11" x14ac:dyDescent="0.25">
      <c r="A107" s="28">
        <v>28853</v>
      </c>
      <c r="B107" s="17">
        <v>1.06204313484843E-2</v>
      </c>
      <c r="C107" t="str">
        <f t="shared" si="8"/>
        <v>Green</v>
      </c>
      <c r="F107">
        <f t="shared" si="7"/>
        <v>1</v>
      </c>
      <c r="H107" s="33">
        <v>26298</v>
      </c>
      <c r="I107" s="31">
        <v>0.10786753970987401</v>
      </c>
      <c r="J107" s="31"/>
      <c r="K107" s="31">
        <v>0.10786753970987401</v>
      </c>
    </row>
    <row r="108" spans="1:11" x14ac:dyDescent="0.25">
      <c r="A108" s="28">
        <v>28489</v>
      </c>
      <c r="B108" s="17">
        <v>-0.115019552531356</v>
      </c>
      <c r="C108" t="str">
        <f t="shared" si="8"/>
        <v>Red</v>
      </c>
      <c r="F108">
        <f t="shared" si="7"/>
        <v>0</v>
      </c>
      <c r="H108" s="33">
        <v>26662</v>
      </c>
      <c r="I108" s="31">
        <v>0.15633272235606699</v>
      </c>
      <c r="J108" s="31"/>
      <c r="K108" s="31">
        <v>0.15633272235606699</v>
      </c>
    </row>
    <row r="109" spans="1:11" x14ac:dyDescent="0.25">
      <c r="A109" s="28">
        <v>28125</v>
      </c>
      <c r="B109" s="17">
        <v>0.19148460602096401</v>
      </c>
      <c r="C109" t="str">
        <f t="shared" si="8"/>
        <v>Green</v>
      </c>
      <c r="F109">
        <f t="shared" si="7"/>
        <v>1</v>
      </c>
      <c r="H109" s="33">
        <v>27029</v>
      </c>
      <c r="I109" s="31"/>
      <c r="J109" s="31">
        <v>-0.17365522642129899</v>
      </c>
      <c r="K109" s="31">
        <v>-0.17365522642129899</v>
      </c>
    </row>
    <row r="110" spans="1:11" x14ac:dyDescent="0.25">
      <c r="A110" s="28">
        <v>27759</v>
      </c>
      <c r="B110" s="17">
        <v>0.31549014922666702</v>
      </c>
      <c r="C110" t="str">
        <f t="shared" si="8"/>
        <v>Green</v>
      </c>
      <c r="F110">
        <f t="shared" si="7"/>
        <v>1</v>
      </c>
      <c r="H110" s="33">
        <v>27394</v>
      </c>
      <c r="I110" s="31"/>
      <c r="J110" s="31">
        <v>-0.29718097497136903</v>
      </c>
      <c r="K110" s="31">
        <v>-0.29718097497136903</v>
      </c>
    </row>
    <row r="111" spans="1:11" x14ac:dyDescent="0.25">
      <c r="A111" s="28">
        <v>27394</v>
      </c>
      <c r="B111" s="17">
        <v>-0.29718097497136903</v>
      </c>
      <c r="C111" t="str">
        <f t="shared" si="8"/>
        <v>Red</v>
      </c>
      <c r="F111">
        <f t="shared" si="7"/>
        <v>0</v>
      </c>
      <c r="H111" s="33">
        <v>27759</v>
      </c>
      <c r="I111" s="31">
        <v>0.31549014922666702</v>
      </c>
      <c r="J111" s="31"/>
      <c r="K111" s="31">
        <v>0.31549014922666702</v>
      </c>
    </row>
    <row r="112" spans="1:11" x14ac:dyDescent="0.25">
      <c r="A112" s="28">
        <v>27029</v>
      </c>
      <c r="B112" s="17">
        <v>-0.17365522642129899</v>
      </c>
      <c r="C112" t="str">
        <f t="shared" si="8"/>
        <v>Red</v>
      </c>
      <c r="F112">
        <f t="shared" si="7"/>
        <v>0</v>
      </c>
      <c r="H112" s="33">
        <v>28125</v>
      </c>
      <c r="I112" s="31">
        <v>0.19148460602096401</v>
      </c>
      <c r="J112" s="31"/>
      <c r="K112" s="31">
        <v>0.19148460602096401</v>
      </c>
    </row>
    <row r="113" spans="1:11" x14ac:dyDescent="0.25">
      <c r="A113" s="28">
        <v>26662</v>
      </c>
      <c r="B113" s="17">
        <v>0.15633272235606699</v>
      </c>
      <c r="C113" t="str">
        <f t="shared" si="8"/>
        <v>Green</v>
      </c>
      <c r="F113">
        <f t="shared" si="7"/>
        <v>1</v>
      </c>
      <c r="H113" s="33">
        <v>28489</v>
      </c>
      <c r="I113" s="31"/>
      <c r="J113" s="31">
        <v>-0.115019552531356</v>
      </c>
      <c r="K113" s="31">
        <v>-0.115019552531356</v>
      </c>
    </row>
    <row r="114" spans="1:11" x14ac:dyDescent="0.25">
      <c r="A114" s="28">
        <v>26298</v>
      </c>
      <c r="B114" s="17">
        <v>0.10786753970987401</v>
      </c>
      <c r="C114" t="str">
        <f t="shared" si="8"/>
        <v>Green</v>
      </c>
      <c r="F114">
        <f t="shared" si="7"/>
        <v>1</v>
      </c>
      <c r="H114" s="33">
        <v>28853</v>
      </c>
      <c r="I114" s="31">
        <v>1.06204313484843E-2</v>
      </c>
      <c r="J114" s="31"/>
      <c r="K114" s="31">
        <v>1.06204313484843E-2</v>
      </c>
    </row>
    <row r="115" spans="1:11" x14ac:dyDescent="0.25">
      <c r="A115" s="28">
        <v>25933</v>
      </c>
      <c r="B115" s="17">
        <v>9.7766676032295897E-4</v>
      </c>
      <c r="C115" t="str">
        <f t="shared" si="8"/>
        <v>Green</v>
      </c>
      <c r="F115">
        <f t="shared" si="7"/>
        <v>1</v>
      </c>
      <c r="H115" s="33">
        <v>29220</v>
      </c>
      <c r="I115" s="31">
        <v>0.123088137310497</v>
      </c>
      <c r="J115" s="31"/>
      <c r="K115" s="31">
        <v>0.123088137310497</v>
      </c>
    </row>
    <row r="116" spans="1:11" x14ac:dyDescent="0.25">
      <c r="A116" s="28">
        <v>25568</v>
      </c>
      <c r="B116" s="17">
        <v>-0.11361450882327701</v>
      </c>
      <c r="C116" t="str">
        <f t="shared" si="8"/>
        <v>Red</v>
      </c>
      <c r="F116">
        <f t="shared" si="7"/>
        <v>0</v>
      </c>
      <c r="H116" s="33">
        <v>29586</v>
      </c>
      <c r="I116" s="31">
        <v>0.25773570951017799</v>
      </c>
      <c r="J116" s="31"/>
      <c r="K116" s="31">
        <v>0.25773570951017799</v>
      </c>
    </row>
    <row r="117" spans="1:11" x14ac:dyDescent="0.25">
      <c r="A117" s="28">
        <v>25203</v>
      </c>
      <c r="B117" s="17">
        <v>7.6604124840840407E-2</v>
      </c>
      <c r="C117" t="str">
        <f t="shared" si="8"/>
        <v>Green</v>
      </c>
      <c r="F117">
        <f t="shared" si="7"/>
        <v>1</v>
      </c>
      <c r="H117" s="33">
        <v>29951</v>
      </c>
      <c r="I117" s="31"/>
      <c r="J117" s="31">
        <v>-9.7304010654979706E-2</v>
      </c>
      <c r="K117" s="31">
        <v>-9.7304010654979706E-2</v>
      </c>
    </row>
    <row r="118" spans="1:11" x14ac:dyDescent="0.25">
      <c r="A118" s="28">
        <v>24835</v>
      </c>
      <c r="B118" s="17">
        <v>0.200921182598751</v>
      </c>
      <c r="C118" t="str">
        <f t="shared" si="8"/>
        <v>Green</v>
      </c>
      <c r="F118">
        <f t="shared" si="7"/>
        <v>1</v>
      </c>
      <c r="H118" s="33">
        <v>30316</v>
      </c>
      <c r="I118" s="31">
        <v>0.147613182840966</v>
      </c>
      <c r="J118" s="31"/>
      <c r="K118" s="31">
        <v>0.147613182840966</v>
      </c>
    </row>
    <row r="119" spans="1:11" x14ac:dyDescent="0.25">
      <c r="A119" s="28">
        <v>24471</v>
      </c>
      <c r="B119" s="17">
        <v>-0.130909856107325</v>
      </c>
      <c r="C119" t="str">
        <f t="shared" si="8"/>
        <v>Red</v>
      </c>
      <c r="F119">
        <f t="shared" si="7"/>
        <v>0</v>
      </c>
      <c r="H119" s="33">
        <v>30680</v>
      </c>
      <c r="I119" s="31">
        <v>0.17271042500505199</v>
      </c>
      <c r="J119" s="31"/>
      <c r="K119" s="31">
        <v>0.17271042500505199</v>
      </c>
    </row>
    <row r="120" spans="1:11" x14ac:dyDescent="0.25">
      <c r="A120" s="28">
        <v>24107</v>
      </c>
      <c r="B120" s="17">
        <v>9.0619469026548702E-2</v>
      </c>
      <c r="C120" t="str">
        <f t="shared" si="8"/>
        <v>Green</v>
      </c>
      <c r="F120">
        <f t="shared" si="7"/>
        <v>1</v>
      </c>
      <c r="H120" s="33">
        <v>31047</v>
      </c>
      <c r="I120" s="31">
        <v>1.40060152673382E-2</v>
      </c>
      <c r="J120" s="31"/>
      <c r="K120" s="31">
        <v>1.40060152673382E-2</v>
      </c>
    </row>
    <row r="121" spans="1:11" x14ac:dyDescent="0.25">
      <c r="A121" s="28">
        <v>23742</v>
      </c>
      <c r="B121" s="17">
        <v>0.12969879217670499</v>
      </c>
      <c r="C121" t="str">
        <f t="shared" si="8"/>
        <v>Green</v>
      </c>
      <c r="F121">
        <f t="shared" si="7"/>
        <v>1</v>
      </c>
      <c r="H121" s="33">
        <v>31412</v>
      </c>
      <c r="I121" s="31">
        <v>0.26333408684124299</v>
      </c>
      <c r="J121" s="31"/>
      <c r="K121" s="31">
        <v>0.26333408684124299</v>
      </c>
    </row>
    <row r="122" spans="1:11" x14ac:dyDescent="0.25">
      <c r="A122" s="28">
        <v>23376</v>
      </c>
      <c r="B122" s="17">
        <v>0.188906487762488</v>
      </c>
      <c r="C122" t="str">
        <f t="shared" si="8"/>
        <v>Green</v>
      </c>
      <c r="F122">
        <f t="shared" si="7"/>
        <v>1</v>
      </c>
      <c r="H122" s="33">
        <v>31777</v>
      </c>
      <c r="I122" s="31">
        <v>0.14620408531902701</v>
      </c>
      <c r="J122" s="31"/>
      <c r="K122" s="31">
        <v>0.14620408531902701</v>
      </c>
    </row>
    <row r="123" spans="1:11" x14ac:dyDescent="0.25">
      <c r="A123" s="28">
        <v>23011</v>
      </c>
      <c r="B123" s="17">
        <v>-0.118099296236228</v>
      </c>
      <c r="C123" t="str">
        <f t="shared" si="8"/>
        <v>Red</v>
      </c>
      <c r="F123">
        <f t="shared" si="7"/>
        <v>0</v>
      </c>
      <c r="H123" s="33">
        <v>32142</v>
      </c>
      <c r="I123" s="31">
        <v>2.0275030105091799E-2</v>
      </c>
      <c r="J123" s="31"/>
      <c r="K123" s="31">
        <v>2.0275030105091799E-2</v>
      </c>
    </row>
    <row r="124" spans="1:11" x14ac:dyDescent="0.25">
      <c r="A124" s="28">
        <v>22644</v>
      </c>
      <c r="B124" s="17">
        <v>0.23128552346781101</v>
      </c>
      <c r="C124" t="str">
        <f t="shared" si="8"/>
        <v>Green</v>
      </c>
      <c r="F124">
        <f t="shared" si="7"/>
        <v>1</v>
      </c>
      <c r="H124" s="33">
        <v>32507</v>
      </c>
      <c r="I124" s="31">
        <v>0.124008413274985</v>
      </c>
      <c r="J124" s="31"/>
      <c r="K124" s="31">
        <v>0.124008413274985</v>
      </c>
    </row>
    <row r="125" spans="1:11" x14ac:dyDescent="0.25">
      <c r="A125" s="28">
        <v>22280</v>
      </c>
      <c r="B125" s="17">
        <v>-2.9721122553366699E-2</v>
      </c>
      <c r="C125" t="str">
        <f t="shared" si="8"/>
        <v>Red</v>
      </c>
      <c r="F125">
        <f t="shared" si="7"/>
        <v>0</v>
      </c>
      <c r="H125" s="33">
        <v>32871</v>
      </c>
      <c r="I125" s="31">
        <v>0.272504654787179</v>
      </c>
      <c r="J125" s="31"/>
      <c r="K125" s="31">
        <v>0.272504654787179</v>
      </c>
    </row>
    <row r="126" spans="1:11" x14ac:dyDescent="0.25">
      <c r="A126" s="28">
        <v>21915</v>
      </c>
      <c r="B126" s="17">
        <v>8.4767253844724805E-2</v>
      </c>
      <c r="C126" t="str">
        <f t="shared" si="8"/>
        <v>Green</v>
      </c>
      <c r="F126">
        <f t="shared" si="7"/>
        <v>1</v>
      </c>
      <c r="H126" s="33">
        <v>33238</v>
      </c>
      <c r="I126" s="31"/>
      <c r="J126" s="31">
        <v>-6.5591379155484505E-2</v>
      </c>
      <c r="K126" s="31">
        <v>-6.5591379155484505E-2</v>
      </c>
    </row>
    <row r="127" spans="1:11" x14ac:dyDescent="0.25">
      <c r="A127" s="28">
        <v>21550</v>
      </c>
      <c r="B127" s="17">
        <v>0.38059505473393102</v>
      </c>
      <c r="C127" t="str">
        <f t="shared" ref="C127:C157" si="9">IF(B127&gt;0,"Green","Red")</f>
        <v>Green</v>
      </c>
      <c r="F127">
        <f t="shared" si="7"/>
        <v>1</v>
      </c>
      <c r="H127" s="33">
        <v>33603</v>
      </c>
      <c r="I127" s="31">
        <v>0.26306703027355399</v>
      </c>
      <c r="J127" s="31"/>
      <c r="K127" s="31">
        <v>0.26306703027355399</v>
      </c>
    </row>
    <row r="128" spans="1:11" x14ac:dyDescent="0.25">
      <c r="A128" s="28">
        <v>21185</v>
      </c>
      <c r="B128" s="17">
        <v>-0.14313255380897999</v>
      </c>
      <c r="C128" t="str">
        <f t="shared" si="9"/>
        <v>Red</v>
      </c>
      <c r="F128">
        <f t="shared" ref="F128:F157" si="10">IF(B128&gt;0,1,0)</f>
        <v>0</v>
      </c>
      <c r="H128" s="33">
        <v>33969</v>
      </c>
      <c r="I128" s="31">
        <v>4.4642631514950203E-2</v>
      </c>
      <c r="J128" s="31"/>
      <c r="K128" s="31">
        <v>4.4642631514950203E-2</v>
      </c>
    </row>
    <row r="129" spans="1:11" x14ac:dyDescent="0.25">
      <c r="A129" s="28">
        <v>20820</v>
      </c>
      <c r="B129" s="17">
        <v>2.6165303430079299E-2</v>
      </c>
      <c r="C129" t="str">
        <f t="shared" si="9"/>
        <v>Green</v>
      </c>
      <c r="F129">
        <f t="shared" si="10"/>
        <v>1</v>
      </c>
      <c r="H129" s="33">
        <v>34334</v>
      </c>
      <c r="I129" s="31">
        <v>7.0551563275949705E-2</v>
      </c>
      <c r="J129" s="31"/>
      <c r="K129" s="31">
        <v>7.0551563275949705E-2</v>
      </c>
    </row>
    <row r="130" spans="1:11" x14ac:dyDescent="0.25">
      <c r="A130" s="28">
        <v>20453</v>
      </c>
      <c r="B130" s="17">
        <v>0.26403557531962202</v>
      </c>
      <c r="C130" t="str">
        <f t="shared" si="9"/>
        <v>Green</v>
      </c>
      <c r="F130">
        <f t="shared" si="10"/>
        <v>1</v>
      </c>
      <c r="H130" s="33">
        <v>34698</v>
      </c>
      <c r="I130" s="31"/>
      <c r="J130" s="31">
        <v>-1.53929098837712E-2</v>
      </c>
      <c r="K130" s="31">
        <v>-1.53929098837712E-2</v>
      </c>
    </row>
    <row r="131" spans="1:11" x14ac:dyDescent="0.25">
      <c r="A131" s="28">
        <v>20089</v>
      </c>
      <c r="B131" s="17">
        <v>0.45022174325762698</v>
      </c>
      <c r="C131" t="str">
        <f t="shared" si="9"/>
        <v>Green</v>
      </c>
      <c r="F131">
        <f t="shared" si="10"/>
        <v>1</v>
      </c>
      <c r="H131" s="33">
        <v>35062</v>
      </c>
      <c r="I131" s="31">
        <v>0.34110655551673802</v>
      </c>
      <c r="J131" s="31"/>
      <c r="K131" s="31">
        <v>0.34110655551673802</v>
      </c>
    </row>
    <row r="132" spans="1:11" x14ac:dyDescent="0.25">
      <c r="A132" s="28">
        <v>19724</v>
      </c>
      <c r="B132" s="17">
        <v>-6.6240158073014602E-2</v>
      </c>
      <c r="C132" t="str">
        <f t="shared" si="9"/>
        <v>Red</v>
      </c>
      <c r="F132">
        <f t="shared" si="10"/>
        <v>0</v>
      </c>
      <c r="H132" s="33">
        <v>35430</v>
      </c>
      <c r="I132" s="31">
        <v>0.20263666068945599</v>
      </c>
      <c r="J132" s="31"/>
      <c r="K132" s="31">
        <v>0.20263666068945599</v>
      </c>
    </row>
    <row r="133" spans="1:11" x14ac:dyDescent="0.25">
      <c r="A133" s="28">
        <v>19359</v>
      </c>
      <c r="B133" s="17">
        <v>0.117795540597392</v>
      </c>
      <c r="C133" t="str">
        <f t="shared" si="9"/>
        <v>Green</v>
      </c>
      <c r="F133">
        <f t="shared" si="10"/>
        <v>1</v>
      </c>
      <c r="H133" s="33">
        <v>35795</v>
      </c>
      <c r="I133" s="31">
        <v>0.31008181831792297</v>
      </c>
      <c r="J133" s="31"/>
      <c r="K133" s="31">
        <v>0.31008181831792297</v>
      </c>
    </row>
    <row r="134" spans="1:11" x14ac:dyDescent="0.25">
      <c r="A134" s="28">
        <v>18993</v>
      </c>
      <c r="B134" s="17">
        <v>0.16348507097405801</v>
      </c>
      <c r="C134" t="str">
        <f t="shared" si="9"/>
        <v>Green</v>
      </c>
      <c r="F134">
        <f t="shared" si="10"/>
        <v>1</v>
      </c>
      <c r="H134" s="33">
        <v>36160</v>
      </c>
      <c r="I134" s="31">
        <v>0.26668589065342302</v>
      </c>
      <c r="J134" s="31"/>
      <c r="K134" s="31">
        <v>0.26668589065342302</v>
      </c>
    </row>
    <row r="135" spans="1:11" x14ac:dyDescent="0.25">
      <c r="A135" s="28">
        <v>18626</v>
      </c>
      <c r="B135" s="17">
        <v>0.21679563926172499</v>
      </c>
      <c r="C135" t="str">
        <f t="shared" si="9"/>
        <v>Green</v>
      </c>
      <c r="F135">
        <f t="shared" si="10"/>
        <v>1</v>
      </c>
      <c r="H135" s="33">
        <v>36525</v>
      </c>
      <c r="I135" s="31">
        <v>0.19526046704458</v>
      </c>
      <c r="J135" s="31"/>
      <c r="K135" s="31">
        <v>0.19526046704458</v>
      </c>
    </row>
    <row r="136" spans="1:11" x14ac:dyDescent="0.25">
      <c r="A136" s="28">
        <v>18262</v>
      </c>
      <c r="B136" s="17">
        <v>0.104605328947369</v>
      </c>
      <c r="C136" t="str">
        <f t="shared" si="9"/>
        <v>Green</v>
      </c>
      <c r="F136">
        <f t="shared" si="10"/>
        <v>1</v>
      </c>
      <c r="H136" s="33">
        <v>36889</v>
      </c>
      <c r="I136" s="31"/>
      <c r="J136" s="31">
        <v>-0.101391846860643</v>
      </c>
      <c r="K136" s="31">
        <v>-0.101391846860643</v>
      </c>
    </row>
    <row r="137" spans="1:11" x14ac:dyDescent="0.25">
      <c r="A137" s="28">
        <v>17898</v>
      </c>
      <c r="B137" s="17">
        <v>-6.5359477124183902E-3</v>
      </c>
      <c r="C137" t="str">
        <f t="shared" si="9"/>
        <v>Red</v>
      </c>
      <c r="F137">
        <f t="shared" si="10"/>
        <v>0</v>
      </c>
      <c r="H137" s="33">
        <v>37256</v>
      </c>
      <c r="I137" s="31"/>
      <c r="J137" s="31">
        <v>-0.130426931573317</v>
      </c>
      <c r="K137" s="31">
        <v>-0.130426931573317</v>
      </c>
    </row>
    <row r="138" spans="1:11" x14ac:dyDescent="0.25">
      <c r="A138" s="28">
        <v>17532</v>
      </c>
      <c r="B138" s="17">
        <v>0</v>
      </c>
      <c r="C138" t="str">
        <f t="shared" si="9"/>
        <v>Red</v>
      </c>
      <c r="F138">
        <f t="shared" si="10"/>
        <v>0</v>
      </c>
      <c r="H138" s="33">
        <v>37621</v>
      </c>
      <c r="I138" s="31"/>
      <c r="J138" s="31">
        <v>-0.233659639816933</v>
      </c>
      <c r="K138" s="31">
        <v>-0.233659639816933</v>
      </c>
    </row>
    <row r="139" spans="1:11" x14ac:dyDescent="0.25">
      <c r="A139" s="28">
        <v>17167</v>
      </c>
      <c r="B139" s="17">
        <v>-0.118663645238269</v>
      </c>
      <c r="C139" t="str">
        <f t="shared" si="9"/>
        <v>Red</v>
      </c>
      <c r="F139">
        <f t="shared" si="10"/>
        <v>0</v>
      </c>
      <c r="H139" s="33">
        <v>37986</v>
      </c>
      <c r="I139" s="31">
        <v>0.263803999856075</v>
      </c>
      <c r="J139" s="31"/>
      <c r="K139" s="31">
        <v>0.263803999856075</v>
      </c>
    </row>
    <row r="140" spans="1:11" x14ac:dyDescent="0.25">
      <c r="A140" s="28">
        <v>16802</v>
      </c>
      <c r="B140" s="17">
        <v>0.30722899096385498</v>
      </c>
      <c r="C140" t="str">
        <f t="shared" si="9"/>
        <v>Green</v>
      </c>
      <c r="F140">
        <f t="shared" si="10"/>
        <v>1</v>
      </c>
      <c r="H140" s="33">
        <v>38352</v>
      </c>
      <c r="I140" s="31">
        <v>8.9934524105044406E-2</v>
      </c>
      <c r="J140" s="31"/>
      <c r="K140" s="31">
        <v>8.9934524105044406E-2</v>
      </c>
    </row>
    <row r="141" spans="1:11" x14ac:dyDescent="0.25">
      <c r="A141" s="28">
        <v>16435</v>
      </c>
      <c r="B141" s="17">
        <v>0.13796058269066</v>
      </c>
      <c r="C141" t="str">
        <f t="shared" si="9"/>
        <v>Green</v>
      </c>
      <c r="F141">
        <f t="shared" si="10"/>
        <v>1</v>
      </c>
      <c r="H141" s="33">
        <v>38716</v>
      </c>
      <c r="I141" s="31">
        <v>3.0010226483224899E-2</v>
      </c>
      <c r="J141" s="31"/>
      <c r="K141" s="31">
        <v>3.0010226483224899E-2</v>
      </c>
    </row>
    <row r="142" spans="1:11" x14ac:dyDescent="0.25">
      <c r="A142" s="28">
        <v>16071</v>
      </c>
      <c r="B142" s="17">
        <v>0.19447287615148401</v>
      </c>
      <c r="C142" t="str">
        <f t="shared" si="9"/>
        <v>Green</v>
      </c>
      <c r="F142">
        <f t="shared" si="10"/>
        <v>1</v>
      </c>
      <c r="H142" s="33">
        <v>39080</v>
      </c>
      <c r="I142" s="31">
        <v>0.13619431757718301</v>
      </c>
      <c r="J142" s="31"/>
      <c r="K142" s="31">
        <v>0.13619431757718301</v>
      </c>
    </row>
    <row r="143" spans="1:11" x14ac:dyDescent="0.25">
      <c r="A143" s="28">
        <v>15706</v>
      </c>
      <c r="B143" s="17">
        <v>0.124280782508631</v>
      </c>
      <c r="C143" t="str">
        <f t="shared" si="9"/>
        <v>Green</v>
      </c>
      <c r="F143">
        <f t="shared" si="10"/>
        <v>1</v>
      </c>
      <c r="H143" s="33">
        <v>39447</v>
      </c>
      <c r="I143" s="31">
        <v>3.5295730290142699E-2</v>
      </c>
      <c r="J143" s="31"/>
      <c r="K143" s="31">
        <v>3.5295730290142699E-2</v>
      </c>
    </row>
    <row r="144" spans="1:11" x14ac:dyDescent="0.25">
      <c r="A144" s="28">
        <v>15341</v>
      </c>
      <c r="B144" s="17">
        <v>-0.17863894139886599</v>
      </c>
      <c r="C144" t="str">
        <f t="shared" si="9"/>
        <v>Red</v>
      </c>
      <c r="F144">
        <f t="shared" si="10"/>
        <v>0</v>
      </c>
      <c r="H144" s="33">
        <v>39813</v>
      </c>
      <c r="I144" s="31"/>
      <c r="J144" s="31">
        <v>-0.38485793046178701</v>
      </c>
      <c r="K144" s="31">
        <v>-0.38485793046178701</v>
      </c>
    </row>
    <row r="145" spans="1:11" x14ac:dyDescent="0.25">
      <c r="A145" s="28">
        <v>14976</v>
      </c>
      <c r="B145" s="17">
        <v>-0.15088282504012901</v>
      </c>
      <c r="C145" t="str">
        <f t="shared" si="9"/>
        <v>Red</v>
      </c>
      <c r="F145">
        <f t="shared" si="10"/>
        <v>0</v>
      </c>
      <c r="H145" s="33">
        <v>40178</v>
      </c>
      <c r="I145" s="31">
        <v>0.23454190534182101</v>
      </c>
      <c r="J145" s="31"/>
      <c r="K145" s="31">
        <v>0.23454190534182101</v>
      </c>
    </row>
    <row r="146" spans="1:11" x14ac:dyDescent="0.25">
      <c r="A146" s="28">
        <v>14608</v>
      </c>
      <c r="B146" s="17">
        <v>-5.1750380517503802E-2</v>
      </c>
      <c r="C146" t="str">
        <f t="shared" si="9"/>
        <v>Red</v>
      </c>
      <c r="F146">
        <f t="shared" si="10"/>
        <v>0</v>
      </c>
      <c r="H146" s="33">
        <v>40543</v>
      </c>
      <c r="I146" s="31">
        <v>0.12782713843408799</v>
      </c>
      <c r="J146" s="31"/>
      <c r="K146" s="31">
        <v>0.12782713843408799</v>
      </c>
    </row>
    <row r="147" spans="1:11" x14ac:dyDescent="0.25">
      <c r="A147" s="28">
        <v>14244</v>
      </c>
      <c r="B147" s="17">
        <v>0.24549763033175401</v>
      </c>
      <c r="C147" t="str">
        <f t="shared" si="9"/>
        <v>Green</v>
      </c>
      <c r="F147">
        <f t="shared" si="10"/>
        <v>1</v>
      </c>
      <c r="H147" s="33">
        <v>40907</v>
      </c>
      <c r="I147" s="31"/>
      <c r="J147" s="31">
        <v>-3.1836614231783903E-5</v>
      </c>
      <c r="K147" s="31">
        <v>-3.1836614231783903E-5</v>
      </c>
    </row>
    <row r="148" spans="1:11" x14ac:dyDescent="0.25">
      <c r="A148" s="28">
        <v>13880</v>
      </c>
      <c r="B148" s="17">
        <v>-0.38591385331781097</v>
      </c>
      <c r="C148" t="str">
        <f t="shared" si="9"/>
        <v>Red</v>
      </c>
      <c r="F148">
        <f t="shared" si="10"/>
        <v>0</v>
      </c>
      <c r="H148" s="33">
        <v>41274</v>
      </c>
      <c r="I148" s="31">
        <v>0.134056908569788</v>
      </c>
      <c r="J148" s="31"/>
      <c r="K148" s="31">
        <v>0.134056908569788</v>
      </c>
    </row>
    <row r="149" spans="1:11" x14ac:dyDescent="0.25">
      <c r="A149" s="28">
        <v>13515</v>
      </c>
      <c r="B149" s="17">
        <v>0.27922561429635101</v>
      </c>
      <c r="C149" t="str">
        <f t="shared" si="9"/>
        <v>Green</v>
      </c>
      <c r="F149">
        <f t="shared" si="10"/>
        <v>1</v>
      </c>
      <c r="H149" s="33">
        <v>41639</v>
      </c>
      <c r="I149" s="31">
        <v>0.296012495855908</v>
      </c>
      <c r="J149" s="31"/>
      <c r="K149" s="31">
        <v>0.296012495855908</v>
      </c>
    </row>
    <row r="150" spans="1:11" x14ac:dyDescent="0.25">
      <c r="A150" s="28">
        <v>13149</v>
      </c>
      <c r="B150" s="17">
        <v>0.41368421052631599</v>
      </c>
      <c r="C150" t="str">
        <f t="shared" si="9"/>
        <v>Green</v>
      </c>
      <c r="F150">
        <f t="shared" si="10"/>
        <v>1</v>
      </c>
      <c r="H150" s="33">
        <v>42004</v>
      </c>
      <c r="I150" s="31">
        <v>0.113906337893373</v>
      </c>
      <c r="J150" s="31"/>
      <c r="K150" s="31">
        <v>0.113906337893373</v>
      </c>
    </row>
    <row r="151" spans="1:11" x14ac:dyDescent="0.25">
      <c r="A151" s="28">
        <v>12784</v>
      </c>
      <c r="B151" s="17">
        <v>-4.7141424272818498E-2</v>
      </c>
      <c r="C151" t="str">
        <f t="shared" si="9"/>
        <v>Red</v>
      </c>
      <c r="F151">
        <f t="shared" si="10"/>
        <v>0</v>
      </c>
      <c r="H151" s="33">
        <v>42369</v>
      </c>
      <c r="I151" s="31"/>
      <c r="J151" s="31">
        <v>-7.2659972373926296E-3</v>
      </c>
      <c r="K151" s="31">
        <v>-7.2659972373926296E-3</v>
      </c>
    </row>
    <row r="152" spans="1:11" x14ac:dyDescent="0.25">
      <c r="A152" s="28">
        <v>12417</v>
      </c>
      <c r="B152" s="17">
        <v>0.440751445086705</v>
      </c>
      <c r="C152" t="str">
        <f t="shared" si="9"/>
        <v>Green</v>
      </c>
      <c r="F152">
        <f t="shared" si="10"/>
        <v>1</v>
      </c>
      <c r="H152" s="33">
        <v>42734</v>
      </c>
      <c r="I152" s="31">
        <v>9.5350226829389997E-2</v>
      </c>
      <c r="J152" s="31"/>
      <c r="K152" s="31">
        <v>9.5350226829389997E-2</v>
      </c>
    </row>
    <row r="153" spans="1:11" x14ac:dyDescent="0.25">
      <c r="A153" s="28">
        <v>12053</v>
      </c>
      <c r="B153" s="17">
        <v>-0.147783251231527</v>
      </c>
      <c r="C153" t="str">
        <f t="shared" si="9"/>
        <v>Red</v>
      </c>
      <c r="F153">
        <f t="shared" si="10"/>
        <v>0</v>
      </c>
      <c r="H153" s="33">
        <v>43098</v>
      </c>
      <c r="I153" s="31">
        <v>0.194199655111119</v>
      </c>
      <c r="J153" s="31"/>
      <c r="K153" s="31">
        <v>0.194199655111119</v>
      </c>
    </row>
    <row r="154" spans="1:11" x14ac:dyDescent="0.25">
      <c r="A154" s="28">
        <v>11688</v>
      </c>
      <c r="B154" s="17">
        <v>-0.47066492829204698</v>
      </c>
      <c r="C154" t="str">
        <f t="shared" si="9"/>
        <v>Red</v>
      </c>
      <c r="F154">
        <f t="shared" si="10"/>
        <v>0</v>
      </c>
      <c r="H154" s="33">
        <v>43465</v>
      </c>
      <c r="I154" s="31"/>
      <c r="J154" s="31">
        <v>-6.2372598219685001E-2</v>
      </c>
      <c r="K154" s="31">
        <v>-6.2372598219685001E-2</v>
      </c>
    </row>
    <row r="155" spans="1:11" x14ac:dyDescent="0.25">
      <c r="A155" s="28">
        <v>11323</v>
      </c>
      <c r="B155" s="17">
        <v>-0.28484851818888002</v>
      </c>
      <c r="C155" t="str">
        <f t="shared" si="9"/>
        <v>Red</v>
      </c>
      <c r="F155">
        <f t="shared" si="10"/>
        <v>0</v>
      </c>
      <c r="H155" s="33">
        <v>43830</v>
      </c>
      <c r="I155" s="31">
        <v>0.28878070195643601</v>
      </c>
      <c r="J155" s="31"/>
      <c r="K155" s="31">
        <v>0.28878070195643601</v>
      </c>
    </row>
    <row r="156" spans="1:11" x14ac:dyDescent="0.25">
      <c r="A156" s="28">
        <v>10958</v>
      </c>
      <c r="B156" s="17">
        <v>-0.119096468172485</v>
      </c>
      <c r="C156" t="str">
        <f t="shared" si="9"/>
        <v>Red</v>
      </c>
      <c r="F156">
        <f t="shared" si="10"/>
        <v>0</v>
      </c>
      <c r="H156" s="33">
        <v>44196</v>
      </c>
      <c r="I156" s="31">
        <v>0.162589230552657</v>
      </c>
      <c r="J156" s="31"/>
      <c r="K156" s="31">
        <v>0.162589230552657</v>
      </c>
    </row>
    <row r="157" spans="1:11" x14ac:dyDescent="0.25">
      <c r="A157" s="28">
        <v>10593</v>
      </c>
      <c r="B157" s="17">
        <v>0.37882219705549303</v>
      </c>
      <c r="C157" t="str">
        <f t="shared" si="9"/>
        <v>Green</v>
      </c>
      <c r="F157">
        <f t="shared" si="10"/>
        <v>1</v>
      </c>
      <c r="H157" s="33">
        <v>44561</v>
      </c>
      <c r="I157" s="31">
        <v>0.26892738679336098</v>
      </c>
      <c r="J157" s="31"/>
      <c r="K157" s="31">
        <v>0.26892738679336098</v>
      </c>
    </row>
    <row r="158" spans="1:11" x14ac:dyDescent="0.25">
      <c r="H158" s="33">
        <v>44834</v>
      </c>
      <c r="I158" s="31"/>
      <c r="J158" s="31">
        <v>-9.339567E-2</v>
      </c>
      <c r="K158" s="31">
        <v>-9.339567E-2</v>
      </c>
    </row>
    <row r="159" spans="1:11" x14ac:dyDescent="0.25">
      <c r="H159" s="33" t="s">
        <v>92</v>
      </c>
      <c r="I159" s="31">
        <v>11.738142678471041</v>
      </c>
      <c r="J159" s="31">
        <v>-4.3411841833871954</v>
      </c>
      <c r="K159" s="31">
        <v>7.3969584950838438</v>
      </c>
    </row>
  </sheetData>
  <conditionalFormatting sqref="F10:F29 E30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29 F30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:Q3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:R39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22 M30:M39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22 N30:N39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18 B30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0:F5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:G46 G56:G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B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C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B18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:B157">
    <cfRule type="dataBar" priority="2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{18F152F1-8A5A-4FB0-89EF-63B5AD0E0443}</x14:id>
        </ext>
      </extLst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F152F1-8A5A-4FB0-89EF-63B5AD0E04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B63:B157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C707-9D25-416E-9D6E-4577E46D1CB1}">
  <dimension ref="B2:S24"/>
  <sheetViews>
    <sheetView workbookViewId="0">
      <selection activeCell="M8" sqref="M8"/>
    </sheetView>
  </sheetViews>
  <sheetFormatPr defaultRowHeight="15" x14ac:dyDescent="0.25"/>
  <sheetData>
    <row r="2" spans="2:19" x14ac:dyDescent="0.25">
      <c r="F2" t="s">
        <v>116</v>
      </c>
    </row>
    <row r="4" spans="2:19" x14ac:dyDescent="0.25">
      <c r="F4">
        <f>C18-C19</f>
        <v>0.48000000000000043</v>
      </c>
    </row>
    <row r="5" spans="2:19" x14ac:dyDescent="0.25">
      <c r="C5">
        <f>C11-C12</f>
        <v>0.60999999999999943</v>
      </c>
      <c r="D5">
        <f>1-C5</f>
        <v>0.39000000000000057</v>
      </c>
      <c r="F5">
        <f>F4-D5</f>
        <v>8.9999999999999858E-2</v>
      </c>
    </row>
    <row r="6" spans="2:19" x14ac:dyDescent="0.25">
      <c r="I6" t="s">
        <v>115</v>
      </c>
    </row>
    <row r="7" spans="2:19" x14ac:dyDescent="0.25">
      <c r="C7" t="s">
        <v>14</v>
      </c>
      <c r="D7" t="s">
        <v>111</v>
      </c>
      <c r="F7" t="s">
        <v>112</v>
      </c>
      <c r="G7" t="s">
        <v>113</v>
      </c>
      <c r="H7" t="s">
        <v>114</v>
      </c>
      <c r="I7">
        <f>I8*100</f>
        <v>-108.99999999999999</v>
      </c>
      <c r="J7">
        <f>J8*100</f>
        <v>-11.999999999999922</v>
      </c>
      <c r="K7">
        <f>K8*100</f>
        <v>-10.999999999999943</v>
      </c>
      <c r="M7">
        <v>-49</v>
      </c>
      <c r="O7" t="s">
        <v>117</v>
      </c>
    </row>
    <row r="8" spans="2:19" x14ac:dyDescent="0.25">
      <c r="B8">
        <v>380</v>
      </c>
      <c r="C8">
        <v>11.7</v>
      </c>
      <c r="D8">
        <v>5.2</v>
      </c>
      <c r="H8">
        <v>-1</v>
      </c>
      <c r="I8" s="13">
        <f>SUMPRODUCT($C$8:$C$24,F8:F24)</f>
        <v>-1.0899999999999999</v>
      </c>
      <c r="J8" s="13">
        <f t="shared" ref="J8:K8" si="0">SUMPRODUCT($C$8:$C$24,G8:G24)</f>
        <v>-0.11999999999999922</v>
      </c>
      <c r="K8" s="13">
        <f t="shared" si="0"/>
        <v>-0.10999999999999943</v>
      </c>
      <c r="M8">
        <v>60</v>
      </c>
    </row>
    <row r="9" spans="2:19" x14ac:dyDescent="0.25">
      <c r="B9">
        <v>381</v>
      </c>
      <c r="C9">
        <v>11.03</v>
      </c>
      <c r="D9">
        <v>5.54</v>
      </c>
      <c r="H9">
        <v>1</v>
      </c>
      <c r="I9">
        <f>SUMPRODUCT($D$8:$D$24,F8:F24)</f>
        <v>0.92000000000000171</v>
      </c>
      <c r="J9">
        <f t="shared" ref="J9:K9" si="1">SUMPRODUCT($D$8:$D$24,G8:G24)</f>
        <v>-0.12999999999999901</v>
      </c>
      <c r="K9">
        <f t="shared" si="1"/>
        <v>-9.9999999999999645E-2</v>
      </c>
      <c r="M9">
        <f>SUM(M7:M8)</f>
        <v>11</v>
      </c>
    </row>
    <row r="10" spans="2:19" x14ac:dyDescent="0.25">
      <c r="B10">
        <v>382</v>
      </c>
      <c r="C10">
        <v>10.38</v>
      </c>
      <c r="D10">
        <v>5.89</v>
      </c>
    </row>
    <row r="11" spans="2:19" x14ac:dyDescent="0.25">
      <c r="B11">
        <v>383</v>
      </c>
      <c r="C11">
        <v>9.76</v>
      </c>
      <c r="D11" s="13">
        <v>6.26</v>
      </c>
      <c r="E11" s="13"/>
      <c r="F11">
        <v>-1</v>
      </c>
      <c r="M11">
        <v>8.84</v>
      </c>
      <c r="N11">
        <f>M11-M12</f>
        <v>0.5600000000000005</v>
      </c>
    </row>
    <row r="12" spans="2:19" x14ac:dyDescent="0.25">
      <c r="B12">
        <v>384</v>
      </c>
      <c r="C12">
        <v>9.15</v>
      </c>
      <c r="D12">
        <v>6.66</v>
      </c>
      <c r="F12">
        <v>1</v>
      </c>
      <c r="M12">
        <v>8.2799999999999994</v>
      </c>
    </row>
    <row r="13" spans="2:19" x14ac:dyDescent="0.25">
      <c r="B13">
        <v>385</v>
      </c>
      <c r="C13">
        <v>8.5500000000000007</v>
      </c>
      <c r="D13">
        <v>7.06</v>
      </c>
      <c r="N13">
        <f>1-N11</f>
        <v>0.4399999999999995</v>
      </c>
      <c r="R13">
        <f>8.95-8.35</f>
        <v>0.59999999999999964</v>
      </c>
    </row>
    <row r="14" spans="2:19" x14ac:dyDescent="0.25">
      <c r="B14">
        <v>386</v>
      </c>
      <c r="C14">
        <v>7.98</v>
      </c>
      <c r="D14">
        <v>7.48</v>
      </c>
      <c r="H14">
        <v>1</v>
      </c>
      <c r="N14">
        <f>8.3-7.7</f>
        <v>0.60000000000000053</v>
      </c>
      <c r="O14">
        <f>N14-N13</f>
        <v>0.16000000000000103</v>
      </c>
      <c r="R14">
        <f>R13-Q18</f>
        <v>0.17999999999999966</v>
      </c>
      <c r="S14">
        <v>0.4</v>
      </c>
    </row>
    <row r="15" spans="2:19" x14ac:dyDescent="0.25">
      <c r="B15">
        <v>387</v>
      </c>
      <c r="C15">
        <v>7.42</v>
      </c>
      <c r="D15">
        <v>7.92</v>
      </c>
      <c r="G15">
        <v>-1</v>
      </c>
      <c r="H15">
        <v>-1</v>
      </c>
      <c r="S15">
        <f>Q17-S14</f>
        <v>0.18000000000000005</v>
      </c>
    </row>
    <row r="16" spans="2:19" x14ac:dyDescent="0.25">
      <c r="B16">
        <v>388</v>
      </c>
      <c r="C16">
        <v>6.88</v>
      </c>
      <c r="D16">
        <v>8.3800000000000008</v>
      </c>
      <c r="G16">
        <v>1</v>
      </c>
      <c r="N16">
        <v>0.6</v>
      </c>
      <c r="Q16" t="s">
        <v>118</v>
      </c>
      <c r="R16" t="s">
        <v>119</v>
      </c>
    </row>
    <row r="17" spans="2:17" x14ac:dyDescent="0.25">
      <c r="B17">
        <v>389</v>
      </c>
      <c r="C17">
        <v>6.36</v>
      </c>
      <c r="D17">
        <v>8.86</v>
      </c>
      <c r="Q17">
        <f>9.47-8.89</f>
        <v>0.58000000000000007</v>
      </c>
    </row>
    <row r="18" spans="2:17" x14ac:dyDescent="0.25">
      <c r="B18">
        <v>390</v>
      </c>
      <c r="C18">
        <v>5.86</v>
      </c>
      <c r="D18">
        <v>9.36</v>
      </c>
      <c r="F18">
        <v>-1</v>
      </c>
      <c r="N18">
        <v>0.4</v>
      </c>
      <c r="P18" t="s">
        <v>120</v>
      </c>
      <c r="Q18">
        <v>0.42</v>
      </c>
    </row>
    <row r="19" spans="2:17" x14ac:dyDescent="0.25">
      <c r="B19">
        <v>391</v>
      </c>
      <c r="C19">
        <v>5.38</v>
      </c>
      <c r="D19">
        <v>9.8800000000000008</v>
      </c>
      <c r="F19">
        <v>1</v>
      </c>
    </row>
    <row r="20" spans="2:17" x14ac:dyDescent="0.25">
      <c r="B20">
        <v>392</v>
      </c>
      <c r="C20">
        <v>4.92</v>
      </c>
      <c r="D20">
        <v>10.42</v>
      </c>
      <c r="N20">
        <f>8.84-8.28</f>
        <v>0.5600000000000005</v>
      </c>
    </row>
    <row r="21" spans="2:17" x14ac:dyDescent="0.25">
      <c r="B21">
        <v>393</v>
      </c>
      <c r="C21">
        <v>4.4800000000000004</v>
      </c>
      <c r="D21">
        <v>10.99</v>
      </c>
      <c r="G21">
        <v>1</v>
      </c>
      <c r="N21">
        <f>N20-N18</f>
        <v>0.16000000000000048</v>
      </c>
    </row>
    <row r="22" spans="2:17" x14ac:dyDescent="0.25">
      <c r="B22">
        <v>394</v>
      </c>
      <c r="C22">
        <v>4.0599999999999996</v>
      </c>
      <c r="D22">
        <v>11.58</v>
      </c>
      <c r="G22">
        <v>-1</v>
      </c>
    </row>
    <row r="23" spans="2:17" x14ac:dyDescent="0.25">
      <c r="B23">
        <v>395</v>
      </c>
      <c r="C23">
        <v>3.68</v>
      </c>
      <c r="D23">
        <v>12.2</v>
      </c>
    </row>
    <row r="24" spans="2:17" x14ac:dyDescent="0.25">
      <c r="B24">
        <v>396</v>
      </c>
      <c r="C24">
        <v>3.32</v>
      </c>
      <c r="D24">
        <v>12.84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zoomScale="130" zoomScaleNormal="130" workbookViewId="0">
      <selection activeCell="B8" sqref="B8"/>
    </sheetView>
  </sheetViews>
  <sheetFormatPr defaultRowHeight="15" x14ac:dyDescent="0.25"/>
  <cols>
    <col min="1" max="1" width="16" customWidth="1"/>
    <col min="2" max="2" width="9.85546875" bestFit="1" customWidth="1"/>
    <col min="3" max="3" width="8.28515625" customWidth="1"/>
    <col min="4" max="4" width="6" customWidth="1"/>
  </cols>
  <sheetData>
    <row r="1" spans="1:9" x14ac:dyDescent="0.25">
      <c r="A1" s="1" t="s">
        <v>0</v>
      </c>
      <c r="B1">
        <v>3500</v>
      </c>
      <c r="C1" s="1" t="s">
        <v>1</v>
      </c>
      <c r="D1">
        <f>$B$1/100</f>
        <v>35</v>
      </c>
    </row>
    <row r="2" spans="1:9" x14ac:dyDescent="0.25">
      <c r="B2" t="s">
        <v>11</v>
      </c>
      <c r="C2" t="s">
        <v>5</v>
      </c>
      <c r="D2" t="s">
        <v>10</v>
      </c>
      <c r="G2" t="s">
        <v>11</v>
      </c>
      <c r="H2" t="s">
        <v>5</v>
      </c>
      <c r="I2" t="s">
        <v>10</v>
      </c>
    </row>
    <row r="3" spans="1:9" x14ac:dyDescent="0.25">
      <c r="A3">
        <v>1</v>
      </c>
      <c r="B3">
        <v>0.22</v>
      </c>
      <c r="F3">
        <v>1</v>
      </c>
      <c r="G3">
        <v>0.22</v>
      </c>
    </row>
    <row r="4" spans="1:9" x14ac:dyDescent="0.25">
      <c r="A4">
        <v>2</v>
      </c>
      <c r="B4">
        <v>0.3</v>
      </c>
      <c r="C4">
        <f>B4-B3</f>
        <v>7.9999999999999988E-2</v>
      </c>
      <c r="D4">
        <f>(C4-0.024)*$D$1*100</f>
        <v>195.99999999999994</v>
      </c>
      <c r="F4">
        <v>2</v>
      </c>
      <c r="G4">
        <v>0.3</v>
      </c>
      <c r="H4">
        <f>G4-G3</f>
        <v>7.9999999999999988E-2</v>
      </c>
      <c r="I4">
        <f>(H4-0.024)*$D$1*100</f>
        <v>195.99999999999994</v>
      </c>
    </row>
    <row r="5" spans="1:9" x14ac:dyDescent="0.25">
      <c r="A5">
        <v>3</v>
      </c>
      <c r="B5">
        <v>0.4</v>
      </c>
      <c r="C5">
        <f>B5-B4</f>
        <v>0.10000000000000003</v>
      </c>
      <c r="D5">
        <f t="shared" ref="D5:D8" si="0">(C5-0.024)*$D$1*100</f>
        <v>266.00000000000017</v>
      </c>
      <c r="F5">
        <v>3</v>
      </c>
      <c r="G5">
        <v>0.4</v>
      </c>
      <c r="H5">
        <f>G5-G4</f>
        <v>0.10000000000000003</v>
      </c>
      <c r="I5">
        <f t="shared" ref="I5:I8" si="1">(H5-0.024)*$D$1*100</f>
        <v>266.00000000000017</v>
      </c>
    </row>
    <row r="6" spans="1:9" x14ac:dyDescent="0.25">
      <c r="A6">
        <v>4</v>
      </c>
      <c r="B6">
        <v>0.54</v>
      </c>
      <c r="C6">
        <v>0.17</v>
      </c>
      <c r="D6">
        <f t="shared" si="0"/>
        <v>511.00000000000006</v>
      </c>
      <c r="F6">
        <v>4</v>
      </c>
      <c r="G6">
        <v>0.54</v>
      </c>
      <c r="H6">
        <v>0.17</v>
      </c>
      <c r="I6">
        <f t="shared" si="1"/>
        <v>511.00000000000006</v>
      </c>
    </row>
    <row r="7" spans="1:9" x14ac:dyDescent="0.25">
      <c r="A7">
        <v>5</v>
      </c>
      <c r="B7">
        <v>0.72</v>
      </c>
      <c r="C7">
        <f>B7-B6</f>
        <v>0.17999999999999994</v>
      </c>
      <c r="D7">
        <f t="shared" si="0"/>
        <v>545.99999999999977</v>
      </c>
      <c r="F7">
        <v>5</v>
      </c>
      <c r="G7">
        <v>0.72</v>
      </c>
      <c r="H7">
        <f>G7-G6</f>
        <v>0.17999999999999994</v>
      </c>
      <c r="I7">
        <f t="shared" si="1"/>
        <v>545.99999999999977</v>
      </c>
    </row>
    <row r="8" spans="1:9" x14ac:dyDescent="0.25">
      <c r="A8">
        <v>6</v>
      </c>
      <c r="B8">
        <v>0.94</v>
      </c>
      <c r="C8">
        <f>B8-B7</f>
        <v>0.21999999999999997</v>
      </c>
      <c r="D8">
        <f t="shared" si="0"/>
        <v>686</v>
      </c>
      <c r="F8">
        <v>6</v>
      </c>
      <c r="G8">
        <v>0.94</v>
      </c>
      <c r="H8">
        <f>G8-G7</f>
        <v>0.21999999999999997</v>
      </c>
      <c r="I8">
        <f t="shared" si="1"/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B7" sqref="B7"/>
    </sheetView>
  </sheetViews>
  <sheetFormatPr defaultRowHeight="15" x14ac:dyDescent="0.25"/>
  <sheetData>
    <row r="1" spans="1:9" x14ac:dyDescent="0.25">
      <c r="A1" s="1" t="s">
        <v>0</v>
      </c>
      <c r="B1">
        <v>1600</v>
      </c>
      <c r="C1" s="1" t="s">
        <v>1</v>
      </c>
      <c r="D1">
        <f>$B$1/100</f>
        <v>16</v>
      </c>
    </row>
    <row r="2" spans="1:9" x14ac:dyDescent="0.25">
      <c r="A2" t="s">
        <v>13</v>
      </c>
      <c r="B2" t="s">
        <v>11</v>
      </c>
      <c r="C2" t="s">
        <v>5</v>
      </c>
      <c r="D2" t="s">
        <v>10</v>
      </c>
      <c r="F2" t="s">
        <v>12</v>
      </c>
      <c r="G2" t="s">
        <v>11</v>
      </c>
      <c r="H2" t="s">
        <v>5</v>
      </c>
      <c r="I2" t="s">
        <v>10</v>
      </c>
    </row>
    <row r="3" spans="1:9" x14ac:dyDescent="0.25">
      <c r="A3">
        <v>1</v>
      </c>
      <c r="B3">
        <v>1.3</v>
      </c>
      <c r="C3">
        <f>B3-B4</f>
        <v>-2.7</v>
      </c>
      <c r="D3" s="2"/>
      <c r="F3">
        <v>1</v>
      </c>
      <c r="H3">
        <f>G3-G4</f>
        <v>0</v>
      </c>
      <c r="I3" s="2"/>
    </row>
    <row r="4" spans="1:9" x14ac:dyDescent="0.25">
      <c r="A4">
        <v>2</v>
      </c>
      <c r="B4">
        <v>4</v>
      </c>
      <c r="C4">
        <f>B4-B5</f>
        <v>-1.5999999999999996</v>
      </c>
      <c r="D4" s="3">
        <f>(C4-0.024)*$D$1*100</f>
        <v>-2598.3999999999996</v>
      </c>
      <c r="F4">
        <v>2</v>
      </c>
      <c r="H4">
        <f>G4-G5</f>
        <v>0</v>
      </c>
      <c r="I4" s="2">
        <f>(H4-0.024)*$D$1*100</f>
        <v>-38.4</v>
      </c>
    </row>
    <row r="5" spans="1:9" x14ac:dyDescent="0.25">
      <c r="A5">
        <v>3</v>
      </c>
      <c r="B5">
        <v>5.6</v>
      </c>
      <c r="C5">
        <f>B5-B6</f>
        <v>0.62999999999999989</v>
      </c>
      <c r="D5" s="3">
        <f>(C5-0.024)*$D$1*100</f>
        <v>969.5999999999998</v>
      </c>
      <c r="F5">
        <v>3</v>
      </c>
      <c r="H5">
        <f>G5-G6</f>
        <v>0</v>
      </c>
      <c r="I5" s="2">
        <f>(H5-0.024)*$D$1*100</f>
        <v>-38.4</v>
      </c>
    </row>
    <row r="6" spans="1:9" x14ac:dyDescent="0.25">
      <c r="A6">
        <v>4</v>
      </c>
      <c r="B6">
        <v>4.97</v>
      </c>
      <c r="C6">
        <f>B6-B7</f>
        <v>0.5699999999999994</v>
      </c>
      <c r="D6" s="3">
        <f>(C6-0.024)*$D$1*100</f>
        <v>873.599999999999</v>
      </c>
      <c r="F6">
        <v>4</v>
      </c>
      <c r="H6">
        <f>G6-G7</f>
        <v>0</v>
      </c>
      <c r="I6" s="2">
        <f>(H6-0.024)*$D$1*100</f>
        <v>-38.4</v>
      </c>
    </row>
    <row r="7" spans="1:9" x14ac:dyDescent="0.25">
      <c r="A7">
        <v>5</v>
      </c>
      <c r="B7">
        <v>4.4000000000000004</v>
      </c>
      <c r="C7">
        <f>B7-B8</f>
        <v>0.54000000000000048</v>
      </c>
      <c r="D7" s="3">
        <f>(C7-0.024)*$D$1*100</f>
        <v>825.6000000000007</v>
      </c>
      <c r="F7">
        <v>5</v>
      </c>
      <c r="H7">
        <f>G7-G8</f>
        <v>0</v>
      </c>
      <c r="I7" s="2">
        <f>(H7-0.024)*$D$1*100</f>
        <v>-38.4</v>
      </c>
    </row>
    <row r="8" spans="1:9" x14ac:dyDescent="0.25">
      <c r="A8">
        <v>6</v>
      </c>
      <c r="B8">
        <v>3.86</v>
      </c>
      <c r="D8" s="3"/>
      <c r="F8">
        <v>6</v>
      </c>
      <c r="I8" s="2"/>
    </row>
  </sheetData>
  <conditionalFormatting sqref="D3:D8">
    <cfRule type="expression" dxfId="11" priority="3">
      <formula>$D3&lt;$I3</formula>
    </cfRule>
    <cfRule type="expression" dxfId="10" priority="4">
      <formula>$D3&gt;$I3</formula>
    </cfRule>
  </conditionalFormatting>
  <conditionalFormatting sqref="I3:I8">
    <cfRule type="expression" dxfId="9" priority="1">
      <formula>$I3&lt;$D3</formula>
    </cfRule>
    <cfRule type="expression" dxfId="8" priority="2">
      <formula>$I3&gt;$D3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A5" sqref="A5"/>
    </sheetView>
  </sheetViews>
  <sheetFormatPr defaultRowHeight="15" x14ac:dyDescent="0.25"/>
  <cols>
    <col min="1" max="1" width="15.5703125" bestFit="1" customWidth="1"/>
    <col min="3" max="3" width="10.28515625" bestFit="1" customWidth="1"/>
    <col min="5" max="5" width="9.7109375" bestFit="1" customWidth="1"/>
  </cols>
  <sheetData>
    <row r="1" spans="1:6" x14ac:dyDescent="0.25">
      <c r="A1" s="1" t="s">
        <v>0</v>
      </c>
      <c r="B1">
        <v>3500</v>
      </c>
      <c r="C1" s="1" t="s">
        <v>7</v>
      </c>
      <c r="D1">
        <f>$B$1/50</f>
        <v>70</v>
      </c>
      <c r="E1" s="1" t="s">
        <v>8</v>
      </c>
      <c r="F1">
        <f>B1/100</f>
        <v>35</v>
      </c>
    </row>
    <row r="2" spans="1:6" x14ac:dyDescent="0.25">
      <c r="A2" t="s">
        <v>3</v>
      </c>
      <c r="B2" t="s">
        <v>4</v>
      </c>
      <c r="C2" t="s">
        <v>5</v>
      </c>
      <c r="D2" t="s">
        <v>2</v>
      </c>
      <c r="E2" t="s">
        <v>6</v>
      </c>
      <c r="F2" t="s">
        <v>9</v>
      </c>
    </row>
    <row r="3" spans="1:6" x14ac:dyDescent="0.25">
      <c r="A3">
        <v>1</v>
      </c>
      <c r="B3">
        <v>0.04</v>
      </c>
    </row>
    <row r="4" spans="1:6" x14ac:dyDescent="0.25">
      <c r="A4">
        <v>1.5</v>
      </c>
      <c r="B4">
        <v>0.06</v>
      </c>
      <c r="C4">
        <f>B4-B3</f>
        <v>1.9999999999999997E-2</v>
      </c>
      <c r="D4">
        <f>$D$1*(C4-0.024)*100</f>
        <v>-28.000000000000025</v>
      </c>
      <c r="F4">
        <v>0</v>
      </c>
    </row>
    <row r="5" spans="1:6" x14ac:dyDescent="0.25">
      <c r="A5">
        <v>2</v>
      </c>
      <c r="B5">
        <v>0.1</v>
      </c>
      <c r="C5">
        <f>B5-B4</f>
        <v>4.0000000000000008E-2</v>
      </c>
      <c r="D5">
        <f t="shared" ref="D5:D8" si="0">$D$1*(C5-0.024)*100</f>
        <v>112.00000000000006</v>
      </c>
      <c r="E5">
        <f>B5-B3</f>
        <v>6.0000000000000005E-2</v>
      </c>
      <c r="F5">
        <f>(E5-0.024)*$F$1*100</f>
        <v>126.00000000000003</v>
      </c>
    </row>
    <row r="6" spans="1:6" x14ac:dyDescent="0.25">
      <c r="A6">
        <v>2.5</v>
      </c>
      <c r="B6">
        <v>0.16</v>
      </c>
      <c r="C6">
        <f>B6-B5</f>
        <v>0.06</v>
      </c>
      <c r="D6">
        <f t="shared" si="0"/>
        <v>252</v>
      </c>
      <c r="E6">
        <f>B6-B4</f>
        <v>0.1</v>
      </c>
      <c r="F6">
        <f>(E6-0.024)*$F$1*100</f>
        <v>266.00000000000006</v>
      </c>
    </row>
    <row r="7" spans="1:6" x14ac:dyDescent="0.25">
      <c r="A7">
        <v>3</v>
      </c>
      <c r="B7">
        <v>0.24</v>
      </c>
      <c r="C7">
        <f>B7-B6</f>
        <v>7.9999999999999988E-2</v>
      </c>
      <c r="D7">
        <f t="shared" si="0"/>
        <v>391.99999999999989</v>
      </c>
      <c r="E7">
        <f>B7-B5</f>
        <v>0.13999999999999999</v>
      </c>
      <c r="F7">
        <f t="shared" ref="F7:F8" si="1">(E7-0.024)*$F$1*100</f>
        <v>405.99999999999994</v>
      </c>
    </row>
    <row r="8" spans="1:6" x14ac:dyDescent="0.25">
      <c r="A8">
        <v>3.5</v>
      </c>
      <c r="B8">
        <v>0.38</v>
      </c>
      <c r="C8">
        <f>B8-B7</f>
        <v>0.14000000000000001</v>
      </c>
      <c r="D8">
        <f t="shared" si="0"/>
        <v>812.00000000000011</v>
      </c>
      <c r="E8">
        <f>B8-B6</f>
        <v>0.22</v>
      </c>
      <c r="F8">
        <f t="shared" si="1"/>
        <v>686</v>
      </c>
    </row>
  </sheetData>
  <conditionalFormatting sqref="D4:D8">
    <cfRule type="expression" dxfId="7" priority="3">
      <formula>$D4&lt;$F4</formula>
    </cfRule>
    <cfRule type="expression" dxfId="6" priority="4">
      <formula>$D4&gt;$F4</formula>
    </cfRule>
  </conditionalFormatting>
  <conditionalFormatting sqref="F4:F8">
    <cfRule type="expression" dxfId="5" priority="1">
      <formula>$F4&lt;$D4</formula>
    </cfRule>
    <cfRule type="expression" dxfId="4" priority="2">
      <formula>$F4&gt;$D4</formula>
    </cfRule>
  </conditionalFormatting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E27" sqref="E27"/>
    </sheetView>
  </sheetViews>
  <sheetFormatPr defaultRowHeight="15" x14ac:dyDescent="0.25"/>
  <sheetData>
    <row r="1" spans="1:6" x14ac:dyDescent="0.25">
      <c r="A1" s="1" t="s">
        <v>0</v>
      </c>
      <c r="B1">
        <v>3500</v>
      </c>
      <c r="C1" s="1" t="s">
        <v>7</v>
      </c>
      <c r="D1">
        <f>$B$1/50</f>
        <v>70</v>
      </c>
      <c r="E1" s="1" t="s">
        <v>8</v>
      </c>
      <c r="F1">
        <f>B1/100</f>
        <v>35</v>
      </c>
    </row>
    <row r="2" spans="1:6" x14ac:dyDescent="0.25">
      <c r="A2" t="s">
        <v>3</v>
      </c>
      <c r="B2" t="s">
        <v>4</v>
      </c>
      <c r="C2" t="s">
        <v>5</v>
      </c>
      <c r="D2" t="s">
        <v>2</v>
      </c>
      <c r="E2" t="s">
        <v>6</v>
      </c>
      <c r="F2" t="s">
        <v>9</v>
      </c>
    </row>
    <row r="3" spans="1:6" x14ac:dyDescent="0.25">
      <c r="A3">
        <v>1</v>
      </c>
      <c r="B3">
        <v>1.04</v>
      </c>
      <c r="C3">
        <f>B3-B4</f>
        <v>0.17000000000000004</v>
      </c>
      <c r="D3" s="2">
        <f>$D$1*(C3-0.024)*100</f>
        <v>1022.0000000000002</v>
      </c>
      <c r="E3">
        <f>B3-B5</f>
        <v>0.32000000000000006</v>
      </c>
      <c r="F3" s="2">
        <f>(E3-0.024)*$F$1*100</f>
        <v>1036.0000000000002</v>
      </c>
    </row>
    <row r="4" spans="1:6" x14ac:dyDescent="0.25">
      <c r="A4">
        <v>1.5</v>
      </c>
      <c r="B4">
        <v>0.87</v>
      </c>
      <c r="C4">
        <f t="shared" ref="C4:C7" si="0">B4-B5</f>
        <v>0.15000000000000002</v>
      </c>
      <c r="D4" s="2">
        <f>$D$1*(C4-0.024)*100</f>
        <v>882.00000000000023</v>
      </c>
      <c r="E4">
        <f>B4-B6</f>
        <v>0.29000000000000004</v>
      </c>
      <c r="F4" s="2">
        <f>(E4-0.024)*$F$1*100</f>
        <v>931</v>
      </c>
    </row>
    <row r="5" spans="1:6" x14ac:dyDescent="0.25">
      <c r="A5">
        <v>2</v>
      </c>
      <c r="B5">
        <v>0.72</v>
      </c>
      <c r="C5">
        <f t="shared" si="0"/>
        <v>0.14000000000000001</v>
      </c>
      <c r="D5" s="2">
        <f>$D$1*(C5-0.024)*100</f>
        <v>812.00000000000011</v>
      </c>
      <c r="E5">
        <f>B5-B7</f>
        <v>0.24</v>
      </c>
      <c r="F5" s="2">
        <f>(E5-0.024)*$F$1*100</f>
        <v>756</v>
      </c>
    </row>
    <row r="6" spans="1:6" x14ac:dyDescent="0.25">
      <c r="A6">
        <v>2.5</v>
      </c>
      <c r="B6">
        <v>0.57999999999999996</v>
      </c>
      <c r="C6">
        <f t="shared" si="0"/>
        <v>9.9999999999999978E-2</v>
      </c>
      <c r="D6" s="2">
        <f>$D$1*(C6-0.024)*100</f>
        <v>531.99999999999989</v>
      </c>
      <c r="E6">
        <f>B6-B8</f>
        <v>0.18999999999999995</v>
      </c>
      <c r="F6" s="2">
        <f>(E6-0.024)*$F$1*100</f>
        <v>580.99999999999989</v>
      </c>
    </row>
    <row r="7" spans="1:6" x14ac:dyDescent="0.25">
      <c r="A7">
        <v>3</v>
      </c>
      <c r="B7">
        <v>0.48</v>
      </c>
      <c r="C7">
        <f t="shared" si="0"/>
        <v>8.9999999999999969E-2</v>
      </c>
      <c r="D7" s="2">
        <f>$D$1*(C7-0.024)*100</f>
        <v>461.99999999999983</v>
      </c>
      <c r="F7" s="2">
        <f>(E7-0.024)*$F$1*100</f>
        <v>-84</v>
      </c>
    </row>
    <row r="8" spans="1:6" x14ac:dyDescent="0.25">
      <c r="A8">
        <v>3.5</v>
      </c>
      <c r="B8">
        <v>0.39</v>
      </c>
    </row>
  </sheetData>
  <conditionalFormatting sqref="D3:D8">
    <cfRule type="expression" dxfId="3" priority="3">
      <formula>$D3&lt;$F3</formula>
    </cfRule>
    <cfRule type="expression" dxfId="2" priority="4">
      <formula>$D3&gt;$F3</formula>
    </cfRule>
  </conditionalFormatting>
  <conditionalFormatting sqref="F3:F8">
    <cfRule type="expression" dxfId="1" priority="1">
      <formula>$F3&lt;$D3</formula>
    </cfRule>
    <cfRule type="expression" dxfId="0" priority="2">
      <formula>$F3&gt;$D3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Iron Condor</vt:lpstr>
      <vt:lpstr>Prob Table</vt:lpstr>
      <vt:lpstr>VIX Prob table Threcile 5</vt:lpstr>
      <vt:lpstr>VIX Prob table Decile QQQ</vt:lpstr>
      <vt:lpstr>VIX Prob table quartile</vt:lpstr>
      <vt:lpstr>VIX Prob table Decile disp</vt:lpstr>
      <vt:lpstr>VIX Prob table Threcile disp</vt:lpstr>
      <vt:lpstr>Iron Condor ITM</vt:lpstr>
      <vt:lpstr>VIX Prob table Decile</vt:lpstr>
      <vt:lpstr>VIX Prob table Quartile monthly</vt:lpstr>
      <vt:lpstr>VIX Decile Overall</vt:lpstr>
      <vt:lpstr>Recession</vt:lpstr>
      <vt:lpstr>Monthly vix buckets 5</vt:lpstr>
      <vt:lpstr>Monthly vix buckets 10</vt:lpstr>
      <vt:lpstr>Monthly</vt:lpstr>
      <vt:lpstr>monthly chart</vt:lpstr>
      <vt:lpstr>VIX Prob table Decile yearly</vt:lpstr>
      <vt:lpstr>Sheet3</vt:lpstr>
      <vt:lpstr>Put 1</vt:lpstr>
      <vt:lpstr>Call 1</vt:lpstr>
      <vt:lpstr>Put .5</vt:lpstr>
      <vt:lpstr>Call 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Xia</dc:creator>
  <cp:lastModifiedBy>redmo</cp:lastModifiedBy>
  <dcterms:created xsi:type="dcterms:W3CDTF">2022-08-18T03:34:52Z</dcterms:created>
  <dcterms:modified xsi:type="dcterms:W3CDTF">2022-11-03T13:35:13Z</dcterms:modified>
</cp:coreProperties>
</file>