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XCapital\crypto\Axie Infinity\"/>
    </mc:Choice>
  </mc:AlternateContent>
  <xr:revisionPtr revIDLastSave="0" documentId="13_ncr:1_{20628848-A413-4C09-BE60-83D24970D370}" xr6:coauthVersionLast="46" xr6:coauthVersionMax="46" xr10:uidLastSave="{00000000-0000-0000-0000-000000000000}"/>
  <bookViews>
    <workbookView xWindow="-120" yWindow="-120" windowWidth="29040" windowHeight="15840" activeTab="1" xr2:uid="{8EA39FC9-6E58-4FDE-AF5B-28F2EB3BA779}"/>
  </bookViews>
  <sheets>
    <sheet name="ROI" sheetId="1" r:id="rId1"/>
    <sheet name="timeline" sheetId="3" r:id="rId2"/>
    <sheet name="gas pric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B8" i="3"/>
  <c r="J42" i="1"/>
  <c r="D5" i="3"/>
  <c r="K29" i="1"/>
  <c r="J29" i="1"/>
  <c r="G29" i="1"/>
  <c r="F29" i="1"/>
  <c r="F32" i="1"/>
  <c r="B6" i="3"/>
  <c r="B7" i="3" s="1"/>
  <c r="C5" i="3" s="1"/>
  <c r="C6" i="3" s="1"/>
  <c r="C7" i="3" s="1"/>
  <c r="J54" i="1" l="1"/>
  <c r="J53" i="1"/>
  <c r="J51" i="1"/>
  <c r="J50" i="1"/>
  <c r="K53" i="1"/>
  <c r="K50" i="1"/>
  <c r="L43" i="1"/>
  <c r="L41" i="1"/>
  <c r="L40" i="1"/>
  <c r="L39" i="1"/>
  <c r="L38" i="1"/>
  <c r="J43" i="1"/>
  <c r="J40" i="1"/>
  <c r="J39" i="1"/>
  <c r="N31" i="1"/>
  <c r="N30" i="1"/>
  <c r="N29" i="1"/>
  <c r="N28" i="1"/>
  <c r="N27" i="1"/>
  <c r="N26" i="1"/>
  <c r="M31" i="1"/>
  <c r="M30" i="1"/>
  <c r="M28" i="1"/>
  <c r="M27" i="1"/>
  <c r="M26" i="1"/>
  <c r="L28" i="1"/>
  <c r="L27" i="1"/>
  <c r="L31" i="1"/>
  <c r="L30" i="1"/>
  <c r="L29" i="1"/>
  <c r="L26" i="1"/>
  <c r="G31" i="1"/>
  <c r="G30" i="1"/>
  <c r="G28" i="1"/>
  <c r="G27" i="1"/>
  <c r="F31" i="1"/>
  <c r="F30" i="1"/>
  <c r="F28" i="1"/>
  <c r="F27" i="1"/>
  <c r="G26" i="1"/>
  <c r="F26" i="1"/>
  <c r="O26" i="1"/>
  <c r="K38" i="1" l="1"/>
  <c r="N38" i="1"/>
  <c r="O38" i="1"/>
  <c r="K39" i="1"/>
  <c r="K41" i="1"/>
  <c r="K42" i="1"/>
  <c r="L42" i="1"/>
  <c r="P43" i="1"/>
  <c r="R43" i="1" s="1"/>
  <c r="T43" i="1" s="1"/>
  <c r="I43" i="1"/>
  <c r="Q43" i="1" s="1"/>
  <c r="S43" i="1" s="1"/>
  <c r="H43" i="1"/>
  <c r="Q42" i="1"/>
  <c r="S42" i="1" s="1"/>
  <c r="I42" i="1"/>
  <c r="H42" i="1"/>
  <c r="P42" i="1" s="1"/>
  <c r="R42" i="1" s="1"/>
  <c r="T42" i="1" s="1"/>
  <c r="P41" i="1"/>
  <c r="R41" i="1" s="1"/>
  <c r="T41" i="1" s="1"/>
  <c r="I41" i="1"/>
  <c r="Q41" i="1" s="1"/>
  <c r="S41" i="1" s="1"/>
  <c r="H41" i="1"/>
  <c r="Q40" i="1"/>
  <c r="S40" i="1" s="1"/>
  <c r="P40" i="1"/>
  <c r="R40" i="1" s="1"/>
  <c r="T40" i="1" s="1"/>
  <c r="I40" i="1"/>
  <c r="H40" i="1"/>
  <c r="Q39" i="1"/>
  <c r="S39" i="1" s="1"/>
  <c r="P39" i="1"/>
  <c r="R39" i="1" s="1"/>
  <c r="T39" i="1" s="1"/>
  <c r="I39" i="1"/>
  <c r="H39" i="1"/>
  <c r="I38" i="1"/>
  <c r="Q38" i="1" s="1"/>
  <c r="S38" i="1" s="1"/>
  <c r="H38" i="1"/>
  <c r="P38" i="1" s="1"/>
  <c r="R38" i="1" s="1"/>
  <c r="T38" i="1" s="1"/>
  <c r="I37" i="1"/>
  <c r="Q37" i="1" s="1"/>
  <c r="S37" i="1" s="1"/>
  <c r="H37" i="1"/>
  <c r="P37" i="1" s="1"/>
  <c r="R37" i="1" s="1"/>
  <c r="T37" i="1" s="1"/>
  <c r="I36" i="1"/>
  <c r="O36" i="1" s="1"/>
  <c r="H36" i="1"/>
  <c r="N36" i="1" s="1"/>
  <c r="H47" i="1"/>
  <c r="I47" i="1"/>
  <c r="L47" i="1"/>
  <c r="M47" i="1"/>
  <c r="N47" i="1"/>
  <c r="O47" i="1"/>
  <c r="H48" i="1"/>
  <c r="I48" i="1"/>
  <c r="H49" i="1"/>
  <c r="I49" i="1"/>
  <c r="K31" i="1"/>
  <c r="K54" i="1" s="1"/>
  <c r="P31" i="1"/>
  <c r="R31" i="1" s="1"/>
  <c r="K30" i="1"/>
  <c r="L53" i="1"/>
  <c r="K52" i="1"/>
  <c r="O28" i="1"/>
  <c r="O51" i="1" s="1"/>
  <c r="L51" i="1"/>
  <c r="M50" i="1"/>
  <c r="O27" i="1"/>
  <c r="O50" i="1" s="1"/>
  <c r="J27" i="1"/>
  <c r="I25" i="1"/>
  <c r="H25" i="1"/>
  <c r="J25" i="1" s="1"/>
  <c r="J48" i="1" s="1"/>
  <c r="K27" i="1"/>
  <c r="K26" i="1"/>
  <c r="K49" i="1" s="1"/>
  <c r="J26" i="1"/>
  <c r="L49" i="1"/>
  <c r="I54" i="1"/>
  <c r="H54" i="1"/>
  <c r="I53" i="1"/>
  <c r="H53" i="1"/>
  <c r="I52" i="1"/>
  <c r="H52" i="1"/>
  <c r="I51" i="1"/>
  <c r="H51" i="1"/>
  <c r="I50" i="1"/>
  <c r="H50" i="1"/>
  <c r="O24" i="1"/>
  <c r="N24" i="1"/>
  <c r="N49" i="1"/>
  <c r="O49" i="1"/>
  <c r="M49" i="1"/>
  <c r="P24" i="1"/>
  <c r="R24" i="1" s="1"/>
  <c r="T24" i="1" s="1"/>
  <c r="Q24" i="1"/>
  <c r="S24" i="1" s="1"/>
  <c r="Q26" i="1"/>
  <c r="S26" i="1" s="1"/>
  <c r="I24" i="1"/>
  <c r="M24" i="1" s="1"/>
  <c r="H24" i="1"/>
  <c r="L24" i="1" s="1"/>
  <c r="Q3" i="1"/>
  <c r="Q2" i="1"/>
  <c r="D13" i="1"/>
  <c r="D11" i="1"/>
  <c r="D12" i="1"/>
  <c r="E12" i="1" s="1"/>
  <c r="E13" i="1"/>
  <c r="H13" i="1"/>
  <c r="I13" i="1"/>
  <c r="E14" i="1"/>
  <c r="H14" i="1"/>
  <c r="I14" i="1"/>
  <c r="D14" i="1"/>
  <c r="I11" i="1"/>
  <c r="H11" i="1"/>
  <c r="E11" i="1"/>
  <c r="D3" i="1"/>
  <c r="H3" i="1"/>
  <c r="C9" i="1"/>
  <c r="C8" i="1"/>
  <c r="D5" i="1"/>
  <c r="E5" i="1" s="1"/>
  <c r="D6" i="1"/>
  <c r="E6" i="1" s="1"/>
  <c r="D4" i="1"/>
  <c r="E4" i="1" s="1"/>
  <c r="H4" i="1"/>
  <c r="I4" i="1"/>
  <c r="D2" i="1"/>
  <c r="E2" i="1" s="1"/>
  <c r="I2" i="1"/>
  <c r="H2" i="1"/>
  <c r="C8" i="3" l="1"/>
  <c r="D6" i="3"/>
  <c r="J49" i="1"/>
  <c r="J38" i="1"/>
  <c r="O40" i="1"/>
  <c r="J52" i="1"/>
  <c r="J41" i="1"/>
  <c r="K43" i="1"/>
  <c r="O39" i="1"/>
  <c r="M39" i="1"/>
  <c r="M38" i="1"/>
  <c r="Q25" i="1"/>
  <c r="S25" i="1" s="1"/>
  <c r="O25" i="1"/>
  <c r="J37" i="1"/>
  <c r="P25" i="1"/>
  <c r="R25" i="1" s="1"/>
  <c r="T25" i="1" s="1"/>
  <c r="L25" i="1"/>
  <c r="N25" i="1"/>
  <c r="M25" i="1"/>
  <c r="K25" i="1"/>
  <c r="P36" i="1"/>
  <c r="R36" i="1" s="1"/>
  <c r="T36" i="1" s="1"/>
  <c r="Q36" i="1"/>
  <c r="S36" i="1" s="1"/>
  <c r="J36" i="1"/>
  <c r="L36" i="1"/>
  <c r="M36" i="1"/>
  <c r="K36" i="1"/>
  <c r="J24" i="1"/>
  <c r="J47" i="1" s="1"/>
  <c r="K24" i="1"/>
  <c r="K47" i="1" s="1"/>
  <c r="Q31" i="1"/>
  <c r="S31" i="1" s="1"/>
  <c r="T31" i="1" s="1"/>
  <c r="J31" i="1"/>
  <c r="L54" i="1"/>
  <c r="O31" i="1"/>
  <c r="L52" i="1"/>
  <c r="O29" i="1"/>
  <c r="P29" i="1"/>
  <c r="R29" i="1" s="1"/>
  <c r="L50" i="1"/>
  <c r="P27" i="1"/>
  <c r="R27" i="1" s="1"/>
  <c r="P30" i="1"/>
  <c r="R30" i="1" s="1"/>
  <c r="J28" i="1"/>
  <c r="Q28" i="1"/>
  <c r="S28" i="1" s="1"/>
  <c r="M29" i="1"/>
  <c r="P28" i="1"/>
  <c r="R28" i="1" s="1"/>
  <c r="Q27" i="1"/>
  <c r="S27" i="1" s="1"/>
  <c r="K28" i="1"/>
  <c r="K51" i="1" s="1"/>
  <c r="O30" i="1"/>
  <c r="Q29" i="1"/>
  <c r="S29" i="1" s="1"/>
  <c r="J30" i="1"/>
  <c r="P26" i="1"/>
  <c r="R26" i="1" s="1"/>
  <c r="T26" i="1" s="1"/>
  <c r="Q30" i="1"/>
  <c r="S30" i="1" s="1"/>
  <c r="I12" i="1"/>
  <c r="H12" i="1"/>
  <c r="E3" i="1"/>
  <c r="I3" i="1"/>
  <c r="H5" i="1"/>
  <c r="I5" i="1"/>
  <c r="H6" i="1"/>
  <c r="I6" i="1"/>
  <c r="E5" i="3" l="1"/>
  <c r="E6" i="3" s="1"/>
  <c r="E7" i="3" s="1"/>
  <c r="D8" i="3"/>
  <c r="K40" i="1"/>
  <c r="O53" i="1"/>
  <c r="O42" i="1"/>
  <c r="N50" i="1"/>
  <c r="N39" i="1"/>
  <c r="N52" i="1"/>
  <c r="N41" i="1"/>
  <c r="M51" i="1"/>
  <c r="M40" i="1"/>
  <c r="N53" i="1"/>
  <c r="N42" i="1"/>
  <c r="M52" i="1"/>
  <c r="M41" i="1"/>
  <c r="N51" i="1"/>
  <c r="N40" i="1"/>
  <c r="O52" i="1"/>
  <c r="O41" i="1"/>
  <c r="M53" i="1"/>
  <c r="M42" i="1"/>
  <c r="M54" i="1"/>
  <c r="M43" i="1"/>
  <c r="O54" i="1"/>
  <c r="O43" i="1"/>
  <c r="N54" i="1"/>
  <c r="N43" i="1"/>
  <c r="K48" i="1"/>
  <c r="K37" i="1"/>
  <c r="M37" i="1"/>
  <c r="M48" i="1"/>
  <c r="N37" i="1"/>
  <c r="N48" i="1"/>
  <c r="O37" i="1"/>
  <c r="O48" i="1"/>
  <c r="L37" i="1"/>
  <c r="L48" i="1"/>
  <c r="T30" i="1"/>
  <c r="T29" i="1"/>
  <c r="T28" i="1"/>
  <c r="E8" i="1"/>
  <c r="H8" i="1" s="1"/>
  <c r="I8" i="1" s="1"/>
  <c r="P8" i="1" s="1"/>
  <c r="E9" i="1"/>
  <c r="H9" i="1" s="1"/>
  <c r="I9" i="1" s="1"/>
  <c r="P9" i="1" s="1"/>
  <c r="T27" i="1"/>
  <c r="F5" i="3" l="1"/>
  <c r="F6" i="3" s="1"/>
  <c r="F7" i="3" s="1"/>
  <c r="E8" i="3"/>
  <c r="G5" i="3" l="1"/>
  <c r="F8" i="3"/>
  <c r="G6" i="3" l="1"/>
  <c r="G8" i="3" s="1"/>
  <c r="G7" i="3" l="1"/>
  <c r="H5" i="3" s="1"/>
  <c r="H6" i="3" s="1"/>
  <c r="H7" i="3" s="1"/>
  <c r="I5" i="3" l="1"/>
  <c r="H8" i="3"/>
  <c r="I6" i="3" l="1"/>
  <c r="I7" i="3" s="1"/>
  <c r="J5" i="3" s="1"/>
  <c r="J6" i="3" l="1"/>
  <c r="J7" i="3" s="1"/>
  <c r="K5" i="3" s="1"/>
  <c r="K6" i="3" s="1"/>
  <c r="I8" i="3"/>
  <c r="J8" i="3" l="1"/>
  <c r="K7" i="3"/>
  <c r="L5" i="3" l="1"/>
  <c r="K8" i="3"/>
  <c r="L6" i="3" l="1"/>
  <c r="L8" i="3" s="1"/>
  <c r="L7" i="3" l="1"/>
  <c r="M5" i="3" s="1"/>
  <c r="M6" i="3" l="1"/>
  <c r="M8" i="3" s="1"/>
  <c r="M7" i="3" l="1"/>
  <c r="N5" i="3" s="1"/>
  <c r="N6" i="3" s="1"/>
  <c r="N8" i="3" l="1"/>
  <c r="N7" i="3"/>
  <c r="O5" i="3" s="1"/>
  <c r="O6" i="3" s="1"/>
  <c r="O8" i="3" l="1"/>
  <c r="O7" i="3"/>
  <c r="P5" i="3" s="1"/>
  <c r="P6" i="3" s="1"/>
  <c r="P7" i="3" s="1"/>
  <c r="Q5" i="3" s="1"/>
  <c r="P8" i="3" l="1"/>
  <c r="Q6" i="3"/>
  <c r="Q7" i="3" s="1"/>
  <c r="R5" i="3" s="1"/>
  <c r="Q8" i="3" l="1"/>
  <c r="R6" i="3"/>
  <c r="R7" i="3" s="1"/>
  <c r="S5" i="3" s="1"/>
  <c r="R8" i="3" l="1"/>
  <c r="S6" i="3"/>
  <c r="S7" i="3" s="1"/>
  <c r="T5" i="3" s="1"/>
  <c r="S8" i="3" l="1"/>
  <c r="T6" i="3"/>
  <c r="T7" i="3" s="1"/>
  <c r="U5" i="3" s="1"/>
  <c r="T8" i="3" l="1"/>
  <c r="U6" i="3"/>
  <c r="U7" i="3" s="1"/>
  <c r="V5" i="3" s="1"/>
  <c r="U8" i="3" l="1"/>
  <c r="V6" i="3"/>
  <c r="V7" i="3" s="1"/>
  <c r="W5" i="3" s="1"/>
  <c r="V8" i="3" l="1"/>
  <c r="W6" i="3"/>
  <c r="W7" i="3" s="1"/>
  <c r="X5" i="3" s="1"/>
  <c r="W8" i="3" l="1"/>
  <c r="X6" i="3"/>
  <c r="X7" i="3" s="1"/>
  <c r="Y5" i="3" s="1"/>
  <c r="X8" i="3" l="1"/>
  <c r="Y6" i="3"/>
  <c r="Y7" i="3" s="1"/>
  <c r="Z5" i="3" s="1"/>
  <c r="Y8" i="3" l="1"/>
  <c r="Z6" i="3"/>
  <c r="Z7" i="3" s="1"/>
  <c r="AA5" i="3" s="1"/>
  <c r="Z8" i="3" l="1"/>
  <c r="AA6" i="3"/>
  <c r="AA7" i="3" s="1"/>
  <c r="AB5" i="3" s="1"/>
  <c r="AB6" i="3" s="1"/>
  <c r="AA8" i="3" l="1"/>
  <c r="AB8" i="3"/>
  <c r="AB7" i="3"/>
  <c r="AC5" i="3" s="1"/>
  <c r="AC6" i="3" s="1"/>
  <c r="AC8" i="3" l="1"/>
  <c r="AC7" i="3"/>
</calcChain>
</file>

<file path=xl/sharedStrings.xml><?xml version="1.0" encoding="utf-8"?>
<sst xmlns="http://schemas.openxmlformats.org/spreadsheetml/2006/main" count="85" uniqueCount="55">
  <si>
    <t>Year</t>
  </si>
  <si>
    <t>Month</t>
  </si>
  <si>
    <t>3 Months</t>
  </si>
  <si>
    <t>Method</t>
  </si>
  <si>
    <t>Rate</t>
  </si>
  <si>
    <t>AXS</t>
  </si>
  <si>
    <t>AXIE_45</t>
  </si>
  <si>
    <t>AXIE_65</t>
  </si>
  <si>
    <t>AXIE_55</t>
  </si>
  <si>
    <t>AXIE_50</t>
  </si>
  <si>
    <t>100-999</t>
  </si>
  <si>
    <t>1,000-4,999</t>
  </si>
  <si>
    <t>5,000-9,999</t>
  </si>
  <si>
    <t>10,000-19,999</t>
  </si>
  <si>
    <t>20,000-49,999</t>
  </si>
  <si>
    <t>50,000-99,999</t>
  </si>
  <si>
    <t>100,000-499,999</t>
  </si>
  <si>
    <t>500,000-99,999,999</t>
  </si>
  <si>
    <t>Upper</t>
  </si>
  <si>
    <t>Average</t>
  </si>
  <si>
    <t>Lower</t>
  </si>
  <si>
    <t>Daily Lower</t>
  </si>
  <si>
    <t>Daily Upper</t>
  </si>
  <si>
    <t>Avg</t>
  </si>
  <si>
    <t>Daily Lower IR</t>
  </si>
  <si>
    <t>Daily Upper IR</t>
  </si>
  <si>
    <t>Lowest Gas prices</t>
  </si>
  <si>
    <t>9-11PM</t>
  </si>
  <si>
    <t>EST</t>
  </si>
  <si>
    <t>Highest</t>
  </si>
  <si>
    <t>10-2PM</t>
  </si>
  <si>
    <t>5-9PM</t>
  </si>
  <si>
    <t>5-12PM</t>
  </si>
  <si>
    <t>Day</t>
  </si>
  <si>
    <t>The time when ETH Gas is lowest (EDT/EST)</t>
  </si>
  <si>
    <t>Sunday</t>
  </si>
  <si>
    <t>2 AM to 3 AM</t>
  </si>
  <si>
    <t>Monday</t>
  </si>
  <si>
    <t>1 AM to 2 AM</t>
  </si>
  <si>
    <t>Tuesday</t>
  </si>
  <si>
    <t>6 AM to 8 AM</t>
  </si>
  <si>
    <t>Wednesday</t>
  </si>
  <si>
    <t>11 PM to 7 AM</t>
  </si>
  <si>
    <t>Thursday</t>
  </si>
  <si>
    <t>1 AM to 3 AM</t>
  </si>
  <si>
    <t>Friday</t>
  </si>
  <si>
    <t>10 PM to 8 AM</t>
  </si>
  <si>
    <t>Saturday</t>
  </si>
  <si>
    <t>Dates:</t>
  </si>
  <si>
    <t>Invested</t>
  </si>
  <si>
    <t>Income</t>
  </si>
  <si>
    <t>2/30/2022</t>
  </si>
  <si>
    <t>Culmulative gain</t>
  </si>
  <si>
    <t>Paycheck:</t>
  </si>
  <si>
    <t>Daily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</si>
</sst>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00"/>
    <numFmt numFmtId="166" formatCode="&quot;$&quot;#,##0.00"/>
    <numFmt numFmtId="167" formatCode="0.0000"/>
    <numFmt numFmtId="168" formatCode="&quot;$&quot;#,##0.0_);[Red]\(&quot;$&quot;#,##0.0\)"/>
    <numFmt numFmtId="169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0" applyNumberFormat="1"/>
    <xf numFmtId="0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164" fontId="0" fillId="0" borderId="0" xfId="0" applyNumberFormat="1"/>
    <xf numFmtId="6" fontId="0" fillId="0" borderId="0" xfId="0" applyNumberFormat="1"/>
    <xf numFmtId="8" fontId="0" fillId="0" borderId="0" xfId="1" applyNumberFormat="1" applyFont="1"/>
    <xf numFmtId="8" fontId="0" fillId="0" borderId="0" xfId="0" applyNumberFormat="1"/>
    <xf numFmtId="6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8" fontId="0" fillId="2" borderId="0" xfId="0" applyNumberFormat="1" applyFill="1"/>
    <xf numFmtId="8" fontId="0" fillId="2" borderId="0" xfId="1" applyNumberFormat="1" applyFont="1" applyFill="1"/>
    <xf numFmtId="10" fontId="0" fillId="2" borderId="0" xfId="1" applyNumberFormat="1" applyFont="1" applyFill="1"/>
    <xf numFmtId="10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3" fillId="6" borderId="0" xfId="0" applyNumberFormat="1" applyFont="1" applyFill="1"/>
    <xf numFmtId="6" fontId="3" fillId="0" borderId="0" xfId="0" applyNumberFormat="1" applyFont="1"/>
    <xf numFmtId="6" fontId="3" fillId="7" borderId="0" xfId="0" applyNumberFormat="1" applyFont="1" applyFill="1"/>
    <xf numFmtId="168" fontId="3" fillId="0" borderId="0" xfId="0" applyNumberFormat="1" applyFont="1"/>
    <xf numFmtId="6" fontId="3" fillId="8" borderId="0" xfId="0" applyNumberFormat="1" applyFont="1" applyFill="1"/>
    <xf numFmtId="0" fontId="3" fillId="6" borderId="0" xfId="0" applyFont="1" applyFill="1"/>
    <xf numFmtId="0" fontId="3" fillId="0" borderId="0" xfId="0" applyFont="1"/>
    <xf numFmtId="0" fontId="3" fillId="9" borderId="0" xfId="0" applyFont="1" applyFill="1"/>
    <xf numFmtId="0" fontId="4" fillId="10" borderId="0" xfId="0" applyFont="1" applyFill="1"/>
    <xf numFmtId="44" fontId="3" fillId="0" borderId="0" xfId="2" applyFont="1"/>
    <xf numFmtId="169" fontId="3" fillId="0" borderId="0" xfId="2" applyNumberFormat="1" applyFont="1"/>
    <xf numFmtId="169" fontId="3" fillId="7" borderId="0" xfId="0" applyNumberFormat="1" applyFont="1" applyFill="1"/>
    <xf numFmtId="169" fontId="3" fillId="0" borderId="0" xfId="0" applyNumberFormat="1" applyFont="1"/>
    <xf numFmtId="44" fontId="3" fillId="7" borderId="0" xfId="2" applyFont="1" applyFill="1"/>
    <xf numFmtId="14" fontId="5" fillId="6" borderId="0" xfId="0" applyNumberFormat="1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732A-7511-4527-9B6A-23DC81F57FAD}">
  <dimension ref="A1:T62"/>
  <sheetViews>
    <sheetView topLeftCell="C22" zoomScale="160" zoomScaleNormal="160" workbookViewId="0">
      <selection activeCell="H32" sqref="H32"/>
    </sheetView>
  </sheetViews>
  <sheetFormatPr defaultRowHeight="15" x14ac:dyDescent="0.25"/>
  <cols>
    <col min="1" max="1" width="9.5703125" hidden="1" customWidth="1"/>
    <col min="2" max="2" width="12.140625" hidden="1" customWidth="1"/>
    <col min="3" max="3" width="18.28515625" bestFit="1" customWidth="1"/>
    <col min="4" max="7" width="8.42578125" customWidth="1"/>
    <col min="8" max="8" width="7.140625" bestFit="1" customWidth="1"/>
    <col min="9" max="9" width="7.28515625" customWidth="1"/>
    <col min="10" max="11" width="16" bestFit="1" customWidth="1"/>
    <col min="12" max="13" width="13.85546875" customWidth="1"/>
    <col min="14" max="15" width="17.7109375" bestFit="1" customWidth="1"/>
    <col min="16" max="17" width="11.42578125" bestFit="1" customWidth="1"/>
    <col min="18" max="20" width="14.28515625" bestFit="1" customWidth="1"/>
  </cols>
  <sheetData>
    <row r="1" spans="3:17" hidden="1" x14ac:dyDescent="0.25">
      <c r="C1" t="s">
        <v>3</v>
      </c>
      <c r="D1" t="s">
        <v>4</v>
      </c>
      <c r="E1" t="s">
        <v>1</v>
      </c>
      <c r="H1" t="s">
        <v>2</v>
      </c>
      <c r="I1" t="s">
        <v>0</v>
      </c>
    </row>
    <row r="2" spans="3:17" hidden="1" x14ac:dyDescent="0.25">
      <c r="C2" t="s">
        <v>5</v>
      </c>
      <c r="D2" s="7">
        <f>13/2600</f>
        <v>5.0000000000000001E-3</v>
      </c>
      <c r="E2" s="2">
        <f>D2*30</f>
        <v>0.15</v>
      </c>
      <c r="F2" s="2"/>
      <c r="G2" s="2"/>
      <c r="H2" s="2">
        <f>D2*90</f>
        <v>0.45</v>
      </c>
      <c r="I2" s="2">
        <f>D2*365</f>
        <v>1.825</v>
      </c>
      <c r="J2" s="2"/>
      <c r="K2" s="2"/>
      <c r="L2" s="2"/>
      <c r="M2" s="2"/>
      <c r="N2" s="2"/>
      <c r="O2" s="2"/>
      <c r="P2" s="1">
        <v>1.27</v>
      </c>
      <c r="Q2" s="2">
        <f>P2/365</f>
        <v>3.4794520547945205E-3</v>
      </c>
    </row>
    <row r="3" spans="3:17" hidden="1" x14ac:dyDescent="0.25">
      <c r="C3" t="s">
        <v>7</v>
      </c>
      <c r="D3" s="7">
        <f>150*0.65*0.062/800</f>
        <v>7.5562499999999996E-3</v>
      </c>
      <c r="E3" s="2">
        <f>D3*30</f>
        <v>0.22668749999999999</v>
      </c>
      <c r="F3" s="2"/>
      <c r="G3" s="2"/>
      <c r="H3" s="2">
        <f>D3*90</f>
        <v>0.68006250000000001</v>
      </c>
      <c r="I3" s="2">
        <f>D3*365</f>
        <v>2.7580312499999997</v>
      </c>
      <c r="J3" s="2"/>
      <c r="K3" s="2"/>
      <c r="L3" s="2"/>
      <c r="M3" s="2"/>
      <c r="N3" s="2"/>
      <c r="O3" s="2"/>
      <c r="Q3" s="8">
        <f>(P2+1)^1/365</f>
        <v>6.2191780821917808E-3</v>
      </c>
    </row>
    <row r="4" spans="3:17" hidden="1" x14ac:dyDescent="0.25">
      <c r="C4" t="s">
        <v>8</v>
      </c>
      <c r="D4" s="7">
        <f>150*0.55*0.062/800</f>
        <v>6.3937500000000001E-3</v>
      </c>
      <c r="E4" s="2">
        <f t="shared" ref="E4:E6" si="0">D4*30</f>
        <v>0.1918125</v>
      </c>
      <c r="F4" s="2"/>
      <c r="G4" s="2"/>
      <c r="H4" s="2">
        <f t="shared" ref="H4:H6" si="1">D4*90</f>
        <v>0.57543750000000005</v>
      </c>
      <c r="I4" s="2">
        <f t="shared" ref="I4:I6" si="2">D4*365</f>
        <v>2.3337187500000001</v>
      </c>
      <c r="J4" s="2"/>
      <c r="K4" s="2"/>
      <c r="L4" s="2"/>
      <c r="M4" s="2"/>
      <c r="N4" s="2"/>
      <c r="O4" s="2"/>
    </row>
    <row r="5" spans="3:17" hidden="1" x14ac:dyDescent="0.25">
      <c r="C5" t="s">
        <v>9</v>
      </c>
      <c r="D5" s="7">
        <f>150*0.5*0.062/800</f>
        <v>5.8125000000000008E-3</v>
      </c>
      <c r="E5" s="2">
        <f t="shared" si="0"/>
        <v>0.17437500000000003</v>
      </c>
      <c r="F5" s="2"/>
      <c r="G5" s="2"/>
      <c r="H5" s="2">
        <f t="shared" ref="H5" si="3">D5*90</f>
        <v>0.52312500000000006</v>
      </c>
      <c r="I5" s="2">
        <f t="shared" ref="I5" si="4">D5*365</f>
        <v>2.1215625000000005</v>
      </c>
      <c r="J5" s="2"/>
      <c r="K5" s="2"/>
      <c r="L5" s="2"/>
      <c r="M5" s="2"/>
      <c r="N5" s="2"/>
      <c r="O5" s="2"/>
    </row>
    <row r="6" spans="3:17" hidden="1" x14ac:dyDescent="0.25">
      <c r="C6" t="s">
        <v>6</v>
      </c>
      <c r="D6" s="7">
        <f>150*0.45*0.062/800</f>
        <v>5.2312499999999998E-3</v>
      </c>
      <c r="E6" s="2">
        <f t="shared" si="0"/>
        <v>0.15693750000000001</v>
      </c>
      <c r="F6" s="2"/>
      <c r="G6" s="2"/>
      <c r="H6" s="2">
        <f t="shared" si="1"/>
        <v>0.47081249999999997</v>
      </c>
      <c r="I6" s="2">
        <f t="shared" si="2"/>
        <v>1.90940625</v>
      </c>
      <c r="J6" s="2"/>
      <c r="K6" s="2"/>
      <c r="L6" s="2"/>
      <c r="M6" s="2"/>
      <c r="N6" s="2"/>
      <c r="O6" s="2"/>
    </row>
    <row r="7" spans="3:17" hidden="1" x14ac:dyDescent="0.25">
      <c r="D7" s="3"/>
      <c r="E7" s="4">
        <v>1</v>
      </c>
      <c r="F7" s="4"/>
      <c r="G7" s="4"/>
      <c r="H7" s="4">
        <v>2</v>
      </c>
      <c r="I7" s="4">
        <v>3</v>
      </c>
      <c r="J7" s="4"/>
      <c r="K7" s="4"/>
      <c r="L7" s="4"/>
      <c r="M7" s="4"/>
      <c r="N7" s="4"/>
      <c r="O7" s="4"/>
      <c r="P7" s="4">
        <v>4</v>
      </c>
    </row>
    <row r="8" spans="3:17" hidden="1" x14ac:dyDescent="0.25">
      <c r="C8" s="6">
        <f>D8/700</f>
        <v>14.285714285714286</v>
      </c>
      <c r="D8" s="6">
        <v>10000</v>
      </c>
      <c r="E8" s="5">
        <f>D8*$I$6</f>
        <v>19094.0625</v>
      </c>
      <c r="F8" s="5"/>
      <c r="G8" s="5"/>
      <c r="H8" s="5">
        <f>E8*$I$6</f>
        <v>36458.322275390623</v>
      </c>
      <c r="I8" s="5">
        <f>H8*$I$6</f>
        <v>69613.748417145078</v>
      </c>
      <c r="J8" s="5"/>
      <c r="K8" s="5"/>
      <c r="L8" s="5"/>
      <c r="M8" s="5"/>
      <c r="N8" s="5"/>
      <c r="O8" s="5"/>
      <c r="P8" s="5">
        <f>I8*$I$6</f>
        <v>132920.92631362443</v>
      </c>
    </row>
    <row r="9" spans="3:17" hidden="1" x14ac:dyDescent="0.25">
      <c r="C9" s="6">
        <f>D9/700</f>
        <v>28.571428571428573</v>
      </c>
      <c r="D9" s="3">
        <v>20000</v>
      </c>
      <c r="E9" s="5">
        <f>D9*$I$6</f>
        <v>38188.125</v>
      </c>
      <c r="F9" s="5"/>
      <c r="G9" s="5"/>
      <c r="H9" s="5">
        <f>E9*$I$6</f>
        <v>72916.644550781246</v>
      </c>
      <c r="I9" s="5">
        <f>H9*$I$6</f>
        <v>139227.49683429016</v>
      </c>
      <c r="J9" s="5"/>
      <c r="K9" s="5"/>
      <c r="L9" s="5"/>
      <c r="M9" s="5"/>
      <c r="N9" s="5"/>
      <c r="O9" s="5"/>
      <c r="P9" s="5">
        <f>I9*$I$6</f>
        <v>265841.85262724885</v>
      </c>
    </row>
    <row r="10" spans="3:17" hidden="1" x14ac:dyDescent="0.25"/>
    <row r="11" spans="3:17" hidden="1" x14ac:dyDescent="0.25">
      <c r="C11" t="s">
        <v>7</v>
      </c>
      <c r="D11" s="7">
        <f>75*0.65*0.062/400</f>
        <v>7.5562499999999996E-3</v>
      </c>
      <c r="E11" s="2">
        <f>D11*30</f>
        <v>0.22668749999999999</v>
      </c>
      <c r="F11" s="2"/>
      <c r="G11" s="2"/>
      <c r="H11" s="2">
        <f>D11*90</f>
        <v>0.68006250000000001</v>
      </c>
      <c r="I11" s="2">
        <f>D11*365</f>
        <v>2.7580312499999997</v>
      </c>
      <c r="J11" s="2"/>
      <c r="K11" s="2"/>
      <c r="L11" s="2"/>
      <c r="M11" s="2"/>
      <c r="N11" s="2"/>
      <c r="O11" s="2"/>
    </row>
    <row r="12" spans="3:17" hidden="1" x14ac:dyDescent="0.25">
      <c r="C12" t="s">
        <v>8</v>
      </c>
      <c r="D12" s="7">
        <f>75*0.55*0.062/400</f>
        <v>6.3937500000000001E-3</v>
      </c>
      <c r="E12" s="2">
        <f t="shared" ref="E12:E14" si="5">D12*30</f>
        <v>0.1918125</v>
      </c>
      <c r="F12" s="2"/>
      <c r="G12" s="2"/>
      <c r="H12" s="2">
        <f t="shared" ref="H12:H14" si="6">D12*90</f>
        <v>0.57543750000000005</v>
      </c>
      <c r="I12" s="2">
        <f t="shared" ref="I12:I14" si="7">D12*365</f>
        <v>2.3337187500000001</v>
      </c>
      <c r="J12" s="2"/>
      <c r="K12" s="2"/>
      <c r="L12" s="2"/>
      <c r="M12" s="2"/>
      <c r="N12" s="2"/>
      <c r="O12" s="2"/>
    </row>
    <row r="13" spans="3:17" hidden="1" x14ac:dyDescent="0.25">
      <c r="C13" t="s">
        <v>9</v>
      </c>
      <c r="D13" s="7">
        <f>150*0.5*0.062/400</f>
        <v>1.1625000000000002E-2</v>
      </c>
      <c r="E13" s="2">
        <f t="shared" si="5"/>
        <v>0.34875000000000006</v>
      </c>
      <c r="F13" s="2"/>
      <c r="G13" s="2"/>
      <c r="H13" s="2">
        <f t="shared" si="6"/>
        <v>1.0462500000000001</v>
      </c>
      <c r="I13" s="2">
        <f t="shared" si="7"/>
        <v>4.2431250000000009</v>
      </c>
      <c r="J13" s="2"/>
      <c r="K13" s="2"/>
      <c r="L13" s="2"/>
      <c r="M13" s="2"/>
      <c r="N13" s="2"/>
      <c r="O13" s="2"/>
    </row>
    <row r="14" spans="3:17" hidden="1" x14ac:dyDescent="0.25">
      <c r="C14" t="s">
        <v>6</v>
      </c>
      <c r="D14" s="7">
        <f>150*0.45*0.062/800</f>
        <v>5.2312499999999998E-3</v>
      </c>
      <c r="E14" s="2">
        <f t="shared" si="5"/>
        <v>0.15693750000000001</v>
      </c>
      <c r="F14" s="2"/>
      <c r="G14" s="2"/>
      <c r="H14" s="2">
        <f t="shared" si="6"/>
        <v>0.47081249999999997</v>
      </c>
      <c r="I14" s="2">
        <f t="shared" si="7"/>
        <v>1.90940625</v>
      </c>
      <c r="J14" s="2"/>
      <c r="K14" s="2"/>
      <c r="L14" s="2"/>
      <c r="M14" s="2"/>
      <c r="N14" s="2"/>
      <c r="O14" s="2"/>
    </row>
    <row r="15" spans="3:17" hidden="1" x14ac:dyDescent="0.25"/>
    <row r="16" spans="3:17" hidden="1" x14ac:dyDescent="0.25"/>
    <row r="17" spans="1:20" hidden="1" x14ac:dyDescent="0.25"/>
    <row r="18" spans="1:20" hidden="1" x14ac:dyDescent="0.25"/>
    <row r="19" spans="1:20" hidden="1" x14ac:dyDescent="0.25">
      <c r="C19" s="6"/>
      <c r="D19" s="9"/>
    </row>
    <row r="20" spans="1:20" hidden="1" x14ac:dyDescent="0.25">
      <c r="C20" s="6"/>
      <c r="D20" s="1"/>
    </row>
    <row r="21" spans="1:20" hidden="1" x14ac:dyDescent="0.25">
      <c r="D21" s="9"/>
    </row>
    <row r="22" spans="1:20" x14ac:dyDescent="0.25">
      <c r="D22" s="9"/>
      <c r="J22" s="40" t="s">
        <v>23</v>
      </c>
      <c r="K22" s="40"/>
      <c r="L22" s="41" t="s">
        <v>20</v>
      </c>
      <c r="M22" s="41"/>
      <c r="N22" s="42" t="s">
        <v>18</v>
      </c>
      <c r="O22" s="42"/>
    </row>
    <row r="23" spans="1:20" x14ac:dyDescent="0.25">
      <c r="J23" t="s">
        <v>21</v>
      </c>
      <c r="K23" t="s">
        <v>22</v>
      </c>
      <c r="L23" t="s">
        <v>24</v>
      </c>
      <c r="M23" t="s">
        <v>25</v>
      </c>
      <c r="N23" t="s">
        <v>24</v>
      </c>
      <c r="O23" t="s">
        <v>25</v>
      </c>
      <c r="R23" t="s">
        <v>20</v>
      </c>
      <c r="S23" t="s">
        <v>18</v>
      </c>
      <c r="T23" t="s">
        <v>19</v>
      </c>
    </row>
    <row r="24" spans="1:20" hidden="1" x14ac:dyDescent="0.25">
      <c r="A24" s="12">
        <v>100</v>
      </c>
      <c r="B24" s="12">
        <v>999</v>
      </c>
      <c r="C24" t="s">
        <v>10</v>
      </c>
      <c r="D24">
        <v>2.5000000000000001E-3</v>
      </c>
      <c r="E24">
        <v>3.2499999999999999E-3</v>
      </c>
      <c r="H24" s="2">
        <f>D24*4</f>
        <v>0.01</v>
      </c>
      <c r="I24" s="2">
        <f>E24*4</f>
        <v>1.2999999999999999E-2</v>
      </c>
      <c r="J24" s="13">
        <f t="shared" ref="J24:K31" si="8">AVERAGE($A24:$B24)*H24</f>
        <v>5.4950000000000001</v>
      </c>
      <c r="K24" s="13">
        <f t="shared" si="8"/>
        <v>7.1434999999999995</v>
      </c>
      <c r="L24" s="13">
        <f t="shared" ref="L24:M28" si="9">$A24*H24</f>
        <v>1</v>
      </c>
      <c r="M24" s="13">
        <f t="shared" si="9"/>
        <v>1.3</v>
      </c>
      <c r="N24" s="13">
        <f>$B24*H24</f>
        <v>9.99</v>
      </c>
      <c r="O24" s="13">
        <f>$B24*I24</f>
        <v>12.987</v>
      </c>
      <c r="P24" s="11">
        <f>(H24+1)^365-1</f>
        <v>36.783434332887317</v>
      </c>
      <c r="Q24" s="11">
        <f>(I24+1)^365-1</f>
        <v>110.54434471573958</v>
      </c>
      <c r="R24" s="6">
        <f>P24*1000</f>
        <v>36783.434332887315</v>
      </c>
      <c r="S24" s="6">
        <f>Q24*1000</f>
        <v>110544.34471573959</v>
      </c>
      <c r="T24" s="6">
        <f>AVERAGE(R24:S24)</f>
        <v>73663.889524313447</v>
      </c>
    </row>
    <row r="25" spans="1:20" hidden="1" x14ac:dyDescent="0.25">
      <c r="A25" s="15">
        <v>1000</v>
      </c>
      <c r="B25" s="15">
        <v>4999</v>
      </c>
      <c r="C25" s="16" t="s">
        <v>11</v>
      </c>
      <c r="D25" s="16">
        <v>3.2499999999999999E-3</v>
      </c>
      <c r="E25" s="16">
        <v>4.0000000000000001E-3</v>
      </c>
      <c r="F25" s="16"/>
      <c r="G25" s="16"/>
      <c r="H25" s="17">
        <f>D25*4</f>
        <v>1.2999999999999999E-2</v>
      </c>
      <c r="I25" s="17">
        <f>E25*4</f>
        <v>1.6E-2</v>
      </c>
      <c r="J25" s="19">
        <f>AVERAGE($A25:$B25)*H25</f>
        <v>38.993499999999997</v>
      </c>
      <c r="K25" s="19">
        <f t="shared" ref="J25:K27" si="10">AVERAGE($A25:$B25)*I25</f>
        <v>47.992000000000004</v>
      </c>
      <c r="L25" s="19">
        <f t="shared" si="9"/>
        <v>13</v>
      </c>
      <c r="M25" s="19">
        <f t="shared" si="9"/>
        <v>16</v>
      </c>
      <c r="N25" s="19">
        <f t="shared" ref="N25" si="11">$B25*H25</f>
        <v>64.986999999999995</v>
      </c>
      <c r="O25" s="19">
        <f>$B25*I25</f>
        <v>79.983999999999995</v>
      </c>
      <c r="P25" s="11">
        <f t="shared" ref="P25:P31" si="12">(H25+1)^365-1</f>
        <v>110.54434471573958</v>
      </c>
      <c r="Q25" s="11">
        <f t="shared" ref="Q25:Q31" si="13">(I25+1)^365-1</f>
        <v>327.24899190082851</v>
      </c>
      <c r="R25" s="6">
        <f t="shared" ref="R25:R31" si="14">P25*1000</f>
        <v>110544.34471573959</v>
      </c>
      <c r="S25" s="6">
        <f t="shared" ref="S25:S31" si="15">Q25*1000</f>
        <v>327248.99190082849</v>
      </c>
      <c r="T25" s="6">
        <f>AVERAGE(R25:S25)</f>
        <v>218896.66830828405</v>
      </c>
    </row>
    <row r="26" spans="1:20" hidden="1" x14ac:dyDescent="0.25">
      <c r="A26" s="15">
        <v>5000</v>
      </c>
      <c r="B26" s="15">
        <v>9999</v>
      </c>
      <c r="C26" s="16" t="s">
        <v>12</v>
      </c>
      <c r="D26" s="16">
        <v>4.0000000000000001E-3</v>
      </c>
      <c r="E26" s="16">
        <v>4.7499999999999999E-3</v>
      </c>
      <c r="F26" s="20">
        <f>D26*4*0.9</f>
        <v>1.4400000000000001E-2</v>
      </c>
      <c r="G26" s="20">
        <f>E26*4*0.9</f>
        <v>1.7100000000000001E-2</v>
      </c>
      <c r="H26" s="20">
        <v>1.4400000000000001E-2</v>
      </c>
      <c r="I26" s="17">
        <v>1.7100000000000001E-2</v>
      </c>
      <c r="J26" s="19">
        <f t="shared" si="10"/>
        <v>107.99280000000002</v>
      </c>
      <c r="K26" s="19">
        <f t="shared" si="10"/>
        <v>128.24145000000001</v>
      </c>
      <c r="L26" s="19">
        <f t="shared" si="9"/>
        <v>72</v>
      </c>
      <c r="M26" s="19">
        <f t="shared" si="9"/>
        <v>85.5</v>
      </c>
      <c r="N26" s="19">
        <f t="shared" ref="N26:N31" si="16">$B26*H26</f>
        <v>143.98560000000001</v>
      </c>
      <c r="O26" s="19">
        <f>$B26*I26</f>
        <v>170.9829</v>
      </c>
      <c r="P26" s="11">
        <f t="shared" si="12"/>
        <v>183.65998512682839</v>
      </c>
      <c r="Q26" s="11">
        <f t="shared" si="13"/>
        <v>486.22977888593982</v>
      </c>
      <c r="R26" s="6">
        <f t="shared" si="14"/>
        <v>183659.9851268284</v>
      </c>
      <c r="S26" s="6">
        <f t="shared" si="15"/>
        <v>486229.7788859398</v>
      </c>
      <c r="T26" s="6">
        <f>AVERAGE(R26:S26)</f>
        <v>334944.88200638408</v>
      </c>
    </row>
    <row r="27" spans="1:20" x14ac:dyDescent="0.25">
      <c r="A27" s="15">
        <v>10000</v>
      </c>
      <c r="B27" s="15">
        <v>19999</v>
      </c>
      <c r="C27" s="16" t="s">
        <v>13</v>
      </c>
      <c r="D27" s="16">
        <v>4.7499999999999999E-3</v>
      </c>
      <c r="E27" s="16">
        <v>5.4999999999999997E-3</v>
      </c>
      <c r="F27" s="20">
        <f>1.9%*0.9</f>
        <v>1.7100000000000001E-2</v>
      </c>
      <c r="G27" s="20">
        <f>2.2%*0.9</f>
        <v>1.9800000000000002E-2</v>
      </c>
      <c r="H27" s="20">
        <v>1.7100000000000001E-2</v>
      </c>
      <c r="I27" s="20">
        <v>1.9800000000000002E-2</v>
      </c>
      <c r="J27" s="19">
        <f t="shared" si="10"/>
        <v>256.49144999999999</v>
      </c>
      <c r="K27" s="19">
        <f t="shared" si="10"/>
        <v>296.99010000000004</v>
      </c>
      <c r="L27" s="19">
        <f t="shared" si="9"/>
        <v>171</v>
      </c>
      <c r="M27" s="19">
        <f t="shared" si="9"/>
        <v>198.00000000000003</v>
      </c>
      <c r="N27" s="19">
        <f t="shared" si="16"/>
        <v>341.98290000000003</v>
      </c>
      <c r="O27" s="19">
        <f t="shared" ref="O27:O31" si="17">$B27*I27</f>
        <v>395.98020000000002</v>
      </c>
      <c r="P27" s="11">
        <f>(H27+1)^365-1</f>
        <v>486.22977888593982</v>
      </c>
      <c r="Q27" s="11">
        <f t="shared" si="13"/>
        <v>1281.2649920723186</v>
      </c>
      <c r="R27" s="6">
        <f>P27*1000</f>
        <v>486229.7788859398</v>
      </c>
      <c r="S27" s="6">
        <f t="shared" si="15"/>
        <v>1281264.9920723187</v>
      </c>
      <c r="T27" s="6">
        <f t="shared" ref="T27" si="18">AVERAGE(R27:S27)</f>
        <v>883747.38547912927</v>
      </c>
    </row>
    <row r="28" spans="1:20" x14ac:dyDescent="0.25">
      <c r="A28" s="12">
        <v>20000</v>
      </c>
      <c r="B28" s="12">
        <v>49999</v>
      </c>
      <c r="C28" t="s">
        <v>14</v>
      </c>
      <c r="D28">
        <v>5.4999999999999997E-3</v>
      </c>
      <c r="E28">
        <v>6.2500000000000003E-3</v>
      </c>
      <c r="F28" s="21">
        <f>2.2%*0.9</f>
        <v>1.9800000000000002E-2</v>
      </c>
      <c r="G28" s="21">
        <f>2.5%*0.9</f>
        <v>2.2500000000000003E-2</v>
      </c>
      <c r="H28" s="20">
        <v>1.9800000000000002E-2</v>
      </c>
      <c r="I28" s="20">
        <v>2.2499999999999999E-2</v>
      </c>
      <c r="J28" s="13">
        <f t="shared" si="8"/>
        <v>692.9901000000001</v>
      </c>
      <c r="K28" s="13">
        <f t="shared" si="8"/>
        <v>787.48874999999998</v>
      </c>
      <c r="L28" s="13">
        <f t="shared" si="9"/>
        <v>396.00000000000006</v>
      </c>
      <c r="M28" s="13">
        <f t="shared" si="9"/>
        <v>450</v>
      </c>
      <c r="N28" s="13">
        <f t="shared" si="16"/>
        <v>989.98020000000008</v>
      </c>
      <c r="O28" s="13">
        <f t="shared" si="17"/>
        <v>1124.9775</v>
      </c>
      <c r="P28" s="11">
        <f t="shared" si="12"/>
        <v>1281.2649920723186</v>
      </c>
      <c r="Q28" s="11">
        <f t="shared" si="13"/>
        <v>3364.972689929893</v>
      </c>
      <c r="R28" s="6">
        <f t="shared" si="14"/>
        <v>1281264.9920723187</v>
      </c>
      <c r="S28" s="6">
        <f t="shared" si="15"/>
        <v>3364972.6899298932</v>
      </c>
      <c r="T28" s="6">
        <f>AVERAGE(R28:S28)</f>
        <v>2323118.841001106</v>
      </c>
    </row>
    <row r="29" spans="1:20" x14ac:dyDescent="0.25">
      <c r="A29" s="12">
        <v>50000</v>
      </c>
      <c r="B29" s="12">
        <v>99999</v>
      </c>
      <c r="C29" s="10" t="s">
        <v>15</v>
      </c>
      <c r="D29">
        <v>6.2500000000000003E-3</v>
      </c>
      <c r="E29">
        <v>7.0000000000000001E-3</v>
      </c>
      <c r="F29" s="21">
        <f>2.5%*0.9</f>
        <v>2.2500000000000003E-2</v>
      </c>
      <c r="G29" s="21">
        <f>2.8%*0.9</f>
        <v>2.5199999999999997E-2</v>
      </c>
      <c r="H29" s="20">
        <v>2.2499999999999999E-2</v>
      </c>
      <c r="I29" s="20">
        <v>2.52E-2</v>
      </c>
      <c r="J29" s="13">
        <f>AVERAGE($A29:$B29)*H29</f>
        <v>1687.48875</v>
      </c>
      <c r="K29" s="13">
        <f>AVERAGE($A29:$B29)*I29</f>
        <v>1889.9874</v>
      </c>
      <c r="L29" s="13">
        <f>$A29*H29</f>
        <v>1125</v>
      </c>
      <c r="M29" s="13">
        <f t="shared" ref="M29" si="19">$A29*I29</f>
        <v>1260</v>
      </c>
      <c r="N29" s="13">
        <f t="shared" si="16"/>
        <v>2249.9775</v>
      </c>
      <c r="O29" s="13">
        <f t="shared" si="17"/>
        <v>2519.9748</v>
      </c>
      <c r="P29" s="11">
        <f t="shared" si="12"/>
        <v>3364.972689929893</v>
      </c>
      <c r="Q29" s="11">
        <f t="shared" si="13"/>
        <v>8812.2906332049315</v>
      </c>
      <c r="R29" s="6">
        <f t="shared" si="14"/>
        <v>3364972.6899298932</v>
      </c>
      <c r="S29" s="6">
        <f t="shared" si="15"/>
        <v>8812290.6332049314</v>
      </c>
      <c r="T29" s="6">
        <f>AVERAGE(R29:S29)</f>
        <v>6088631.6615674123</v>
      </c>
    </row>
    <row r="30" spans="1:20" x14ac:dyDescent="0.25">
      <c r="A30" s="12">
        <v>100000</v>
      </c>
      <c r="B30" s="12">
        <v>499999</v>
      </c>
      <c r="C30" t="s">
        <v>16</v>
      </c>
      <c r="D30">
        <v>7.2500000000000004E-3</v>
      </c>
      <c r="E30">
        <v>7.4999999999999997E-3</v>
      </c>
      <c r="F30" s="21">
        <f>2.9%*0.9</f>
        <v>2.6099999999999998E-2</v>
      </c>
      <c r="G30" s="21">
        <f>3%*0.9</f>
        <v>2.7E-2</v>
      </c>
      <c r="H30" s="20">
        <v>2.6099999999999998E-2</v>
      </c>
      <c r="I30" s="20">
        <v>2.7E-2</v>
      </c>
      <c r="J30" s="13">
        <f t="shared" si="8"/>
        <v>7829.9869499999995</v>
      </c>
      <c r="K30" s="13">
        <f>AVERAGE($A30:$B30)*I30</f>
        <v>8099.9865</v>
      </c>
      <c r="L30" s="13">
        <f>$A30*H30</f>
        <v>2610</v>
      </c>
      <c r="M30" s="13">
        <f>$A30*I30</f>
        <v>2700</v>
      </c>
      <c r="N30" s="13">
        <f t="shared" si="16"/>
        <v>13049.973899999999</v>
      </c>
      <c r="O30" s="13">
        <f t="shared" si="17"/>
        <v>13499.973</v>
      </c>
      <c r="P30" s="11">
        <f t="shared" si="12"/>
        <v>12139.483348985856</v>
      </c>
      <c r="Q30" s="11">
        <f t="shared" si="13"/>
        <v>16718.062181521582</v>
      </c>
      <c r="R30" s="6">
        <f t="shared" si="14"/>
        <v>12139483.348985856</v>
      </c>
      <c r="S30" s="6">
        <f t="shared" si="15"/>
        <v>16718062.181521581</v>
      </c>
      <c r="T30" s="6">
        <f>AVERAGE(R30:S30)</f>
        <v>14428772.765253719</v>
      </c>
    </row>
    <row r="31" spans="1:20" x14ac:dyDescent="0.25">
      <c r="A31" s="12">
        <v>500000</v>
      </c>
      <c r="B31" s="12">
        <v>99999999</v>
      </c>
      <c r="C31" t="s">
        <v>17</v>
      </c>
      <c r="D31">
        <v>7.6E-3</v>
      </c>
      <c r="E31">
        <v>8.0000000000000002E-3</v>
      </c>
      <c r="F31" s="21">
        <f>3.04%*0.9</f>
        <v>2.7359999999999999E-2</v>
      </c>
      <c r="G31" s="21">
        <f>3.2%*0.9</f>
        <v>2.8800000000000003E-2</v>
      </c>
      <c r="H31" s="20">
        <v>2.7359999999999999E-2</v>
      </c>
      <c r="I31" s="20">
        <v>2.8800000000000003E-2</v>
      </c>
      <c r="J31" s="13">
        <f t="shared" si="8"/>
        <v>1374839.9863199999</v>
      </c>
      <c r="K31" s="13">
        <f t="shared" si="8"/>
        <v>1447199.9856000002</v>
      </c>
      <c r="L31" s="13">
        <f>$A31*H31</f>
        <v>13680</v>
      </c>
      <c r="M31" s="13">
        <f>$A31*I31</f>
        <v>14400.000000000002</v>
      </c>
      <c r="N31" s="13">
        <f t="shared" si="16"/>
        <v>2735999.9726399998</v>
      </c>
      <c r="O31" s="13">
        <f t="shared" si="17"/>
        <v>2879999.9712000005</v>
      </c>
      <c r="P31" s="11">
        <f t="shared" si="12"/>
        <v>18999.638221970465</v>
      </c>
      <c r="Q31" s="11">
        <f t="shared" si="13"/>
        <v>31679.993089036587</v>
      </c>
      <c r="R31" s="6">
        <f t="shared" si="14"/>
        <v>18999638.221970465</v>
      </c>
      <c r="S31" s="6">
        <f t="shared" si="15"/>
        <v>31679993.089036588</v>
      </c>
      <c r="T31" s="6">
        <f>AVERAGE(R31:S31)</f>
        <v>25339815.655503526</v>
      </c>
    </row>
    <row r="32" spans="1:20" x14ac:dyDescent="0.25">
      <c r="F32" s="8">
        <f>(F30+1)^7-1</f>
        <v>0.19764419354748464</v>
      </c>
    </row>
    <row r="33" spans="1:20" x14ac:dyDescent="0.25">
      <c r="F33" s="8"/>
    </row>
    <row r="34" spans="1:20" x14ac:dyDescent="0.25">
      <c r="D34" s="9"/>
    </row>
    <row r="35" spans="1:20" x14ac:dyDescent="0.25">
      <c r="J35" s="39"/>
      <c r="K35" s="39"/>
      <c r="L35" s="39"/>
      <c r="M35" s="39"/>
      <c r="N35" s="39"/>
      <c r="O35" s="39"/>
      <c r="R35" t="s">
        <v>20</v>
      </c>
      <c r="S35" t="s">
        <v>18</v>
      </c>
      <c r="T35" t="s">
        <v>19</v>
      </c>
    </row>
    <row r="36" spans="1:20" hidden="1" x14ac:dyDescent="0.25">
      <c r="A36" s="12">
        <v>100</v>
      </c>
      <c r="B36" s="12">
        <v>999</v>
      </c>
      <c r="C36" t="s">
        <v>10</v>
      </c>
      <c r="D36">
        <v>2.5000000000000001E-3</v>
      </c>
      <c r="E36">
        <v>3.2499999999999999E-3</v>
      </c>
      <c r="H36" s="2">
        <f>D36*4</f>
        <v>0.01</v>
      </c>
      <c r="I36" s="2">
        <f>E36*4</f>
        <v>1.2999999999999999E-2</v>
      </c>
      <c r="J36" s="13">
        <f t="shared" ref="J36" si="20">AVERAGE($A36:$B36)*H36</f>
        <v>5.4950000000000001</v>
      </c>
      <c r="K36" s="13">
        <f t="shared" ref="K36" si="21">AVERAGE($A36:$B36)*I36</f>
        <v>7.1434999999999995</v>
      </c>
      <c r="L36" s="13">
        <f>$A36*H36</f>
        <v>1</v>
      </c>
      <c r="M36" s="13">
        <f>$A36*I36</f>
        <v>1.3</v>
      </c>
      <c r="N36" s="13">
        <f>$B36*H36</f>
        <v>9.99</v>
      </c>
      <c r="O36" s="13">
        <f>$B36*I36</f>
        <v>12.987</v>
      </c>
      <c r="P36" s="11">
        <f>(H36+1)^365-1</f>
        <v>36.783434332887317</v>
      </c>
      <c r="Q36" s="11">
        <f>(I36+1)^365-1</f>
        <v>110.54434471573958</v>
      </c>
      <c r="R36" s="6">
        <f>P36*1000</f>
        <v>36783.434332887315</v>
      </c>
      <c r="S36" s="6">
        <f>Q36*1000</f>
        <v>110544.34471573959</v>
      </c>
      <c r="T36" s="6">
        <f>AVERAGE(R36:S36)</f>
        <v>73663.889524313447</v>
      </c>
    </row>
    <row r="37" spans="1:20" hidden="1" x14ac:dyDescent="0.25">
      <c r="A37" s="15">
        <v>1000</v>
      </c>
      <c r="B37" s="15">
        <v>4999</v>
      </c>
      <c r="C37" s="16" t="s">
        <v>11</v>
      </c>
      <c r="D37" s="16">
        <v>3.2499999999999999E-3</v>
      </c>
      <c r="E37" s="16">
        <v>4.0000000000000001E-3</v>
      </c>
      <c r="F37" s="16"/>
      <c r="G37" s="16"/>
      <c r="H37" s="17">
        <f>D37*4</f>
        <v>1.2999999999999999E-2</v>
      </c>
      <c r="I37" s="17">
        <f>E37*4</f>
        <v>1.6E-2</v>
      </c>
      <c r="J37" s="19">
        <f t="shared" ref="J37:J43" si="22">J25*30</f>
        <v>1169.8049999999998</v>
      </c>
      <c r="K37" s="19">
        <f t="shared" ref="K37:O37" si="23">K25*30</f>
        <v>1439.7600000000002</v>
      </c>
      <c r="L37" s="19">
        <f t="shared" si="23"/>
        <v>390</v>
      </c>
      <c r="M37" s="19">
        <f t="shared" si="23"/>
        <v>480</v>
      </c>
      <c r="N37" s="19">
        <f t="shared" si="23"/>
        <v>1949.61</v>
      </c>
      <c r="O37" s="19">
        <f t="shared" si="23"/>
        <v>2399.52</v>
      </c>
      <c r="P37" s="11">
        <f t="shared" ref="P37:P38" si="24">(H37+1)^365-1</f>
        <v>110.54434471573958</v>
      </c>
      <c r="Q37" s="11">
        <f t="shared" ref="Q37:Q43" si="25">(I37+1)^365-1</f>
        <v>327.24899190082851</v>
      </c>
      <c r="R37" s="6">
        <f t="shared" ref="R37:R38" si="26">P37*1000</f>
        <v>110544.34471573959</v>
      </c>
      <c r="S37" s="6">
        <f t="shared" ref="S37:S43" si="27">Q37*1000</f>
        <v>327248.99190082849</v>
      </c>
      <c r="T37" s="6">
        <f>AVERAGE(R37:S37)</f>
        <v>218896.66830828405</v>
      </c>
    </row>
    <row r="38" spans="1:20" hidden="1" x14ac:dyDescent="0.25">
      <c r="A38" s="15">
        <v>5000</v>
      </c>
      <c r="B38" s="15">
        <v>9999</v>
      </c>
      <c r="C38" s="16" t="s">
        <v>12</v>
      </c>
      <c r="D38" s="16">
        <v>4.0000000000000001E-3</v>
      </c>
      <c r="E38" s="16">
        <v>4.7499999999999999E-3</v>
      </c>
      <c r="F38" s="20">
        <v>1.4400000000000001E-2</v>
      </c>
      <c r="G38" s="20">
        <v>1.7100000000000001E-2</v>
      </c>
      <c r="H38" s="17">
        <f t="shared" ref="H38" si="28">D38*4</f>
        <v>1.6E-2</v>
      </c>
      <c r="I38" s="17">
        <f t="shared" ref="I38" si="29">E38*4</f>
        <v>1.9E-2</v>
      </c>
      <c r="J38" s="19">
        <f t="shared" si="22"/>
        <v>3239.7840000000006</v>
      </c>
      <c r="K38" s="19">
        <f t="shared" ref="K38:O38" si="30">K26*30</f>
        <v>3847.2435000000005</v>
      </c>
      <c r="L38" s="19">
        <f>L26*30</f>
        <v>2160</v>
      </c>
      <c r="M38" s="19">
        <f t="shared" si="30"/>
        <v>2565</v>
      </c>
      <c r="N38" s="19">
        <f t="shared" si="30"/>
        <v>4319.5680000000002</v>
      </c>
      <c r="O38" s="19">
        <f t="shared" si="30"/>
        <v>5129.4870000000001</v>
      </c>
      <c r="P38" s="11">
        <f t="shared" si="24"/>
        <v>327.24899190082851</v>
      </c>
      <c r="Q38" s="11">
        <f t="shared" si="25"/>
        <v>961.89107739423662</v>
      </c>
      <c r="R38" s="6">
        <f t="shared" si="26"/>
        <v>327248.99190082849</v>
      </c>
      <c r="S38" s="6">
        <f t="shared" si="27"/>
        <v>961891.07739423658</v>
      </c>
      <c r="T38" s="6">
        <f>AVERAGE(R38:S38)</f>
        <v>644570.03464753251</v>
      </c>
    </row>
    <row r="39" spans="1:20" x14ac:dyDescent="0.25">
      <c r="A39" s="15">
        <v>10000</v>
      </c>
      <c r="B39" s="15">
        <v>19999</v>
      </c>
      <c r="C39" s="16" t="s">
        <v>13</v>
      </c>
      <c r="D39" s="16">
        <v>4.7499999999999999E-3</v>
      </c>
      <c r="E39" s="16">
        <v>5.4999999999999997E-3</v>
      </c>
      <c r="F39" s="20">
        <v>1.7100000000000001E-2</v>
      </c>
      <c r="G39" s="20">
        <v>1.9800000000000002E-2</v>
      </c>
      <c r="H39" s="20">
        <f>(D39+1)^4 - 1</f>
        <v>1.9135804196566797E-2</v>
      </c>
      <c r="I39" s="20">
        <f>(E39+1)^4 - 1</f>
        <v>2.2182166415062765E-2</v>
      </c>
      <c r="J39" s="19">
        <f t="shared" si="22"/>
        <v>7694.7434999999996</v>
      </c>
      <c r="K39" s="19">
        <f t="shared" ref="K39:O39" si="31">K27*30</f>
        <v>8909.7030000000013</v>
      </c>
      <c r="L39" s="19">
        <f>L27*30</f>
        <v>5130</v>
      </c>
      <c r="M39" s="19">
        <f t="shared" si="31"/>
        <v>5940.0000000000009</v>
      </c>
      <c r="N39" s="19">
        <f t="shared" si="31"/>
        <v>10259.487000000001</v>
      </c>
      <c r="O39" s="19">
        <f t="shared" si="31"/>
        <v>11879.406000000001</v>
      </c>
      <c r="P39" s="11">
        <f>(H39+1)^365-1</f>
        <v>1009.8848818137644</v>
      </c>
      <c r="Q39" s="11">
        <f t="shared" si="25"/>
        <v>3003.8956972461219</v>
      </c>
      <c r="R39" s="6">
        <f>P39*1000</f>
        <v>1009884.8818137645</v>
      </c>
      <c r="S39" s="6">
        <f t="shared" si="27"/>
        <v>3003895.6972461217</v>
      </c>
      <c r="T39" s="6">
        <f t="shared" ref="T39" si="32">AVERAGE(R39:S39)</f>
        <v>2006890.2895299431</v>
      </c>
    </row>
    <row r="40" spans="1:20" x14ac:dyDescent="0.25">
      <c r="A40" s="12">
        <v>20000</v>
      </c>
      <c r="B40" s="12">
        <v>49999</v>
      </c>
      <c r="C40" t="s">
        <v>14</v>
      </c>
      <c r="D40">
        <v>5.4999999999999997E-3</v>
      </c>
      <c r="E40">
        <v>6.2500000000000003E-3</v>
      </c>
      <c r="F40" s="21">
        <v>1.9800000000000002E-2</v>
      </c>
      <c r="G40" s="21">
        <v>2.2500000000000003E-2</v>
      </c>
      <c r="H40" s="2">
        <f t="shared" ref="H40:H43" si="33">(D40+1)^4 - 1</f>
        <v>2.2182166415062765E-2</v>
      </c>
      <c r="I40" s="2">
        <f t="shared" ref="I40:I43" si="34">(E40+1)^4 - 1</f>
        <v>2.5235353088379098E-2</v>
      </c>
      <c r="J40" s="6">
        <f t="shared" si="22"/>
        <v>20789.703000000001</v>
      </c>
      <c r="K40" s="6">
        <f t="shared" ref="K40:O40" si="35">K28*30</f>
        <v>23624.662499999999</v>
      </c>
      <c r="L40" s="6">
        <f>L28*30</f>
        <v>11880.000000000002</v>
      </c>
      <c r="M40" s="6">
        <f t="shared" si="35"/>
        <v>13500</v>
      </c>
      <c r="N40" s="6">
        <f t="shared" si="35"/>
        <v>29699.406000000003</v>
      </c>
      <c r="O40" s="6">
        <f t="shared" si="35"/>
        <v>33749.324999999997</v>
      </c>
      <c r="P40" s="11">
        <f t="shared" ref="P40:P43" si="36">(H40+1)^365-1</f>
        <v>3003.8956972461219</v>
      </c>
      <c r="Q40" s="11">
        <f t="shared" si="25"/>
        <v>8923.9199366912308</v>
      </c>
      <c r="R40" s="6">
        <f t="shared" ref="R40:R43" si="37">P40*1000</f>
        <v>3003895.6972461217</v>
      </c>
      <c r="S40" s="6">
        <f t="shared" si="27"/>
        <v>8923919.9366912302</v>
      </c>
      <c r="T40" s="6">
        <f>AVERAGE(R40:S40)</f>
        <v>5963907.8169686757</v>
      </c>
    </row>
    <row r="41" spans="1:20" x14ac:dyDescent="0.25">
      <c r="A41" s="12">
        <v>50000</v>
      </c>
      <c r="B41" s="12">
        <v>99999</v>
      </c>
      <c r="C41" s="10" t="s">
        <v>15</v>
      </c>
      <c r="D41">
        <v>6.2500000000000003E-3</v>
      </c>
      <c r="E41">
        <v>7.0000000000000001E-3</v>
      </c>
      <c r="F41" s="21">
        <v>2.2500000000000003E-2</v>
      </c>
      <c r="G41" s="21">
        <v>2.5199999999999997E-2</v>
      </c>
      <c r="H41" s="2">
        <f t="shared" si="33"/>
        <v>2.5235353088379098E-2</v>
      </c>
      <c r="I41" s="2">
        <f t="shared" si="34"/>
        <v>2.8295374400999496E-2</v>
      </c>
      <c r="J41" s="6">
        <f t="shared" si="22"/>
        <v>50624.662499999999</v>
      </c>
      <c r="K41" s="6">
        <f t="shared" ref="K41:O41" si="38">K29*30</f>
        <v>56699.622000000003</v>
      </c>
      <c r="L41" s="6">
        <f>L29*30</f>
        <v>33750</v>
      </c>
      <c r="M41" s="6">
        <f t="shared" si="38"/>
        <v>37800</v>
      </c>
      <c r="N41" s="6">
        <f t="shared" si="38"/>
        <v>67499.324999999997</v>
      </c>
      <c r="O41" s="6">
        <f t="shared" si="38"/>
        <v>75599.244000000006</v>
      </c>
      <c r="P41" s="11">
        <f t="shared" si="36"/>
        <v>8923.9199366912308</v>
      </c>
      <c r="Q41" s="11">
        <f t="shared" si="25"/>
        <v>26485.648509538623</v>
      </c>
      <c r="R41" s="6">
        <f t="shared" si="37"/>
        <v>8923919.9366912302</v>
      </c>
      <c r="S41" s="6">
        <f t="shared" si="27"/>
        <v>26485648.509538624</v>
      </c>
      <c r="T41" s="6">
        <f>AVERAGE(R41:S41)</f>
        <v>17704784.223114926</v>
      </c>
    </row>
    <row r="42" spans="1:20" x14ac:dyDescent="0.25">
      <c r="A42" s="12">
        <v>100000</v>
      </c>
      <c r="B42" s="12">
        <v>499999</v>
      </c>
      <c r="C42" t="s">
        <v>16</v>
      </c>
      <c r="D42">
        <v>7.2500000000000004E-3</v>
      </c>
      <c r="E42">
        <v>7.4999999999999997E-3</v>
      </c>
      <c r="F42" s="21">
        <v>2.6099999999999998E-2</v>
      </c>
      <c r="G42" s="21">
        <v>2.7E-2</v>
      </c>
      <c r="H42" s="2">
        <f t="shared" si="33"/>
        <v>2.9316902075316564E-2</v>
      </c>
      <c r="I42" s="2">
        <f t="shared" si="34"/>
        <v>3.0339190664062876E-2</v>
      </c>
      <c r="J42" s="6">
        <f>J30*30</f>
        <v>234899.60849999997</v>
      </c>
      <c r="K42" s="6">
        <f t="shared" ref="K42:O42" si="39">K30*30</f>
        <v>242999.595</v>
      </c>
      <c r="L42" s="6">
        <f t="shared" si="39"/>
        <v>78300</v>
      </c>
      <c r="M42" s="6">
        <f t="shared" si="39"/>
        <v>81000</v>
      </c>
      <c r="N42" s="6">
        <f t="shared" si="39"/>
        <v>391499.21699999995</v>
      </c>
      <c r="O42" s="6">
        <f t="shared" si="39"/>
        <v>404999.19</v>
      </c>
      <c r="P42" s="11">
        <f t="shared" si="36"/>
        <v>38054.992095561836</v>
      </c>
      <c r="Q42" s="11">
        <f t="shared" si="25"/>
        <v>54672.896612695607</v>
      </c>
      <c r="R42" s="6">
        <f t="shared" si="37"/>
        <v>38054992.09556184</v>
      </c>
      <c r="S42" s="6">
        <f t="shared" si="27"/>
        <v>54672896.612695605</v>
      </c>
      <c r="T42" s="6">
        <f>AVERAGE(R42:S42)</f>
        <v>46363944.354128718</v>
      </c>
    </row>
    <row r="43" spans="1:20" x14ac:dyDescent="0.25">
      <c r="A43" s="12">
        <v>500000</v>
      </c>
      <c r="B43" s="12">
        <v>99999999</v>
      </c>
      <c r="C43" t="s">
        <v>17</v>
      </c>
      <c r="D43">
        <v>7.6E-3</v>
      </c>
      <c r="E43">
        <v>8.0000000000000002E-3</v>
      </c>
      <c r="F43" s="21">
        <v>2.7359999999999999E-2</v>
      </c>
      <c r="G43" s="21">
        <v>2.8800000000000003E-2</v>
      </c>
      <c r="H43" s="2">
        <f t="shared" si="33"/>
        <v>3.0748319240217814E-2</v>
      </c>
      <c r="I43" s="2">
        <f t="shared" si="34"/>
        <v>3.2386052096000206E-2</v>
      </c>
      <c r="J43" s="6">
        <f t="shared" si="22"/>
        <v>41245199.589599997</v>
      </c>
      <c r="K43" s="6">
        <f t="shared" ref="K43:O43" si="40">K31*30</f>
        <v>43415999.568000004</v>
      </c>
      <c r="L43" s="6">
        <f>L31*30</f>
        <v>410400</v>
      </c>
      <c r="M43" s="6">
        <f t="shared" si="40"/>
        <v>432000.00000000006</v>
      </c>
      <c r="N43" s="6">
        <f t="shared" si="40"/>
        <v>82079999.179199994</v>
      </c>
      <c r="O43" s="6">
        <f t="shared" si="40"/>
        <v>86399999.136000007</v>
      </c>
      <c r="P43" s="11">
        <f t="shared" si="36"/>
        <v>63198.244416254849</v>
      </c>
      <c r="Q43" s="11">
        <f t="shared" si="25"/>
        <v>112816.60604189798</v>
      </c>
      <c r="R43" s="6">
        <f t="shared" si="37"/>
        <v>63198244.416254848</v>
      </c>
      <c r="S43" s="6">
        <f t="shared" si="27"/>
        <v>112816606.04189798</v>
      </c>
      <c r="T43" s="6">
        <f>AVERAGE(R43:S43)</f>
        <v>88007425.229076415</v>
      </c>
    </row>
    <row r="44" spans="1:20" x14ac:dyDescent="0.25">
      <c r="F44" s="8"/>
    </row>
    <row r="45" spans="1:20" x14ac:dyDescent="0.25">
      <c r="A45" s="12"/>
      <c r="B45" s="14"/>
      <c r="C45" s="14"/>
    </row>
    <row r="46" spans="1:20" x14ac:dyDescent="0.25">
      <c r="A46" s="12"/>
      <c r="B46" s="14"/>
      <c r="C46" s="14"/>
    </row>
    <row r="47" spans="1:20" ht="15" hidden="1" customHeight="1" x14ac:dyDescent="0.25">
      <c r="A47" s="12">
        <v>100</v>
      </c>
      <c r="B47" s="12">
        <v>999</v>
      </c>
      <c r="C47" t="s">
        <v>10</v>
      </c>
      <c r="D47">
        <v>2.5000000000000001E-3</v>
      </c>
      <c r="E47">
        <v>3.2499999999999999E-3</v>
      </c>
      <c r="H47" s="2">
        <f>D47*4</f>
        <v>0.01</v>
      </c>
      <c r="I47" s="2">
        <f>E47*4</f>
        <v>1.2999999999999999E-2</v>
      </c>
      <c r="J47" s="14">
        <f t="shared" ref="J47:O49" si="41">J24*365</f>
        <v>2005.675</v>
      </c>
      <c r="K47" s="14">
        <f t="shared" si="41"/>
        <v>2607.3774999999996</v>
      </c>
      <c r="L47" s="14">
        <f t="shared" si="41"/>
        <v>365</v>
      </c>
      <c r="M47" s="14">
        <f t="shared" si="41"/>
        <v>474.5</v>
      </c>
      <c r="N47" s="14">
        <f t="shared" si="41"/>
        <v>3646.35</v>
      </c>
      <c r="O47" s="14">
        <f t="shared" si="41"/>
        <v>4740.2550000000001</v>
      </c>
    </row>
    <row r="48" spans="1:20" hidden="1" x14ac:dyDescent="0.25">
      <c r="A48" s="15">
        <v>1000</v>
      </c>
      <c r="B48" s="15">
        <v>4999</v>
      </c>
      <c r="C48" s="16" t="s">
        <v>11</v>
      </c>
      <c r="D48" s="16">
        <v>3.2499999999999999E-3</v>
      </c>
      <c r="E48" s="16">
        <v>4.0000000000000001E-3</v>
      </c>
      <c r="F48" s="16"/>
      <c r="G48" s="16"/>
      <c r="H48" s="17">
        <f t="shared" ref="H48:H54" si="42">D48*4</f>
        <v>1.2999999999999999E-2</v>
      </c>
      <c r="I48" s="17">
        <f t="shared" ref="I48:I54" si="43">E48*4</f>
        <v>1.6E-2</v>
      </c>
      <c r="J48" s="18">
        <f t="shared" si="41"/>
        <v>14232.627499999999</v>
      </c>
      <c r="K48" s="18">
        <f t="shared" si="41"/>
        <v>17517.080000000002</v>
      </c>
      <c r="L48" s="18">
        <f t="shared" si="41"/>
        <v>4745</v>
      </c>
      <c r="M48" s="18">
        <f t="shared" si="41"/>
        <v>5840</v>
      </c>
      <c r="N48" s="18">
        <f t="shared" si="41"/>
        <v>23720.254999999997</v>
      </c>
      <c r="O48" s="18">
        <f t="shared" si="41"/>
        <v>29194.16</v>
      </c>
    </row>
    <row r="49" spans="1:15" hidden="1" x14ac:dyDescent="0.25">
      <c r="A49" s="15">
        <v>5000</v>
      </c>
      <c r="B49" s="15">
        <v>9999</v>
      </c>
      <c r="C49" s="16" t="s">
        <v>12</v>
      </c>
      <c r="D49" s="16">
        <v>4.0000000000000001E-3</v>
      </c>
      <c r="E49" s="16">
        <v>4.7499999999999999E-3</v>
      </c>
      <c r="F49" s="16"/>
      <c r="G49" s="16"/>
      <c r="H49" s="17">
        <f t="shared" si="42"/>
        <v>1.6E-2</v>
      </c>
      <c r="I49" s="17">
        <f t="shared" si="43"/>
        <v>1.9E-2</v>
      </c>
      <c r="J49" s="18">
        <f t="shared" ref="J49:K51" si="44">J26*365</f>
        <v>39417.372000000003</v>
      </c>
      <c r="K49" s="18">
        <f t="shared" si="44"/>
        <v>46808.129250000005</v>
      </c>
      <c r="L49" s="18">
        <f t="shared" si="41"/>
        <v>26280</v>
      </c>
      <c r="M49" s="18">
        <f t="shared" si="41"/>
        <v>31207.5</v>
      </c>
      <c r="N49" s="18">
        <f t="shared" si="41"/>
        <v>52554.743999999999</v>
      </c>
      <c r="O49" s="18">
        <f t="shared" si="41"/>
        <v>62408.758500000004</v>
      </c>
    </row>
    <row r="50" spans="1:15" x14ac:dyDescent="0.25">
      <c r="A50" s="15">
        <v>10000</v>
      </c>
      <c r="B50" s="15">
        <v>19999</v>
      </c>
      <c r="C50" s="16" t="s">
        <v>13</v>
      </c>
      <c r="D50" s="16">
        <v>4.7499999999999999E-3</v>
      </c>
      <c r="E50" s="16">
        <v>5.4999999999999997E-3</v>
      </c>
      <c r="F50" s="16"/>
      <c r="G50" s="16"/>
      <c r="H50" s="17">
        <f t="shared" si="42"/>
        <v>1.9E-2</v>
      </c>
      <c r="I50" s="17">
        <f t="shared" si="43"/>
        <v>2.1999999999999999E-2</v>
      </c>
      <c r="J50" s="18">
        <f t="shared" si="44"/>
        <v>93619.379249999998</v>
      </c>
      <c r="K50" s="18">
        <f t="shared" si="44"/>
        <v>108401.38650000001</v>
      </c>
      <c r="L50" s="18">
        <f>L27*365</f>
        <v>62415</v>
      </c>
      <c r="M50" s="18">
        <f>M27*365</f>
        <v>72270.000000000015</v>
      </c>
      <c r="N50" s="18">
        <f t="shared" ref="N50" si="45">N27*365</f>
        <v>124823.75850000001</v>
      </c>
      <c r="O50" s="18">
        <f>O27*365</f>
        <v>144532.77300000002</v>
      </c>
    </row>
    <row r="51" spans="1:15" x14ac:dyDescent="0.25">
      <c r="A51" s="12">
        <v>20000</v>
      </c>
      <c r="B51" s="12">
        <v>49999</v>
      </c>
      <c r="C51" t="s">
        <v>14</v>
      </c>
      <c r="D51">
        <v>5.4999999999999997E-3</v>
      </c>
      <c r="E51">
        <v>6.2500000000000003E-3</v>
      </c>
      <c r="H51" s="2">
        <f t="shared" si="42"/>
        <v>2.1999999999999999E-2</v>
      </c>
      <c r="I51" s="2">
        <f t="shared" si="43"/>
        <v>2.5000000000000001E-2</v>
      </c>
      <c r="J51" s="14">
        <f t="shared" si="44"/>
        <v>252941.38650000002</v>
      </c>
      <c r="K51" s="14">
        <f t="shared" si="44"/>
        <v>287433.39374999999</v>
      </c>
      <c r="L51" s="14">
        <f t="shared" ref="L51:N51" si="46">L28*365</f>
        <v>144540.00000000003</v>
      </c>
      <c r="M51" s="14">
        <f t="shared" si="46"/>
        <v>164250</v>
      </c>
      <c r="N51" s="14">
        <f t="shared" si="46"/>
        <v>361342.77300000004</v>
      </c>
      <c r="O51" s="14">
        <f>O28*365</f>
        <v>410616.78749999998</v>
      </c>
    </row>
    <row r="52" spans="1:15" x14ac:dyDescent="0.25">
      <c r="A52" s="12">
        <v>50000</v>
      </c>
      <c r="B52" s="12">
        <v>99999</v>
      </c>
      <c r="C52" s="10" t="s">
        <v>15</v>
      </c>
      <c r="D52">
        <v>6.2500000000000003E-3</v>
      </c>
      <c r="E52">
        <v>7.0000000000000001E-3</v>
      </c>
      <c r="H52" s="2">
        <f t="shared" si="42"/>
        <v>2.5000000000000001E-2</v>
      </c>
      <c r="I52" s="2">
        <f t="shared" si="43"/>
        <v>2.8000000000000001E-2</v>
      </c>
      <c r="J52" s="14">
        <f>J29*365</f>
        <v>615933.39375000005</v>
      </c>
      <c r="K52" s="14">
        <f t="shared" ref="K52:N52" si="47">K29*365</f>
        <v>689845.40099999995</v>
      </c>
      <c r="L52" s="14">
        <f t="shared" si="47"/>
        <v>410625</v>
      </c>
      <c r="M52" s="14">
        <f t="shared" si="47"/>
        <v>459900</v>
      </c>
      <c r="N52" s="14">
        <f t="shared" si="47"/>
        <v>821241.78749999998</v>
      </c>
      <c r="O52" s="14">
        <f>O29*365</f>
        <v>919790.80200000003</v>
      </c>
    </row>
    <row r="53" spans="1:15" x14ac:dyDescent="0.25">
      <c r="A53" s="12">
        <v>100000</v>
      </c>
      <c r="B53" s="12">
        <v>499999</v>
      </c>
      <c r="C53" t="s">
        <v>16</v>
      </c>
      <c r="D53">
        <v>7.2500000000000004E-3</v>
      </c>
      <c r="E53">
        <v>7.4999999999999997E-3</v>
      </c>
      <c r="H53" s="2">
        <f t="shared" si="42"/>
        <v>2.9000000000000001E-2</v>
      </c>
      <c r="I53" s="2">
        <f t="shared" si="43"/>
        <v>0.03</v>
      </c>
      <c r="J53" s="14">
        <f>J30*365</f>
        <v>2857945.2367499997</v>
      </c>
      <c r="K53" s="14">
        <f>K30*365</f>
        <v>2956495.0724999998</v>
      </c>
      <c r="L53" s="14">
        <f>L30*365</f>
        <v>952650</v>
      </c>
      <c r="M53" s="14">
        <f>M30*365</f>
        <v>985500</v>
      </c>
      <c r="N53" s="14">
        <f t="shared" ref="K53:N54" si="48">N30*365</f>
        <v>4763240.4734999994</v>
      </c>
      <c r="O53" s="14">
        <f>O30*365</f>
        <v>4927490.1449999996</v>
      </c>
    </row>
    <row r="54" spans="1:15" x14ac:dyDescent="0.25">
      <c r="A54" s="12">
        <v>500000</v>
      </c>
      <c r="B54" s="12">
        <v>99999999</v>
      </c>
      <c r="C54" t="s">
        <v>17</v>
      </c>
      <c r="D54">
        <v>7.6E-3</v>
      </c>
      <c r="E54">
        <v>8.0000000000000002E-3</v>
      </c>
      <c r="H54" s="2">
        <f t="shared" si="42"/>
        <v>3.04E-2</v>
      </c>
      <c r="I54" s="2">
        <f t="shared" si="43"/>
        <v>3.2000000000000001E-2</v>
      </c>
      <c r="J54" s="14">
        <f>J31*365</f>
        <v>501816595.0068</v>
      </c>
      <c r="K54" s="14">
        <f t="shared" si="48"/>
        <v>528227994.74400008</v>
      </c>
      <c r="L54" s="14">
        <f t="shared" si="48"/>
        <v>4993200</v>
      </c>
      <c r="M54" s="14">
        <f t="shared" si="48"/>
        <v>5256000.0000000009</v>
      </c>
      <c r="N54" s="14">
        <f t="shared" si="48"/>
        <v>998639990.01359999</v>
      </c>
      <c r="O54" s="14">
        <f>O31*365</f>
        <v>1051199989.4880002</v>
      </c>
    </row>
    <row r="57" spans="1:15" x14ac:dyDescent="0.25">
      <c r="B57" t="s">
        <v>26</v>
      </c>
    </row>
    <row r="58" spans="1:15" x14ac:dyDescent="0.25">
      <c r="A58" t="s">
        <v>28</v>
      </c>
      <c r="B58" t="s">
        <v>27</v>
      </c>
      <c r="C58" t="s">
        <v>32</v>
      </c>
    </row>
    <row r="59" spans="1:15" x14ac:dyDescent="0.25">
      <c r="A59" t="s">
        <v>28</v>
      </c>
      <c r="B59" t="s">
        <v>31</v>
      </c>
    </row>
    <row r="61" spans="1:15" x14ac:dyDescent="0.25">
      <c r="B61" t="s">
        <v>29</v>
      </c>
    </row>
    <row r="62" spans="1:15" x14ac:dyDescent="0.25">
      <c r="A62" t="s">
        <v>28</v>
      </c>
      <c r="B62" t="s">
        <v>30</v>
      </c>
    </row>
  </sheetData>
  <mergeCells count="6">
    <mergeCell ref="J35:K35"/>
    <mergeCell ref="L35:M35"/>
    <mergeCell ref="N35:O35"/>
    <mergeCell ref="J22:K22"/>
    <mergeCell ref="L22:M22"/>
    <mergeCell ref="N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EC4D-7033-46CD-B1D1-8C816E08A342}">
  <dimension ref="A1:AC13"/>
  <sheetViews>
    <sheetView tabSelected="1" workbookViewId="0">
      <selection activeCell="M4" sqref="M4"/>
    </sheetView>
  </sheetViews>
  <sheetFormatPr defaultRowHeight="15" x14ac:dyDescent="0.25"/>
  <cols>
    <col min="1" max="1" width="14.42578125" bestFit="1" customWidth="1"/>
    <col min="2" max="4" width="10.42578125" bestFit="1" customWidth="1"/>
    <col min="5" max="23" width="14.7109375" customWidth="1"/>
    <col min="24" max="24" width="17.42578125" customWidth="1"/>
    <col min="25" max="25" width="18.5703125" customWidth="1"/>
    <col min="26" max="29" width="15.5703125" bestFit="1" customWidth="1"/>
  </cols>
  <sheetData>
    <row r="1" spans="1:29" x14ac:dyDescent="0.25">
      <c r="A1" t="s">
        <v>50</v>
      </c>
      <c r="B1">
        <v>3200</v>
      </c>
    </row>
    <row r="4" spans="1:29" x14ac:dyDescent="0.25">
      <c r="A4" s="29" t="s">
        <v>48</v>
      </c>
      <c r="B4" s="24">
        <v>44515</v>
      </c>
      <c r="C4" s="24">
        <v>44530</v>
      </c>
      <c r="D4" s="24">
        <v>44545</v>
      </c>
      <c r="E4" s="24">
        <v>44560</v>
      </c>
      <c r="F4" s="24">
        <v>44576</v>
      </c>
      <c r="G4" s="24">
        <v>44591</v>
      </c>
      <c r="H4" s="24">
        <v>44607</v>
      </c>
      <c r="I4" s="24" t="s">
        <v>51</v>
      </c>
      <c r="J4" s="24">
        <v>44635</v>
      </c>
      <c r="K4" s="24">
        <v>44650</v>
      </c>
      <c r="L4" s="24">
        <v>44666</v>
      </c>
      <c r="M4" s="38">
        <v>44681</v>
      </c>
      <c r="N4" s="24">
        <v>44696</v>
      </c>
      <c r="O4" s="24">
        <v>44711</v>
      </c>
      <c r="P4" s="24">
        <v>44727</v>
      </c>
      <c r="Q4" s="24">
        <v>44742</v>
      </c>
      <c r="R4" s="24">
        <v>44757</v>
      </c>
      <c r="S4" s="24">
        <v>44772</v>
      </c>
      <c r="T4" s="24">
        <v>44788</v>
      </c>
      <c r="U4" s="24">
        <v>44803</v>
      </c>
      <c r="V4" s="24">
        <v>44819</v>
      </c>
      <c r="W4" s="24">
        <v>44834</v>
      </c>
      <c r="X4" s="24">
        <v>44849</v>
      </c>
      <c r="Y4" s="24">
        <v>44864</v>
      </c>
      <c r="Z4" s="24">
        <v>44880</v>
      </c>
      <c r="AA4" s="24">
        <v>44895</v>
      </c>
      <c r="AB4" s="24">
        <v>44910</v>
      </c>
      <c r="AC4" s="24">
        <v>44925</v>
      </c>
    </row>
    <row r="5" spans="1:29" x14ac:dyDescent="0.25">
      <c r="A5" s="30" t="s">
        <v>49</v>
      </c>
      <c r="B5" s="25">
        <v>16000</v>
      </c>
      <c r="C5" s="36">
        <f>B7</f>
        <v>23666.929493674026</v>
      </c>
      <c r="D5" s="36">
        <f>C7-500+2600+3000</f>
        <v>39924.552192476687</v>
      </c>
      <c r="E5" s="36">
        <f>D7</f>
        <v>53517.231296524325</v>
      </c>
      <c r="F5" s="33">
        <f>E7</f>
        <v>74439.307097399855</v>
      </c>
      <c r="G5" s="33">
        <f t="shared" ref="G5:AC5" si="0">F7</f>
        <v>103540.678523496</v>
      </c>
      <c r="H5" s="33">
        <f t="shared" si="0"/>
        <v>149428.18083557993</v>
      </c>
      <c r="I5" s="33">
        <f t="shared" si="0"/>
        <v>215652.25905646168</v>
      </c>
      <c r="J5" s="33">
        <f t="shared" si="0"/>
        <v>311225.74454230303</v>
      </c>
      <c r="K5" s="33">
        <f t="shared" si="0"/>
        <v>449155.80522878165</v>
      </c>
      <c r="L5" s="33">
        <f t="shared" si="0"/>
        <v>648214.16900263471</v>
      </c>
      <c r="M5" s="33">
        <f t="shared" si="0"/>
        <v>955202.09863677819</v>
      </c>
      <c r="N5" s="33">
        <f t="shared" si="0"/>
        <v>1407576.5277454106</v>
      </c>
      <c r="O5" s="33">
        <f t="shared" si="0"/>
        <v>2074191.0892861409</v>
      </c>
      <c r="P5" s="33">
        <f t="shared" si="0"/>
        <v>3056507.8275105921</v>
      </c>
      <c r="Q5" s="33">
        <f t="shared" si="0"/>
        <v>4504040.2245912496</v>
      </c>
      <c r="R5" s="33">
        <f t="shared" si="0"/>
        <v>6637109.8945486648</v>
      </c>
      <c r="S5" s="33">
        <f t="shared" si="0"/>
        <v>9780380.6262217667</v>
      </c>
      <c r="T5" s="33">
        <f t="shared" si="0"/>
        <v>14412273.82302954</v>
      </c>
      <c r="U5" s="33">
        <f t="shared" si="0"/>
        <v>21237786.614673283</v>
      </c>
      <c r="V5" s="33">
        <f t="shared" si="0"/>
        <v>31295795.91873059</v>
      </c>
      <c r="W5" s="33">
        <f t="shared" si="0"/>
        <v>46117180.662797689</v>
      </c>
      <c r="X5" s="33">
        <f t="shared" si="0"/>
        <v>67957829.154050395</v>
      </c>
      <c r="Y5" s="33">
        <f t="shared" si="0"/>
        <v>100141996.47413866</v>
      </c>
      <c r="Z5" s="33">
        <f t="shared" si="0"/>
        <v>147568272.59878254</v>
      </c>
      <c r="AA5" s="33">
        <f t="shared" si="0"/>
        <v>217455172.10067081</v>
      </c>
      <c r="AB5" s="33">
        <f t="shared" si="0"/>
        <v>320439827.88833219</v>
      </c>
      <c r="AC5" s="33">
        <f t="shared" si="0"/>
        <v>472197015.62015504</v>
      </c>
    </row>
    <row r="6" spans="1:29" x14ac:dyDescent="0.25">
      <c r="A6" s="31" t="s">
        <v>52</v>
      </c>
      <c r="B6" s="34">
        <f>B5*(1+AVERAGE(ROI!$H$27:$I$27))^14</f>
        <v>20666.929493674026</v>
      </c>
      <c r="C6" s="34">
        <f>C5*(1+AVERAGE(ROI!$H$28:$I$28))^14</f>
        <v>31724.552192476687</v>
      </c>
      <c r="D6" s="34">
        <f>D5*(1+AVERAGE(ROI!$H$28:$I$28))^14</f>
        <v>53517.231296524325</v>
      </c>
      <c r="E6" s="34">
        <f>E5*(1+AVERAGE(ROI!$H$29:$I$29))^14</f>
        <v>74439.307097399855</v>
      </c>
      <c r="F6" s="34">
        <f>F5*(1+AVERAGE(ROI!$H$29:$I$29))^14</f>
        <v>103540.678523496</v>
      </c>
      <c r="G6" s="33">
        <f>G5*(1+AVERAGE(ROI!$H$30:$I$30))^14</f>
        <v>149428.18083557993</v>
      </c>
      <c r="H6" s="33">
        <f>H5*(1+AVERAGE(ROI!$H$30:$I$30))^14</f>
        <v>215652.25905646168</v>
      </c>
      <c r="I6" s="33">
        <f>I5*(1+AVERAGE(ROI!$H$30:$I$30))^14</f>
        <v>311225.74454230303</v>
      </c>
      <c r="J6" s="33">
        <f>J5*(1+AVERAGE(ROI!$H$30:$I$30))^14</f>
        <v>449155.80522878165</v>
      </c>
      <c r="K6" s="33">
        <f>K5*(1+AVERAGE(ROI!$H$30:$I$30))^14</f>
        <v>648214.16900263471</v>
      </c>
      <c r="L6" s="33">
        <f>L5*(1+AVERAGE(ROI!$H$31:$I$31))^14</f>
        <v>955202.09863677819</v>
      </c>
      <c r="M6" s="33">
        <f>M5*(1+AVERAGE(ROI!$H$31:$I$31))^14</f>
        <v>1407576.5277454106</v>
      </c>
      <c r="N6" s="33">
        <f>N5*(1+AVERAGE(ROI!$H$31:$I$31))^14</f>
        <v>2074191.0892861409</v>
      </c>
      <c r="O6" s="33">
        <f>O5*(1+AVERAGE(ROI!$H$31:$I$31))^14</f>
        <v>3056507.8275105921</v>
      </c>
      <c r="P6" s="33">
        <f>P5*(1+AVERAGE(ROI!$H$31:$I$31))^14</f>
        <v>4504040.2245912496</v>
      </c>
      <c r="Q6" s="33">
        <f>Q5*(1+AVERAGE(ROI!$H$31:$I$31))^14</f>
        <v>6637109.8945486648</v>
      </c>
      <c r="R6" s="33">
        <f>R5*(1+AVERAGE(ROI!$H$31:$I$31))^14</f>
        <v>9780380.6262217667</v>
      </c>
      <c r="S6" s="33">
        <f>S5*(1+AVERAGE(ROI!$H$31:$I$31))^14</f>
        <v>14412273.82302954</v>
      </c>
      <c r="T6" s="33">
        <f>T5*(1+AVERAGE(ROI!$H$31:$I$31))^14</f>
        <v>21237786.614673283</v>
      </c>
      <c r="U6" s="33">
        <f>U5*(1+AVERAGE(ROI!$H$31:$I$31))^14</f>
        <v>31295795.91873059</v>
      </c>
      <c r="V6" s="33">
        <f>V5*(1+AVERAGE(ROI!$H$31:$I$31))^14</f>
        <v>46117180.662797689</v>
      </c>
      <c r="W6" s="33">
        <f>W5*(1+AVERAGE(ROI!$H$31:$I$31))^14</f>
        <v>67957829.154050395</v>
      </c>
      <c r="X6" s="33">
        <f>X5*(1+AVERAGE(ROI!$H$31:$I$31))^14</f>
        <v>100141996.47413866</v>
      </c>
      <c r="Y6" s="33">
        <f>Y5*(1+AVERAGE(ROI!$H$31:$I$31))^14</f>
        <v>147568272.59878254</v>
      </c>
      <c r="Z6" s="33">
        <f>Z5*(1+AVERAGE(ROI!$H$31:$I$31))^14</f>
        <v>217455172.10067081</v>
      </c>
      <c r="AA6" s="33">
        <f>AA5*(1+AVERAGE(ROI!$H$31:$I$31))^14</f>
        <v>320439827.88833219</v>
      </c>
      <c r="AB6" s="33">
        <f>AB5*(1+AVERAGE(ROI!$H$31:$I$31))^14</f>
        <v>472197015.62015504</v>
      </c>
      <c r="AC6" s="33">
        <f>AC5*(1+AVERAGE(ROI!$H$31:$I$31))^14</f>
        <v>695824932.34356058</v>
      </c>
    </row>
    <row r="7" spans="1:29" x14ac:dyDescent="0.25">
      <c r="A7" t="s">
        <v>53</v>
      </c>
      <c r="B7" s="35">
        <f>(3000)+B6</f>
        <v>23666.929493674026</v>
      </c>
      <c r="C7" s="35">
        <f>($B$1-100)+C6</f>
        <v>34824.552192476687</v>
      </c>
      <c r="D7" s="35">
        <f>D6</f>
        <v>53517.231296524325</v>
      </c>
      <c r="E7" s="37">
        <f>E6</f>
        <v>74439.307097399855</v>
      </c>
      <c r="F7" s="37">
        <f>F6</f>
        <v>103540.678523496</v>
      </c>
      <c r="G7" s="37">
        <f t="shared" ref="G7:AC7" si="1">G6</f>
        <v>149428.18083557993</v>
      </c>
      <c r="H7" s="37">
        <f t="shared" si="1"/>
        <v>215652.25905646168</v>
      </c>
      <c r="I7" s="37">
        <f t="shared" si="1"/>
        <v>311225.74454230303</v>
      </c>
      <c r="J7" s="37">
        <f t="shared" si="1"/>
        <v>449155.80522878165</v>
      </c>
      <c r="K7" s="37">
        <f t="shared" si="1"/>
        <v>648214.16900263471</v>
      </c>
      <c r="L7" s="37">
        <f t="shared" si="1"/>
        <v>955202.09863677819</v>
      </c>
      <c r="M7" s="37">
        <f t="shared" si="1"/>
        <v>1407576.5277454106</v>
      </c>
      <c r="N7" s="37">
        <f t="shared" si="1"/>
        <v>2074191.0892861409</v>
      </c>
      <c r="O7" s="37">
        <f t="shared" si="1"/>
        <v>3056507.8275105921</v>
      </c>
      <c r="P7" s="37">
        <f t="shared" si="1"/>
        <v>4504040.2245912496</v>
      </c>
      <c r="Q7" s="37">
        <f t="shared" si="1"/>
        <v>6637109.8945486648</v>
      </c>
      <c r="R7" s="37">
        <f t="shared" si="1"/>
        <v>9780380.6262217667</v>
      </c>
      <c r="S7" s="37">
        <f t="shared" si="1"/>
        <v>14412273.82302954</v>
      </c>
      <c r="T7" s="37">
        <f t="shared" si="1"/>
        <v>21237786.614673283</v>
      </c>
      <c r="U7" s="37">
        <f t="shared" si="1"/>
        <v>31295795.91873059</v>
      </c>
      <c r="V7" s="37">
        <f t="shared" si="1"/>
        <v>46117180.662797689</v>
      </c>
      <c r="W7" s="37">
        <f t="shared" si="1"/>
        <v>67957829.154050395</v>
      </c>
      <c r="X7" s="37">
        <f t="shared" si="1"/>
        <v>100141996.47413866</v>
      </c>
      <c r="Y7" s="37">
        <f t="shared" si="1"/>
        <v>147568272.59878254</v>
      </c>
      <c r="Z7" s="37">
        <f t="shared" si="1"/>
        <v>217455172.10067081</v>
      </c>
      <c r="AA7" s="37">
        <f t="shared" si="1"/>
        <v>320439827.88833219</v>
      </c>
      <c r="AB7" s="37">
        <f t="shared" si="1"/>
        <v>472197015.62015504</v>
      </c>
      <c r="AC7" s="37">
        <f t="shared" si="1"/>
        <v>695824932.34356058</v>
      </c>
    </row>
    <row r="8" spans="1:29" x14ac:dyDescent="0.25">
      <c r="A8" s="30" t="s">
        <v>54</v>
      </c>
      <c r="B8" s="36">
        <f>AVERAGE(ROI!$H$27:$I$27)*B5</f>
        <v>295.20000000000005</v>
      </c>
      <c r="C8" s="25">
        <f>(POWER(C6/C5,1/14)-1)*C5</f>
        <v>500.55555879120573</v>
      </c>
      <c r="D8" s="25">
        <f>(POWER(D6/D5,1/14)-1)*D5</f>
        <v>844.40427887088197</v>
      </c>
      <c r="E8" s="25">
        <f t="shared" ref="E8:AC8" si="2">(POWER(E6/E5,1/14)-1)*E5</f>
        <v>1276.3859664221013</v>
      </c>
      <c r="F8" s="25">
        <f t="shared" si="2"/>
        <v>1775.3774742729811</v>
      </c>
      <c r="G8" s="25">
        <f t="shared" si="2"/>
        <v>2749.0050147988263</v>
      </c>
      <c r="H8" s="25">
        <f t="shared" si="2"/>
        <v>3967.3182011846579</v>
      </c>
      <c r="I8" s="25">
        <f t="shared" si="2"/>
        <v>5725.5674779490737</v>
      </c>
      <c r="J8" s="25">
        <f t="shared" si="2"/>
        <v>8263.0435175981675</v>
      </c>
      <c r="K8" s="25">
        <f t="shared" si="2"/>
        <v>11925.086628824185</v>
      </c>
      <c r="L8" s="25">
        <f t="shared" si="2"/>
        <v>18201.85386559405</v>
      </c>
      <c r="M8" s="25">
        <f t="shared" si="2"/>
        <v>26822.074929720831</v>
      </c>
      <c r="N8" s="25">
        <f>(POWER(N6/N5,1/14)-1)*N5</f>
        <v>39524.748899091275</v>
      </c>
      <c r="O8" s="25">
        <f>(POWER(O6/O5,1/14)-1)*O5</f>
        <v>58243.285787155051</v>
      </c>
      <c r="P8" s="25">
        <f t="shared" si="2"/>
        <v>85826.739796497743</v>
      </c>
      <c r="Q8" s="25">
        <f t="shared" si="2"/>
        <v>126473.44950652277</v>
      </c>
      <c r="R8" s="25">
        <f t="shared" si="2"/>
        <v>186370.04583892721</v>
      </c>
      <c r="S8" s="25">
        <f t="shared" si="2"/>
        <v>274633.08798430825</v>
      </c>
      <c r="T8" s="25">
        <f t="shared" si="2"/>
        <v>404696.64895067102</v>
      </c>
      <c r="U8" s="25">
        <f t="shared" si="2"/>
        <v>596357.04814002803</v>
      </c>
      <c r="V8" s="25">
        <f t="shared" si="2"/>
        <v>878785.94939795823</v>
      </c>
      <c r="W8" s="25">
        <f t="shared" si="2"/>
        <v>1294970.433011364</v>
      </c>
      <c r="X8" s="25">
        <f t="shared" si="2"/>
        <v>1908255.8426457422</v>
      </c>
      <c r="Y8" s="25">
        <f t="shared" si="2"/>
        <v>2811987.2609938243</v>
      </c>
      <c r="Z8" s="25">
        <f t="shared" si="2"/>
        <v>4143717.0945738293</v>
      </c>
      <c r="AA8" s="25">
        <f t="shared" si="2"/>
        <v>6106141.2325868597</v>
      </c>
      <c r="AB8" s="25">
        <f t="shared" si="2"/>
        <v>8997950.3671044018</v>
      </c>
      <c r="AC8" s="25">
        <f t="shared" si="2"/>
        <v>13259292.198614003</v>
      </c>
    </row>
    <row r="9" spans="1:29" x14ac:dyDescent="0.25">
      <c r="A9" s="3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x14ac:dyDescent="0.25">
      <c r="A10" s="3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x14ac:dyDescent="0.25">
      <c r="A11" s="30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x14ac:dyDescent="0.25">
      <c r="A12" s="3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x14ac:dyDescent="0.25">
      <c r="A13" s="3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5E6A-5F36-4979-B788-BC52DEC1AACC}">
  <dimension ref="A1:E8"/>
  <sheetViews>
    <sheetView workbookViewId="0">
      <selection activeCell="A5" sqref="A5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33</v>
      </c>
      <c r="B1" t="s">
        <v>34</v>
      </c>
    </row>
    <row r="2" spans="1:5" x14ac:dyDescent="0.25">
      <c r="A2" t="s">
        <v>35</v>
      </c>
      <c r="B2" t="s">
        <v>36</v>
      </c>
    </row>
    <row r="3" spans="1:5" x14ac:dyDescent="0.25">
      <c r="A3" t="s">
        <v>37</v>
      </c>
      <c r="B3" t="s">
        <v>38</v>
      </c>
      <c r="E3" s="22">
        <v>44281</v>
      </c>
    </row>
    <row r="4" spans="1:5" x14ac:dyDescent="0.25">
      <c r="A4" t="s">
        <v>39</v>
      </c>
      <c r="B4" t="s">
        <v>40</v>
      </c>
    </row>
    <row r="5" spans="1:5" x14ac:dyDescent="0.25">
      <c r="A5" t="s">
        <v>41</v>
      </c>
      <c r="B5" t="s">
        <v>42</v>
      </c>
    </row>
    <row r="6" spans="1:5" x14ac:dyDescent="0.25">
      <c r="A6" t="s">
        <v>43</v>
      </c>
      <c r="B6" t="s">
        <v>44</v>
      </c>
    </row>
    <row r="7" spans="1:5" x14ac:dyDescent="0.25">
      <c r="A7" s="23" t="s">
        <v>45</v>
      </c>
      <c r="B7" s="23" t="s">
        <v>46</v>
      </c>
    </row>
    <row r="8" spans="1:5" x14ac:dyDescent="0.25">
      <c r="A8" s="23" t="s">
        <v>47</v>
      </c>
      <c r="B8" s="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</vt:lpstr>
      <vt:lpstr>timeline</vt:lpstr>
      <vt:lpstr>gas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 Xia</cp:lastModifiedBy>
  <dcterms:created xsi:type="dcterms:W3CDTF">2021-10-26T04:01:41Z</dcterms:created>
  <dcterms:modified xsi:type="dcterms:W3CDTF">2021-11-16T21:38:33Z</dcterms:modified>
</cp:coreProperties>
</file>